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\OneDrive\Documents\Lehigh\Classes\Spring 2024\FIN 377\FIN-377-Final-Project\"/>
    </mc:Choice>
  </mc:AlternateContent>
  <bookViews>
    <workbookView xWindow="0" yWindow="0" windowWidth="14295" windowHeight="11550"/>
  </bookViews>
  <sheets>
    <sheet name="Celtics" sheetId="1" r:id="rId1"/>
    <sheet name="Celtics Game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3" i="1" l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4" i="1"/>
  <c r="AW34" i="1"/>
  <c r="AV35" i="1"/>
  <c r="AW35" i="1"/>
  <c r="AV36" i="1"/>
  <c r="AW36" i="1"/>
  <c r="AV37" i="1"/>
  <c r="AW37" i="1"/>
  <c r="AV38" i="1"/>
  <c r="AW38" i="1"/>
  <c r="AV39" i="1"/>
  <c r="AW39" i="1"/>
  <c r="AV40" i="1"/>
  <c r="AW40" i="1"/>
  <c r="AV41" i="1"/>
  <c r="AW41" i="1"/>
  <c r="AV42" i="1"/>
  <c r="AW42" i="1"/>
  <c r="AV43" i="1"/>
  <c r="AW43" i="1"/>
  <c r="AV44" i="1"/>
  <c r="AW44" i="1"/>
  <c r="AV45" i="1"/>
  <c r="AW45" i="1"/>
  <c r="AV46" i="1"/>
  <c r="AW46" i="1"/>
  <c r="AV47" i="1"/>
  <c r="AW47" i="1"/>
  <c r="AV48" i="1"/>
  <c r="AW48" i="1"/>
  <c r="AV49" i="1"/>
  <c r="AW49" i="1"/>
  <c r="AV50" i="1"/>
  <c r="AW50" i="1"/>
  <c r="AV51" i="1"/>
  <c r="AW51" i="1"/>
  <c r="AV52" i="1"/>
  <c r="AW52" i="1"/>
  <c r="AV53" i="1"/>
  <c r="AW53" i="1"/>
  <c r="AV54" i="1"/>
  <c r="AW54" i="1"/>
  <c r="AV55" i="1"/>
  <c r="AW55" i="1"/>
  <c r="AV56" i="1"/>
  <c r="AW56" i="1"/>
  <c r="AV57" i="1"/>
  <c r="AW57" i="1"/>
  <c r="AV58" i="1"/>
  <c r="AW58" i="1"/>
  <c r="AV59" i="1"/>
  <c r="AW59" i="1"/>
  <c r="AV60" i="1"/>
  <c r="AW60" i="1"/>
  <c r="AV61" i="1"/>
  <c r="AW61" i="1"/>
  <c r="AV62" i="1"/>
  <c r="AW62" i="1"/>
  <c r="AV63" i="1"/>
  <c r="AW63" i="1"/>
  <c r="AV64" i="1"/>
  <c r="AW64" i="1"/>
  <c r="AV65" i="1"/>
  <c r="AW65" i="1"/>
  <c r="AV66" i="1"/>
  <c r="AW66" i="1"/>
  <c r="AV67" i="1"/>
  <c r="AW67" i="1"/>
  <c r="AV68" i="1"/>
  <c r="AW68" i="1"/>
  <c r="AV69" i="1"/>
  <c r="AW69" i="1"/>
  <c r="AV70" i="1"/>
  <c r="AW70" i="1"/>
  <c r="AV71" i="1"/>
  <c r="AW71" i="1"/>
  <c r="AV72" i="1"/>
  <c r="AW72" i="1"/>
  <c r="AV73" i="1"/>
  <c r="AW73" i="1"/>
  <c r="AV74" i="1"/>
  <c r="AW74" i="1"/>
  <c r="AV75" i="1"/>
  <c r="AW75" i="1"/>
  <c r="AV76" i="1"/>
  <c r="AW76" i="1"/>
  <c r="AV77" i="1"/>
  <c r="AW77" i="1"/>
  <c r="AV78" i="1"/>
  <c r="AW78" i="1"/>
  <c r="AV79" i="1"/>
  <c r="AW79" i="1"/>
  <c r="AV80" i="1"/>
  <c r="AW80" i="1"/>
  <c r="AV81" i="1"/>
  <c r="AW81" i="1"/>
  <c r="AV82" i="1"/>
  <c r="AW82" i="1"/>
  <c r="AV83" i="1"/>
  <c r="AW83" i="1"/>
  <c r="AV84" i="1"/>
  <c r="AW84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23" i="1"/>
  <c r="AU22" i="1"/>
  <c r="AW22" i="1" s="1"/>
  <c r="AV22" i="1"/>
  <c r="Z84" i="1" l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9" i="1"/>
  <c r="AO50" i="1"/>
  <c r="AO51" i="1"/>
  <c r="AO52" i="1"/>
  <c r="AO53" i="1"/>
  <c r="AQ53" i="1" s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Q73" i="1" s="1"/>
  <c r="AO74" i="1"/>
  <c r="AO75" i="1"/>
  <c r="AO76" i="1"/>
  <c r="AO77" i="1"/>
  <c r="AO78" i="1"/>
  <c r="AO79" i="1"/>
  <c r="AO80" i="1"/>
  <c r="AO81" i="1"/>
  <c r="AO82" i="1"/>
  <c r="AO83" i="1"/>
  <c r="AO84" i="1"/>
  <c r="AO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1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4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1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4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13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4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13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4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2" i="2"/>
  <c r="E4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A4" i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3" i="1"/>
  <c r="O69" i="2"/>
  <c r="AQ33" i="1" l="1"/>
  <c r="AQ13" i="1"/>
  <c r="AQ78" i="1"/>
  <c r="AQ58" i="1"/>
  <c r="AQ38" i="1"/>
  <c r="AQ18" i="1"/>
  <c r="AQ27" i="1"/>
  <c r="AQ26" i="1"/>
  <c r="AQ71" i="1"/>
  <c r="AQ82" i="1"/>
  <c r="AQ62" i="1"/>
  <c r="AQ42" i="1"/>
  <c r="AQ22" i="1"/>
  <c r="AQ76" i="1"/>
  <c r="AQ51" i="1"/>
  <c r="AQ31" i="1"/>
  <c r="AQ11" i="1"/>
  <c r="AQ50" i="1"/>
  <c r="AQ3" i="1"/>
  <c r="AQ45" i="1"/>
  <c r="AQ25" i="1"/>
  <c r="AQ5" i="1"/>
  <c r="AQ21" i="1"/>
  <c r="AQ40" i="1"/>
  <c r="AQ67" i="1"/>
  <c r="AQ80" i="1"/>
  <c r="AQ20" i="1"/>
  <c r="AR75" i="1"/>
  <c r="AR55" i="1"/>
  <c r="AR35" i="1"/>
  <c r="AR15" i="1"/>
  <c r="AQ47" i="1"/>
  <c r="AQ60" i="1"/>
  <c r="AQ74" i="1"/>
  <c r="AQ54" i="1"/>
  <c r="AQ34" i="1"/>
  <c r="AQ14" i="1"/>
  <c r="AQ72" i="1"/>
  <c r="AQ52" i="1"/>
  <c r="AQ32" i="1"/>
  <c r="AQ12" i="1"/>
  <c r="AQ69" i="1"/>
  <c r="AQ9" i="1"/>
  <c r="AQ68" i="1"/>
  <c r="AQ48" i="1"/>
  <c r="AQ28" i="1"/>
  <c r="AQ8" i="1"/>
  <c r="AQ84" i="1"/>
  <c r="AQ64" i="1"/>
  <c r="AQ44" i="1"/>
  <c r="AQ24" i="1"/>
  <c r="AQ4" i="1"/>
  <c r="AQ46" i="1"/>
  <c r="AQ6" i="1"/>
  <c r="AQ83" i="1"/>
  <c r="AQ63" i="1"/>
  <c r="AQ43" i="1"/>
  <c r="AQ23" i="1"/>
  <c r="AQ70" i="1"/>
  <c r="AQ30" i="1"/>
  <c r="AQ10" i="1"/>
  <c r="AR67" i="1"/>
  <c r="AR47" i="1"/>
  <c r="AQ7" i="1"/>
  <c r="AQ49" i="1"/>
  <c r="AQ29" i="1"/>
  <c r="AQ15" i="1"/>
  <c r="AR66" i="1"/>
  <c r="AR46" i="1"/>
  <c r="AR26" i="1"/>
  <c r="AQ79" i="1"/>
  <c r="AQ59" i="1"/>
  <c r="AQ39" i="1"/>
  <c r="AQ19" i="1"/>
  <c r="AQ81" i="1"/>
  <c r="AQ61" i="1"/>
  <c r="AQ41" i="1"/>
  <c r="AQ65" i="1"/>
  <c r="AR77" i="1"/>
  <c r="AR57" i="1"/>
  <c r="AR37" i="1"/>
  <c r="AR17" i="1"/>
  <c r="AR76" i="1"/>
  <c r="AR56" i="1"/>
  <c r="AR36" i="1"/>
  <c r="AR16" i="1"/>
  <c r="AQ36" i="1"/>
  <c r="AQ35" i="1"/>
  <c r="AQ37" i="1"/>
  <c r="AQ66" i="1"/>
  <c r="AQ56" i="1"/>
  <c r="AQ77" i="1"/>
  <c r="AQ16" i="1"/>
  <c r="AQ57" i="1"/>
  <c r="AQ75" i="1"/>
  <c r="AQ17" i="1"/>
  <c r="AQ55" i="1"/>
  <c r="AR84" i="1"/>
  <c r="AR64" i="1"/>
  <c r="AR44" i="1"/>
  <c r="AR24" i="1"/>
  <c r="AR72" i="1"/>
  <c r="AR52" i="1"/>
  <c r="AR32" i="1"/>
  <c r="AR12" i="1"/>
  <c r="AR27" i="1"/>
  <c r="AR81" i="1"/>
  <c r="AR61" i="1"/>
  <c r="AR41" i="1"/>
  <c r="AR21" i="1"/>
  <c r="AR74" i="1"/>
  <c r="AR54" i="1"/>
  <c r="AR34" i="1"/>
  <c r="AR14" i="1"/>
  <c r="AR73" i="1"/>
  <c r="AR53" i="1"/>
  <c r="AR33" i="1"/>
  <c r="AR13" i="1"/>
  <c r="AR3" i="1"/>
  <c r="AR65" i="1"/>
  <c r="AR45" i="1"/>
  <c r="AR25" i="1"/>
  <c r="AR83" i="1"/>
  <c r="AR63" i="1"/>
  <c r="AR43" i="1"/>
  <c r="AR23" i="1"/>
  <c r="AR82" i="1"/>
  <c r="AR62" i="1"/>
  <c r="AR42" i="1"/>
  <c r="AR22" i="1"/>
  <c r="AR69" i="1"/>
  <c r="AR49" i="1"/>
  <c r="AR29" i="1"/>
  <c r="AR9" i="1"/>
  <c r="AR68" i="1"/>
  <c r="AR48" i="1"/>
  <c r="AR28" i="1"/>
  <c r="AR8" i="1"/>
  <c r="AR79" i="1"/>
  <c r="AR59" i="1"/>
  <c r="AR39" i="1"/>
  <c r="AR19" i="1"/>
  <c r="AR78" i="1"/>
  <c r="AR58" i="1"/>
  <c r="AR38" i="1"/>
  <c r="AR18" i="1"/>
  <c r="AR80" i="1"/>
  <c r="AR60" i="1"/>
  <c r="AR40" i="1"/>
  <c r="AR20" i="1"/>
  <c r="AR5" i="1"/>
  <c r="AR7" i="1"/>
  <c r="AR6" i="1"/>
  <c r="AR4" i="1"/>
  <c r="AR71" i="1"/>
  <c r="AR51" i="1"/>
  <c r="AR31" i="1"/>
  <c r="AR11" i="1"/>
  <c r="AR70" i="1"/>
  <c r="AR50" i="1"/>
  <c r="AR30" i="1"/>
  <c r="AR10" i="1"/>
</calcChain>
</file>

<file path=xl/sharedStrings.xml><?xml version="1.0" encoding="utf-8"?>
<sst xmlns="http://schemas.openxmlformats.org/spreadsheetml/2006/main" count="236" uniqueCount="99">
  <si>
    <t>Date</t>
  </si>
  <si>
    <t>Opponent</t>
  </si>
  <si>
    <t>New York Knicks</t>
  </si>
  <si>
    <t>Away</t>
  </si>
  <si>
    <t>Home_Away</t>
  </si>
  <si>
    <t>Celtics_Win_Pct</t>
  </si>
  <si>
    <t>Celtics_Home_Win_Pct</t>
  </si>
  <si>
    <t>Celtics_Away_Win_Pct</t>
  </si>
  <si>
    <t>Celtics_Win_Pct_Last_5_Games</t>
  </si>
  <si>
    <t>Celtics_Win_Pct_Last_10_Games</t>
  </si>
  <si>
    <t>Celtics_Avg_Points_Per_Game</t>
  </si>
  <si>
    <t>Celtics_Avg_Off_Rating</t>
  </si>
  <si>
    <t>Celtics_Avg_Off_Rating_Last_10_Games</t>
  </si>
  <si>
    <t>Celtics_Avg_Def_Rating</t>
  </si>
  <si>
    <t>Celtics_Avg_Def_Rating_Last_10_Games</t>
  </si>
  <si>
    <t>Celtics_Avg_FG_Last_10_Games</t>
  </si>
  <si>
    <t>Celtics_Avg_FG_Pct_Last_10_Games</t>
  </si>
  <si>
    <t>Celtics_Avg_3P_Last_10_Games</t>
  </si>
  <si>
    <t>Celtics_Avg_3P_Pct_Last_10_Games</t>
  </si>
  <si>
    <t>Celtics_Avg_FT_Last_10_Games</t>
  </si>
  <si>
    <t>Celtics_Avg_FT_Pct_Last_10_Games</t>
  </si>
  <si>
    <t>Celtics_Rank_In_Conference</t>
  </si>
  <si>
    <t>Celtics_Rank_In_Division</t>
  </si>
  <si>
    <t>Celtics_Avg_Points_Last_5_Games</t>
  </si>
  <si>
    <t>Celtics_Avg_Points_Last_10_Games</t>
  </si>
  <si>
    <t>Win</t>
  </si>
  <si>
    <t>Overall</t>
  </si>
  <si>
    <t>Celtics</t>
  </si>
  <si>
    <t>Opp</t>
  </si>
  <si>
    <t>Opp_Win_Pct</t>
  </si>
  <si>
    <t>Opp_Rank_In_Conference</t>
  </si>
  <si>
    <t>Opp_Rank_In_Division</t>
  </si>
  <si>
    <t>Result</t>
  </si>
  <si>
    <t>Celtics_Points</t>
  </si>
  <si>
    <t>Opp_Points</t>
  </si>
  <si>
    <t>Total_Points</t>
  </si>
  <si>
    <t>Over_Under</t>
  </si>
  <si>
    <t>3P</t>
  </si>
  <si>
    <t>3P %</t>
  </si>
  <si>
    <t>FG</t>
  </si>
  <si>
    <t>FG %</t>
  </si>
  <si>
    <t>FT</t>
  </si>
  <si>
    <t>FT %</t>
  </si>
  <si>
    <t>Celtics Score</t>
  </si>
  <si>
    <t>Opp Score</t>
  </si>
  <si>
    <t>Off Rat</t>
  </si>
  <si>
    <t>Def Rat</t>
  </si>
  <si>
    <t>Strength Key Players Missing</t>
  </si>
  <si>
    <t>Celtics_Strength_Of_Key_Players_Missing</t>
  </si>
  <si>
    <t>Miami Heat</t>
  </si>
  <si>
    <t>Home</t>
  </si>
  <si>
    <t>Washington Wizards</t>
  </si>
  <si>
    <t>Indiana Pacers</t>
  </si>
  <si>
    <t>Brooklyn Nets</t>
  </si>
  <si>
    <t>Minnesota Timberwolves</t>
  </si>
  <si>
    <t>Philadelphia 76ers</t>
  </si>
  <si>
    <t>Toronto Raptors</t>
  </si>
  <si>
    <t>Memphis Grizzlies</t>
  </si>
  <si>
    <t>Charlotte Hornets</t>
  </si>
  <si>
    <t>Milwaukee Bucks</t>
  </si>
  <si>
    <t>Orlando Magic</t>
  </si>
  <si>
    <t>Atlanta Hawks</t>
  </si>
  <si>
    <t>Chicago Bulls</t>
  </si>
  <si>
    <t>Cleveland Cavaliers</t>
  </si>
  <si>
    <t>Golden State Warriors</t>
  </si>
  <si>
    <t>Sacramento Kings</t>
  </si>
  <si>
    <t>Los Angeles Clippers</t>
  </si>
  <si>
    <t>Los Angeles Lakers</t>
  </si>
  <si>
    <t>Detroit Pistons</t>
  </si>
  <si>
    <t>San Antonio Spurs</t>
  </si>
  <si>
    <t>Oklahoma City Thunder</t>
  </si>
  <si>
    <t>Utah Jazz</t>
  </si>
  <si>
    <t>Denver Nuggets</t>
  </si>
  <si>
    <t>Dallas Mavericks</t>
  </si>
  <si>
    <t>New Orleans Pelicans</t>
  </si>
  <si>
    <t>Phoenix Suns</t>
  </si>
  <si>
    <t>Portland Trail Blazers</t>
  </si>
  <si>
    <t>NaN</t>
  </si>
  <si>
    <t>HomeWinCount</t>
  </si>
  <si>
    <t>AwayWinCount</t>
  </si>
  <si>
    <t>Diff_Points</t>
  </si>
  <si>
    <t>Opp_Strength_Of_Key_Players_Missing</t>
  </si>
  <si>
    <t>Houston Rockets</t>
  </si>
  <si>
    <t>Opp_Points_Last_Game</t>
  </si>
  <si>
    <t>Opp_Win_Last_Game</t>
  </si>
  <si>
    <t>Opp_3P_Last_Game</t>
  </si>
  <si>
    <t>Opp_FG_Pct_Last_Game</t>
  </si>
  <si>
    <t>Opp_FG_Last_Game</t>
  </si>
  <si>
    <t>Opp_3P_Pct_Last_Game</t>
  </si>
  <si>
    <t>Opp_FT_Last_Game</t>
  </si>
  <si>
    <t>Opp_FT_Pct_Last_Game</t>
  </si>
  <si>
    <t>Opp_Off_Rating_Last_Game</t>
  </si>
  <si>
    <t>Opp_Def_Rating_Last_Game</t>
  </si>
  <si>
    <t>In_Season_Tournament</t>
  </si>
  <si>
    <t>Celtics_Spread_Diff</t>
  </si>
  <si>
    <t>Opp_Spread_Diff</t>
  </si>
  <si>
    <t>Celtics_Spread_Payout</t>
  </si>
  <si>
    <t>Opp_Spread_Payout</t>
  </si>
  <si>
    <t>Betting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</si>
</sst>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14" fontId="0" fillId="0" borderId="1" xfId="0" applyNumberFormat="1" applyBorder="1"/>
    <xf numFmtId="164" fontId="0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0" fontId="0" fillId="0" borderId="0" xfId="0" applyFill="1" applyBorder="1"/>
    <xf numFmtId="10" fontId="0" fillId="0" borderId="1" xfId="1" applyNumberFormat="1" applyFont="1" applyBorder="1"/>
    <xf numFmtId="10" fontId="0" fillId="0" borderId="0" xfId="1" applyNumberFormat="1" applyFont="1" applyBorder="1"/>
    <xf numFmtId="2" fontId="0" fillId="0" borderId="0" xfId="0" applyNumberFormat="1" applyBorder="1"/>
    <xf numFmtId="0" fontId="0" fillId="0" borderId="0" xfId="0" applyNumberFormat="1" applyBorder="1"/>
    <xf numFmtId="0" fontId="0" fillId="0" borderId="0" xfId="0" applyNumberFormat="1" applyFill="1" applyBorder="1"/>
    <xf numFmtId="2" fontId="0" fillId="0" borderId="0" xfId="1" applyNumberFormat="1" applyFont="1" applyFill="1" applyBorder="1"/>
    <xf numFmtId="2" fontId="0" fillId="0" borderId="0" xfId="0" applyNumberFormat="1" applyFill="1" applyBorder="1"/>
    <xf numFmtId="0" fontId="0" fillId="0" borderId="0" xfId="1" applyNumberFormat="1" applyFont="1" applyBorder="1"/>
    <xf numFmtId="0" fontId="0" fillId="0" borderId="2" xfId="0" applyFill="1" applyBorder="1"/>
    <xf numFmtId="0" fontId="0" fillId="0" borderId="1" xfId="0" applyFill="1" applyBorder="1"/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48"/>
  <sheetViews>
    <sheetView tabSelected="1" workbookViewId="0">
      <pane xSplit="3" ySplit="2" topLeftCell="AG50" activePane="bottomRight" state="frozen"/>
      <selection pane="topRight" activeCell="D1" sqref="D1"/>
      <selection pane="bottomLeft" activeCell="A3" sqref="A3"/>
      <selection pane="bottomRight" activeCell="AL77" sqref="AL77"/>
    </sheetView>
  </sheetViews>
  <sheetFormatPr defaultRowHeight="15" x14ac:dyDescent="0.25"/>
  <cols>
    <col min="1" max="1" width="10.7109375" style="2" bestFit="1" customWidth="1"/>
    <col min="2" max="2" width="23.85546875" style="3" bestFit="1" customWidth="1"/>
    <col min="3" max="3" width="12.140625" style="4" bestFit="1" customWidth="1"/>
    <col min="4" max="4" width="21" style="3" bestFit="1" customWidth="1"/>
    <col min="5" max="5" width="15.28515625" style="2" bestFit="1" customWidth="1"/>
    <col min="6" max="6" width="21.85546875" style="3" bestFit="1" customWidth="1"/>
    <col min="7" max="7" width="21.42578125" style="3" bestFit="1" customWidth="1"/>
    <col min="8" max="8" width="29.140625" style="3" bestFit="1" customWidth="1"/>
    <col min="9" max="9" width="30.28515625" style="3" bestFit="1" customWidth="1"/>
    <col min="10" max="10" width="28.42578125" style="3" bestFit="1" customWidth="1"/>
    <col min="11" max="12" width="31.85546875" style="3" bestFit="1" customWidth="1"/>
    <col min="13" max="13" width="26.28515625" style="3" bestFit="1" customWidth="1"/>
    <col min="14" max="14" width="36.85546875" style="3" bestFit="1" customWidth="1"/>
    <col min="15" max="15" width="22.28515625" style="3" bestFit="1" customWidth="1"/>
    <col min="16" max="16" width="37.140625" style="3" bestFit="1" customWidth="1"/>
    <col min="17" max="17" width="29.42578125" style="3" bestFit="1" customWidth="1"/>
    <col min="18" max="18" width="32.85546875" style="11" customWidth="1"/>
    <col min="19" max="19" width="29.28515625" style="12" bestFit="1" customWidth="1"/>
    <col min="20" max="20" width="33.140625" style="11" bestFit="1" customWidth="1"/>
    <col min="21" max="21" width="29.140625" style="12" bestFit="1" customWidth="1"/>
    <col min="22" max="22" width="33" style="11" bestFit="1" customWidth="1"/>
    <col min="23" max="23" width="26.7109375" style="3" bestFit="1" customWidth="1"/>
    <col min="24" max="24" width="23.42578125" style="3" bestFit="1" customWidth="1"/>
    <col min="25" max="25" width="35.5703125" style="4" bestFit="1" customWidth="1"/>
    <col min="26" max="26" width="13.140625" style="10" bestFit="1" customWidth="1"/>
    <col min="27" max="27" width="19.5703125" style="3" bestFit="1" customWidth="1"/>
    <col min="28" max="28" width="20.140625" style="3" bestFit="1" customWidth="1"/>
    <col min="29" max="29" width="23.28515625" style="13" bestFit="1" customWidth="1"/>
    <col min="30" max="30" width="28" style="11" bestFit="1" customWidth="1"/>
    <col min="31" max="31" width="18.7109375" style="13" bestFit="1" customWidth="1"/>
    <col min="32" max="32" width="29.7109375" style="11" bestFit="1" customWidth="1"/>
    <col min="33" max="33" width="30.7109375" style="13" bestFit="1" customWidth="1"/>
    <col min="34" max="34" width="20.85546875" style="11" bestFit="1" customWidth="1"/>
    <col min="35" max="35" width="34.7109375" style="12" bestFit="1" customWidth="1"/>
    <col min="36" max="36" width="35" style="12" bestFit="1" customWidth="1"/>
    <col min="37" max="37" width="24.42578125" style="3" bestFit="1" customWidth="1"/>
    <col min="38" max="38" width="21.140625" style="3" bestFit="1" customWidth="1"/>
    <col min="39" max="39" width="36.7109375" style="4" bestFit="1" customWidth="1"/>
    <col min="40" max="40" width="14" style="2" customWidth="1"/>
    <col min="41" max="41" width="13.5703125" style="3" bestFit="1" customWidth="1"/>
    <col min="42" max="42" width="11.28515625" style="3" bestFit="1" customWidth="1"/>
    <col min="43" max="43" width="11.28515625" style="3" customWidth="1"/>
    <col min="44" max="44" width="12" style="3" bestFit="1" customWidth="1"/>
    <col min="45" max="45" width="12" style="2" customWidth="1"/>
    <col min="46" max="46" width="18.5703125" style="3" bestFit="1" customWidth="1"/>
    <col min="47" max="47" width="21.5703125" style="3" bestFit="1" customWidth="1"/>
    <col min="48" max="48" width="16.28515625" style="3" bestFit="1" customWidth="1"/>
    <col min="49" max="49" width="19.28515625" style="4" bestFit="1" customWidth="1"/>
  </cols>
  <sheetData>
    <row r="1" spans="1:49" s="20" customFormat="1" ht="15.75" thickBot="1" x14ac:dyDescent="0.3">
      <c r="A1" s="21" t="s">
        <v>26</v>
      </c>
      <c r="B1" s="22"/>
      <c r="C1" s="22"/>
      <c r="D1" s="23"/>
      <c r="E1" s="21" t="s">
        <v>27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3"/>
      <c r="Z1" s="21" t="s">
        <v>28</v>
      </c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3"/>
      <c r="AN1" s="21" t="s">
        <v>32</v>
      </c>
      <c r="AO1" s="22"/>
      <c r="AP1" s="22"/>
      <c r="AQ1" s="22"/>
      <c r="AR1" s="23"/>
      <c r="AS1" s="21" t="s">
        <v>98</v>
      </c>
      <c r="AT1" s="22"/>
      <c r="AU1" s="22"/>
      <c r="AV1" s="22"/>
      <c r="AW1" s="23"/>
    </row>
    <row r="2" spans="1:49" x14ac:dyDescent="0.25">
      <c r="A2" s="2" t="s">
        <v>0</v>
      </c>
      <c r="B2" s="3" t="s">
        <v>1</v>
      </c>
      <c r="C2" s="4" t="s">
        <v>4</v>
      </c>
      <c r="D2" s="9" t="s">
        <v>93</v>
      </c>
      <c r="E2" s="2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23</v>
      </c>
      <c r="L2" s="3" t="s">
        <v>24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11" t="s">
        <v>16</v>
      </c>
      <c r="S2" s="12" t="s">
        <v>17</v>
      </c>
      <c r="T2" s="11" t="s">
        <v>18</v>
      </c>
      <c r="U2" s="12" t="s">
        <v>19</v>
      </c>
      <c r="V2" s="11" t="s">
        <v>20</v>
      </c>
      <c r="W2" s="3" t="s">
        <v>21</v>
      </c>
      <c r="X2" s="3" t="s">
        <v>22</v>
      </c>
      <c r="Y2" s="4" t="s">
        <v>48</v>
      </c>
      <c r="Z2" s="10" t="s">
        <v>29</v>
      </c>
      <c r="AA2" s="3" t="s">
        <v>83</v>
      </c>
      <c r="AB2" s="3" t="s">
        <v>84</v>
      </c>
      <c r="AC2" s="13" t="s">
        <v>87</v>
      </c>
      <c r="AD2" s="11" t="s">
        <v>86</v>
      </c>
      <c r="AE2" s="13" t="s">
        <v>85</v>
      </c>
      <c r="AF2" s="11" t="s">
        <v>88</v>
      </c>
      <c r="AG2" s="13" t="s">
        <v>89</v>
      </c>
      <c r="AH2" s="11" t="s">
        <v>90</v>
      </c>
      <c r="AI2" s="12" t="s">
        <v>91</v>
      </c>
      <c r="AJ2" s="12" t="s">
        <v>92</v>
      </c>
      <c r="AK2" s="3" t="s">
        <v>30</v>
      </c>
      <c r="AL2" s="3" t="s">
        <v>31</v>
      </c>
      <c r="AM2" s="4" t="s">
        <v>81</v>
      </c>
      <c r="AN2" s="2" t="s">
        <v>25</v>
      </c>
      <c r="AO2" s="3" t="s">
        <v>33</v>
      </c>
      <c r="AP2" s="3" t="s">
        <v>34</v>
      </c>
      <c r="AQ2" s="9" t="s">
        <v>80</v>
      </c>
      <c r="AR2" s="3" t="s">
        <v>35</v>
      </c>
      <c r="AS2" s="2" t="s">
        <v>36</v>
      </c>
      <c r="AT2" s="9" t="s">
        <v>94</v>
      </c>
      <c r="AU2" s="9" t="s">
        <v>96</v>
      </c>
      <c r="AV2" s="9" t="s">
        <v>95</v>
      </c>
      <c r="AW2" s="18" t="s">
        <v>97</v>
      </c>
    </row>
    <row r="3" spans="1:49" x14ac:dyDescent="0.25">
      <c r="A3" s="5">
        <f>'Celtics Game Data'!A2</f>
        <v>45224</v>
      </c>
      <c r="B3" s="5" t="str">
        <f>'Celtics Game Data'!B2</f>
        <v>New York Knicks</v>
      </c>
      <c r="C3" s="5" t="str">
        <f>'Celtics Game Data'!C2</f>
        <v>Away</v>
      </c>
      <c r="D3" s="5" t="b">
        <v>0</v>
      </c>
      <c r="E3" s="10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Y3" s="4">
        <f>'Celtics Game Data'!O2</f>
        <v>0</v>
      </c>
      <c r="AM3" s="4">
        <v>0</v>
      </c>
      <c r="AN3" s="2" t="b">
        <f>'Celtics Game Data'!D2</f>
        <v>1</v>
      </c>
      <c r="AO3" s="3">
        <f>'Celtics Game Data'!E2</f>
        <v>108</v>
      </c>
      <c r="AP3" s="3">
        <f>'Celtics Game Data'!F2</f>
        <v>104</v>
      </c>
      <c r="AQ3" s="3">
        <f t="shared" ref="AQ3:AQ34" si="0">AO3-AP3</f>
        <v>4</v>
      </c>
      <c r="AR3" s="3">
        <f t="shared" ref="AR3:AR34" si="1">SUM(AO3:AP3)</f>
        <v>212</v>
      </c>
      <c r="AS3" s="2">
        <v>223</v>
      </c>
      <c r="AT3" s="3">
        <v>-3.5</v>
      </c>
      <c r="AU3" s="3">
        <v>-112</v>
      </c>
      <c r="AV3" s="9">
        <v>3.5</v>
      </c>
      <c r="AW3" s="4">
        <v>-108</v>
      </c>
    </row>
    <row r="4" spans="1:49" x14ac:dyDescent="0.25">
      <c r="A4" s="5">
        <f>'Celtics Game Data'!A3</f>
        <v>45226</v>
      </c>
      <c r="B4" s="5" t="str">
        <f>'Celtics Game Data'!B3</f>
        <v>Miami Heat</v>
      </c>
      <c r="C4" s="5" t="str">
        <f>'Celtics Game Data'!C3</f>
        <v>Home</v>
      </c>
      <c r="D4" s="5" t="b">
        <v>0</v>
      </c>
      <c r="E4" s="10">
        <f>COUNTIF('Celtics Game Data'!$D$2:D2,TRUE)/(COUNTIF('Celtics Game Data'!$D$2:D2, TRUE) + COUNTIF('Celtics Game Data'!$D$2:D2, FALSE))</f>
        <v>1</v>
      </c>
      <c r="F4" s="11" t="str">
        <f>IFERROR(COUNTIF('Celtics Game Data'!$Q$2:Q2,2)/(COUNTIF('Celtics Game Data'!$Q$2:Q2, 2) + COUNTIF('Celtics Game Data'!$Q$2:Q2, 1)),"")</f>
        <v/>
      </c>
      <c r="G4" s="11">
        <f>IFERROR(COUNTIF('Celtics Game Data'!$R$2:R2,2)/(COUNTIF('Celtics Game Data'!$R$2:R2, 2) + COUNTIF('Celtics Game Data'!$R$2:R2, 1)),"")</f>
        <v>1</v>
      </c>
      <c r="H4" s="11"/>
      <c r="I4" s="11"/>
      <c r="J4" s="12">
        <f>AVERAGE('Celtics Game Data'!$E$2:E2)</f>
        <v>108</v>
      </c>
      <c r="K4" s="12"/>
      <c r="L4" s="12"/>
      <c r="M4" s="12">
        <f>AVERAGE('Celtics Game Data'!$M$2:M2)</f>
        <v>114.4</v>
      </c>
      <c r="N4" s="12"/>
      <c r="O4" s="12">
        <f>AVERAGE('Celtics Game Data'!$N$2:N2)</f>
        <v>110.1</v>
      </c>
      <c r="P4" s="12"/>
      <c r="Q4" s="12"/>
      <c r="W4" s="3">
        <v>1</v>
      </c>
      <c r="X4" s="3">
        <v>1</v>
      </c>
      <c r="Y4" s="4">
        <f>'Celtics Game Data'!O3</f>
        <v>0</v>
      </c>
      <c r="Z4" s="10">
        <f>1/(1+1-1)</f>
        <v>1</v>
      </c>
      <c r="AA4" s="3">
        <v>103</v>
      </c>
      <c r="AB4" s="3" t="b">
        <v>1</v>
      </c>
      <c r="AC4" s="13">
        <v>37</v>
      </c>
      <c r="AD4" s="11">
        <v>0.40200000000000002</v>
      </c>
      <c r="AE4" s="14">
        <v>8</v>
      </c>
      <c r="AF4" s="11">
        <v>0.36399999999999999</v>
      </c>
      <c r="AG4" s="14">
        <v>21</v>
      </c>
      <c r="AH4" s="11">
        <v>0.80799999999999994</v>
      </c>
      <c r="AI4" s="16">
        <v>110</v>
      </c>
      <c r="AJ4" s="16">
        <v>108.9</v>
      </c>
      <c r="AK4" s="3">
        <v>5</v>
      </c>
      <c r="AL4" s="3">
        <v>2</v>
      </c>
      <c r="AM4" s="4">
        <v>2</v>
      </c>
      <c r="AN4" s="2" t="b">
        <f>'Celtics Game Data'!D3</f>
        <v>1</v>
      </c>
      <c r="AO4" s="3">
        <f>'Celtics Game Data'!E3</f>
        <v>119</v>
      </c>
      <c r="AP4" s="3">
        <f>'Celtics Game Data'!F3</f>
        <v>111</v>
      </c>
      <c r="AQ4" s="3">
        <f t="shared" si="0"/>
        <v>8</v>
      </c>
      <c r="AR4" s="3">
        <f t="shared" si="1"/>
        <v>230</v>
      </c>
      <c r="AS4" s="2">
        <v>217.5</v>
      </c>
      <c r="AT4" s="3">
        <v>-8.5</v>
      </c>
      <c r="AU4" s="3">
        <v>-110</v>
      </c>
      <c r="AV4" s="9">
        <v>8.5</v>
      </c>
      <c r="AW4" s="4">
        <v>-110</v>
      </c>
    </row>
    <row r="5" spans="1:49" x14ac:dyDescent="0.25">
      <c r="A5" s="5">
        <f>'Celtics Game Data'!A4</f>
        <v>45229</v>
      </c>
      <c r="B5" s="5" t="str">
        <f>'Celtics Game Data'!B4</f>
        <v>Washington Wizards</v>
      </c>
      <c r="C5" s="5" t="str">
        <f>'Celtics Game Data'!C4</f>
        <v>Away</v>
      </c>
      <c r="D5" s="5" t="b">
        <v>0</v>
      </c>
      <c r="E5" s="10">
        <f>COUNTIF('Celtics Game Data'!$D$2:D3,TRUE)/(COUNTIF('Celtics Game Data'!$D$2:D3, TRUE) + COUNTIF('Celtics Game Data'!$D$2:D3, FALSE))</f>
        <v>1</v>
      </c>
      <c r="F5" s="11">
        <f>IFERROR(COUNTIF('Celtics Game Data'!$Q$2:Q3,2)/(COUNTIF('Celtics Game Data'!$Q$2:Q3, 2) + COUNTIF('Celtics Game Data'!$Q$2:Q3, 1)),"")</f>
        <v>1</v>
      </c>
      <c r="G5" s="11">
        <f>IFERROR(COUNTIF('Celtics Game Data'!$R$2:R3,2)/(COUNTIF('Celtics Game Data'!$R$2:R3, 2) + COUNTIF('Celtics Game Data'!$R$2:R3, 1)),"")</f>
        <v>1</v>
      </c>
      <c r="H5" s="11"/>
      <c r="I5" s="11"/>
      <c r="J5" s="12">
        <f>AVERAGE('Celtics Game Data'!$E$2:E3)</f>
        <v>113.5</v>
      </c>
      <c r="K5" s="12"/>
      <c r="L5" s="12"/>
      <c r="M5" s="12">
        <f>AVERAGE('Celtics Game Data'!$M$2:M3)</f>
        <v>117.1</v>
      </c>
      <c r="N5" s="12"/>
      <c r="O5" s="12">
        <f>AVERAGE('Celtics Game Data'!$N$2:N3)</f>
        <v>110.9</v>
      </c>
      <c r="P5" s="12"/>
      <c r="Q5" s="12"/>
      <c r="W5" s="3">
        <v>1</v>
      </c>
      <c r="X5" s="3">
        <v>1</v>
      </c>
      <c r="Y5" s="4">
        <f>'Celtics Game Data'!O4</f>
        <v>0</v>
      </c>
      <c r="Z5" s="10">
        <f>1/(1+1)</f>
        <v>0.5</v>
      </c>
      <c r="AA5" s="3">
        <v>113</v>
      </c>
      <c r="AB5" s="3" t="b">
        <v>1</v>
      </c>
      <c r="AC5" s="13">
        <v>40</v>
      </c>
      <c r="AD5" s="11">
        <v>0.43</v>
      </c>
      <c r="AE5" s="14">
        <v>16</v>
      </c>
      <c r="AF5" s="11">
        <v>0.34799999999999998</v>
      </c>
      <c r="AG5" s="14">
        <v>17</v>
      </c>
      <c r="AH5" s="11">
        <v>0.77300000000000002</v>
      </c>
      <c r="AI5" s="16">
        <v>111.6</v>
      </c>
      <c r="AJ5" s="16">
        <v>104.7</v>
      </c>
      <c r="AK5" s="9">
        <v>8</v>
      </c>
      <c r="AL5" s="3">
        <v>3</v>
      </c>
      <c r="AM5" s="4">
        <v>1</v>
      </c>
      <c r="AN5" s="2" t="b">
        <f>'Celtics Game Data'!D4</f>
        <v>1</v>
      </c>
      <c r="AO5" s="3">
        <f>'Celtics Game Data'!E4</f>
        <v>126</v>
      </c>
      <c r="AP5" s="3">
        <f>'Celtics Game Data'!F4</f>
        <v>107</v>
      </c>
      <c r="AQ5" s="3">
        <f t="shared" si="0"/>
        <v>19</v>
      </c>
      <c r="AR5" s="3">
        <f t="shared" si="1"/>
        <v>233</v>
      </c>
      <c r="AS5" s="2">
        <v>231.5</v>
      </c>
      <c r="AT5" s="3">
        <v>-10.5</v>
      </c>
      <c r="AU5" s="3">
        <v>-115</v>
      </c>
      <c r="AV5" s="9">
        <v>10.5</v>
      </c>
      <c r="AW5" s="4">
        <v>-105</v>
      </c>
    </row>
    <row r="6" spans="1:49" x14ac:dyDescent="0.25">
      <c r="A6" s="5">
        <f>'Celtics Game Data'!A5</f>
        <v>45231</v>
      </c>
      <c r="B6" s="5" t="str">
        <f>'Celtics Game Data'!B5</f>
        <v>Indiana Pacers</v>
      </c>
      <c r="C6" s="5" t="str">
        <f>'Celtics Game Data'!C5</f>
        <v>Home</v>
      </c>
      <c r="D6" s="5" t="b">
        <v>0</v>
      </c>
      <c r="E6" s="10">
        <f>COUNTIF('Celtics Game Data'!$D$2:D4,TRUE)/(COUNTIF('Celtics Game Data'!$D$2:D4, TRUE) + COUNTIF('Celtics Game Data'!$D$2:D4, FALSE))</f>
        <v>1</v>
      </c>
      <c r="F6" s="11">
        <f>IFERROR(COUNTIF('Celtics Game Data'!$Q$2:Q4,2)/(COUNTIF('Celtics Game Data'!$Q$2:Q4, 2) + COUNTIF('Celtics Game Data'!$Q$2:Q4, 1)),"")</f>
        <v>1</v>
      </c>
      <c r="G6" s="11">
        <f>IFERROR(COUNTIF('Celtics Game Data'!$R$2:R4,2)/(COUNTIF('Celtics Game Data'!$R$2:R4, 2) + COUNTIF('Celtics Game Data'!$R$2:R4, 1)),"")</f>
        <v>1</v>
      </c>
      <c r="H6" s="11"/>
      <c r="I6" s="11"/>
      <c r="J6" s="12">
        <f>AVERAGE('Celtics Game Data'!$E$2:E4)</f>
        <v>117.66666666666667</v>
      </c>
      <c r="K6" s="12"/>
      <c r="L6" s="12"/>
      <c r="M6" s="12">
        <f>AVERAGE('Celtics Game Data'!$M$2:M4)</f>
        <v>119.33333333333333</v>
      </c>
      <c r="N6" s="12"/>
      <c r="O6" s="12">
        <f>AVERAGE('Celtics Game Data'!$N$2:N4)</f>
        <v>108.96666666666665</v>
      </c>
      <c r="P6" s="12"/>
      <c r="Q6" s="12"/>
      <c r="W6" s="3">
        <v>1</v>
      </c>
      <c r="X6" s="3">
        <v>1</v>
      </c>
      <c r="Y6" s="4">
        <f>'Celtics Game Data'!O5</f>
        <v>0</v>
      </c>
      <c r="Z6" s="10">
        <f>2/3</f>
        <v>0.66666666666666663</v>
      </c>
      <c r="AA6" s="3">
        <v>105</v>
      </c>
      <c r="AB6" s="3" t="b">
        <v>0</v>
      </c>
      <c r="AC6" s="13">
        <v>36</v>
      </c>
      <c r="AD6" s="11">
        <v>0.40899999999999997</v>
      </c>
      <c r="AE6" s="14">
        <v>12</v>
      </c>
      <c r="AF6" s="11">
        <v>0.26100000000000001</v>
      </c>
      <c r="AG6" s="14">
        <v>21</v>
      </c>
      <c r="AH6" s="11">
        <v>0.84</v>
      </c>
      <c r="AI6" s="16">
        <v>100</v>
      </c>
      <c r="AJ6" s="16">
        <v>103.5</v>
      </c>
      <c r="AK6" s="3">
        <v>2</v>
      </c>
      <c r="AL6" s="3">
        <v>1</v>
      </c>
      <c r="AM6" s="4">
        <v>4</v>
      </c>
      <c r="AN6" s="2" t="b">
        <f>'Celtics Game Data'!D5</f>
        <v>1</v>
      </c>
      <c r="AO6" s="3">
        <f>'Celtics Game Data'!E5</f>
        <v>155</v>
      </c>
      <c r="AP6" s="3">
        <f>'Celtics Game Data'!F5</f>
        <v>104</v>
      </c>
      <c r="AQ6" s="3">
        <f t="shared" si="0"/>
        <v>51</v>
      </c>
      <c r="AR6" s="3">
        <f t="shared" si="1"/>
        <v>259</v>
      </c>
      <c r="AS6" s="19">
        <v>233.5</v>
      </c>
      <c r="AT6" s="9">
        <v>-11.5</v>
      </c>
      <c r="AU6" s="9">
        <v>-110</v>
      </c>
      <c r="AV6" s="9">
        <v>11.5</v>
      </c>
      <c r="AW6" s="4">
        <v>-110</v>
      </c>
    </row>
    <row r="7" spans="1:49" x14ac:dyDescent="0.25">
      <c r="A7" s="5">
        <f>'Celtics Game Data'!A6</f>
        <v>45234</v>
      </c>
      <c r="B7" s="5" t="str">
        <f>'Celtics Game Data'!B6</f>
        <v>Brooklyn Nets</v>
      </c>
      <c r="C7" s="5" t="str">
        <f>'Celtics Game Data'!C6</f>
        <v>Away</v>
      </c>
      <c r="D7" s="5" t="b">
        <v>0</v>
      </c>
      <c r="E7" s="10">
        <f>COUNTIF('Celtics Game Data'!$D$2:D5,TRUE)/(COUNTIF('Celtics Game Data'!$D$2:D5, TRUE) + COUNTIF('Celtics Game Data'!$D$2:D5, FALSE))</f>
        <v>1</v>
      </c>
      <c r="F7" s="11">
        <f>IFERROR(COUNTIF('Celtics Game Data'!$Q$2:Q5,2)/(COUNTIF('Celtics Game Data'!$Q$2:Q5, 2) + COUNTIF('Celtics Game Data'!$Q$2:Q5, 1)),"")</f>
        <v>1</v>
      </c>
      <c r="G7" s="11">
        <f>IFERROR(COUNTIF('Celtics Game Data'!$R$2:R5,2)/(COUNTIF('Celtics Game Data'!$R$2:R5, 2) + COUNTIF('Celtics Game Data'!$R$2:R5, 1)),"")</f>
        <v>1</v>
      </c>
      <c r="H7" s="11"/>
      <c r="I7" s="11"/>
      <c r="J7" s="12">
        <f>AVERAGE('Celtics Game Data'!$E$2:E5)</f>
        <v>127</v>
      </c>
      <c r="K7" s="12"/>
      <c r="L7" s="12"/>
      <c r="M7" s="12">
        <f>AVERAGE('Celtics Game Data'!$M$2:M5)</f>
        <v>126.575</v>
      </c>
      <c r="N7" s="12"/>
      <c r="O7" s="12">
        <f>AVERAGE('Celtics Game Data'!$N$2:N5)</f>
        <v>106.6</v>
      </c>
      <c r="P7" s="12"/>
      <c r="Q7" s="12"/>
      <c r="W7" s="9">
        <v>1</v>
      </c>
      <c r="X7" s="9">
        <v>1</v>
      </c>
      <c r="Y7" s="4">
        <f>'Celtics Game Data'!O6</f>
        <v>2</v>
      </c>
      <c r="Z7" s="10">
        <f>3/5</f>
        <v>0.6</v>
      </c>
      <c r="AA7" s="9">
        <v>109</v>
      </c>
      <c r="AB7" s="9" t="b">
        <v>1</v>
      </c>
      <c r="AC7" s="14">
        <v>44</v>
      </c>
      <c r="AD7" s="11">
        <v>0.45799999999999996</v>
      </c>
      <c r="AE7" s="14">
        <v>18</v>
      </c>
      <c r="AF7" s="11">
        <v>0.4</v>
      </c>
      <c r="AG7" s="14">
        <v>3</v>
      </c>
      <c r="AH7" s="11">
        <v>0.6</v>
      </c>
      <c r="AI7" s="16">
        <v>100</v>
      </c>
      <c r="AJ7" s="16">
        <v>115.5</v>
      </c>
      <c r="AK7" s="9">
        <v>4</v>
      </c>
      <c r="AL7" s="9">
        <v>3</v>
      </c>
      <c r="AM7" s="4">
        <v>5</v>
      </c>
      <c r="AN7" s="2" t="b">
        <f>'Celtics Game Data'!D6</f>
        <v>1</v>
      </c>
      <c r="AO7" s="3">
        <f>'Celtics Game Data'!E6</f>
        <v>124</v>
      </c>
      <c r="AP7" s="3">
        <f>'Celtics Game Data'!F6</f>
        <v>114</v>
      </c>
      <c r="AQ7" s="3">
        <f t="shared" si="0"/>
        <v>10</v>
      </c>
      <c r="AR7" s="3">
        <f t="shared" si="1"/>
        <v>238</v>
      </c>
      <c r="AS7" s="19">
        <v>227.5</v>
      </c>
      <c r="AT7" s="9">
        <v>-9.5</v>
      </c>
      <c r="AU7" s="9">
        <v>-110</v>
      </c>
      <c r="AV7" s="9">
        <v>9.5</v>
      </c>
      <c r="AW7" s="4">
        <v>-110</v>
      </c>
    </row>
    <row r="8" spans="1:49" x14ac:dyDescent="0.25">
      <c r="A8" s="5">
        <v>45236</v>
      </c>
      <c r="B8" s="5" t="str">
        <f>'Celtics Game Data'!B7</f>
        <v>Minnesota Timberwolves</v>
      </c>
      <c r="C8" s="5" t="str">
        <f>'Celtics Game Data'!C7</f>
        <v>Away</v>
      </c>
      <c r="D8" s="5" t="b">
        <v>0</v>
      </c>
      <c r="E8" s="10">
        <f>COUNTIF('Celtics Game Data'!$D$2:D6,TRUE)/(COUNTIF('Celtics Game Data'!$D$2:D6, TRUE) + COUNTIF('Celtics Game Data'!$D$2:D6, FALSE))</f>
        <v>1</v>
      </c>
      <c r="F8" s="11">
        <f>IFERROR(COUNTIF('Celtics Game Data'!$Q$2:Q6,2)/(COUNTIF('Celtics Game Data'!$Q$2:Q6, 2) + COUNTIF('Celtics Game Data'!$Q$2:Q6, 1)),"")</f>
        <v>1</v>
      </c>
      <c r="G8" s="11">
        <f>IFERROR(COUNTIF('Celtics Game Data'!$R$2:R6,2)/(COUNTIF('Celtics Game Data'!$R$2:R6, 2) + COUNTIF('Celtics Game Data'!$R$2:R6, 1)),"")</f>
        <v>1</v>
      </c>
      <c r="H8" s="11">
        <f>COUNTIF('Celtics Game Data'!D2:D6,TRUE)/(COUNTIF('Celtics Game Data'!D2:D6, TRUE) + COUNTIF('Celtics Game Data'!D2:D6, FALSE))</f>
        <v>1</v>
      </c>
      <c r="I8" s="11"/>
      <c r="J8" s="12">
        <f>AVERAGE('Celtics Game Data'!$E$2:E6)</f>
        <v>126.4</v>
      </c>
      <c r="K8" s="12">
        <f>AVERAGE('Celtics Game Data'!E2:E6)</f>
        <v>126.4</v>
      </c>
      <c r="L8" s="12"/>
      <c r="M8" s="12">
        <f>AVERAGE('Celtics Game Data'!$M$2:M6)</f>
        <v>126.14000000000001</v>
      </c>
      <c r="N8" s="12"/>
      <c r="O8" s="12">
        <f>AVERAGE('Celtics Game Data'!$N$2:N6)</f>
        <v>108.13999999999999</v>
      </c>
      <c r="P8" s="12"/>
      <c r="Q8" s="12"/>
      <c r="W8" s="9">
        <v>1</v>
      </c>
      <c r="X8" s="9">
        <v>1</v>
      </c>
      <c r="Y8" s="4">
        <f>'Celtics Game Data'!O7</f>
        <v>2</v>
      </c>
      <c r="Z8" s="10">
        <f>3/5</f>
        <v>0.6</v>
      </c>
      <c r="AA8" s="9">
        <v>123</v>
      </c>
      <c r="AB8" s="9" t="b">
        <v>1</v>
      </c>
      <c r="AC8" s="14">
        <v>45</v>
      </c>
      <c r="AD8" s="11">
        <v>0.55600000000000005</v>
      </c>
      <c r="AE8" s="14">
        <v>9</v>
      </c>
      <c r="AF8" s="11">
        <v>0.375</v>
      </c>
      <c r="AG8" s="14">
        <v>24</v>
      </c>
      <c r="AH8" s="11">
        <v>0.77400000000000002</v>
      </c>
      <c r="AI8" s="16">
        <v>100</v>
      </c>
      <c r="AJ8" s="16">
        <v>130.80000000000001</v>
      </c>
      <c r="AK8" s="9">
        <v>6</v>
      </c>
      <c r="AL8" s="9">
        <v>2</v>
      </c>
      <c r="AM8" s="4">
        <v>0</v>
      </c>
      <c r="AN8" s="2" t="b">
        <f>'Celtics Game Data'!D7</f>
        <v>0</v>
      </c>
      <c r="AO8" s="3">
        <f>'Celtics Game Data'!E7</f>
        <v>109</v>
      </c>
      <c r="AP8" s="3">
        <f>'Celtics Game Data'!F7</f>
        <v>114</v>
      </c>
      <c r="AQ8" s="3">
        <f t="shared" si="0"/>
        <v>-5</v>
      </c>
      <c r="AR8" s="3">
        <f t="shared" si="1"/>
        <v>223</v>
      </c>
      <c r="AS8" s="19">
        <v>222</v>
      </c>
      <c r="AT8" s="9">
        <v>-3.5</v>
      </c>
      <c r="AU8" s="9">
        <v>-110</v>
      </c>
      <c r="AV8" s="9">
        <v>3</v>
      </c>
      <c r="AW8" s="4">
        <v>-110</v>
      </c>
    </row>
    <row r="9" spans="1:49" x14ac:dyDescent="0.25">
      <c r="A9" s="5">
        <f>'Celtics Game Data'!A8</f>
        <v>45238</v>
      </c>
      <c r="B9" s="5" t="str">
        <f>'Celtics Game Data'!B8</f>
        <v>Philadelphia 76ers</v>
      </c>
      <c r="C9" s="5" t="str">
        <f>'Celtics Game Data'!C8</f>
        <v>Away</v>
      </c>
      <c r="D9" s="5" t="b">
        <v>0</v>
      </c>
      <c r="E9" s="10">
        <f>COUNTIF('Celtics Game Data'!$D$2:D7,TRUE)/(COUNTIF('Celtics Game Data'!$D$2:D7, TRUE) + COUNTIF('Celtics Game Data'!$D$2:D7, FALSE))</f>
        <v>0.83333333333333337</v>
      </c>
      <c r="F9" s="11">
        <f>IFERROR(COUNTIF('Celtics Game Data'!$Q$2:Q7,2)/(COUNTIF('Celtics Game Data'!$Q$2:Q7, 2) + COUNTIF('Celtics Game Data'!$Q$2:Q7, 1)),"")</f>
        <v>1</v>
      </c>
      <c r="G9" s="11">
        <f>IFERROR(COUNTIF('Celtics Game Data'!$R$2:R7,2)/(COUNTIF('Celtics Game Data'!$R$2:R7, 2) + COUNTIF('Celtics Game Data'!$R$2:R7, 1)),"")</f>
        <v>0.75</v>
      </c>
      <c r="H9" s="11">
        <f>COUNTIF('Celtics Game Data'!D3:D7,TRUE)/(COUNTIF('Celtics Game Data'!D3:D7, TRUE) + COUNTIF('Celtics Game Data'!D3:D7, FALSE))</f>
        <v>0.8</v>
      </c>
      <c r="I9" s="11"/>
      <c r="J9" s="12">
        <f>AVERAGE('Celtics Game Data'!$E$2:E7)</f>
        <v>123.5</v>
      </c>
      <c r="K9" s="12">
        <f>AVERAGE('Celtics Game Data'!E3:E7)</f>
        <v>126.6</v>
      </c>
      <c r="L9" s="12"/>
      <c r="M9" s="12">
        <f>AVERAGE('Celtics Game Data'!$M$2:M7)</f>
        <v>121.65000000000002</v>
      </c>
      <c r="N9" s="12"/>
      <c r="O9" s="12">
        <f>AVERAGE('Celtics Game Data'!$N$2:N7)</f>
        <v>107.39999999999999</v>
      </c>
      <c r="P9" s="12"/>
      <c r="Q9" s="12"/>
      <c r="W9" s="9">
        <v>1</v>
      </c>
      <c r="X9" s="9">
        <v>1</v>
      </c>
      <c r="Y9" s="4">
        <f>'Celtics Game Data'!O8</f>
        <v>0</v>
      </c>
      <c r="Z9" s="10">
        <f>5/6</f>
        <v>0.83333333333333337</v>
      </c>
      <c r="AA9" s="9">
        <v>146</v>
      </c>
      <c r="AB9" s="9" t="b">
        <v>1</v>
      </c>
      <c r="AC9" s="14">
        <v>41</v>
      </c>
      <c r="AD9" s="11">
        <v>0.46</v>
      </c>
      <c r="AE9" s="14">
        <v>12</v>
      </c>
      <c r="AF9" s="11">
        <v>0.38700000000000001</v>
      </c>
      <c r="AG9" s="14">
        <v>32</v>
      </c>
      <c r="AH9" s="11">
        <v>0.88900000000000001</v>
      </c>
      <c r="AI9" s="16">
        <v>132.1</v>
      </c>
      <c r="AJ9" s="16">
        <v>115.9</v>
      </c>
      <c r="AK9" s="9">
        <v>2</v>
      </c>
      <c r="AL9" s="9">
        <v>2</v>
      </c>
      <c r="AM9" s="4">
        <v>1</v>
      </c>
      <c r="AN9" s="2" t="b">
        <f>'Celtics Game Data'!D8</f>
        <v>0</v>
      </c>
      <c r="AO9" s="3">
        <f>'Celtics Game Data'!E8</f>
        <v>103</v>
      </c>
      <c r="AP9" s="3">
        <f>'Celtics Game Data'!F8</f>
        <v>106</v>
      </c>
      <c r="AQ9" s="3">
        <f t="shared" si="0"/>
        <v>-3</v>
      </c>
      <c r="AR9" s="3">
        <f t="shared" si="1"/>
        <v>209</v>
      </c>
      <c r="AS9" s="19">
        <v>229.5</v>
      </c>
      <c r="AT9" s="9">
        <v>-1.5</v>
      </c>
      <c r="AU9" s="9">
        <v>-108</v>
      </c>
      <c r="AV9" s="9">
        <v>1.5</v>
      </c>
      <c r="AW9" s="4">
        <v>-112</v>
      </c>
    </row>
    <row r="10" spans="1:49" x14ac:dyDescent="0.25">
      <c r="A10" s="5">
        <f>'Celtics Game Data'!A9</f>
        <v>45240</v>
      </c>
      <c r="B10" s="5" t="str">
        <f>'Celtics Game Data'!B9</f>
        <v>Brooklyn Nets</v>
      </c>
      <c r="C10" s="5" t="str">
        <f>'Celtics Game Data'!C9</f>
        <v>Home</v>
      </c>
      <c r="D10" s="5" t="b">
        <v>1</v>
      </c>
      <c r="E10" s="10">
        <f>COUNTIF('Celtics Game Data'!$D$2:D8,TRUE)/(COUNTIF('Celtics Game Data'!$D$2:D8, TRUE) + COUNTIF('Celtics Game Data'!$D$2:D8, FALSE))</f>
        <v>0.7142857142857143</v>
      </c>
      <c r="F10" s="11">
        <f>IFERROR(COUNTIF('Celtics Game Data'!$Q$2:Q8,2)/(COUNTIF('Celtics Game Data'!$Q$2:Q8, 2) + COUNTIF('Celtics Game Data'!$Q$2:Q8, 1)),"")</f>
        <v>1</v>
      </c>
      <c r="G10" s="11">
        <f>IFERROR(COUNTIF('Celtics Game Data'!$R$2:R8,2)/(COUNTIF('Celtics Game Data'!$R$2:R8, 2) + COUNTIF('Celtics Game Data'!$R$2:R8, 1)),"")</f>
        <v>0.6</v>
      </c>
      <c r="H10" s="11">
        <f>COUNTIF('Celtics Game Data'!D4:D8,TRUE)/(COUNTIF('Celtics Game Data'!D4:D8, TRUE) + COUNTIF('Celtics Game Data'!D4:D8, FALSE))</f>
        <v>0.6</v>
      </c>
      <c r="I10" s="11"/>
      <c r="J10" s="12">
        <f>AVERAGE('Celtics Game Data'!$E$2:E8)</f>
        <v>120.57142857142857</v>
      </c>
      <c r="K10" s="12">
        <f>AVERAGE('Celtics Game Data'!E4:E8)</f>
        <v>123.4</v>
      </c>
      <c r="L10" s="12"/>
      <c r="M10" s="12">
        <f>AVERAGE('Celtics Game Data'!$M$2:M8)</f>
        <v>119.07142857142858</v>
      </c>
      <c r="N10" s="12"/>
      <c r="O10" s="12">
        <f>AVERAGE('Celtics Game Data'!$N$2:N8)</f>
        <v>107.28571428571429</v>
      </c>
      <c r="P10" s="12"/>
      <c r="Q10" s="12"/>
      <c r="W10" s="9">
        <v>2</v>
      </c>
      <c r="X10" s="9">
        <v>2</v>
      </c>
      <c r="Y10" s="4">
        <f>'Celtics Game Data'!O9</f>
        <v>0</v>
      </c>
      <c r="Z10" s="10">
        <f>4/8</f>
        <v>0.5</v>
      </c>
      <c r="AA10" s="9">
        <v>100</v>
      </c>
      <c r="AB10" s="9" t="b">
        <v>1</v>
      </c>
      <c r="AC10" s="14">
        <v>37</v>
      </c>
      <c r="AD10" s="11">
        <v>0.40200000000000002</v>
      </c>
      <c r="AE10" s="14">
        <v>15</v>
      </c>
      <c r="AF10" s="11">
        <v>0.36599999999999999</v>
      </c>
      <c r="AG10" s="14">
        <v>11</v>
      </c>
      <c r="AH10" s="11">
        <v>0.84599999999999997</v>
      </c>
      <c r="AI10" s="16">
        <v>103.6</v>
      </c>
      <c r="AJ10" s="16">
        <v>96.3</v>
      </c>
      <c r="AK10" s="9">
        <v>6</v>
      </c>
      <c r="AL10" s="9">
        <v>3</v>
      </c>
      <c r="AM10" s="4">
        <v>9</v>
      </c>
      <c r="AN10" s="2" t="b">
        <f>'Celtics Game Data'!D9</f>
        <v>1</v>
      </c>
      <c r="AO10" s="3">
        <f>'Celtics Game Data'!E9</f>
        <v>121</v>
      </c>
      <c r="AP10" s="3">
        <f>'Celtics Game Data'!F9</f>
        <v>107</v>
      </c>
      <c r="AQ10" s="3">
        <f t="shared" si="0"/>
        <v>14</v>
      </c>
      <c r="AR10" s="3">
        <f t="shared" si="1"/>
        <v>228</v>
      </c>
      <c r="AS10" s="19">
        <v>229</v>
      </c>
      <c r="AT10" s="9">
        <v>-10.5</v>
      </c>
      <c r="AU10" s="9">
        <v>-110</v>
      </c>
      <c r="AV10" s="9">
        <v>10.5</v>
      </c>
      <c r="AW10" s="4">
        <v>-110</v>
      </c>
    </row>
    <row r="11" spans="1:49" x14ac:dyDescent="0.25">
      <c r="A11" s="5">
        <f>'Celtics Game Data'!A10</f>
        <v>45241</v>
      </c>
      <c r="B11" s="5" t="str">
        <f>'Celtics Game Data'!B10</f>
        <v>Toronto Raptors</v>
      </c>
      <c r="C11" s="5" t="str">
        <f>'Celtics Game Data'!C10</f>
        <v>Home</v>
      </c>
      <c r="D11" s="5" t="b">
        <v>0</v>
      </c>
      <c r="E11" s="10">
        <f>COUNTIF('Celtics Game Data'!$D$2:D9,TRUE)/(COUNTIF('Celtics Game Data'!$D$2:D9, TRUE) + COUNTIF('Celtics Game Data'!$D$2:D9, FALSE))</f>
        <v>0.75</v>
      </c>
      <c r="F11" s="11">
        <f>IFERROR(COUNTIF('Celtics Game Data'!$Q$2:Q9,2)/(COUNTIF('Celtics Game Data'!$Q$2:Q9, 2) + COUNTIF('Celtics Game Data'!$Q$2:Q9, 1)),"")</f>
        <v>1</v>
      </c>
      <c r="G11" s="11">
        <f>IFERROR(COUNTIF('Celtics Game Data'!$R$2:R9,2)/(COUNTIF('Celtics Game Data'!$R$2:R9, 2) + COUNTIF('Celtics Game Data'!$R$2:R9, 1)),"")</f>
        <v>0.6</v>
      </c>
      <c r="H11" s="11">
        <f>COUNTIF('Celtics Game Data'!D5:D9,TRUE)/(COUNTIF('Celtics Game Data'!D5:D9, TRUE) + COUNTIF('Celtics Game Data'!D5:D9, FALSE))</f>
        <v>0.6</v>
      </c>
      <c r="I11" s="11"/>
      <c r="J11" s="12">
        <f>AVERAGE('Celtics Game Data'!$E$2:E9)</f>
        <v>120.625</v>
      </c>
      <c r="K11" s="12">
        <f>AVERAGE('Celtics Game Data'!E5:E9)</f>
        <v>122.4</v>
      </c>
      <c r="L11" s="12"/>
      <c r="M11" s="12">
        <f>AVERAGE('Celtics Game Data'!$M$2:M9)</f>
        <v>120.42500000000001</v>
      </c>
      <c r="N11" s="12"/>
      <c r="O11" s="12">
        <f>AVERAGE('Celtics Game Data'!$N$2:N9)</f>
        <v>108.2375</v>
      </c>
      <c r="P11" s="12"/>
      <c r="Q11" s="12"/>
      <c r="W11" s="9">
        <v>2</v>
      </c>
      <c r="X11" s="9">
        <v>2</v>
      </c>
      <c r="Y11" s="4">
        <f>'Celtics Game Data'!O10</f>
        <v>0</v>
      </c>
      <c r="Z11" s="10">
        <f>4/8</f>
        <v>0.5</v>
      </c>
      <c r="AA11" s="9">
        <v>127</v>
      </c>
      <c r="AB11" s="9" t="b">
        <v>1</v>
      </c>
      <c r="AC11" s="14">
        <v>49</v>
      </c>
      <c r="AD11" s="11">
        <v>0.495</v>
      </c>
      <c r="AE11" s="14">
        <v>11</v>
      </c>
      <c r="AF11" s="11">
        <v>0.30599999999999999</v>
      </c>
      <c r="AG11" s="14">
        <v>18</v>
      </c>
      <c r="AH11" s="11">
        <v>0.66700000000000004</v>
      </c>
      <c r="AI11" s="16">
        <v>122</v>
      </c>
      <c r="AJ11" s="16">
        <v>111.4</v>
      </c>
      <c r="AK11" s="3">
        <v>11</v>
      </c>
      <c r="AL11" s="3">
        <v>4</v>
      </c>
      <c r="AM11" s="4">
        <v>6</v>
      </c>
      <c r="AN11" s="2" t="b">
        <f>'Celtics Game Data'!D10</f>
        <v>1</v>
      </c>
      <c r="AO11" s="3">
        <f>'Celtics Game Data'!E10</f>
        <v>117</v>
      </c>
      <c r="AP11" s="3">
        <f>'Celtics Game Data'!F10</f>
        <v>94</v>
      </c>
      <c r="AQ11" s="3">
        <f t="shared" si="0"/>
        <v>23</v>
      </c>
      <c r="AR11" s="3">
        <f t="shared" si="1"/>
        <v>211</v>
      </c>
      <c r="AS11" s="19">
        <v>223</v>
      </c>
      <c r="AT11" s="9">
        <v>-8.5</v>
      </c>
      <c r="AU11" s="9">
        <v>-105</v>
      </c>
      <c r="AV11" s="9">
        <v>8.5</v>
      </c>
      <c r="AW11" s="4">
        <v>-115</v>
      </c>
    </row>
    <row r="12" spans="1:49" x14ac:dyDescent="0.25">
      <c r="A12" s="5">
        <f>'Celtics Game Data'!A11</f>
        <v>45243</v>
      </c>
      <c r="B12" s="5" t="str">
        <f>'Celtics Game Data'!B11</f>
        <v>New York Knicks</v>
      </c>
      <c r="C12" s="5" t="str">
        <f>'Celtics Game Data'!C11</f>
        <v>Home</v>
      </c>
      <c r="D12" s="5" t="b">
        <v>0</v>
      </c>
      <c r="E12" s="10">
        <f>COUNTIF('Celtics Game Data'!$D$2:D10,TRUE)/(COUNTIF('Celtics Game Data'!$D$2:D10, TRUE) + COUNTIF('Celtics Game Data'!$D$2:D10, FALSE))</f>
        <v>0.77777777777777779</v>
      </c>
      <c r="F12" s="11">
        <f>IFERROR(COUNTIF('Celtics Game Data'!$Q$2:Q10,2)/(COUNTIF('Celtics Game Data'!$Q$2:Q10, 2) + COUNTIF('Celtics Game Data'!$Q$2:Q10, 1)),"")</f>
        <v>1</v>
      </c>
      <c r="G12" s="11">
        <f>IFERROR(COUNTIF('Celtics Game Data'!$R$2:R10,2)/(COUNTIF('Celtics Game Data'!$R$2:R10, 2) + COUNTIF('Celtics Game Data'!$R$2:R10, 1)),"")</f>
        <v>0.6</v>
      </c>
      <c r="H12" s="11">
        <f>COUNTIF('Celtics Game Data'!D6:D10,TRUE)/(COUNTIF('Celtics Game Data'!D6:D10, TRUE) + COUNTIF('Celtics Game Data'!D6:D10, FALSE))</f>
        <v>0.6</v>
      </c>
      <c r="I12" s="11"/>
      <c r="J12" s="12">
        <f>AVERAGE('Celtics Game Data'!$E$2:E10)</f>
        <v>120.22222222222223</v>
      </c>
      <c r="K12" s="12">
        <f>AVERAGE('Celtics Game Data'!E6:E10)</f>
        <v>114.8</v>
      </c>
      <c r="L12" s="12"/>
      <c r="M12" s="12">
        <f>AVERAGE('Celtics Game Data'!$M$2:M10)</f>
        <v>120.45555555555558</v>
      </c>
      <c r="N12" s="12"/>
      <c r="O12" s="12">
        <f>AVERAGE('Celtics Game Data'!$N$2:N10)</f>
        <v>106.32222222222222</v>
      </c>
      <c r="P12" s="12"/>
      <c r="Q12" s="12"/>
      <c r="W12" s="9">
        <v>2</v>
      </c>
      <c r="X12" s="9">
        <v>2</v>
      </c>
      <c r="Y12" s="4">
        <f>'Celtics Game Data'!O11</f>
        <v>0</v>
      </c>
      <c r="Z12" s="10">
        <f>5/9</f>
        <v>0.55555555555555558</v>
      </c>
      <c r="AA12" s="9">
        <v>129</v>
      </c>
      <c r="AB12" s="9" t="b">
        <v>1</v>
      </c>
      <c r="AC12" s="14">
        <v>47</v>
      </c>
      <c r="AD12" s="11">
        <v>0.54</v>
      </c>
      <c r="AE12" s="14">
        <v>15</v>
      </c>
      <c r="AF12" s="11">
        <v>0.41700000000000004</v>
      </c>
      <c r="AG12" s="14">
        <v>20</v>
      </c>
      <c r="AH12" s="11">
        <v>0.66700000000000004</v>
      </c>
      <c r="AI12" s="16">
        <v>138.1</v>
      </c>
      <c r="AJ12" s="16">
        <v>114.6</v>
      </c>
      <c r="AK12" s="3">
        <v>7</v>
      </c>
      <c r="AL12" s="3">
        <v>3</v>
      </c>
      <c r="AM12" s="4">
        <v>3</v>
      </c>
      <c r="AN12" s="2" t="b">
        <f>'Celtics Game Data'!D11</f>
        <v>1</v>
      </c>
      <c r="AO12" s="3">
        <f>'Celtics Game Data'!E11</f>
        <v>114</v>
      </c>
      <c r="AP12" s="3">
        <f>'Celtics Game Data'!F11</f>
        <v>98</v>
      </c>
      <c r="AQ12" s="3">
        <f t="shared" si="0"/>
        <v>16</v>
      </c>
      <c r="AR12" s="3">
        <f t="shared" si="1"/>
        <v>212</v>
      </c>
      <c r="AS12" s="19">
        <v>220.5</v>
      </c>
      <c r="AT12" s="9">
        <v>-9.5</v>
      </c>
      <c r="AU12" s="9">
        <v>-115</v>
      </c>
      <c r="AV12" s="9">
        <v>9</v>
      </c>
      <c r="AW12" s="4">
        <v>-105</v>
      </c>
    </row>
    <row r="13" spans="1:49" x14ac:dyDescent="0.25">
      <c r="A13" s="5">
        <f>'Celtics Game Data'!A12</f>
        <v>45245</v>
      </c>
      <c r="B13" s="5" t="str">
        <f>'Celtics Game Data'!B12</f>
        <v>Philadelphia 76ers</v>
      </c>
      <c r="C13" s="5" t="str">
        <f>'Celtics Game Data'!C12</f>
        <v>Away</v>
      </c>
      <c r="D13" s="5" t="b">
        <v>0</v>
      </c>
      <c r="E13" s="10">
        <f>COUNTIF('Celtics Game Data'!$D$2:D11,TRUE)/(COUNTIF('Celtics Game Data'!$D$2:D11, TRUE) + COUNTIF('Celtics Game Data'!$D$2:D11, FALSE))</f>
        <v>0.8</v>
      </c>
      <c r="F13" s="11">
        <f>IFERROR(COUNTIF('Celtics Game Data'!$Q$2:Q11,2)/(COUNTIF('Celtics Game Data'!$Q$2:Q11, 2) + COUNTIF('Celtics Game Data'!$Q$2:Q11, 1)),"")</f>
        <v>1</v>
      </c>
      <c r="G13" s="11">
        <f>IFERROR(COUNTIF('Celtics Game Data'!$R$2:R11,2)/(COUNTIF('Celtics Game Data'!$R$2:R11, 2) + COUNTIF('Celtics Game Data'!$R$2:R11, 1)),"")</f>
        <v>0.6</v>
      </c>
      <c r="H13" s="11">
        <f>COUNTIF('Celtics Game Data'!D7:D11,TRUE)/(COUNTIF('Celtics Game Data'!D7:D11, TRUE) + COUNTIF('Celtics Game Data'!D7:D11, FALSE))</f>
        <v>0.6</v>
      </c>
      <c r="I13" s="11">
        <f>COUNTIF('Celtics Game Data'!D2:D11,TRUE)/(COUNTIF('Celtics Game Data'!D2:D11, TRUE) + COUNTIF('Celtics Game Data'!D2:D11, FALSE))</f>
        <v>0.8</v>
      </c>
      <c r="J13" s="12">
        <f>AVERAGE('Celtics Game Data'!$E$2:E11)</f>
        <v>119.6</v>
      </c>
      <c r="K13" s="12">
        <f>AVERAGE('Celtics Game Data'!E7:E11)</f>
        <v>112.8</v>
      </c>
      <c r="L13" s="12">
        <f>AVERAGE('Celtics Game Data'!E2:E11)</f>
        <v>119.6</v>
      </c>
      <c r="M13" s="12">
        <f>AVERAGE('Celtics Game Data'!$M$2:M11)</f>
        <v>121.94000000000001</v>
      </c>
      <c r="N13" s="12">
        <f>AVERAGE('Celtics Game Data'!M2:M11)</f>
        <v>121.94000000000001</v>
      </c>
      <c r="O13" s="12">
        <f>AVERAGE('Celtics Game Data'!$N$2:N11)</f>
        <v>107.32000000000001</v>
      </c>
      <c r="P13" s="12">
        <f>AVERAGE('Celtics Game Data'!N2:N11)</f>
        <v>107.32000000000001</v>
      </c>
      <c r="Q13" s="12">
        <f>AVERAGE('Celtics Game Data'!G2:G11)</f>
        <v>43</v>
      </c>
      <c r="R13" s="11">
        <f>AVERAGE('Celtics Game Data'!H2:H11)</f>
        <v>0.47770000000000001</v>
      </c>
      <c r="S13" s="12">
        <f>AVERAGE('Celtics Game Data'!I2:I11)</f>
        <v>16.100000000000001</v>
      </c>
      <c r="T13" s="11">
        <f>AVERAGE('Celtics Game Data'!J2:J11)</f>
        <v>0.37290000000000001</v>
      </c>
      <c r="U13" s="12">
        <f>AVERAGE('Celtics Game Data'!K2:K11)</f>
        <v>17.899999999999999</v>
      </c>
      <c r="V13" s="11">
        <f>AVERAGE('Celtics Game Data'!L2:L11)</f>
        <v>0.79339999999999988</v>
      </c>
      <c r="W13" s="9">
        <v>1</v>
      </c>
      <c r="X13" s="9">
        <v>1</v>
      </c>
      <c r="Y13" s="4">
        <f>'Celtics Game Data'!O12</f>
        <v>7</v>
      </c>
      <c r="Z13" s="10">
        <f>8/10</f>
        <v>0.8</v>
      </c>
      <c r="AA13" s="9">
        <v>126</v>
      </c>
      <c r="AB13" s="9" t="b">
        <v>0</v>
      </c>
      <c r="AC13" s="14">
        <v>43</v>
      </c>
      <c r="AD13" s="11">
        <v>0.5</v>
      </c>
      <c r="AE13" s="14">
        <v>6</v>
      </c>
      <c r="AF13" s="11">
        <v>0.27300000000000002</v>
      </c>
      <c r="AG13" s="14">
        <v>34</v>
      </c>
      <c r="AH13" s="11">
        <v>0.97099999999999997</v>
      </c>
      <c r="AI13" s="16">
        <v>116.9</v>
      </c>
      <c r="AJ13" s="16">
        <v>122.4</v>
      </c>
      <c r="AK13" s="9">
        <v>2</v>
      </c>
      <c r="AL13" s="9">
        <v>2</v>
      </c>
      <c r="AM13" s="4">
        <v>3</v>
      </c>
      <c r="AN13" s="2" t="b">
        <f>'Celtics Game Data'!D12</f>
        <v>1</v>
      </c>
      <c r="AO13" s="3">
        <f>'Celtics Game Data'!E12</f>
        <v>117</v>
      </c>
      <c r="AP13" s="3">
        <f>'Celtics Game Data'!F12</f>
        <v>107</v>
      </c>
      <c r="AQ13" s="3">
        <f t="shared" si="0"/>
        <v>10</v>
      </c>
      <c r="AR13" s="3">
        <f t="shared" si="1"/>
        <v>224</v>
      </c>
      <c r="AS13" s="19">
        <v>223.5</v>
      </c>
      <c r="AT13" s="9">
        <v>-1.5</v>
      </c>
      <c r="AU13" s="9">
        <v>-105</v>
      </c>
      <c r="AV13" s="9">
        <v>1.5</v>
      </c>
      <c r="AW13" s="4">
        <v>-115</v>
      </c>
    </row>
    <row r="14" spans="1:49" x14ac:dyDescent="0.25">
      <c r="A14" s="5">
        <f>'Celtics Game Data'!A13</f>
        <v>45247</v>
      </c>
      <c r="B14" s="5" t="str">
        <f>'Celtics Game Data'!B13</f>
        <v>Toronto Raptors</v>
      </c>
      <c r="C14" s="5" t="str">
        <f>'Celtics Game Data'!C13</f>
        <v>Away</v>
      </c>
      <c r="D14" s="5" t="b">
        <v>1</v>
      </c>
      <c r="E14" s="10">
        <f>COUNTIF('Celtics Game Data'!$D$2:D12,TRUE)/(COUNTIF('Celtics Game Data'!$D$2:D12, TRUE) + COUNTIF('Celtics Game Data'!$D$2:D12, FALSE))</f>
        <v>0.81818181818181823</v>
      </c>
      <c r="F14" s="11">
        <f>IFERROR(COUNTIF('Celtics Game Data'!$Q$2:Q12,2)/(COUNTIF('Celtics Game Data'!$Q$2:Q12, 2) + COUNTIF('Celtics Game Data'!$Q$2:Q12, 1)),"")</f>
        <v>1</v>
      </c>
      <c r="G14" s="11">
        <f>IFERROR(COUNTIF('Celtics Game Data'!$R$2:R12,2)/(COUNTIF('Celtics Game Data'!$R$2:R12, 2) + COUNTIF('Celtics Game Data'!$R$2:R12, 1)),"")</f>
        <v>0.66666666666666663</v>
      </c>
      <c r="H14" s="11">
        <f>COUNTIF('Celtics Game Data'!D8:D12,TRUE)/(COUNTIF('Celtics Game Data'!D8:D12, TRUE) + COUNTIF('Celtics Game Data'!D8:D12, FALSE))</f>
        <v>0.8</v>
      </c>
      <c r="I14" s="11">
        <f>COUNTIF('Celtics Game Data'!D3:D12,TRUE)/(COUNTIF('Celtics Game Data'!D3:D12, TRUE) + COUNTIF('Celtics Game Data'!D3:D12, FALSE))</f>
        <v>0.8</v>
      </c>
      <c r="J14" s="12">
        <f>AVERAGE('Celtics Game Data'!$E$2:E12)</f>
        <v>119.36363636363636</v>
      </c>
      <c r="K14" s="12">
        <f>AVERAGE('Celtics Game Data'!E8:E12)</f>
        <v>114.4</v>
      </c>
      <c r="L14" s="12">
        <f>AVERAGE('Celtics Game Data'!E3:E12)</f>
        <v>120.5</v>
      </c>
      <c r="M14" s="12">
        <f>AVERAGE('Celtics Game Data'!$M$2:M12)</f>
        <v>122.52727272727275</v>
      </c>
      <c r="N14" s="12">
        <f>AVERAGE('Celtics Game Data'!M3:M12)</f>
        <v>123.34</v>
      </c>
      <c r="O14" s="12">
        <f>AVERAGE('Celtics Game Data'!$N$2:N12)</f>
        <v>108.23636363636365</v>
      </c>
      <c r="P14" s="12">
        <f>AVERAGE('Celtics Game Data'!N3:N12)</f>
        <v>108.05</v>
      </c>
      <c r="Q14" s="12">
        <f>AVERAGE('Celtics Game Data'!G3:G12)</f>
        <v>43.5</v>
      </c>
      <c r="R14" s="11">
        <f>AVERAGE('Celtics Game Data'!H3:H12)</f>
        <v>0.47729999999999995</v>
      </c>
      <c r="S14" s="12">
        <f>AVERAGE('Celtics Game Data'!I3:I12)</f>
        <v>16.7</v>
      </c>
      <c r="T14" s="11">
        <f>AVERAGE('Celtics Game Data'!J3:J12)</f>
        <v>0.37809999999999999</v>
      </c>
      <c r="U14" s="12">
        <f>AVERAGE('Celtics Game Data'!K3:K12)</f>
        <v>16.8</v>
      </c>
      <c r="V14" s="11">
        <f>AVERAGE('Celtics Game Data'!L3:L12)</f>
        <v>0.78769999999999996</v>
      </c>
      <c r="W14" s="9">
        <v>1</v>
      </c>
      <c r="X14" s="9">
        <v>1</v>
      </c>
      <c r="Y14" s="4">
        <f>'Celtics Game Data'!O13</f>
        <v>0</v>
      </c>
      <c r="Z14" s="10">
        <f>5/11</f>
        <v>0.45454545454545453</v>
      </c>
      <c r="AA14" s="9">
        <v>112</v>
      </c>
      <c r="AB14" s="9" t="b">
        <v>0</v>
      </c>
      <c r="AC14" s="14">
        <v>38</v>
      </c>
      <c r="AD14" s="11">
        <v>0.39600000000000002</v>
      </c>
      <c r="AE14" s="14">
        <v>9</v>
      </c>
      <c r="AF14" s="11">
        <v>0.27300000000000002</v>
      </c>
      <c r="AG14" s="14">
        <v>27</v>
      </c>
      <c r="AH14" s="11">
        <v>0.871</v>
      </c>
      <c r="AI14" s="16">
        <v>117.5</v>
      </c>
      <c r="AJ14" s="16">
        <v>134.30000000000001</v>
      </c>
      <c r="AK14" s="3">
        <v>11</v>
      </c>
      <c r="AL14" s="3">
        <v>5</v>
      </c>
      <c r="AM14" s="4">
        <v>3</v>
      </c>
      <c r="AN14" s="2" t="b">
        <f>'Celtics Game Data'!D13</f>
        <v>1</v>
      </c>
      <c r="AO14" s="3">
        <f>'Celtics Game Data'!E13</f>
        <v>108</v>
      </c>
      <c r="AP14" s="3">
        <f>'Celtics Game Data'!F13</f>
        <v>105</v>
      </c>
      <c r="AQ14" s="3">
        <f t="shared" si="0"/>
        <v>3</v>
      </c>
      <c r="AR14" s="3">
        <f t="shared" si="1"/>
        <v>213</v>
      </c>
      <c r="AS14" s="19">
        <v>224</v>
      </c>
      <c r="AT14" s="9">
        <v>-8.5</v>
      </c>
      <c r="AU14" s="9">
        <v>-115</v>
      </c>
      <c r="AV14" s="9">
        <v>8.5</v>
      </c>
      <c r="AW14" s="4">
        <v>-105</v>
      </c>
    </row>
    <row r="15" spans="1:49" x14ac:dyDescent="0.25">
      <c r="A15" s="5">
        <f>'Celtics Game Data'!A14</f>
        <v>45249</v>
      </c>
      <c r="B15" s="5" t="str">
        <f>'Celtics Game Data'!B14</f>
        <v>Memphis Grizzlies</v>
      </c>
      <c r="C15" s="5" t="str">
        <f>'Celtics Game Data'!C14</f>
        <v>Away</v>
      </c>
      <c r="D15" s="5" t="b">
        <v>0</v>
      </c>
      <c r="E15" s="10">
        <f>COUNTIF('Celtics Game Data'!$D$2:D13,TRUE)/(COUNTIF('Celtics Game Data'!$D$2:D13, TRUE) + COUNTIF('Celtics Game Data'!$D$2:D13, FALSE))</f>
        <v>0.83333333333333337</v>
      </c>
      <c r="F15" s="11">
        <f>IFERROR(COUNTIF('Celtics Game Data'!$Q$2:Q13,2)/(COUNTIF('Celtics Game Data'!$Q$2:Q13, 2) + COUNTIF('Celtics Game Data'!$Q$2:Q13, 1)),"")</f>
        <v>1</v>
      </c>
      <c r="G15" s="11">
        <f>IFERROR(COUNTIF('Celtics Game Data'!$R$2:R13,2)/(COUNTIF('Celtics Game Data'!$R$2:R13, 2) + COUNTIF('Celtics Game Data'!$R$2:R13, 1)),"")</f>
        <v>0.7142857142857143</v>
      </c>
      <c r="H15" s="11">
        <f>COUNTIF('Celtics Game Data'!D9:D13,TRUE)/(COUNTIF('Celtics Game Data'!D9:D13, TRUE) + COUNTIF('Celtics Game Data'!D9:D13, FALSE))</f>
        <v>1</v>
      </c>
      <c r="I15" s="11">
        <f>COUNTIF('Celtics Game Data'!D4:D13,TRUE)/(COUNTIF('Celtics Game Data'!D4:D13, TRUE) + COUNTIF('Celtics Game Data'!D4:D13, FALSE))</f>
        <v>0.8</v>
      </c>
      <c r="J15" s="12">
        <f>AVERAGE('Celtics Game Data'!$E$2:E13)</f>
        <v>118.41666666666667</v>
      </c>
      <c r="K15" s="12">
        <f>AVERAGE('Celtics Game Data'!E9:E13)</f>
        <v>115.4</v>
      </c>
      <c r="L15" s="12">
        <f>AVERAGE('Celtics Game Data'!E4:E13)</f>
        <v>119.4</v>
      </c>
      <c r="M15" s="12">
        <f>AVERAGE('Celtics Game Data'!$M$2:M13)</f>
        <v>121.51666666666669</v>
      </c>
      <c r="N15" s="12">
        <f>AVERAGE('Celtics Game Data'!M4:M13)</f>
        <v>122.40000000000002</v>
      </c>
      <c r="O15" s="12">
        <f>AVERAGE('Celtics Game Data'!$N$2:N13)</f>
        <v>108.16666666666669</v>
      </c>
      <c r="P15" s="12">
        <f>AVERAGE('Celtics Game Data'!N4:N13)</f>
        <v>107.61999999999998</v>
      </c>
      <c r="Q15" s="12">
        <f>AVERAGE('Celtics Game Data'!G4:G13)</f>
        <v>43.2</v>
      </c>
      <c r="R15" s="11">
        <f>AVERAGE('Celtics Game Data'!H4:H13)</f>
        <v>0.47560000000000002</v>
      </c>
      <c r="S15" s="12">
        <f>AVERAGE('Celtics Game Data'!I4:I13)</f>
        <v>16.7</v>
      </c>
      <c r="T15" s="11">
        <f>AVERAGE('Celtics Game Data'!J4:J13)</f>
        <v>0.37190000000000001</v>
      </c>
      <c r="U15" s="12">
        <f>AVERAGE('Celtics Game Data'!K4:K13)</f>
        <v>16.3</v>
      </c>
      <c r="V15" s="11">
        <f>AVERAGE('Celtics Game Data'!L4:L13)</f>
        <v>0.80819999999999992</v>
      </c>
      <c r="W15" s="9">
        <v>1</v>
      </c>
      <c r="X15" s="9">
        <v>1</v>
      </c>
      <c r="Y15" s="4">
        <f>'Celtics Game Data'!O14</f>
        <v>0</v>
      </c>
      <c r="Z15" s="10">
        <f>3/12</f>
        <v>0.25</v>
      </c>
      <c r="AA15" s="9">
        <v>120</v>
      </c>
      <c r="AB15" s="9" t="b">
        <v>1</v>
      </c>
      <c r="AC15" s="14">
        <v>40</v>
      </c>
      <c r="AD15" s="11">
        <v>0.46500000000000002</v>
      </c>
      <c r="AE15" s="14">
        <v>11</v>
      </c>
      <c r="AF15" s="11">
        <v>0.33299999999999996</v>
      </c>
      <c r="AG15" s="14">
        <v>29</v>
      </c>
      <c r="AH15" s="11">
        <v>0.80599999999999994</v>
      </c>
      <c r="AI15" s="16">
        <v>124.6</v>
      </c>
      <c r="AJ15" s="16">
        <v>112.1</v>
      </c>
      <c r="AK15" s="9">
        <v>13</v>
      </c>
      <c r="AL15" s="3">
        <v>4</v>
      </c>
      <c r="AM15" s="4">
        <v>8</v>
      </c>
      <c r="AN15" s="2" t="b">
        <f>'Celtics Game Data'!D14</f>
        <v>1</v>
      </c>
      <c r="AO15" s="3">
        <f>'Celtics Game Data'!E14</f>
        <v>102</v>
      </c>
      <c r="AP15" s="3">
        <f>'Celtics Game Data'!F14</f>
        <v>100</v>
      </c>
      <c r="AQ15" s="3">
        <f t="shared" si="0"/>
        <v>2</v>
      </c>
      <c r="AR15" s="3">
        <f t="shared" si="1"/>
        <v>202</v>
      </c>
      <c r="AS15" s="19">
        <v>222.5</v>
      </c>
      <c r="AT15" s="9">
        <v>-12.5</v>
      </c>
      <c r="AU15" s="9">
        <v>-110</v>
      </c>
      <c r="AV15" s="9">
        <v>12.5</v>
      </c>
      <c r="AW15" s="4">
        <v>-110</v>
      </c>
    </row>
    <row r="16" spans="1:49" x14ac:dyDescent="0.25">
      <c r="A16" s="5">
        <f>'Celtics Game Data'!A15</f>
        <v>45250</v>
      </c>
      <c r="B16" s="5" t="str">
        <f>'Celtics Game Data'!B15</f>
        <v>Charlotte Hornets</v>
      </c>
      <c r="C16" s="5" t="str">
        <f>'Celtics Game Data'!C15</f>
        <v>Away</v>
      </c>
      <c r="D16" s="5" t="b">
        <v>0</v>
      </c>
      <c r="E16" s="10">
        <f>COUNTIF('Celtics Game Data'!$D$2:D14,TRUE)/(COUNTIF('Celtics Game Data'!$D$2:D14, TRUE) + COUNTIF('Celtics Game Data'!$D$2:D14, FALSE))</f>
        <v>0.84615384615384615</v>
      </c>
      <c r="F16" s="11">
        <f>IFERROR(COUNTIF('Celtics Game Data'!$Q$2:Q14,2)/(COUNTIF('Celtics Game Data'!$Q$2:Q14, 2) + COUNTIF('Celtics Game Data'!$Q$2:Q14, 1)),"")</f>
        <v>1</v>
      </c>
      <c r="G16" s="11">
        <f>IFERROR(COUNTIF('Celtics Game Data'!$R$2:R14,2)/(COUNTIF('Celtics Game Data'!$R$2:R14, 2) + COUNTIF('Celtics Game Data'!$R$2:R14, 1)),"")</f>
        <v>0.75</v>
      </c>
      <c r="H16" s="11">
        <f>COUNTIF('Celtics Game Data'!D10:D14,TRUE)/(COUNTIF('Celtics Game Data'!D10:D14, TRUE) + COUNTIF('Celtics Game Data'!D10:D14, FALSE))</f>
        <v>1</v>
      </c>
      <c r="I16" s="11">
        <f>COUNTIF('Celtics Game Data'!D5:D14,TRUE)/(COUNTIF('Celtics Game Data'!D5:D14, TRUE) + COUNTIF('Celtics Game Data'!D5:D14, FALSE))</f>
        <v>0.8</v>
      </c>
      <c r="J16" s="12">
        <f>AVERAGE('Celtics Game Data'!$E$2:E14)</f>
        <v>117.15384615384616</v>
      </c>
      <c r="K16" s="12">
        <f>AVERAGE('Celtics Game Data'!E10:E14)</f>
        <v>111.6</v>
      </c>
      <c r="L16" s="12">
        <f>AVERAGE('Celtics Game Data'!E5:E14)</f>
        <v>117</v>
      </c>
      <c r="M16" s="12">
        <f>AVERAGE('Celtics Game Data'!$M$2:M14)</f>
        <v>120.71538461538464</v>
      </c>
      <c r="N16" s="12">
        <f>AVERAGE('Celtics Game Data'!M5:M14)</f>
        <v>121.13</v>
      </c>
      <c r="O16" s="12">
        <f>AVERAGE('Celtics Game Data'!$N$2:N14)</f>
        <v>108.22307692307695</v>
      </c>
      <c r="P16" s="12">
        <f>AVERAGE('Celtics Game Data'!N5:N14)</f>
        <v>108</v>
      </c>
      <c r="Q16" s="12">
        <f>AVERAGE('Celtics Game Data'!G5:G14)</f>
        <v>41.6</v>
      </c>
      <c r="R16" s="11">
        <f>AVERAGE('Celtics Game Data'!H5:H14)</f>
        <v>0.47110000000000002</v>
      </c>
      <c r="S16" s="12">
        <f>AVERAGE('Celtics Game Data'!I5:I14)</f>
        <v>16</v>
      </c>
      <c r="T16" s="11">
        <f>AVERAGE('Celtics Game Data'!J5:J14)</f>
        <v>0.37479999999999997</v>
      </c>
      <c r="U16" s="12">
        <f>AVERAGE('Celtics Game Data'!K5:K14)</f>
        <v>17.8</v>
      </c>
      <c r="V16" s="11">
        <f>AVERAGE('Celtics Game Data'!L5:L14)</f>
        <v>0.81680000000000008</v>
      </c>
      <c r="W16" s="9">
        <v>1</v>
      </c>
      <c r="X16" s="9">
        <v>1</v>
      </c>
      <c r="Y16" s="4">
        <f>'Celtics Game Data'!O15</f>
        <v>2</v>
      </c>
      <c r="Z16" s="10">
        <f>3/12</f>
        <v>0.25</v>
      </c>
      <c r="AA16" s="9">
        <v>108</v>
      </c>
      <c r="AB16" s="9" t="b">
        <v>0</v>
      </c>
      <c r="AC16" s="14">
        <v>40</v>
      </c>
      <c r="AD16" s="11">
        <v>0.48799999999999999</v>
      </c>
      <c r="AE16" s="14">
        <v>17</v>
      </c>
      <c r="AF16" s="11">
        <v>0.48599999999999999</v>
      </c>
      <c r="AG16" s="14">
        <v>11</v>
      </c>
      <c r="AH16" s="11">
        <v>0.84599999999999997</v>
      </c>
      <c r="AI16" s="16">
        <v>112.4</v>
      </c>
      <c r="AJ16" s="16">
        <v>127</v>
      </c>
      <c r="AK16" s="9">
        <v>13</v>
      </c>
      <c r="AL16" s="3">
        <v>4</v>
      </c>
      <c r="AM16" s="4">
        <v>4</v>
      </c>
      <c r="AN16" s="2" t="b">
        <f>'Celtics Game Data'!D15</f>
        <v>0</v>
      </c>
      <c r="AO16" s="3">
        <f>'Celtics Game Data'!E15</f>
        <v>118</v>
      </c>
      <c r="AP16" s="3">
        <f>'Celtics Game Data'!F15</f>
        <v>121</v>
      </c>
      <c r="AQ16" s="3">
        <f t="shared" si="0"/>
        <v>-3</v>
      </c>
      <c r="AR16" s="3">
        <f t="shared" si="1"/>
        <v>239</v>
      </c>
      <c r="AS16" s="19">
        <v>234</v>
      </c>
      <c r="AT16" s="9">
        <v>-8.5</v>
      </c>
      <c r="AU16" s="9">
        <v>-115</v>
      </c>
      <c r="AV16" s="9">
        <v>8.5</v>
      </c>
      <c r="AW16" s="4">
        <v>-105</v>
      </c>
    </row>
    <row r="17" spans="1:49" x14ac:dyDescent="0.25">
      <c r="A17" s="5">
        <f>'Celtics Game Data'!A16</f>
        <v>45252</v>
      </c>
      <c r="B17" s="5" t="str">
        <f>'Celtics Game Data'!B16</f>
        <v>Milwaukee Bucks</v>
      </c>
      <c r="C17" s="5" t="str">
        <f>'Celtics Game Data'!C16</f>
        <v>Home</v>
      </c>
      <c r="D17" s="5" t="b">
        <v>0</v>
      </c>
      <c r="E17" s="10">
        <f>COUNTIF('Celtics Game Data'!$D$2:D15,TRUE)/(COUNTIF('Celtics Game Data'!$D$2:D15, TRUE) + COUNTIF('Celtics Game Data'!$D$2:D15, FALSE))</f>
        <v>0.7857142857142857</v>
      </c>
      <c r="F17" s="11">
        <f>IFERROR(COUNTIF('Celtics Game Data'!$Q$2:Q15,2)/(COUNTIF('Celtics Game Data'!$Q$2:Q15, 2) + COUNTIF('Celtics Game Data'!$Q$2:Q15, 1)),"")</f>
        <v>1</v>
      </c>
      <c r="G17" s="11">
        <f>IFERROR(COUNTIF('Celtics Game Data'!$R$2:R15,2)/(COUNTIF('Celtics Game Data'!$R$2:R15, 2) + COUNTIF('Celtics Game Data'!$R$2:R15, 1)),"")</f>
        <v>0.66666666666666663</v>
      </c>
      <c r="H17" s="11">
        <f>COUNTIF('Celtics Game Data'!D11:D15,TRUE)/(COUNTIF('Celtics Game Data'!D11:D15, TRUE) + COUNTIF('Celtics Game Data'!D11:D15, FALSE))</f>
        <v>0.8</v>
      </c>
      <c r="I17" s="11">
        <f>COUNTIF('Celtics Game Data'!D6:D15,TRUE)/(COUNTIF('Celtics Game Data'!D6:D15, TRUE) + COUNTIF('Celtics Game Data'!D6:D15, FALSE))</f>
        <v>0.7</v>
      </c>
      <c r="J17" s="12">
        <f>AVERAGE('Celtics Game Data'!$E$2:E15)</f>
        <v>117.21428571428571</v>
      </c>
      <c r="K17" s="12">
        <f>AVERAGE('Celtics Game Data'!E11:E15)</f>
        <v>111.8</v>
      </c>
      <c r="L17" s="12">
        <f>AVERAGE('Celtics Game Data'!E6:E15)</f>
        <v>113.3</v>
      </c>
      <c r="M17" s="12">
        <f>AVERAGE('Celtics Game Data'!$M$2:M15)</f>
        <v>120.01428571428573</v>
      </c>
      <c r="N17" s="12">
        <f>AVERAGE('Celtics Game Data'!M6:M15)</f>
        <v>117.39000000000001</v>
      </c>
      <c r="O17" s="12">
        <f>AVERAGE('Celtics Game Data'!$N$2:N15)</f>
        <v>108.61428571428574</v>
      </c>
      <c r="P17" s="12">
        <f>AVERAGE('Celtics Game Data'!N6:N15)</f>
        <v>109.41999999999999</v>
      </c>
      <c r="Q17" s="12">
        <f>AVERAGE('Celtics Game Data'!G6:G15)</f>
        <v>40.4</v>
      </c>
      <c r="R17" s="11">
        <f>AVERAGE('Celtics Game Data'!H6:H15)</f>
        <v>0.45759999999999995</v>
      </c>
      <c r="S17" s="12">
        <f>AVERAGE('Celtics Game Data'!I6:I15)</f>
        <v>15.6</v>
      </c>
      <c r="T17" s="11">
        <f>AVERAGE('Celtics Game Data'!J6:J15)</f>
        <v>0.34969999999999996</v>
      </c>
      <c r="U17" s="12">
        <f>AVERAGE('Celtics Game Data'!K6:K15)</f>
        <v>16.899999999999999</v>
      </c>
      <c r="V17" s="11">
        <f>AVERAGE('Celtics Game Data'!L6:L15)</f>
        <v>0.78469999999999995</v>
      </c>
      <c r="W17" s="9">
        <v>1</v>
      </c>
      <c r="X17" s="9">
        <v>1</v>
      </c>
      <c r="Y17" s="4">
        <f>'Celtics Game Data'!O16</f>
        <v>0</v>
      </c>
      <c r="Z17" s="10">
        <f>10/14</f>
        <v>0.7142857142857143</v>
      </c>
      <c r="AA17" s="9">
        <v>142</v>
      </c>
      <c r="AB17" s="9" t="b">
        <v>1</v>
      </c>
      <c r="AC17" s="14">
        <v>55</v>
      </c>
      <c r="AD17" s="11">
        <v>0.58499999999999996</v>
      </c>
      <c r="AE17" s="14">
        <v>11</v>
      </c>
      <c r="AF17" s="11">
        <v>0.379</v>
      </c>
      <c r="AG17" s="14">
        <v>21</v>
      </c>
      <c r="AH17" s="11">
        <v>0.75</v>
      </c>
      <c r="AI17" s="16">
        <v>140.5</v>
      </c>
      <c r="AJ17" s="16">
        <v>127.3</v>
      </c>
      <c r="AK17" s="9">
        <v>2</v>
      </c>
      <c r="AL17" s="9">
        <v>1</v>
      </c>
      <c r="AM17" s="4">
        <v>0</v>
      </c>
      <c r="AN17" s="2" t="b">
        <f>'Celtics Game Data'!D16</f>
        <v>1</v>
      </c>
      <c r="AO17" s="3">
        <f>'Celtics Game Data'!E16</f>
        <v>119</v>
      </c>
      <c r="AP17" s="3">
        <f>'Celtics Game Data'!F16</f>
        <v>116</v>
      </c>
      <c r="AQ17" s="3">
        <f t="shared" si="0"/>
        <v>3</v>
      </c>
      <c r="AR17" s="3">
        <f t="shared" si="1"/>
        <v>235</v>
      </c>
      <c r="AS17" s="19">
        <v>235.5</v>
      </c>
      <c r="AT17" s="9">
        <v>-6.5</v>
      </c>
      <c r="AU17" s="9">
        <v>-105</v>
      </c>
      <c r="AV17" s="9">
        <v>6.5</v>
      </c>
      <c r="AW17" s="4">
        <v>-115</v>
      </c>
    </row>
    <row r="18" spans="1:49" x14ac:dyDescent="0.25">
      <c r="A18" s="5">
        <f>'Celtics Game Data'!A17</f>
        <v>45254</v>
      </c>
      <c r="B18" s="5" t="str">
        <f>'Celtics Game Data'!B17</f>
        <v>Orlando Magic</v>
      </c>
      <c r="C18" s="5" t="str">
        <f>'Celtics Game Data'!C17</f>
        <v>Away</v>
      </c>
      <c r="D18" s="5" t="b">
        <v>1</v>
      </c>
      <c r="E18" s="10">
        <f>COUNTIF('Celtics Game Data'!$D$2:D16,TRUE)/(COUNTIF('Celtics Game Data'!$D$2:D16, TRUE) + COUNTIF('Celtics Game Data'!$D$2:D16, FALSE))</f>
        <v>0.8</v>
      </c>
      <c r="F18" s="11">
        <f>IFERROR(COUNTIF('Celtics Game Data'!$Q$2:Q16,2)/(COUNTIF('Celtics Game Data'!$Q$2:Q16, 2) + COUNTIF('Celtics Game Data'!$Q$2:Q16, 1)),"")</f>
        <v>1</v>
      </c>
      <c r="G18" s="11">
        <f>IFERROR(COUNTIF('Celtics Game Data'!$R$2:R16,2)/(COUNTIF('Celtics Game Data'!$R$2:R16, 2) + COUNTIF('Celtics Game Data'!$R$2:R16, 1)),"")</f>
        <v>0.66666666666666663</v>
      </c>
      <c r="H18" s="11">
        <f>COUNTIF('Celtics Game Data'!D12:D16,TRUE)/(COUNTIF('Celtics Game Data'!D12:D16, TRUE) + COUNTIF('Celtics Game Data'!D12:D16, FALSE))</f>
        <v>0.8</v>
      </c>
      <c r="I18" s="11">
        <f>COUNTIF('Celtics Game Data'!D7:D16,TRUE)/(COUNTIF('Celtics Game Data'!D7:D16, TRUE) + COUNTIF('Celtics Game Data'!D7:D16, FALSE))</f>
        <v>0.7</v>
      </c>
      <c r="J18" s="12">
        <f>AVERAGE('Celtics Game Data'!$E$2:E16)</f>
        <v>117.33333333333333</v>
      </c>
      <c r="K18" s="12">
        <f>AVERAGE('Celtics Game Data'!E12:E16)</f>
        <v>112.8</v>
      </c>
      <c r="L18" s="12">
        <f>AVERAGE('Celtics Game Data'!E7:E16)</f>
        <v>112.8</v>
      </c>
      <c r="M18" s="12">
        <f>AVERAGE('Celtics Game Data'!$M$2:M16)</f>
        <v>119.82666666666668</v>
      </c>
      <c r="N18" s="12">
        <f>AVERAGE('Celtics Game Data'!M7:M16)</f>
        <v>116.67</v>
      </c>
      <c r="O18" s="12">
        <f>AVERAGE('Celtics Game Data'!$N$2:N16)</f>
        <v>108.98666666666669</v>
      </c>
      <c r="P18" s="12">
        <f>AVERAGE('Celtics Game Data'!N7:N16)</f>
        <v>109.41</v>
      </c>
      <c r="Q18" s="12">
        <f>AVERAGE('Celtics Game Data'!G7:G16)</f>
        <v>40.5</v>
      </c>
      <c r="R18" s="11">
        <f>AVERAGE('Celtics Game Data'!H7:H16)</f>
        <v>0.4622</v>
      </c>
      <c r="S18" s="12">
        <f>AVERAGE('Celtics Game Data'!I7:I16)</f>
        <v>15.8</v>
      </c>
      <c r="T18" s="11">
        <f>AVERAGE('Celtics Game Data'!J7:J16)</f>
        <v>0.3569</v>
      </c>
      <c r="U18" s="12">
        <f>AVERAGE('Celtics Game Data'!K7:K16)</f>
        <v>16</v>
      </c>
      <c r="V18" s="11">
        <f>AVERAGE('Celtics Game Data'!L7:L16)</f>
        <v>0.78189999999999993</v>
      </c>
      <c r="W18" s="9">
        <v>1</v>
      </c>
      <c r="X18" s="9">
        <v>1</v>
      </c>
      <c r="Y18" s="4">
        <f>'Celtics Game Data'!O17</f>
        <v>1</v>
      </c>
      <c r="Z18" s="10">
        <f>10/15</f>
        <v>0.66666666666666663</v>
      </c>
      <c r="AA18" s="9">
        <v>124</v>
      </c>
      <c r="AB18" s="9" t="b">
        <v>1</v>
      </c>
      <c r="AC18" s="14">
        <v>44</v>
      </c>
      <c r="AD18" s="11">
        <v>0.54299999999999993</v>
      </c>
      <c r="AE18" s="14">
        <v>10</v>
      </c>
      <c r="AF18" s="11">
        <v>0.34499999999999997</v>
      </c>
      <c r="AG18" s="14">
        <v>26</v>
      </c>
      <c r="AH18" s="11">
        <v>0.86699999999999999</v>
      </c>
      <c r="AI18" s="16">
        <v>133.80000000000001</v>
      </c>
      <c r="AJ18" s="16">
        <v>128.4</v>
      </c>
      <c r="AK18" s="9">
        <v>4</v>
      </c>
      <c r="AL18" s="3">
        <v>2</v>
      </c>
      <c r="AM18" s="4">
        <v>1</v>
      </c>
      <c r="AN18" s="2" t="b">
        <f>'Celtics Game Data'!D17</f>
        <v>0</v>
      </c>
      <c r="AO18" s="3">
        <f>'Celtics Game Data'!E17</f>
        <v>96</v>
      </c>
      <c r="AP18" s="3">
        <f>'Celtics Game Data'!F17</f>
        <v>113</v>
      </c>
      <c r="AQ18" s="3">
        <f t="shared" si="0"/>
        <v>-17</v>
      </c>
      <c r="AR18" s="3">
        <f t="shared" si="1"/>
        <v>209</v>
      </c>
      <c r="AS18" s="19">
        <v>221</v>
      </c>
      <c r="AT18" s="9">
        <v>-5.5</v>
      </c>
      <c r="AU18" s="9">
        <v>-110</v>
      </c>
      <c r="AV18" s="9">
        <v>5.5</v>
      </c>
      <c r="AW18" s="4">
        <v>-110</v>
      </c>
    </row>
    <row r="19" spans="1:49" x14ac:dyDescent="0.25">
      <c r="A19" s="5">
        <f>'Celtics Game Data'!A18</f>
        <v>45256</v>
      </c>
      <c r="B19" s="5" t="str">
        <f>'Celtics Game Data'!B18</f>
        <v>Atlanta Hawks</v>
      </c>
      <c r="C19" s="5" t="str">
        <f>'Celtics Game Data'!C18</f>
        <v>Home</v>
      </c>
      <c r="D19" s="5" t="b">
        <v>0</v>
      </c>
      <c r="E19" s="10">
        <f>COUNTIF('Celtics Game Data'!$D$2:D17,TRUE)/(COUNTIF('Celtics Game Data'!$D$2:D17, TRUE) + COUNTIF('Celtics Game Data'!$D$2:D17, FALSE))</f>
        <v>0.75</v>
      </c>
      <c r="F19" s="11">
        <f>IFERROR(COUNTIF('Celtics Game Data'!$Q$2:Q17,2)/(COUNTIF('Celtics Game Data'!$Q$2:Q17, 2) + COUNTIF('Celtics Game Data'!$Q$2:Q17, 1)),"")</f>
        <v>1</v>
      </c>
      <c r="G19" s="11">
        <f>IFERROR(COUNTIF('Celtics Game Data'!$R$2:R17,2)/(COUNTIF('Celtics Game Data'!$R$2:R17, 2) + COUNTIF('Celtics Game Data'!$R$2:R17, 1)),"")</f>
        <v>0.6</v>
      </c>
      <c r="H19" s="11">
        <f>COUNTIF('Celtics Game Data'!D13:D17,TRUE)/(COUNTIF('Celtics Game Data'!D13:D17, TRUE) + COUNTIF('Celtics Game Data'!D13:D17, FALSE))</f>
        <v>0.6</v>
      </c>
      <c r="I19" s="11">
        <f>COUNTIF('Celtics Game Data'!D8:D17,TRUE)/(COUNTIF('Celtics Game Data'!D8:D17, TRUE) + COUNTIF('Celtics Game Data'!D8:D17, FALSE))</f>
        <v>0.7</v>
      </c>
      <c r="J19" s="12">
        <f>AVERAGE('Celtics Game Data'!$E$2:E17)</f>
        <v>116</v>
      </c>
      <c r="K19" s="12">
        <f>AVERAGE('Celtics Game Data'!E13:E17)</f>
        <v>108.6</v>
      </c>
      <c r="L19" s="12">
        <f>AVERAGE('Celtics Game Data'!E8:E17)</f>
        <v>111.5</v>
      </c>
      <c r="M19" s="12">
        <f>AVERAGE('Celtics Game Data'!$M$2:M17)</f>
        <v>118.42500000000003</v>
      </c>
      <c r="N19" s="12">
        <f>AVERAGE('Celtics Game Data'!M8:M17)</f>
        <v>116.49000000000001</v>
      </c>
      <c r="O19" s="12">
        <f>AVERAGE('Celtics Game Data'!$N$2:N17)</f>
        <v>109.34375000000003</v>
      </c>
      <c r="P19" s="12">
        <f>AVERAGE('Celtics Game Data'!N8:N17)</f>
        <v>110.51000000000002</v>
      </c>
      <c r="Q19" s="12">
        <f>AVERAGE('Celtics Game Data'!G8:G17)</f>
        <v>40</v>
      </c>
      <c r="R19" s="11">
        <f>AVERAGE('Celtics Game Data'!H8:H17)</f>
        <v>0.46390000000000003</v>
      </c>
      <c r="S19" s="12">
        <f>AVERAGE('Celtics Game Data'!I8:I17)</f>
        <v>15.4</v>
      </c>
      <c r="T19" s="11">
        <f>AVERAGE('Celtics Game Data'!J8:J17)</f>
        <v>0.3528</v>
      </c>
      <c r="U19" s="12">
        <f>AVERAGE('Celtics Game Data'!K8:K17)</f>
        <v>16.100000000000001</v>
      </c>
      <c r="V19" s="11">
        <f>AVERAGE('Celtics Game Data'!L8:L17)</f>
        <v>0.77839999999999987</v>
      </c>
      <c r="W19" s="9">
        <v>1</v>
      </c>
      <c r="X19" s="9">
        <v>1</v>
      </c>
      <c r="Y19" s="4">
        <f>'Celtics Game Data'!O18</f>
        <v>4</v>
      </c>
      <c r="Z19" s="10">
        <f>8/15</f>
        <v>0.53333333333333333</v>
      </c>
      <c r="AA19" s="9">
        <v>136</v>
      </c>
      <c r="AB19" s="9" t="b">
        <v>1</v>
      </c>
      <c r="AC19" s="14">
        <v>52</v>
      </c>
      <c r="AD19" s="11">
        <v>0.51</v>
      </c>
      <c r="AE19" s="14">
        <v>18</v>
      </c>
      <c r="AF19" s="11">
        <v>0.48599999999999999</v>
      </c>
      <c r="AG19" s="14">
        <v>14</v>
      </c>
      <c r="AH19" s="11">
        <v>0.7</v>
      </c>
      <c r="AI19" s="16">
        <v>133.30000000000001</v>
      </c>
      <c r="AJ19" s="16">
        <v>105.9</v>
      </c>
      <c r="AK19" s="3">
        <v>8</v>
      </c>
      <c r="AL19" s="3">
        <v>3</v>
      </c>
      <c r="AM19" s="4">
        <v>2</v>
      </c>
      <c r="AN19" s="2" t="b">
        <f>'Celtics Game Data'!D18</f>
        <v>1</v>
      </c>
      <c r="AO19" s="3">
        <f>'Celtics Game Data'!E18</f>
        <v>113</v>
      </c>
      <c r="AP19" s="3">
        <f>'Celtics Game Data'!F18</f>
        <v>103</v>
      </c>
      <c r="AQ19" s="3">
        <f t="shared" si="0"/>
        <v>10</v>
      </c>
      <c r="AR19" s="3">
        <f t="shared" si="1"/>
        <v>216</v>
      </c>
      <c r="AS19" s="19">
        <v>236</v>
      </c>
      <c r="AT19" s="9">
        <v>-7.5</v>
      </c>
      <c r="AU19" s="9">
        <v>-115</v>
      </c>
      <c r="AV19" s="9">
        <v>7.5</v>
      </c>
      <c r="AW19" s="4">
        <v>105</v>
      </c>
    </row>
    <row r="20" spans="1:49" x14ac:dyDescent="0.25">
      <c r="A20" s="5">
        <f>'Celtics Game Data'!A19</f>
        <v>45258</v>
      </c>
      <c r="B20" s="5" t="str">
        <f>'Celtics Game Data'!B19</f>
        <v>Chicago Bulls</v>
      </c>
      <c r="C20" s="5" t="str">
        <f>'Celtics Game Data'!C19</f>
        <v>Home</v>
      </c>
      <c r="D20" s="5" t="b">
        <v>1</v>
      </c>
      <c r="E20" s="10">
        <f>COUNTIF('Celtics Game Data'!$D$2:D18,TRUE)/(COUNTIF('Celtics Game Data'!$D$2:D18, TRUE) + COUNTIF('Celtics Game Data'!$D$2:D18, FALSE))</f>
        <v>0.76470588235294112</v>
      </c>
      <c r="F20" s="11">
        <f>IFERROR(COUNTIF('Celtics Game Data'!$Q$2:Q18,2)/(COUNTIF('Celtics Game Data'!$Q$2:Q18, 2) + COUNTIF('Celtics Game Data'!$Q$2:Q18, 1)),"")</f>
        <v>1</v>
      </c>
      <c r="G20" s="11">
        <f>IFERROR(COUNTIF('Celtics Game Data'!$R$2:R18,2)/(COUNTIF('Celtics Game Data'!$R$2:R18, 2) + COUNTIF('Celtics Game Data'!$R$2:R18, 1)),"")</f>
        <v>0.6</v>
      </c>
      <c r="H20" s="11">
        <f>COUNTIF('Celtics Game Data'!D14:D18,TRUE)/(COUNTIF('Celtics Game Data'!D14:D18, TRUE) + COUNTIF('Celtics Game Data'!D14:D18, FALSE))</f>
        <v>0.6</v>
      </c>
      <c r="I20" s="11">
        <f>COUNTIF('Celtics Game Data'!D9:D18,TRUE)/(COUNTIF('Celtics Game Data'!D9:D18, TRUE) + COUNTIF('Celtics Game Data'!D9:D18, FALSE))</f>
        <v>0.8</v>
      </c>
      <c r="J20" s="12">
        <f>AVERAGE('Celtics Game Data'!$E$2:E18)</f>
        <v>115.82352941176471</v>
      </c>
      <c r="K20" s="12">
        <f>AVERAGE('Celtics Game Data'!E14:E18)</f>
        <v>109.6</v>
      </c>
      <c r="L20" s="12">
        <f>AVERAGE('Celtics Game Data'!E9:E18)</f>
        <v>112.5</v>
      </c>
      <c r="M20" s="12">
        <f>AVERAGE('Celtics Game Data'!$M$2:M18)</f>
        <v>118.34117647058827</v>
      </c>
      <c r="N20" s="12">
        <f>AVERAGE('Celtics Game Data'!M9:M18)</f>
        <v>117.83000000000001</v>
      </c>
      <c r="O20" s="12">
        <f>AVERAGE('Celtics Game Data'!$N$2:N18)</f>
        <v>109.18235294117649</v>
      </c>
      <c r="P20" s="12">
        <f>AVERAGE('Celtics Game Data'!N9:N18)</f>
        <v>110.51000000000002</v>
      </c>
      <c r="Q20" s="12">
        <f>AVERAGE('Celtics Game Data'!G9:G18)</f>
        <v>40.6</v>
      </c>
      <c r="R20" s="11">
        <f>AVERAGE('Celtics Game Data'!H9:H18)</f>
        <v>0.46850000000000003</v>
      </c>
      <c r="S20" s="12">
        <f>AVERAGE('Celtics Game Data'!I9:I18)</f>
        <v>15.2</v>
      </c>
      <c r="T20" s="11">
        <f>AVERAGE('Celtics Game Data'!J9:J18)</f>
        <v>0.34860000000000002</v>
      </c>
      <c r="U20" s="12">
        <f>AVERAGE('Celtics Game Data'!K9:K18)</f>
        <v>16.100000000000001</v>
      </c>
      <c r="V20" s="11">
        <f>AVERAGE('Celtics Game Data'!L9:L18)</f>
        <v>0.7742</v>
      </c>
      <c r="W20" s="9">
        <v>1</v>
      </c>
      <c r="X20" s="9">
        <v>1</v>
      </c>
      <c r="Y20" s="4">
        <f>'Celtics Game Data'!O19</f>
        <v>3</v>
      </c>
      <c r="Z20" s="10">
        <f>5/18</f>
        <v>0.27777777777777779</v>
      </c>
      <c r="AA20" s="9">
        <v>109</v>
      </c>
      <c r="AB20" s="9" t="b">
        <v>0</v>
      </c>
      <c r="AC20" s="14">
        <v>40</v>
      </c>
      <c r="AD20" s="11">
        <v>0.48200000000000004</v>
      </c>
      <c r="AE20" s="14">
        <v>12</v>
      </c>
      <c r="AF20" s="11">
        <v>0.375</v>
      </c>
      <c r="AG20" s="14">
        <v>17</v>
      </c>
      <c r="AH20" s="11">
        <v>0.77300000000000002</v>
      </c>
      <c r="AI20" s="16">
        <v>121</v>
      </c>
      <c r="AJ20" s="16">
        <v>131</v>
      </c>
      <c r="AK20" s="9">
        <v>13</v>
      </c>
      <c r="AL20" s="9">
        <v>4</v>
      </c>
      <c r="AM20" s="4">
        <v>0</v>
      </c>
      <c r="AN20" s="2" t="b">
        <f>'Celtics Game Data'!D19</f>
        <v>1</v>
      </c>
      <c r="AO20" s="3">
        <f>'Celtics Game Data'!E19</f>
        <v>124</v>
      </c>
      <c r="AP20" s="3">
        <f>'Celtics Game Data'!F19</f>
        <v>97</v>
      </c>
      <c r="AQ20" s="3">
        <f t="shared" si="0"/>
        <v>27</v>
      </c>
      <c r="AR20" s="3">
        <f t="shared" si="1"/>
        <v>221</v>
      </c>
      <c r="AS20" s="19">
        <v>219.5</v>
      </c>
      <c r="AT20" s="9">
        <v>-12.5</v>
      </c>
      <c r="AU20" s="9">
        <v>-110</v>
      </c>
      <c r="AV20" s="9">
        <v>12.5</v>
      </c>
      <c r="AW20" s="4">
        <v>-110</v>
      </c>
    </row>
    <row r="21" spans="1:49" x14ac:dyDescent="0.25">
      <c r="A21" s="5">
        <f>'Celtics Game Data'!A20</f>
        <v>45261</v>
      </c>
      <c r="B21" s="5" t="str">
        <f>'Celtics Game Data'!B20</f>
        <v>Philadelphia 76ers</v>
      </c>
      <c r="C21" s="5" t="str">
        <f>'Celtics Game Data'!C20</f>
        <v>Home</v>
      </c>
      <c r="D21" s="5" t="b">
        <v>0</v>
      </c>
      <c r="E21" s="10">
        <f>COUNTIF('Celtics Game Data'!$D$2:D19,TRUE)/(COUNTIF('Celtics Game Data'!$D$2:D19, TRUE) + COUNTIF('Celtics Game Data'!$D$2:D19, FALSE))</f>
        <v>0.77777777777777779</v>
      </c>
      <c r="F21" s="11">
        <f>IFERROR(COUNTIF('Celtics Game Data'!$Q$2:Q19,2)/(COUNTIF('Celtics Game Data'!$Q$2:Q19, 2) + COUNTIF('Celtics Game Data'!$Q$2:Q19, 1)),"")</f>
        <v>1</v>
      </c>
      <c r="G21" s="11">
        <f>IFERROR(COUNTIF('Celtics Game Data'!$R$2:R19,2)/(COUNTIF('Celtics Game Data'!$R$2:R19, 2) + COUNTIF('Celtics Game Data'!$R$2:R19, 1)),"")</f>
        <v>0.6</v>
      </c>
      <c r="H21" s="11">
        <f>COUNTIF('Celtics Game Data'!D15:D19,TRUE)/(COUNTIF('Celtics Game Data'!D15:D19, TRUE) + COUNTIF('Celtics Game Data'!D15:D19, FALSE))</f>
        <v>0.6</v>
      </c>
      <c r="I21" s="11">
        <f>COUNTIF('Celtics Game Data'!D10:D19,TRUE)/(COUNTIF('Celtics Game Data'!D10:D19, TRUE) + COUNTIF('Celtics Game Data'!D10:D19, FALSE))</f>
        <v>0.8</v>
      </c>
      <c r="J21" s="12">
        <f>AVERAGE('Celtics Game Data'!$E$2:E19)</f>
        <v>116.27777777777777</v>
      </c>
      <c r="K21" s="12">
        <f>AVERAGE('Celtics Game Data'!E15:E19)</f>
        <v>114</v>
      </c>
      <c r="L21" s="12">
        <f>AVERAGE('Celtics Game Data'!E10:E19)</f>
        <v>112.8</v>
      </c>
      <c r="M21" s="12">
        <f>AVERAGE('Celtics Game Data'!$M$2:M19)</f>
        <v>118.90000000000002</v>
      </c>
      <c r="N21" s="12">
        <f>AVERAGE('Celtics Game Data'!M10:M19)</f>
        <v>117.68000000000002</v>
      </c>
      <c r="O21" s="12">
        <f>AVERAGE('Celtics Game Data'!$N$2:N19)</f>
        <v>108.69444444444447</v>
      </c>
      <c r="P21" s="12">
        <f>AVERAGE('Celtics Game Data'!N10:N19)</f>
        <v>109.06000000000002</v>
      </c>
      <c r="Q21" s="12">
        <f>AVERAGE('Celtics Game Data'!G10:G19)</f>
        <v>41.2</v>
      </c>
      <c r="R21" s="11">
        <f>AVERAGE('Celtics Game Data'!H10:H19)</f>
        <v>0.47709999999999997</v>
      </c>
      <c r="S21" s="12">
        <f>AVERAGE('Celtics Game Data'!I10:I19)</f>
        <v>15.4</v>
      </c>
      <c r="T21" s="11">
        <f>AVERAGE('Celtics Game Data'!J10:J19)</f>
        <v>0.35499999999999998</v>
      </c>
      <c r="U21" s="12">
        <f>AVERAGE('Celtics Game Data'!K10:K19)</f>
        <v>15</v>
      </c>
      <c r="V21" s="11">
        <f>AVERAGE('Celtics Game Data'!L10:L19)</f>
        <v>0.77779999999999994</v>
      </c>
      <c r="W21" s="9">
        <v>1</v>
      </c>
      <c r="X21" s="9">
        <v>1</v>
      </c>
      <c r="Y21" s="4">
        <f>'Celtics Game Data'!O20</f>
        <v>3</v>
      </c>
      <c r="Z21" s="10">
        <f>12/18</f>
        <v>0.66666666666666663</v>
      </c>
      <c r="AA21" s="13">
        <v>114</v>
      </c>
      <c r="AB21" s="9" t="b">
        <v>0</v>
      </c>
      <c r="AC21" s="14">
        <v>42</v>
      </c>
      <c r="AD21" s="11">
        <v>0.51900000000000002</v>
      </c>
      <c r="AE21" s="14">
        <v>14</v>
      </c>
      <c r="AF21" s="11">
        <v>0.41200000000000003</v>
      </c>
      <c r="AG21" s="14">
        <v>16</v>
      </c>
      <c r="AH21" s="11">
        <v>0.88900000000000001</v>
      </c>
      <c r="AI21" s="16">
        <v>115.8</v>
      </c>
      <c r="AJ21" s="16">
        <v>125.9</v>
      </c>
      <c r="AK21" s="9">
        <v>4</v>
      </c>
      <c r="AL21" s="9">
        <v>2</v>
      </c>
      <c r="AM21" s="4">
        <v>12</v>
      </c>
      <c r="AN21" s="2" t="b">
        <f>'Celtics Game Data'!D20</f>
        <v>1</v>
      </c>
      <c r="AO21" s="3">
        <f>'Celtics Game Data'!E20</f>
        <v>125</v>
      </c>
      <c r="AP21" s="3">
        <f>'Celtics Game Data'!F20</f>
        <v>119</v>
      </c>
      <c r="AQ21" s="3">
        <f t="shared" si="0"/>
        <v>6</v>
      </c>
      <c r="AR21" s="3">
        <f t="shared" si="1"/>
        <v>244</v>
      </c>
      <c r="AS21" s="19">
        <v>218</v>
      </c>
      <c r="AT21" s="9">
        <v>-11.5</v>
      </c>
      <c r="AU21" s="9">
        <v>-115</v>
      </c>
      <c r="AV21" s="9">
        <v>11.5</v>
      </c>
      <c r="AW21" s="4">
        <v>-105</v>
      </c>
    </row>
    <row r="22" spans="1:49" x14ac:dyDescent="0.25">
      <c r="A22" s="5">
        <f>'Celtics Game Data'!A21</f>
        <v>45264</v>
      </c>
      <c r="B22" s="5" t="str">
        <f>'Celtics Game Data'!B21</f>
        <v>Indiana Pacers</v>
      </c>
      <c r="C22" s="5" t="str">
        <f>'Celtics Game Data'!C21</f>
        <v>Away</v>
      </c>
      <c r="D22" s="5" t="b">
        <v>1</v>
      </c>
      <c r="E22" s="10">
        <f>COUNTIF('Celtics Game Data'!$D$2:D20,TRUE)/(COUNTIF('Celtics Game Data'!$D$2:D20, TRUE) + COUNTIF('Celtics Game Data'!$D$2:D20, FALSE))</f>
        <v>0.78947368421052633</v>
      </c>
      <c r="F22" s="11">
        <f>IFERROR(COUNTIF('Celtics Game Data'!$Q$2:Q20,2)/(COUNTIF('Celtics Game Data'!$Q$2:Q20, 2) + COUNTIF('Celtics Game Data'!$Q$2:Q20, 1)),"")</f>
        <v>1</v>
      </c>
      <c r="G22" s="11">
        <f>IFERROR(COUNTIF('Celtics Game Data'!$R$2:R20,2)/(COUNTIF('Celtics Game Data'!$R$2:R20, 2) + COUNTIF('Celtics Game Data'!$R$2:R20, 1)),"")</f>
        <v>0.6</v>
      </c>
      <c r="H22" s="11">
        <f>COUNTIF('Celtics Game Data'!D16:D20,TRUE)/(COUNTIF('Celtics Game Data'!D16:D20, TRUE) + COUNTIF('Celtics Game Data'!D16:D20, FALSE))</f>
        <v>0.8</v>
      </c>
      <c r="I22" s="11">
        <f>COUNTIF('Celtics Game Data'!D11:D20,TRUE)/(COUNTIF('Celtics Game Data'!D11:D20, TRUE) + COUNTIF('Celtics Game Data'!D11:D20, FALSE))</f>
        <v>0.8</v>
      </c>
      <c r="J22" s="12">
        <f>AVERAGE('Celtics Game Data'!$E$2:E20)</f>
        <v>116.73684210526316</v>
      </c>
      <c r="K22" s="12">
        <f>AVERAGE('Celtics Game Data'!E16:E20)</f>
        <v>115.4</v>
      </c>
      <c r="L22" s="12">
        <f>AVERAGE('Celtics Game Data'!E11:E20)</f>
        <v>113.6</v>
      </c>
      <c r="M22" s="12">
        <f>AVERAGE('Celtics Game Data'!$M$2:M20)</f>
        <v>119.10526315789475</v>
      </c>
      <c r="N22" s="12">
        <f>AVERAGE('Celtics Game Data'!M11:M20)</f>
        <v>117.89000000000001</v>
      </c>
      <c r="O22" s="12">
        <f>AVERAGE('Celtics Game Data'!$N$2:N20)</f>
        <v>109.12631578947371</v>
      </c>
      <c r="P22" s="12">
        <f>AVERAGE('Celtics Game Data'!N11:N20)</f>
        <v>111.65000000000002</v>
      </c>
      <c r="Q22" s="12">
        <f>AVERAGE('Celtics Game Data'!G11:G20)</f>
        <v>40.4</v>
      </c>
      <c r="R22" s="11">
        <f>AVERAGE('Celtics Game Data'!H11:H20)</f>
        <v>0.47300000000000003</v>
      </c>
      <c r="S22" s="12">
        <f>AVERAGE('Celtics Game Data'!I11:I20)</f>
        <v>15.5</v>
      </c>
      <c r="T22" s="11">
        <f>AVERAGE('Celtics Game Data'!J11:J20)</f>
        <v>0.36940000000000001</v>
      </c>
      <c r="U22" s="12">
        <f>AVERAGE('Celtics Game Data'!K11:K20)</f>
        <v>17.3</v>
      </c>
      <c r="V22" s="11">
        <f>AVERAGE('Celtics Game Data'!L11:L20)</f>
        <v>0.80239999999999989</v>
      </c>
      <c r="W22" s="9">
        <v>1</v>
      </c>
      <c r="X22" s="9">
        <v>1</v>
      </c>
      <c r="Y22" s="4">
        <f>'Celtics Game Data'!O21</f>
        <v>3</v>
      </c>
      <c r="Z22" s="10">
        <f>10/18</f>
        <v>0.55555555555555558</v>
      </c>
      <c r="AA22" s="14">
        <v>144</v>
      </c>
      <c r="AB22" s="9" t="b">
        <v>1</v>
      </c>
      <c r="AC22" s="14">
        <v>56</v>
      </c>
      <c r="AD22" s="11">
        <v>0.65900000000000003</v>
      </c>
      <c r="AE22" s="14">
        <v>16</v>
      </c>
      <c r="AF22" s="11">
        <v>0.5</v>
      </c>
      <c r="AG22" s="14">
        <v>16</v>
      </c>
      <c r="AH22" s="11">
        <v>0.8</v>
      </c>
      <c r="AI22" s="16">
        <v>144.5</v>
      </c>
      <c r="AJ22" s="16">
        <v>129.4</v>
      </c>
      <c r="AK22" s="3">
        <v>6</v>
      </c>
      <c r="AL22" s="3">
        <v>2</v>
      </c>
      <c r="AM22" s="4">
        <v>3</v>
      </c>
      <c r="AN22" s="2" t="b">
        <f>'Celtics Game Data'!D21</f>
        <v>0</v>
      </c>
      <c r="AO22" s="3">
        <f>'Celtics Game Data'!E21</f>
        <v>112</v>
      </c>
      <c r="AP22" s="3">
        <f>'Celtics Game Data'!F21</f>
        <v>122</v>
      </c>
      <c r="AQ22" s="3">
        <f t="shared" si="0"/>
        <v>-10</v>
      </c>
      <c r="AR22" s="3">
        <f t="shared" si="1"/>
        <v>234</v>
      </c>
      <c r="AS22" s="19">
        <v>244.5</v>
      </c>
      <c r="AT22" s="9">
        <v>-4.5</v>
      </c>
      <c r="AU22" s="3">
        <f>-110</f>
        <v>-110</v>
      </c>
      <c r="AV22" s="3">
        <f>AT22*-1</f>
        <v>4.5</v>
      </c>
      <c r="AW22" s="4">
        <f>AU22</f>
        <v>-110</v>
      </c>
    </row>
    <row r="23" spans="1:49" x14ac:dyDescent="0.25">
      <c r="A23" s="5">
        <f>'Celtics Game Data'!A22</f>
        <v>45268</v>
      </c>
      <c r="B23" s="5" t="str">
        <f>'Celtics Game Data'!B22</f>
        <v>New York Knicks</v>
      </c>
      <c r="C23" s="5" t="str">
        <f>'Celtics Game Data'!C22</f>
        <v>Home</v>
      </c>
      <c r="D23" s="5" t="b">
        <v>0</v>
      </c>
      <c r="E23" s="10">
        <f>COUNTIF('Celtics Game Data'!$D$2:D21,TRUE)/(COUNTIF('Celtics Game Data'!$D$2:D21, TRUE) + COUNTIF('Celtics Game Data'!$D$2:D21, FALSE))</f>
        <v>0.75</v>
      </c>
      <c r="F23" s="11">
        <f>IFERROR(COUNTIF('Celtics Game Data'!$Q$2:Q21,2)/(COUNTIF('Celtics Game Data'!$Q$2:Q21, 2) + COUNTIF('Celtics Game Data'!$Q$2:Q21, 1)),"")</f>
        <v>1</v>
      </c>
      <c r="G23" s="11">
        <f>IFERROR(COUNTIF('Celtics Game Data'!$R$2:R21,2)/(COUNTIF('Celtics Game Data'!$R$2:R21, 2) + COUNTIF('Celtics Game Data'!$R$2:R21, 1)),"")</f>
        <v>0.54545454545454541</v>
      </c>
      <c r="H23" s="11">
        <f>COUNTIF('Celtics Game Data'!D17:D21,TRUE)/(COUNTIF('Celtics Game Data'!D17:D21, TRUE) + COUNTIF('Celtics Game Data'!D17:D21, FALSE))</f>
        <v>0.6</v>
      </c>
      <c r="I23" s="11">
        <f>COUNTIF('Celtics Game Data'!D12:D21,TRUE)/(COUNTIF('Celtics Game Data'!D12:D21, TRUE) + COUNTIF('Celtics Game Data'!D12:D21, FALSE))</f>
        <v>0.7</v>
      </c>
      <c r="J23" s="12">
        <f>AVERAGE('Celtics Game Data'!$E$2:E21)</f>
        <v>116.5</v>
      </c>
      <c r="K23" s="12">
        <f>AVERAGE('Celtics Game Data'!E17:E21)</f>
        <v>114</v>
      </c>
      <c r="L23" s="12">
        <f>AVERAGE('Celtics Game Data'!E12:E21)</f>
        <v>113.4</v>
      </c>
      <c r="M23" s="12">
        <f>AVERAGE('Celtics Game Data'!$M$2:M21)</f>
        <v>118.63000000000002</v>
      </c>
      <c r="N23" s="12">
        <f>AVERAGE('Celtics Game Data'!M12:M21)</f>
        <v>115.31999999999998</v>
      </c>
      <c r="O23" s="12">
        <f>AVERAGE('Celtics Game Data'!$N$2:N21)</f>
        <v>109.63500000000003</v>
      </c>
      <c r="P23" s="12">
        <f>AVERAGE('Celtics Game Data'!N12:N21)</f>
        <v>111.95</v>
      </c>
      <c r="Q23" s="12">
        <f>AVERAGE('Celtics Game Data'!G12:G21)</f>
        <v>41</v>
      </c>
      <c r="R23" s="11">
        <f>AVERAGE('Celtics Game Data'!H12:H21)</f>
        <v>0.46980000000000005</v>
      </c>
      <c r="S23" s="12">
        <f>AVERAGE('Celtics Game Data'!I12:I21)</f>
        <v>14.8</v>
      </c>
      <c r="T23" s="11">
        <f>AVERAGE('Celtics Game Data'!J12:J21)</f>
        <v>0.35449999999999998</v>
      </c>
      <c r="U23" s="12">
        <f>AVERAGE('Celtics Game Data'!K12:K21)</f>
        <v>16.600000000000001</v>
      </c>
      <c r="V23" s="11">
        <f>AVERAGE('Celtics Game Data'!L12:L21)</f>
        <v>0.77529999999999988</v>
      </c>
      <c r="W23" s="9">
        <v>1</v>
      </c>
      <c r="X23" s="9">
        <v>1</v>
      </c>
      <c r="Y23" s="4">
        <f>'Celtics Game Data'!O22</f>
        <v>0</v>
      </c>
      <c r="Z23" s="10">
        <f>12/20</f>
        <v>0.6</v>
      </c>
      <c r="AA23" s="14">
        <v>122</v>
      </c>
      <c r="AB23" s="9" t="b">
        <v>0</v>
      </c>
      <c r="AC23" s="14">
        <v>43</v>
      </c>
      <c r="AD23" s="11">
        <v>0.49399999999999999</v>
      </c>
      <c r="AE23" s="14">
        <v>7</v>
      </c>
      <c r="AF23" s="11">
        <v>0.30399999999999999</v>
      </c>
      <c r="AG23" s="14">
        <v>29</v>
      </c>
      <c r="AH23" s="11">
        <v>0.879</v>
      </c>
      <c r="AI23" s="16">
        <v>122.8</v>
      </c>
      <c r="AJ23" s="16">
        <v>147</v>
      </c>
      <c r="AK23" s="3">
        <v>6</v>
      </c>
      <c r="AL23" s="3">
        <v>3</v>
      </c>
      <c r="AM23" s="4">
        <v>0</v>
      </c>
      <c r="AN23" s="2" t="b">
        <f>'Celtics Game Data'!D22</f>
        <v>1</v>
      </c>
      <c r="AO23" s="3">
        <f>'Celtics Game Data'!E22</f>
        <v>133</v>
      </c>
      <c r="AP23" s="3">
        <f>'Celtics Game Data'!F22</f>
        <v>123</v>
      </c>
      <c r="AQ23" s="3">
        <f t="shared" si="0"/>
        <v>10</v>
      </c>
      <c r="AR23" s="3">
        <f t="shared" si="1"/>
        <v>256</v>
      </c>
      <c r="AS23" s="19">
        <v>221</v>
      </c>
      <c r="AT23" s="9">
        <v>-7.5</v>
      </c>
      <c r="AU23" s="3">
        <f>-110</f>
        <v>-110</v>
      </c>
      <c r="AV23" s="3">
        <f t="shared" ref="AV23:AV84" si="2">AT23*-1</f>
        <v>7.5</v>
      </c>
      <c r="AW23" s="4">
        <f t="shared" ref="AW23:AW84" si="3">AU23</f>
        <v>-110</v>
      </c>
    </row>
    <row r="24" spans="1:49" x14ac:dyDescent="0.25">
      <c r="A24" s="5">
        <f>'Celtics Game Data'!A23</f>
        <v>45272</v>
      </c>
      <c r="B24" s="5" t="str">
        <f>'Celtics Game Data'!B23</f>
        <v>Cleveland Cavaliers</v>
      </c>
      <c r="C24" s="5" t="str">
        <f>'Celtics Game Data'!C23</f>
        <v>Home</v>
      </c>
      <c r="D24" s="5" t="b">
        <v>0</v>
      </c>
      <c r="E24" s="10">
        <f>COUNTIF('Celtics Game Data'!$D$2:D22,TRUE)/(COUNTIF('Celtics Game Data'!$D$2:D22, TRUE) + COUNTIF('Celtics Game Data'!$D$2:D22, FALSE))</f>
        <v>0.76190476190476186</v>
      </c>
      <c r="F24" s="11">
        <f>IFERROR(COUNTIF('Celtics Game Data'!$Q$2:Q22,2)/(COUNTIF('Celtics Game Data'!$Q$2:Q22, 2) + COUNTIF('Celtics Game Data'!$Q$2:Q22, 1)),"")</f>
        <v>1</v>
      </c>
      <c r="G24" s="11">
        <f>IFERROR(COUNTIF('Celtics Game Data'!$R$2:R22,2)/(COUNTIF('Celtics Game Data'!$R$2:R22, 2) + COUNTIF('Celtics Game Data'!$R$2:R22, 1)),"")</f>
        <v>0.54545454545454541</v>
      </c>
      <c r="H24" s="11">
        <f>COUNTIF('Celtics Game Data'!D18:D22,TRUE)/(COUNTIF('Celtics Game Data'!D18:D22, TRUE) + COUNTIF('Celtics Game Data'!D18:D22, FALSE))</f>
        <v>0.8</v>
      </c>
      <c r="I24" s="11">
        <f>COUNTIF('Celtics Game Data'!D13:D22,TRUE)/(COUNTIF('Celtics Game Data'!D13:D22, TRUE) + COUNTIF('Celtics Game Data'!D13:D22, FALSE))</f>
        <v>0.7</v>
      </c>
      <c r="J24" s="12">
        <f>AVERAGE('Celtics Game Data'!$E$2:E22)</f>
        <v>117.28571428571429</v>
      </c>
      <c r="K24" s="12">
        <f>AVERAGE('Celtics Game Data'!E18:E22)</f>
        <v>121.4</v>
      </c>
      <c r="L24" s="12">
        <f>AVERAGE('Celtics Game Data'!E13:E22)</f>
        <v>115</v>
      </c>
      <c r="M24" s="12">
        <f>AVERAGE('Celtics Game Data'!$M$2:M22)</f>
        <v>119.50476190476192</v>
      </c>
      <c r="N24" s="12">
        <f>AVERAGE('Celtics Game Data'!M13:M22)</f>
        <v>116.17999999999999</v>
      </c>
      <c r="O24" s="12">
        <f>AVERAGE('Celtics Game Data'!$N$2:N22)</f>
        <v>110.44761904761907</v>
      </c>
      <c r="P24" s="12">
        <f>AVERAGE('Celtics Game Data'!N13:N22)</f>
        <v>112.88</v>
      </c>
      <c r="Q24" s="12">
        <f>AVERAGE('Celtics Game Data'!G13:G22)</f>
        <v>41.6</v>
      </c>
      <c r="R24" s="11">
        <f>AVERAGE('Celtics Game Data'!H13:H22)</f>
        <v>0.47480000000000011</v>
      </c>
      <c r="S24" s="12">
        <f>AVERAGE('Celtics Game Data'!I13:I22)</f>
        <v>14.9</v>
      </c>
      <c r="T24" s="11">
        <f>AVERAGE('Celtics Game Data'!J13:J22)</f>
        <v>0.3589</v>
      </c>
      <c r="U24" s="12">
        <f>AVERAGE('Celtics Game Data'!K13:K22)</f>
        <v>16.899999999999999</v>
      </c>
      <c r="V24" s="11">
        <f>AVERAGE('Celtics Game Data'!L13:L22)</f>
        <v>0.78210000000000002</v>
      </c>
      <c r="W24" s="9">
        <v>1</v>
      </c>
      <c r="X24" s="9">
        <v>1</v>
      </c>
      <c r="Y24" s="4">
        <f>'Celtics Game Data'!O23</f>
        <v>0</v>
      </c>
      <c r="Z24" s="10">
        <f>13/23</f>
        <v>0.56521739130434778</v>
      </c>
      <c r="AA24" s="14">
        <v>94</v>
      </c>
      <c r="AB24" s="9" t="b">
        <v>0</v>
      </c>
      <c r="AC24" s="14">
        <v>30</v>
      </c>
      <c r="AD24" s="11">
        <v>0.35299999999999998</v>
      </c>
      <c r="AE24" s="14">
        <v>9</v>
      </c>
      <c r="AF24" s="11">
        <v>0.22500000000000001</v>
      </c>
      <c r="AG24" s="14">
        <v>25</v>
      </c>
      <c r="AH24" s="11">
        <v>0.75800000000000001</v>
      </c>
      <c r="AI24" s="16">
        <v>102.8</v>
      </c>
      <c r="AJ24" s="16">
        <v>113.8</v>
      </c>
      <c r="AK24" s="9">
        <v>7</v>
      </c>
      <c r="AL24" s="9">
        <v>3</v>
      </c>
      <c r="AM24" s="4">
        <v>2</v>
      </c>
      <c r="AN24" s="2" t="b">
        <f>'Celtics Game Data'!D23</f>
        <v>1</v>
      </c>
      <c r="AO24" s="3">
        <f>'Celtics Game Data'!E23</f>
        <v>120</v>
      </c>
      <c r="AP24" s="3">
        <f>'Celtics Game Data'!F23</f>
        <v>113</v>
      </c>
      <c r="AQ24" s="3">
        <f t="shared" si="0"/>
        <v>7</v>
      </c>
      <c r="AR24" s="3">
        <f t="shared" si="1"/>
        <v>233</v>
      </c>
      <c r="AS24" s="19">
        <v>226.5</v>
      </c>
      <c r="AT24" s="9">
        <v>-11.5</v>
      </c>
      <c r="AU24" s="3">
        <f t="shared" ref="AU24:AU84" si="4">-110</f>
        <v>-110</v>
      </c>
      <c r="AV24" s="3">
        <f t="shared" si="2"/>
        <v>11.5</v>
      </c>
      <c r="AW24" s="4">
        <f t="shared" si="3"/>
        <v>-110</v>
      </c>
    </row>
    <row r="25" spans="1:49" x14ac:dyDescent="0.25">
      <c r="A25" s="5">
        <f>'Celtics Game Data'!A24</f>
        <v>45274</v>
      </c>
      <c r="B25" s="5" t="str">
        <f>'Celtics Game Data'!B24</f>
        <v>Cleveland Cavaliers</v>
      </c>
      <c r="C25" s="5" t="str">
        <f>'Celtics Game Data'!C24</f>
        <v>Home</v>
      </c>
      <c r="D25" s="5" t="b">
        <v>0</v>
      </c>
      <c r="E25" s="10">
        <f>COUNTIF('Celtics Game Data'!$D$2:D23,TRUE)/(COUNTIF('Celtics Game Data'!$D$2:D23, TRUE) + COUNTIF('Celtics Game Data'!$D$2:D23, FALSE))</f>
        <v>0.77272727272727271</v>
      </c>
      <c r="F25" s="11">
        <f>IFERROR(COUNTIF('Celtics Game Data'!$Q$2:Q23,2)/(COUNTIF('Celtics Game Data'!$Q$2:Q23, 2) + COUNTIF('Celtics Game Data'!$Q$2:Q23, 1)),"")</f>
        <v>1</v>
      </c>
      <c r="G25" s="11">
        <f>IFERROR(COUNTIF('Celtics Game Data'!$R$2:R23,2)/(COUNTIF('Celtics Game Data'!$R$2:R23, 2) + COUNTIF('Celtics Game Data'!$R$2:R23, 1)),"")</f>
        <v>0.54545454545454541</v>
      </c>
      <c r="H25" s="11">
        <f>COUNTIF('Celtics Game Data'!D19:D23,TRUE)/(COUNTIF('Celtics Game Data'!D19:D23, TRUE) + COUNTIF('Celtics Game Data'!D19:D23, FALSE))</f>
        <v>0.8</v>
      </c>
      <c r="I25" s="11">
        <f>COUNTIF('Celtics Game Data'!D14:D23,TRUE)/(COUNTIF('Celtics Game Data'!D14:D23, TRUE) + COUNTIF('Celtics Game Data'!D14:D23, FALSE))</f>
        <v>0.7</v>
      </c>
      <c r="J25" s="12">
        <f>AVERAGE('Celtics Game Data'!$E$2:E23)</f>
        <v>117.40909090909091</v>
      </c>
      <c r="K25" s="12">
        <f>AVERAGE('Celtics Game Data'!E19:E23)</f>
        <v>122.8</v>
      </c>
      <c r="L25" s="12">
        <f>AVERAGE('Celtics Game Data'!E14:E23)</f>
        <v>116.2</v>
      </c>
      <c r="M25" s="12">
        <f>AVERAGE('Celtics Game Data'!$M$2:M23)</f>
        <v>119.73636363636365</v>
      </c>
      <c r="N25" s="12">
        <f>AVERAGE('Celtics Game Data'!M14:M23)</f>
        <v>117.6</v>
      </c>
      <c r="O25" s="12">
        <f>AVERAGE('Celtics Game Data'!$N$2:N23)</f>
        <v>110.75909090909094</v>
      </c>
      <c r="P25" s="12">
        <f>AVERAGE('Celtics Game Data'!N14:N23)</f>
        <v>113.87</v>
      </c>
      <c r="Q25" s="12">
        <f>AVERAGE('Celtics Game Data'!G14:G23)</f>
        <v>41.2</v>
      </c>
      <c r="R25" s="11">
        <f>AVERAGE('Celtics Game Data'!H14:H23)</f>
        <v>0.47430000000000005</v>
      </c>
      <c r="S25" s="12">
        <f>AVERAGE('Celtics Game Data'!I14:I23)</f>
        <v>15.1</v>
      </c>
      <c r="T25" s="11">
        <f>AVERAGE('Celtics Game Data'!J14:J23)</f>
        <v>0.36499999999999999</v>
      </c>
      <c r="U25" s="12">
        <f>AVERAGE('Celtics Game Data'!K14:K23)</f>
        <v>18.7</v>
      </c>
      <c r="V25" s="11">
        <f>AVERAGE('Celtics Game Data'!L14:L23)</f>
        <v>0.79319999999999991</v>
      </c>
      <c r="W25" s="9">
        <v>1</v>
      </c>
      <c r="X25" s="9">
        <v>1</v>
      </c>
      <c r="Y25" s="4">
        <f>'Celtics Game Data'!O24</f>
        <v>0</v>
      </c>
      <c r="Z25" s="10">
        <f>13/24</f>
        <v>0.54166666666666663</v>
      </c>
      <c r="AA25" s="14">
        <v>113</v>
      </c>
      <c r="AB25" s="9" t="b">
        <v>0</v>
      </c>
      <c r="AC25" s="14">
        <v>44</v>
      </c>
      <c r="AD25" s="11">
        <v>0.47799999999999998</v>
      </c>
      <c r="AE25" s="14">
        <v>19</v>
      </c>
      <c r="AF25" s="11">
        <v>0.42200000000000004</v>
      </c>
      <c r="AG25" s="14">
        <v>6</v>
      </c>
      <c r="AH25" s="11">
        <v>0.66700000000000004</v>
      </c>
      <c r="AI25" s="16">
        <v>117.3</v>
      </c>
      <c r="AJ25" s="16">
        <v>124.6</v>
      </c>
      <c r="AK25" s="9">
        <v>9</v>
      </c>
      <c r="AL25" s="9">
        <v>3</v>
      </c>
      <c r="AM25" s="4">
        <v>3</v>
      </c>
      <c r="AN25" s="2" t="b">
        <f>'Celtics Game Data'!D24</f>
        <v>1</v>
      </c>
      <c r="AO25" s="3">
        <f>'Celtics Game Data'!E24</f>
        <v>116</v>
      </c>
      <c r="AP25" s="3">
        <f>'Celtics Game Data'!F24</f>
        <v>107</v>
      </c>
      <c r="AQ25" s="3">
        <f t="shared" si="0"/>
        <v>9</v>
      </c>
      <c r="AR25" s="3">
        <f t="shared" si="1"/>
        <v>223</v>
      </c>
      <c r="AS25" s="19">
        <v>227.5</v>
      </c>
      <c r="AT25" s="9">
        <v>-8.5</v>
      </c>
      <c r="AU25" s="3">
        <f t="shared" si="4"/>
        <v>-110</v>
      </c>
      <c r="AV25" s="3">
        <f t="shared" si="2"/>
        <v>8.5</v>
      </c>
      <c r="AW25" s="4">
        <f t="shared" si="3"/>
        <v>-110</v>
      </c>
    </row>
    <row r="26" spans="1:49" x14ac:dyDescent="0.25">
      <c r="A26" s="5">
        <f>'Celtics Game Data'!A25</f>
        <v>45275</v>
      </c>
      <c r="B26" s="5" t="str">
        <f>'Celtics Game Data'!B25</f>
        <v>Orlando Magic</v>
      </c>
      <c r="C26" s="5" t="str">
        <f>'Celtics Game Data'!C25</f>
        <v>Home</v>
      </c>
      <c r="D26" s="5" t="b">
        <v>0</v>
      </c>
      <c r="E26" s="10">
        <f>COUNTIF('Celtics Game Data'!$D$2:D24,TRUE)/(COUNTIF('Celtics Game Data'!$D$2:D24, TRUE) + COUNTIF('Celtics Game Data'!$D$2:D24, FALSE))</f>
        <v>0.78260869565217395</v>
      </c>
      <c r="F26" s="11">
        <f>IFERROR(COUNTIF('Celtics Game Data'!$Q$2:Q24,2)/(COUNTIF('Celtics Game Data'!$Q$2:Q24, 2) + COUNTIF('Celtics Game Data'!$Q$2:Q24, 1)),"")</f>
        <v>1</v>
      </c>
      <c r="G26" s="11">
        <f>IFERROR(COUNTIF('Celtics Game Data'!$R$2:R24,2)/(COUNTIF('Celtics Game Data'!$R$2:R24, 2) + COUNTIF('Celtics Game Data'!$R$2:R24, 1)),"")</f>
        <v>0.54545454545454541</v>
      </c>
      <c r="H26" s="11">
        <f>COUNTIF('Celtics Game Data'!D20:D24,TRUE)/(COUNTIF('Celtics Game Data'!D20:D24, TRUE) + COUNTIF('Celtics Game Data'!D20:D24, FALSE))</f>
        <v>0.8</v>
      </c>
      <c r="I26" s="11">
        <f>COUNTIF('Celtics Game Data'!D15:D24,TRUE)/(COUNTIF('Celtics Game Data'!D15:D24, TRUE) + COUNTIF('Celtics Game Data'!D15:D24, FALSE))</f>
        <v>0.7</v>
      </c>
      <c r="J26" s="12">
        <f>AVERAGE('Celtics Game Data'!$E$2:E24)</f>
        <v>117.34782608695652</v>
      </c>
      <c r="K26" s="12">
        <f>AVERAGE('Celtics Game Data'!E20:E24)</f>
        <v>121.2</v>
      </c>
      <c r="L26" s="12">
        <f>AVERAGE('Celtics Game Data'!E15:E24)</f>
        <v>117.6</v>
      </c>
      <c r="M26" s="12">
        <f>AVERAGE('Celtics Game Data'!$M$2:M24)</f>
        <v>119.9</v>
      </c>
      <c r="N26" s="12">
        <f>AVERAGE('Celtics Game Data'!M15:M24)</f>
        <v>118.83999999999999</v>
      </c>
      <c r="O26" s="12">
        <f>AVERAGE('Celtics Game Data'!$N$2:N24)</f>
        <v>110.89565217391308</v>
      </c>
      <c r="P26" s="12">
        <f>AVERAGE('Celtics Game Data'!N15:N24)</f>
        <v>114.37</v>
      </c>
      <c r="Q26" s="12">
        <f>AVERAGE('Celtics Game Data'!G15:G24)</f>
        <v>42</v>
      </c>
      <c r="R26" s="11">
        <f>AVERAGE('Celtics Game Data'!H15:H24)</f>
        <v>0.47940000000000005</v>
      </c>
      <c r="S26" s="12">
        <f>AVERAGE('Celtics Game Data'!I15:I24)</f>
        <v>15.2</v>
      </c>
      <c r="T26" s="11">
        <f>AVERAGE('Celtics Game Data'!J15:J24)</f>
        <v>0.36239999999999994</v>
      </c>
      <c r="U26" s="12">
        <f>AVERAGE('Celtics Game Data'!K15:K24)</f>
        <v>18.399999999999999</v>
      </c>
      <c r="V26" s="11">
        <f>AVERAGE('Celtics Game Data'!L15:L24)</f>
        <v>0.79819999999999991</v>
      </c>
      <c r="W26" s="9">
        <v>1</v>
      </c>
      <c r="X26" s="9">
        <v>1</v>
      </c>
      <c r="Y26" s="4">
        <f>'Celtics Game Data'!O25</f>
        <v>3</v>
      </c>
      <c r="Z26" s="10">
        <f>16/23</f>
        <v>0.69565217391304346</v>
      </c>
      <c r="AA26" s="14">
        <v>104</v>
      </c>
      <c r="AB26" s="9" t="b">
        <v>1</v>
      </c>
      <c r="AC26" s="14">
        <v>39</v>
      </c>
      <c r="AD26" s="11">
        <v>0.46399999999999997</v>
      </c>
      <c r="AE26" s="14">
        <v>7</v>
      </c>
      <c r="AF26" s="11">
        <v>0.26899999999999996</v>
      </c>
      <c r="AG26" s="14">
        <v>19</v>
      </c>
      <c r="AH26" s="11">
        <v>0.76</v>
      </c>
      <c r="AI26" s="16">
        <v>113.8</v>
      </c>
      <c r="AJ26" s="16">
        <v>102.8</v>
      </c>
      <c r="AK26" s="9">
        <v>3</v>
      </c>
      <c r="AL26" s="3">
        <v>1</v>
      </c>
      <c r="AM26" s="4">
        <v>1</v>
      </c>
      <c r="AN26" s="2" t="b">
        <f>'Celtics Game Data'!D25</f>
        <v>1</v>
      </c>
      <c r="AO26" s="3">
        <f>'Celtics Game Data'!E25</f>
        <v>128</v>
      </c>
      <c r="AP26" s="3">
        <f>'Celtics Game Data'!F25</f>
        <v>111</v>
      </c>
      <c r="AQ26" s="3">
        <f t="shared" si="0"/>
        <v>17</v>
      </c>
      <c r="AR26" s="3">
        <f t="shared" si="1"/>
        <v>239</v>
      </c>
      <c r="AS26" s="19">
        <v>227.5</v>
      </c>
      <c r="AT26" s="9">
        <v>-5.5</v>
      </c>
      <c r="AU26" s="3">
        <f t="shared" si="4"/>
        <v>-110</v>
      </c>
      <c r="AV26" s="3">
        <f t="shared" si="2"/>
        <v>5.5</v>
      </c>
      <c r="AW26" s="4">
        <f t="shared" si="3"/>
        <v>-110</v>
      </c>
    </row>
    <row r="27" spans="1:49" x14ac:dyDescent="0.25">
      <c r="A27" s="5">
        <f>'Celtics Game Data'!A26</f>
        <v>45277</v>
      </c>
      <c r="B27" s="5" t="str">
        <f>'Celtics Game Data'!B26</f>
        <v>Orlando Magic</v>
      </c>
      <c r="C27" s="5" t="str">
        <f>'Celtics Game Data'!C26</f>
        <v>Home</v>
      </c>
      <c r="D27" s="5" t="b">
        <v>0</v>
      </c>
      <c r="E27" s="10">
        <f>COUNTIF('Celtics Game Data'!$D$2:D25,TRUE)/(COUNTIF('Celtics Game Data'!$D$2:D25, TRUE) + COUNTIF('Celtics Game Data'!$D$2:D25, FALSE))</f>
        <v>0.79166666666666663</v>
      </c>
      <c r="F27" s="11">
        <f>IFERROR(COUNTIF('Celtics Game Data'!$Q$2:Q25,2)/(COUNTIF('Celtics Game Data'!$Q$2:Q25, 2) + COUNTIF('Celtics Game Data'!$Q$2:Q25, 1)),"")</f>
        <v>1</v>
      </c>
      <c r="G27" s="11">
        <f>IFERROR(COUNTIF('Celtics Game Data'!$R$2:R25,2)/(COUNTIF('Celtics Game Data'!$R$2:R25, 2) + COUNTIF('Celtics Game Data'!$R$2:R25, 1)),"")</f>
        <v>0.54545454545454541</v>
      </c>
      <c r="H27" s="11">
        <f>COUNTIF('Celtics Game Data'!D21:D25,TRUE)/(COUNTIF('Celtics Game Data'!D21:D25, TRUE) + COUNTIF('Celtics Game Data'!D21:D25, FALSE))</f>
        <v>0.8</v>
      </c>
      <c r="I27" s="11">
        <f>COUNTIF('Celtics Game Data'!D16:D25,TRUE)/(COUNTIF('Celtics Game Data'!D16:D25, TRUE) + COUNTIF('Celtics Game Data'!D16:D25, FALSE))</f>
        <v>0.8</v>
      </c>
      <c r="J27" s="12">
        <f>AVERAGE('Celtics Game Data'!$E$2:E25)</f>
        <v>117.79166666666667</v>
      </c>
      <c r="K27" s="12">
        <f>AVERAGE('Celtics Game Data'!E21:E25)</f>
        <v>121.8</v>
      </c>
      <c r="L27" s="12">
        <f>AVERAGE('Celtics Game Data'!E16:E25)</f>
        <v>118.6</v>
      </c>
      <c r="M27" s="12">
        <f>AVERAGE('Celtics Game Data'!$M$2:M25)</f>
        <v>120.27916666666668</v>
      </c>
      <c r="N27" s="12">
        <f>AVERAGE('Celtics Game Data'!M16:M25)</f>
        <v>120.65</v>
      </c>
      <c r="O27" s="12">
        <f>AVERAGE('Celtics Game Data'!$N$2:N25)</f>
        <v>110.93750000000004</v>
      </c>
      <c r="P27" s="12">
        <f>AVERAGE('Celtics Game Data'!N16:N25)</f>
        <v>114.19000000000001</v>
      </c>
      <c r="Q27" s="12">
        <f>AVERAGE('Celtics Game Data'!G16:G25)</f>
        <v>42.6</v>
      </c>
      <c r="R27" s="11">
        <f>AVERAGE('Celtics Game Data'!H16:H25)</f>
        <v>0.48830000000000007</v>
      </c>
      <c r="S27" s="12">
        <f>AVERAGE('Celtics Game Data'!I16:I25)</f>
        <v>15.4</v>
      </c>
      <c r="T27" s="11">
        <f>AVERAGE('Celtics Game Data'!J16:J25)</f>
        <v>0.37330000000000002</v>
      </c>
      <c r="U27" s="12">
        <f>AVERAGE('Celtics Game Data'!K16:K25)</f>
        <v>18.600000000000001</v>
      </c>
      <c r="V27" s="11">
        <f>AVERAGE('Celtics Game Data'!L16:L25)</f>
        <v>0.80389999999999995</v>
      </c>
      <c r="W27" s="9">
        <v>1</v>
      </c>
      <c r="X27" s="9">
        <v>1</v>
      </c>
      <c r="Y27" s="4">
        <f>'Celtics Game Data'!O26</f>
        <v>0</v>
      </c>
      <c r="Z27" s="10">
        <f>16/24</f>
        <v>0.66666666666666663</v>
      </c>
      <c r="AA27" s="14">
        <v>111</v>
      </c>
      <c r="AB27" s="9" t="b">
        <v>0</v>
      </c>
      <c r="AC27" s="14">
        <v>42</v>
      </c>
      <c r="AD27" s="11">
        <v>0.48299999999999998</v>
      </c>
      <c r="AE27" s="14">
        <v>14</v>
      </c>
      <c r="AF27" s="11">
        <v>0.4</v>
      </c>
      <c r="AG27" s="14">
        <v>13</v>
      </c>
      <c r="AH27" s="11">
        <v>0.72199999999999998</v>
      </c>
      <c r="AI27" s="16">
        <v>111.9</v>
      </c>
      <c r="AJ27" s="16">
        <v>129</v>
      </c>
      <c r="AK27" s="9">
        <v>4</v>
      </c>
      <c r="AL27" s="3">
        <v>1</v>
      </c>
      <c r="AM27" s="4">
        <v>1</v>
      </c>
      <c r="AN27" s="2" t="b">
        <f>'Celtics Game Data'!D26</f>
        <v>1</v>
      </c>
      <c r="AO27" s="3">
        <f>'Celtics Game Data'!E26</f>
        <v>114</v>
      </c>
      <c r="AP27" s="3">
        <f>'Celtics Game Data'!F26</f>
        <v>97</v>
      </c>
      <c r="AQ27" s="3">
        <f t="shared" si="0"/>
        <v>17</v>
      </c>
      <c r="AR27" s="3">
        <f t="shared" si="1"/>
        <v>211</v>
      </c>
      <c r="AS27" s="19">
        <v>226</v>
      </c>
      <c r="AT27" s="9">
        <v>-9.5</v>
      </c>
      <c r="AU27" s="3">
        <f t="shared" si="4"/>
        <v>-110</v>
      </c>
      <c r="AV27" s="3">
        <f t="shared" si="2"/>
        <v>9.5</v>
      </c>
      <c r="AW27" s="4">
        <f t="shared" si="3"/>
        <v>-110</v>
      </c>
    </row>
    <row r="28" spans="1:49" x14ac:dyDescent="0.25">
      <c r="A28" s="5">
        <f>'Celtics Game Data'!A27</f>
        <v>45279</v>
      </c>
      <c r="B28" s="5" t="str">
        <f>'Celtics Game Data'!B27</f>
        <v>Golden State Warriors</v>
      </c>
      <c r="C28" s="5" t="str">
        <f>'Celtics Game Data'!C27</f>
        <v>Away</v>
      </c>
      <c r="D28" s="5" t="b">
        <v>0</v>
      </c>
      <c r="E28" s="10">
        <f>COUNTIF('Celtics Game Data'!$D$2:D26,TRUE)/(COUNTIF('Celtics Game Data'!$D$2:D26, TRUE) + COUNTIF('Celtics Game Data'!$D$2:D26, FALSE))</f>
        <v>0.8</v>
      </c>
      <c r="F28" s="11">
        <f>IFERROR(COUNTIF('Celtics Game Data'!$Q$2:Q26,2)/(COUNTIF('Celtics Game Data'!$Q$2:Q26, 2) + COUNTIF('Celtics Game Data'!$Q$2:Q26, 1)),"")</f>
        <v>1</v>
      </c>
      <c r="G28" s="11">
        <f>IFERROR(COUNTIF('Celtics Game Data'!$R$2:R26,2)/(COUNTIF('Celtics Game Data'!$R$2:R26, 2) + COUNTIF('Celtics Game Data'!$R$2:R26, 1)),"")</f>
        <v>0.54545454545454541</v>
      </c>
      <c r="H28" s="11">
        <f>COUNTIF('Celtics Game Data'!D22:D26,TRUE)/(COUNTIF('Celtics Game Data'!D22:D26, TRUE) + COUNTIF('Celtics Game Data'!D22:D26, FALSE))</f>
        <v>1</v>
      </c>
      <c r="I28" s="11">
        <f>COUNTIF('Celtics Game Data'!D17:D26,TRUE)/(COUNTIF('Celtics Game Data'!D17:D26, TRUE) + COUNTIF('Celtics Game Data'!D17:D26, FALSE))</f>
        <v>0.8</v>
      </c>
      <c r="J28" s="12">
        <f>AVERAGE('Celtics Game Data'!$E$2:E26)</f>
        <v>117.64</v>
      </c>
      <c r="K28" s="12">
        <f>AVERAGE('Celtics Game Data'!E22:E26)</f>
        <v>122.2</v>
      </c>
      <c r="L28" s="12">
        <f>AVERAGE('Celtics Game Data'!E17:E26)</f>
        <v>118.1</v>
      </c>
      <c r="M28" s="12">
        <f>AVERAGE('Celtics Game Data'!$M$2:M26)</f>
        <v>120.12800000000001</v>
      </c>
      <c r="N28" s="12">
        <f>AVERAGE('Celtics Game Data'!M17:M26)</f>
        <v>120.58000000000001</v>
      </c>
      <c r="O28" s="12">
        <f>AVERAGE('Celtics Game Data'!$N$2:N26)</f>
        <v>110.46800000000003</v>
      </c>
      <c r="P28" s="12">
        <f>AVERAGE('Celtics Game Data'!N17:N26)</f>
        <v>112.69000000000001</v>
      </c>
      <c r="Q28" s="12">
        <f>AVERAGE('Celtics Game Data'!G17:G26)</f>
        <v>42.7</v>
      </c>
      <c r="R28" s="11">
        <f>AVERAGE('Celtics Game Data'!H17:H26)</f>
        <v>0.48330000000000001</v>
      </c>
      <c r="S28" s="12">
        <f>AVERAGE('Celtics Game Data'!I17:I26)</f>
        <v>15.4</v>
      </c>
      <c r="T28" s="11">
        <f>AVERAGE('Celtics Game Data'!J17:J26)</f>
        <v>0.38</v>
      </c>
      <c r="U28" s="12">
        <f>AVERAGE('Celtics Game Data'!K17:K26)</f>
        <v>17.899999999999999</v>
      </c>
      <c r="V28" s="11">
        <f>AVERAGE('Celtics Game Data'!L17:L26)</f>
        <v>0.80899999999999994</v>
      </c>
      <c r="W28" s="9">
        <v>1</v>
      </c>
      <c r="X28" s="9">
        <v>1</v>
      </c>
      <c r="Y28" s="4">
        <f>'Celtics Game Data'!O27</f>
        <v>3</v>
      </c>
      <c r="Z28" s="10">
        <f>12/26</f>
        <v>0.46153846153846156</v>
      </c>
      <c r="AA28" s="14">
        <v>118</v>
      </c>
      <c r="AB28" s="9" t="b">
        <v>1</v>
      </c>
      <c r="AC28" s="14">
        <v>46</v>
      </c>
      <c r="AD28" s="11">
        <v>0.52900000000000003</v>
      </c>
      <c r="AE28" s="14">
        <v>13</v>
      </c>
      <c r="AF28" s="11">
        <v>0.34200000000000003</v>
      </c>
      <c r="AG28" s="14">
        <v>13</v>
      </c>
      <c r="AH28" s="11">
        <v>0.68400000000000005</v>
      </c>
      <c r="AI28" s="16">
        <v>122.4</v>
      </c>
      <c r="AJ28" s="16">
        <v>118.2</v>
      </c>
      <c r="AK28" s="9">
        <v>11</v>
      </c>
      <c r="AL28" s="9">
        <v>5</v>
      </c>
      <c r="AM28" s="4">
        <v>0</v>
      </c>
      <c r="AN28" s="2" t="b">
        <f>'Celtics Game Data'!D27</f>
        <v>0</v>
      </c>
      <c r="AO28" s="3">
        <f>'Celtics Game Data'!E27</f>
        <v>126</v>
      </c>
      <c r="AP28" s="3">
        <f>'Celtics Game Data'!F27</f>
        <v>132</v>
      </c>
      <c r="AQ28" s="3">
        <f t="shared" si="0"/>
        <v>-6</v>
      </c>
      <c r="AR28" s="3">
        <f t="shared" si="1"/>
        <v>258</v>
      </c>
      <c r="AS28" s="19">
        <v>233.5</v>
      </c>
      <c r="AT28" s="9">
        <v>-5.5</v>
      </c>
      <c r="AU28" s="3">
        <f t="shared" si="4"/>
        <v>-110</v>
      </c>
      <c r="AV28" s="3">
        <f t="shared" si="2"/>
        <v>5.5</v>
      </c>
      <c r="AW28" s="4">
        <f t="shared" si="3"/>
        <v>-110</v>
      </c>
    </row>
    <row r="29" spans="1:49" x14ac:dyDescent="0.25">
      <c r="A29" s="5">
        <f>'Celtics Game Data'!A28</f>
        <v>45280</v>
      </c>
      <c r="B29" s="5" t="str">
        <f>'Celtics Game Data'!B28</f>
        <v>Sacramento Kings</v>
      </c>
      <c r="C29" s="5" t="str">
        <f>'Celtics Game Data'!C28</f>
        <v>Away</v>
      </c>
      <c r="D29" s="5" t="b">
        <v>0</v>
      </c>
      <c r="E29" s="10">
        <f>COUNTIF('Celtics Game Data'!$D$2:D27,TRUE)/(COUNTIF('Celtics Game Data'!$D$2:D27, TRUE) + COUNTIF('Celtics Game Data'!$D$2:D27, FALSE))</f>
        <v>0.76923076923076927</v>
      </c>
      <c r="F29" s="11">
        <f>IFERROR(COUNTIF('Celtics Game Data'!$Q$2:Q27,2)/(COUNTIF('Celtics Game Data'!$Q$2:Q27, 2) + COUNTIF('Celtics Game Data'!$Q$2:Q27, 1)),"")</f>
        <v>1</v>
      </c>
      <c r="G29" s="11">
        <f>IFERROR(COUNTIF('Celtics Game Data'!$R$2:R27,2)/(COUNTIF('Celtics Game Data'!$R$2:R27, 2) + COUNTIF('Celtics Game Data'!$R$2:R27, 1)),"")</f>
        <v>0.5</v>
      </c>
      <c r="H29" s="11">
        <f>COUNTIF('Celtics Game Data'!D23:D27,TRUE)/(COUNTIF('Celtics Game Data'!D23:D27, TRUE) + COUNTIF('Celtics Game Data'!D23:D27, FALSE))</f>
        <v>0.8</v>
      </c>
      <c r="I29" s="11">
        <f>COUNTIF('Celtics Game Data'!D18:D27,TRUE)/(COUNTIF('Celtics Game Data'!D18:D27, TRUE) + COUNTIF('Celtics Game Data'!D18:D27, FALSE))</f>
        <v>0.8</v>
      </c>
      <c r="J29" s="12">
        <f>AVERAGE('Celtics Game Data'!$E$2:E27)</f>
        <v>117.96153846153847</v>
      </c>
      <c r="K29" s="12">
        <f>AVERAGE('Celtics Game Data'!E23:E27)</f>
        <v>120.8</v>
      </c>
      <c r="L29" s="12">
        <f>AVERAGE('Celtics Game Data'!E18:E27)</f>
        <v>121.1</v>
      </c>
      <c r="M29" s="12">
        <f>AVERAGE('Celtics Game Data'!$M$2:M27)</f>
        <v>120.10384615384616</v>
      </c>
      <c r="N29" s="12">
        <f>AVERAGE('Celtics Game Data'!M18:M27)</f>
        <v>122.79</v>
      </c>
      <c r="O29" s="12">
        <f>AVERAGE('Celtics Game Data'!$N$2:N27)</f>
        <v>111.03461538461541</v>
      </c>
      <c r="P29" s="12">
        <f>AVERAGE('Celtics Game Data'!N18:N27)</f>
        <v>113.73999999999998</v>
      </c>
      <c r="Q29" s="12">
        <f>AVERAGE('Celtics Game Data'!G18:G27)</f>
        <v>44.3</v>
      </c>
      <c r="R29" s="11">
        <f>AVERAGE('Celtics Game Data'!H18:H27)</f>
        <v>0.48370000000000007</v>
      </c>
      <c r="S29" s="12">
        <f>AVERAGE('Celtics Game Data'!I18:I27)</f>
        <v>16.399999999999999</v>
      </c>
      <c r="T29" s="11">
        <f>AVERAGE('Celtics Game Data'!J18:J27)</f>
        <v>0.38519999999999993</v>
      </c>
      <c r="U29" s="12">
        <f>AVERAGE('Celtics Game Data'!K18:K27)</f>
        <v>16.7</v>
      </c>
      <c r="V29" s="11">
        <f>AVERAGE('Celtics Game Data'!L18:L27)</f>
        <v>0.82420000000000004</v>
      </c>
      <c r="W29" s="9">
        <v>1</v>
      </c>
      <c r="X29" s="9">
        <v>1</v>
      </c>
      <c r="Y29" s="4">
        <f>'Celtics Game Data'!O28</f>
        <v>0</v>
      </c>
      <c r="Z29" s="10">
        <f>16/25</f>
        <v>0.64</v>
      </c>
      <c r="AA29" s="14">
        <v>143</v>
      </c>
      <c r="AB29" s="9" t="b">
        <v>1</v>
      </c>
      <c r="AC29" s="14">
        <v>53</v>
      </c>
      <c r="AD29" s="11">
        <v>0.53</v>
      </c>
      <c r="AE29" s="14">
        <v>17</v>
      </c>
      <c r="AF29" s="11">
        <v>0.39500000000000002</v>
      </c>
      <c r="AG29" s="14">
        <v>20</v>
      </c>
      <c r="AH29" s="11">
        <v>0.76900000000000002</v>
      </c>
      <c r="AI29" s="16">
        <v>136.80000000000001</v>
      </c>
      <c r="AJ29" s="16">
        <v>125.3</v>
      </c>
      <c r="AK29" s="9">
        <v>5</v>
      </c>
      <c r="AL29" s="9">
        <v>1</v>
      </c>
      <c r="AM29" s="4">
        <v>0</v>
      </c>
      <c r="AN29" s="2" t="b">
        <f>'Celtics Game Data'!D28</f>
        <v>1</v>
      </c>
      <c r="AO29" s="3">
        <f>'Celtics Game Data'!E28</f>
        <v>144</v>
      </c>
      <c r="AP29" s="3">
        <f>'Celtics Game Data'!F28</f>
        <v>119</v>
      </c>
      <c r="AQ29" s="3">
        <f t="shared" si="0"/>
        <v>25</v>
      </c>
      <c r="AR29" s="3">
        <f t="shared" si="1"/>
        <v>263</v>
      </c>
      <c r="AS29" s="19">
        <v>238.5</v>
      </c>
      <c r="AT29" s="9">
        <v>3.5</v>
      </c>
      <c r="AU29" s="3">
        <f t="shared" si="4"/>
        <v>-110</v>
      </c>
      <c r="AV29" s="3">
        <f t="shared" si="2"/>
        <v>-3.5</v>
      </c>
      <c r="AW29" s="4">
        <f t="shared" si="3"/>
        <v>-110</v>
      </c>
    </row>
    <row r="30" spans="1:49" x14ac:dyDescent="0.25">
      <c r="A30" s="5">
        <f>'Celtics Game Data'!A29</f>
        <v>45283</v>
      </c>
      <c r="B30" s="5" t="str">
        <f>'Celtics Game Data'!B29</f>
        <v>Los Angeles Clippers</v>
      </c>
      <c r="C30" s="5" t="str">
        <f>'Celtics Game Data'!C29</f>
        <v>Away</v>
      </c>
      <c r="D30" s="5" t="b">
        <v>0</v>
      </c>
      <c r="E30" s="10">
        <f>COUNTIF('Celtics Game Data'!$D$2:D28,TRUE)/(COUNTIF('Celtics Game Data'!$D$2:D28, TRUE) + COUNTIF('Celtics Game Data'!$D$2:D28, FALSE))</f>
        <v>0.77777777777777779</v>
      </c>
      <c r="F30" s="11">
        <f>IFERROR(COUNTIF('Celtics Game Data'!$Q$2:Q28,2)/(COUNTIF('Celtics Game Data'!$Q$2:Q28, 2) + COUNTIF('Celtics Game Data'!$Q$2:Q28, 1)),"")</f>
        <v>1</v>
      </c>
      <c r="G30" s="11">
        <f>IFERROR(COUNTIF('Celtics Game Data'!$R$2:R28,2)/(COUNTIF('Celtics Game Data'!$R$2:R28, 2) + COUNTIF('Celtics Game Data'!$R$2:R28, 1)),"")</f>
        <v>0.53846153846153844</v>
      </c>
      <c r="H30" s="11">
        <f>COUNTIF('Celtics Game Data'!D24:D28,TRUE)/(COUNTIF('Celtics Game Data'!D24:D28, TRUE) + COUNTIF('Celtics Game Data'!D24:D28, FALSE))</f>
        <v>0.8</v>
      </c>
      <c r="I30" s="11">
        <f>COUNTIF('Celtics Game Data'!D19:D28,TRUE)/(COUNTIF('Celtics Game Data'!D19:D28, TRUE) + COUNTIF('Celtics Game Data'!D19:D28, FALSE))</f>
        <v>0.8</v>
      </c>
      <c r="J30" s="12">
        <f>AVERAGE('Celtics Game Data'!$E$2:E28)</f>
        <v>118.92592592592592</v>
      </c>
      <c r="K30" s="12">
        <f>AVERAGE('Celtics Game Data'!E24:E28)</f>
        <v>125.6</v>
      </c>
      <c r="L30" s="12">
        <f>AVERAGE('Celtics Game Data'!E19:E28)</f>
        <v>124.2</v>
      </c>
      <c r="M30" s="12">
        <f>AVERAGE('Celtics Game Data'!$M$2:M28)</f>
        <v>121.2925925925926</v>
      </c>
      <c r="N30" s="12">
        <f>AVERAGE('Celtics Game Data'!M19:M28)</f>
        <v>126.31000000000002</v>
      </c>
      <c r="O30" s="12">
        <f>AVERAGE('Celtics Game Data'!$N$2:N28)</f>
        <v>111.5814814814815</v>
      </c>
      <c r="P30" s="12">
        <f>AVERAGE('Celtics Game Data'!N19:N28)</f>
        <v>115.66</v>
      </c>
      <c r="Q30" s="12">
        <f>AVERAGE('Celtics Game Data'!G19:G28)</f>
        <v>45.2</v>
      </c>
      <c r="R30" s="11">
        <f>AVERAGE('Celtics Game Data'!H19:H28)</f>
        <v>0.49490000000000006</v>
      </c>
      <c r="S30" s="12">
        <f>AVERAGE('Celtics Game Data'!I19:I28)</f>
        <v>17.3</v>
      </c>
      <c r="T30" s="11">
        <f>AVERAGE('Celtics Game Data'!J19:J28)</f>
        <v>0.40989999999999993</v>
      </c>
      <c r="U30" s="12">
        <f>AVERAGE('Celtics Game Data'!K19:K28)</f>
        <v>17.100000000000001</v>
      </c>
      <c r="V30" s="11">
        <f>AVERAGE('Celtics Game Data'!L19:L28)</f>
        <v>0.8274999999999999</v>
      </c>
      <c r="W30" s="9">
        <v>1</v>
      </c>
      <c r="X30" s="9">
        <v>1</v>
      </c>
      <c r="Y30" s="4">
        <f>'Celtics Game Data'!O29</f>
        <v>3</v>
      </c>
      <c r="Z30" s="10">
        <f>17/28</f>
        <v>0.6071428571428571</v>
      </c>
      <c r="AA30" s="14">
        <v>115</v>
      </c>
      <c r="AB30" s="9" t="b">
        <v>0</v>
      </c>
      <c r="AC30" s="14">
        <v>44</v>
      </c>
      <c r="AD30" s="11">
        <v>0.47299999999999998</v>
      </c>
      <c r="AE30" s="14">
        <v>17</v>
      </c>
      <c r="AF30" s="11">
        <v>0.39500000000000002</v>
      </c>
      <c r="AG30" s="14">
        <v>10</v>
      </c>
      <c r="AH30" s="11">
        <v>0.83299999999999996</v>
      </c>
      <c r="AI30" s="16">
        <v>116.8</v>
      </c>
      <c r="AJ30" s="16">
        <v>136.1</v>
      </c>
      <c r="AK30" s="9">
        <v>5</v>
      </c>
      <c r="AL30" s="9">
        <v>2</v>
      </c>
      <c r="AM30" s="4">
        <v>5</v>
      </c>
      <c r="AN30" s="2" t="b">
        <f>'Celtics Game Data'!D29</f>
        <v>1</v>
      </c>
      <c r="AO30" s="3">
        <f>'Celtics Game Data'!E29</f>
        <v>145</v>
      </c>
      <c r="AP30" s="3">
        <f>'Celtics Game Data'!F29</f>
        <v>108</v>
      </c>
      <c r="AQ30" s="3">
        <f t="shared" si="0"/>
        <v>37</v>
      </c>
      <c r="AR30" s="3">
        <f t="shared" si="1"/>
        <v>253</v>
      </c>
      <c r="AS30" s="19">
        <v>231</v>
      </c>
      <c r="AT30" s="9">
        <v>-4.5</v>
      </c>
      <c r="AU30" s="3">
        <f t="shared" si="4"/>
        <v>-110</v>
      </c>
      <c r="AV30" s="3">
        <f t="shared" si="2"/>
        <v>4.5</v>
      </c>
      <c r="AW30" s="4">
        <f t="shared" si="3"/>
        <v>-110</v>
      </c>
    </row>
    <row r="31" spans="1:49" x14ac:dyDescent="0.25">
      <c r="A31" s="5">
        <f>'Celtics Game Data'!A30</f>
        <v>45285</v>
      </c>
      <c r="B31" s="5" t="str">
        <f>'Celtics Game Data'!B30</f>
        <v>Los Angeles Lakers</v>
      </c>
      <c r="C31" s="5" t="str">
        <f>'Celtics Game Data'!C30</f>
        <v>Away</v>
      </c>
      <c r="D31" s="5" t="b">
        <v>0</v>
      </c>
      <c r="E31" s="10">
        <f>COUNTIF('Celtics Game Data'!$D$2:D29,TRUE)/(COUNTIF('Celtics Game Data'!$D$2:D29, TRUE) + COUNTIF('Celtics Game Data'!$D$2:D29, FALSE))</f>
        <v>0.7857142857142857</v>
      </c>
      <c r="F31" s="11">
        <f>IFERROR(COUNTIF('Celtics Game Data'!$Q$2:Q29,2)/(COUNTIF('Celtics Game Data'!$Q$2:Q29, 2) + COUNTIF('Celtics Game Data'!$Q$2:Q29, 1)),"")</f>
        <v>1</v>
      </c>
      <c r="G31" s="11">
        <f>IFERROR(COUNTIF('Celtics Game Data'!$R$2:R29,2)/(COUNTIF('Celtics Game Data'!$R$2:R29, 2) + COUNTIF('Celtics Game Data'!$R$2:R29, 1)),"")</f>
        <v>0.5714285714285714</v>
      </c>
      <c r="H31" s="11">
        <f>COUNTIF('Celtics Game Data'!D25:D29,TRUE)/(COUNTIF('Celtics Game Data'!D25:D29, TRUE) + COUNTIF('Celtics Game Data'!D25:D29, FALSE))</f>
        <v>0.8</v>
      </c>
      <c r="I31" s="11">
        <f>COUNTIF('Celtics Game Data'!D20:D29,TRUE)/(COUNTIF('Celtics Game Data'!D20:D29, TRUE) + COUNTIF('Celtics Game Data'!D20:D29, FALSE))</f>
        <v>0.8</v>
      </c>
      <c r="J31" s="12">
        <f>AVERAGE('Celtics Game Data'!$E$2:E29)</f>
        <v>119.85714285714286</v>
      </c>
      <c r="K31" s="12">
        <f>AVERAGE('Celtics Game Data'!E25:E29)</f>
        <v>131.4</v>
      </c>
      <c r="L31" s="12">
        <f>AVERAGE('Celtics Game Data'!E20:E29)</f>
        <v>126.3</v>
      </c>
      <c r="M31" s="12">
        <f>AVERAGE('Celtics Game Data'!$M$2:M29)</f>
        <v>122.38571428571429</v>
      </c>
      <c r="N31" s="12">
        <f>AVERAGE('Celtics Game Data'!M20:M29)</f>
        <v>128.66000000000003</v>
      </c>
      <c r="O31" s="12">
        <f>AVERAGE('Celtics Game Data'!$N$2:N29)</f>
        <v>111.63928571428573</v>
      </c>
      <c r="P31" s="12">
        <f>AVERAGE('Celtics Game Data'!N20:N29)</f>
        <v>116.94000000000001</v>
      </c>
      <c r="Q31" s="12">
        <f>AVERAGE('Celtics Game Data'!G20:G29)</f>
        <v>45.4</v>
      </c>
      <c r="R31" s="11">
        <f>AVERAGE('Celtics Game Data'!H20:H29)</f>
        <v>0.49480000000000002</v>
      </c>
      <c r="S31" s="12">
        <f>AVERAGE('Celtics Game Data'!I20:I29)</f>
        <v>17.7</v>
      </c>
      <c r="T31" s="11">
        <f>AVERAGE('Celtics Game Data'!J20:J29)</f>
        <v>0.41419999999999996</v>
      </c>
      <c r="U31" s="12">
        <f>AVERAGE('Celtics Game Data'!K20:K29)</f>
        <v>18.399999999999999</v>
      </c>
      <c r="V31" s="11">
        <f>AVERAGE('Celtics Game Data'!L20:L29)</f>
        <v>0.83109999999999995</v>
      </c>
      <c r="W31" s="9">
        <v>1</v>
      </c>
      <c r="X31" s="9">
        <v>1</v>
      </c>
      <c r="Y31" s="4">
        <f>'Celtics Game Data'!O30</f>
        <v>0</v>
      </c>
      <c r="Z31" s="10">
        <f>16/30</f>
        <v>0.53333333333333333</v>
      </c>
      <c r="AA31" s="14">
        <v>129</v>
      </c>
      <c r="AB31" s="9" t="b">
        <v>1</v>
      </c>
      <c r="AC31" s="14">
        <v>47</v>
      </c>
      <c r="AD31" s="11">
        <v>0.52200000000000002</v>
      </c>
      <c r="AE31" s="14">
        <v>16</v>
      </c>
      <c r="AF31" s="11">
        <v>0.5</v>
      </c>
      <c r="AG31" s="14">
        <v>19</v>
      </c>
      <c r="AH31" s="11">
        <v>0.82599999999999996</v>
      </c>
      <c r="AI31" s="16">
        <v>130.19999999999999</v>
      </c>
      <c r="AJ31" s="16">
        <v>121.2</v>
      </c>
      <c r="AK31" s="9">
        <v>9</v>
      </c>
      <c r="AL31" s="9">
        <v>3</v>
      </c>
      <c r="AM31" s="4">
        <v>1</v>
      </c>
      <c r="AN31" s="2" t="b">
        <f>'Celtics Game Data'!D30</f>
        <v>1</v>
      </c>
      <c r="AO31" s="3">
        <f>'Celtics Game Data'!E30</f>
        <v>126</v>
      </c>
      <c r="AP31" s="3">
        <f>'Celtics Game Data'!F30</f>
        <v>115</v>
      </c>
      <c r="AQ31" s="3">
        <f t="shared" si="0"/>
        <v>11</v>
      </c>
      <c r="AR31" s="3">
        <f t="shared" si="1"/>
        <v>241</v>
      </c>
      <c r="AS31" s="19">
        <v>235</v>
      </c>
      <c r="AT31" s="9">
        <v>-5</v>
      </c>
      <c r="AU31" s="3">
        <f t="shared" si="4"/>
        <v>-110</v>
      </c>
      <c r="AV31" s="3">
        <f t="shared" si="2"/>
        <v>5</v>
      </c>
      <c r="AW31" s="4">
        <f t="shared" si="3"/>
        <v>-110</v>
      </c>
    </row>
    <row r="32" spans="1:49" x14ac:dyDescent="0.25">
      <c r="A32" s="5">
        <f>'Celtics Game Data'!A31</f>
        <v>45288</v>
      </c>
      <c r="B32" s="5" t="str">
        <f>'Celtics Game Data'!B31</f>
        <v>Detroit Pistons</v>
      </c>
      <c r="C32" s="5" t="str">
        <f>'Celtics Game Data'!C31</f>
        <v>Home</v>
      </c>
      <c r="D32" s="5" t="b">
        <v>0</v>
      </c>
      <c r="E32" s="10">
        <f>COUNTIF('Celtics Game Data'!$D$2:D30,TRUE)/(COUNTIF('Celtics Game Data'!$D$2:D30, TRUE) + COUNTIF('Celtics Game Data'!$D$2:D30, FALSE))</f>
        <v>0.7931034482758621</v>
      </c>
      <c r="F32" s="11">
        <f>IFERROR(COUNTIF('Celtics Game Data'!$Q$2:Q30,2)/(COUNTIF('Celtics Game Data'!$Q$2:Q30, 2) + COUNTIF('Celtics Game Data'!$Q$2:Q30, 1)),"")</f>
        <v>1</v>
      </c>
      <c r="G32" s="11">
        <f>IFERROR(COUNTIF('Celtics Game Data'!$R$2:R30,2)/(COUNTIF('Celtics Game Data'!$R$2:R30, 2) + COUNTIF('Celtics Game Data'!$R$2:R30, 1)),"")</f>
        <v>0.6</v>
      </c>
      <c r="H32" s="11">
        <f>COUNTIF('Celtics Game Data'!D26:D30,TRUE)/(COUNTIF('Celtics Game Data'!D26:D30, TRUE) + COUNTIF('Celtics Game Data'!D26:D30, FALSE))</f>
        <v>0.8</v>
      </c>
      <c r="I32" s="11">
        <f>COUNTIF('Celtics Game Data'!D21:D30,TRUE)/(COUNTIF('Celtics Game Data'!D21:D30, TRUE) + COUNTIF('Celtics Game Data'!D21:D30, FALSE))</f>
        <v>0.8</v>
      </c>
      <c r="J32" s="12">
        <f>AVERAGE('Celtics Game Data'!$E$2:E30)</f>
        <v>120.06896551724138</v>
      </c>
      <c r="K32" s="12">
        <f>AVERAGE('Celtics Game Data'!E26:E30)</f>
        <v>131</v>
      </c>
      <c r="L32" s="12">
        <f>AVERAGE('Celtics Game Data'!E21:E30)</f>
        <v>126.4</v>
      </c>
      <c r="M32" s="12">
        <f>AVERAGE('Celtics Game Data'!$M$2:M30)</f>
        <v>122.65862068965518</v>
      </c>
      <c r="N32" s="12">
        <f>AVERAGE('Celtics Game Data'!M21:M30)</f>
        <v>129.41000000000003</v>
      </c>
      <c r="O32" s="12">
        <f>AVERAGE('Celtics Game Data'!$N$2:N30)</f>
        <v>111.88965517241381</v>
      </c>
      <c r="P32" s="12">
        <f>AVERAGE('Celtics Game Data'!N21:N30)</f>
        <v>117.14000000000001</v>
      </c>
      <c r="Q32" s="12">
        <f>AVERAGE('Celtics Game Data'!G21:G30)</f>
        <v>46.1</v>
      </c>
      <c r="R32" s="11">
        <f>AVERAGE('Celtics Game Data'!H21:H30)</f>
        <v>0.49470000000000003</v>
      </c>
      <c r="S32" s="12">
        <f>AVERAGE('Celtics Game Data'!I21:I30)</f>
        <v>17.399999999999999</v>
      </c>
      <c r="T32" s="11">
        <f>AVERAGE('Celtics Game Data'!J21:J30)</f>
        <v>0.39670000000000005</v>
      </c>
      <c r="U32" s="12">
        <f>AVERAGE('Celtics Game Data'!K21:K30)</f>
        <v>17.399999999999999</v>
      </c>
      <c r="V32" s="11">
        <f>AVERAGE('Celtics Game Data'!L21:L30)</f>
        <v>0.82</v>
      </c>
      <c r="W32" s="9">
        <v>1</v>
      </c>
      <c r="X32" s="9">
        <v>1</v>
      </c>
      <c r="Y32" s="4">
        <f>'Celtics Game Data'!O31</f>
        <v>4</v>
      </c>
      <c r="Z32" s="10">
        <f>2/30</f>
        <v>6.6666666666666666E-2</v>
      </c>
      <c r="AA32" s="14">
        <v>112</v>
      </c>
      <c r="AB32" s="9" t="b">
        <v>0</v>
      </c>
      <c r="AC32" s="14">
        <v>40</v>
      </c>
      <c r="AD32" s="11">
        <v>0.44400000000000001</v>
      </c>
      <c r="AE32" s="14">
        <v>9</v>
      </c>
      <c r="AF32" s="11">
        <v>0.36</v>
      </c>
      <c r="AG32" s="14">
        <v>23</v>
      </c>
      <c r="AH32" s="11">
        <v>0.71900000000000008</v>
      </c>
      <c r="AI32" s="16">
        <v>112</v>
      </c>
      <c r="AJ32" s="16">
        <v>118</v>
      </c>
      <c r="AK32" s="3">
        <v>15</v>
      </c>
      <c r="AL32" s="3">
        <v>5</v>
      </c>
      <c r="AM32" s="4">
        <v>3</v>
      </c>
      <c r="AN32" s="2" t="b">
        <f>'Celtics Game Data'!D31</f>
        <v>1</v>
      </c>
      <c r="AO32" s="3">
        <f>'Celtics Game Data'!E31</f>
        <v>128</v>
      </c>
      <c r="AP32" s="3">
        <f>'Celtics Game Data'!F31</f>
        <v>122</v>
      </c>
      <c r="AQ32" s="3">
        <f t="shared" si="0"/>
        <v>6</v>
      </c>
      <c r="AR32" s="3">
        <f t="shared" si="1"/>
        <v>250</v>
      </c>
      <c r="AS32" s="19">
        <v>234</v>
      </c>
      <c r="AT32" s="9">
        <v>-16.5</v>
      </c>
      <c r="AU32" s="3">
        <f t="shared" si="4"/>
        <v>-110</v>
      </c>
      <c r="AV32" s="3">
        <f t="shared" si="2"/>
        <v>16.5</v>
      </c>
      <c r="AW32" s="4">
        <f t="shared" si="3"/>
        <v>-110</v>
      </c>
    </row>
    <row r="33" spans="1:49" x14ac:dyDescent="0.25">
      <c r="A33" s="5">
        <f>'Celtics Game Data'!A32</f>
        <v>45289</v>
      </c>
      <c r="B33" s="5" t="str">
        <f>'Celtics Game Data'!B32</f>
        <v>Toronto Raptors</v>
      </c>
      <c r="C33" s="5" t="str">
        <f>'Celtics Game Data'!C32</f>
        <v>Home</v>
      </c>
      <c r="D33" s="5" t="b">
        <v>0</v>
      </c>
      <c r="E33" s="10">
        <f>COUNTIF('Celtics Game Data'!$D$2:D31,TRUE)/(COUNTIF('Celtics Game Data'!$D$2:D31, TRUE) + COUNTIF('Celtics Game Data'!$D$2:D31, FALSE))</f>
        <v>0.8</v>
      </c>
      <c r="F33" s="11">
        <f>IFERROR(COUNTIF('Celtics Game Data'!$Q$2:Q31,2)/(COUNTIF('Celtics Game Data'!$Q$2:Q31, 2) + COUNTIF('Celtics Game Data'!$Q$2:Q31, 1)),"")</f>
        <v>1</v>
      </c>
      <c r="G33" s="11">
        <f>IFERROR(COUNTIF('Celtics Game Data'!$R$2:R31,2)/(COUNTIF('Celtics Game Data'!$R$2:R31, 2) + COUNTIF('Celtics Game Data'!$R$2:R31, 1)),"")</f>
        <v>0.6</v>
      </c>
      <c r="H33" s="11">
        <f>COUNTIF('Celtics Game Data'!D27:D31,TRUE)/(COUNTIF('Celtics Game Data'!D27:D31, TRUE) + COUNTIF('Celtics Game Data'!D27:D31, FALSE))</f>
        <v>0.8</v>
      </c>
      <c r="I33" s="11">
        <f>COUNTIF('Celtics Game Data'!D22:D31,TRUE)/(COUNTIF('Celtics Game Data'!D22:D31, TRUE) + COUNTIF('Celtics Game Data'!D22:D31, FALSE))</f>
        <v>0.9</v>
      </c>
      <c r="J33" s="12">
        <f>AVERAGE('Celtics Game Data'!$E$2:E31)</f>
        <v>120.33333333333333</v>
      </c>
      <c r="K33" s="12">
        <f>AVERAGE('Celtics Game Data'!E27:E31)</f>
        <v>133.80000000000001</v>
      </c>
      <c r="L33" s="12">
        <f>AVERAGE('Celtics Game Data'!E22:E31)</f>
        <v>128</v>
      </c>
      <c r="M33" s="12">
        <f>AVERAGE('Celtics Game Data'!$M$2:M31)</f>
        <v>122.55333333333334</v>
      </c>
      <c r="N33" s="12">
        <f>AVERAGE('Celtics Game Data'!M22:M31)</f>
        <v>130.4</v>
      </c>
      <c r="O33" s="12">
        <f>AVERAGE('Celtics Game Data'!$N$2:N31)</f>
        <v>111.95666666666669</v>
      </c>
      <c r="P33" s="12">
        <f>AVERAGE('Celtics Game Data'!N22:N31)</f>
        <v>116.60000000000002</v>
      </c>
      <c r="Q33" s="12">
        <f>AVERAGE('Celtics Game Data'!G22:G31)</f>
        <v>46.3</v>
      </c>
      <c r="R33" s="11">
        <f>AVERAGE('Celtics Game Data'!H22:H31)</f>
        <v>0.49580000000000002</v>
      </c>
      <c r="S33" s="12">
        <f>AVERAGE('Celtics Game Data'!I22:I31)</f>
        <v>17.3</v>
      </c>
      <c r="T33" s="11">
        <f>AVERAGE('Celtics Game Data'!J22:J31)</f>
        <v>0.39560000000000006</v>
      </c>
      <c r="U33" s="12">
        <f>AVERAGE('Celtics Game Data'!K22:K31)</f>
        <v>18.7</v>
      </c>
      <c r="V33" s="11">
        <f>AVERAGE('Celtics Game Data'!L22:L31)</f>
        <v>0.83729999999999993</v>
      </c>
      <c r="W33" s="9">
        <v>1</v>
      </c>
      <c r="X33" s="9">
        <v>1</v>
      </c>
      <c r="Y33" s="4">
        <f>'Celtics Game Data'!O32</f>
        <v>8</v>
      </c>
      <c r="Z33" s="10">
        <f>12/30</f>
        <v>0.4</v>
      </c>
      <c r="AA33" s="14">
        <v>132</v>
      </c>
      <c r="AB33" s="9" t="b">
        <v>1</v>
      </c>
      <c r="AC33" s="14">
        <v>52</v>
      </c>
      <c r="AD33" s="11">
        <v>0.57100000000000006</v>
      </c>
      <c r="AE33" s="14">
        <v>15</v>
      </c>
      <c r="AF33" s="11">
        <v>0.39500000000000002</v>
      </c>
      <c r="AG33" s="14">
        <v>13</v>
      </c>
      <c r="AH33" s="11">
        <v>0.68400000000000005</v>
      </c>
      <c r="AI33" s="16">
        <v>130.9</v>
      </c>
      <c r="AJ33" s="16">
        <v>101.1</v>
      </c>
      <c r="AK33" s="3">
        <v>12</v>
      </c>
      <c r="AL33" s="3">
        <v>5</v>
      </c>
      <c r="AM33" s="4">
        <v>6</v>
      </c>
      <c r="AN33" s="2" t="b">
        <f>'Celtics Game Data'!D32</f>
        <v>1</v>
      </c>
      <c r="AO33" s="3">
        <f>'Celtics Game Data'!E32</f>
        <v>120</v>
      </c>
      <c r="AP33" s="3">
        <f>'Celtics Game Data'!F32</f>
        <v>118</v>
      </c>
      <c r="AQ33" s="3">
        <f t="shared" si="0"/>
        <v>2</v>
      </c>
      <c r="AR33" s="3">
        <f t="shared" si="1"/>
        <v>238</v>
      </c>
      <c r="AS33" s="19">
        <v>228.5</v>
      </c>
      <c r="AT33" s="9">
        <v>-5.5</v>
      </c>
      <c r="AU33" s="3">
        <f t="shared" si="4"/>
        <v>-110</v>
      </c>
      <c r="AV33" s="3">
        <f t="shared" si="2"/>
        <v>5.5</v>
      </c>
      <c r="AW33" s="4">
        <f t="shared" si="3"/>
        <v>-110</v>
      </c>
    </row>
    <row r="34" spans="1:49" x14ac:dyDescent="0.25">
      <c r="A34" s="5">
        <f>'Celtics Game Data'!A33</f>
        <v>45291</v>
      </c>
      <c r="B34" s="5" t="str">
        <f>'Celtics Game Data'!B33</f>
        <v>San Antonio Spurs</v>
      </c>
      <c r="C34" s="5" t="str">
        <f>'Celtics Game Data'!C33</f>
        <v>Away</v>
      </c>
      <c r="D34" s="5" t="b">
        <v>0</v>
      </c>
      <c r="E34" s="10">
        <f>COUNTIF('Celtics Game Data'!$D$2:D32,TRUE)/(COUNTIF('Celtics Game Data'!$D$2:D32, TRUE) + COUNTIF('Celtics Game Data'!$D$2:D32, FALSE))</f>
        <v>0.80645161290322576</v>
      </c>
      <c r="F34" s="11">
        <f>IFERROR(COUNTIF('Celtics Game Data'!$Q$2:Q32,2)/(COUNTIF('Celtics Game Data'!$Q$2:Q32, 2) + COUNTIF('Celtics Game Data'!$Q$2:Q32, 1)),"")</f>
        <v>1</v>
      </c>
      <c r="G34" s="11">
        <f>IFERROR(COUNTIF('Celtics Game Data'!$R$2:R32,2)/(COUNTIF('Celtics Game Data'!$R$2:R32, 2) + COUNTIF('Celtics Game Data'!$R$2:R32, 1)),"")</f>
        <v>0.6</v>
      </c>
      <c r="H34" s="11">
        <f>COUNTIF('Celtics Game Data'!D28:D32,TRUE)/(COUNTIF('Celtics Game Data'!D28:D32, TRUE) + COUNTIF('Celtics Game Data'!D28:D32, FALSE))</f>
        <v>1</v>
      </c>
      <c r="I34" s="11">
        <f>COUNTIF('Celtics Game Data'!D23:D32,TRUE)/(COUNTIF('Celtics Game Data'!D23:D32, TRUE) + COUNTIF('Celtics Game Data'!D23:D32, FALSE))</f>
        <v>0.9</v>
      </c>
      <c r="J34" s="12">
        <f>AVERAGE('Celtics Game Data'!$E$2:E32)</f>
        <v>120.3225806451613</v>
      </c>
      <c r="K34" s="12">
        <f>AVERAGE('Celtics Game Data'!E28:E32)</f>
        <v>132.6</v>
      </c>
      <c r="L34" s="12">
        <f>AVERAGE('Celtics Game Data'!E23:E32)</f>
        <v>126.7</v>
      </c>
      <c r="M34" s="12">
        <f>AVERAGE('Celtics Game Data'!$M$2:M32)</f>
        <v>122.59354838709679</v>
      </c>
      <c r="N34" s="12">
        <f>AVERAGE('Celtics Game Data'!M23:M32)</f>
        <v>129.07999999999998</v>
      </c>
      <c r="O34" s="12">
        <f>AVERAGE('Celtics Game Data'!$N$2:N32)</f>
        <v>112.27096774193551</v>
      </c>
      <c r="P34" s="12">
        <f>AVERAGE('Celtics Game Data'!N23:N32)</f>
        <v>116.1</v>
      </c>
      <c r="Q34" s="12">
        <f>AVERAGE('Celtics Game Data'!G23:G32)</f>
        <v>45.8</v>
      </c>
      <c r="R34" s="11">
        <f>AVERAGE('Celtics Game Data'!H23:H32)</f>
        <v>0.49199999999999999</v>
      </c>
      <c r="S34" s="12">
        <f>AVERAGE('Celtics Game Data'!I23:I32)</f>
        <v>17.100000000000001</v>
      </c>
      <c r="T34" s="11">
        <f>AVERAGE('Celtics Game Data'!J23:J32)</f>
        <v>0.39879999999999999</v>
      </c>
      <c r="U34" s="12">
        <f>AVERAGE('Celtics Game Data'!K23:K32)</f>
        <v>18.600000000000001</v>
      </c>
      <c r="V34" s="11">
        <f>AVERAGE('Celtics Game Data'!L23:L32)</f>
        <v>0.83660000000000001</v>
      </c>
      <c r="W34" s="9">
        <v>1</v>
      </c>
      <c r="X34" s="9">
        <v>1</v>
      </c>
      <c r="Y34" s="4">
        <f>'Celtics Game Data'!O33</f>
        <v>1</v>
      </c>
      <c r="Z34" s="10">
        <f>5/31</f>
        <v>0.16129032258064516</v>
      </c>
      <c r="AA34" s="14">
        <v>128</v>
      </c>
      <c r="AB34" s="9" t="b">
        <v>0</v>
      </c>
      <c r="AC34" s="14">
        <v>48</v>
      </c>
      <c r="AD34" s="11">
        <v>0.51100000000000001</v>
      </c>
      <c r="AE34" s="14">
        <v>14</v>
      </c>
      <c r="AF34" s="11">
        <v>0.42399999999999999</v>
      </c>
      <c r="AG34" s="14">
        <v>18</v>
      </c>
      <c r="AH34" s="11">
        <v>0.72</v>
      </c>
      <c r="AI34" s="16">
        <v>125.5</v>
      </c>
      <c r="AJ34" s="16">
        <v>131.4</v>
      </c>
      <c r="AK34" s="9">
        <v>15</v>
      </c>
      <c r="AL34" s="3">
        <v>5</v>
      </c>
      <c r="AM34" s="4">
        <v>4</v>
      </c>
      <c r="AN34" s="2" t="b">
        <f>'Celtics Game Data'!D33</f>
        <v>1</v>
      </c>
      <c r="AO34" s="3">
        <f>'Celtics Game Data'!E33</f>
        <v>134</v>
      </c>
      <c r="AP34" s="3">
        <f>'Celtics Game Data'!F33</f>
        <v>101</v>
      </c>
      <c r="AQ34" s="3">
        <f t="shared" si="0"/>
        <v>33</v>
      </c>
      <c r="AR34" s="3">
        <f t="shared" si="1"/>
        <v>235</v>
      </c>
      <c r="AS34" s="19">
        <v>241</v>
      </c>
      <c r="AT34" s="9">
        <v>-14.5</v>
      </c>
      <c r="AU34" s="3">
        <f t="shared" si="4"/>
        <v>-110</v>
      </c>
      <c r="AV34" s="3">
        <f t="shared" si="2"/>
        <v>14.5</v>
      </c>
      <c r="AW34" s="4">
        <f t="shared" si="3"/>
        <v>-110</v>
      </c>
    </row>
    <row r="35" spans="1:49" x14ac:dyDescent="0.25">
      <c r="A35" s="5">
        <f>'Celtics Game Data'!A34</f>
        <v>45293</v>
      </c>
      <c r="B35" s="5" t="str">
        <f>'Celtics Game Data'!B34</f>
        <v>Oklahoma City Thunder</v>
      </c>
      <c r="C35" s="5" t="str">
        <f>'Celtics Game Data'!C34</f>
        <v>Away</v>
      </c>
      <c r="D35" s="5" t="b">
        <v>0</v>
      </c>
      <c r="E35" s="10">
        <f>COUNTIF('Celtics Game Data'!$D$2:D33,TRUE)/(COUNTIF('Celtics Game Data'!$D$2:D33, TRUE) + COUNTIF('Celtics Game Data'!$D$2:D33, FALSE))</f>
        <v>0.8125</v>
      </c>
      <c r="F35" s="11">
        <f>IFERROR(COUNTIF('Celtics Game Data'!$Q$2:Q33,2)/(COUNTIF('Celtics Game Data'!$Q$2:Q33, 2) + COUNTIF('Celtics Game Data'!$Q$2:Q33, 1)),"")</f>
        <v>1</v>
      </c>
      <c r="G35" s="11">
        <f>IFERROR(COUNTIF('Celtics Game Data'!$R$2:R33,2)/(COUNTIF('Celtics Game Data'!$R$2:R33, 2) + COUNTIF('Celtics Game Data'!$R$2:R33, 1)),"")</f>
        <v>0.625</v>
      </c>
      <c r="H35" s="11">
        <f>COUNTIF('Celtics Game Data'!D29:D33,TRUE)/(COUNTIF('Celtics Game Data'!D29:D33, TRUE) + COUNTIF('Celtics Game Data'!D29:D33, FALSE))</f>
        <v>1</v>
      </c>
      <c r="I35" s="11">
        <f>COUNTIF('Celtics Game Data'!D24:D33,TRUE)/(COUNTIF('Celtics Game Data'!D24:D33, TRUE) + COUNTIF('Celtics Game Data'!D24:D33, FALSE))</f>
        <v>0.9</v>
      </c>
      <c r="J35" s="12">
        <f>AVERAGE('Celtics Game Data'!$E$2:E33)</f>
        <v>120.75</v>
      </c>
      <c r="K35" s="12">
        <f>AVERAGE('Celtics Game Data'!E29:E33)</f>
        <v>130.6</v>
      </c>
      <c r="L35" s="12">
        <f>AVERAGE('Celtics Game Data'!E24:E33)</f>
        <v>128.1</v>
      </c>
      <c r="M35" s="12">
        <f>AVERAGE('Celtics Game Data'!$M$2:M33)</f>
        <v>122.93750000000001</v>
      </c>
      <c r="N35" s="12">
        <f>AVERAGE('Celtics Game Data'!M24:M33)</f>
        <v>129.97999999999999</v>
      </c>
      <c r="O35" s="12">
        <f>AVERAGE('Celtics Game Data'!$N$2:N33)</f>
        <v>111.90937500000001</v>
      </c>
      <c r="P35" s="12">
        <f>AVERAGE('Celtics Game Data'!N24:N33)</f>
        <v>114.44000000000001</v>
      </c>
      <c r="Q35" s="12">
        <f>AVERAGE('Celtics Game Data'!G24:G33)</f>
        <v>47.1</v>
      </c>
      <c r="R35" s="11">
        <f>AVERAGE('Celtics Game Data'!H24:H33)</f>
        <v>0.50049999999999994</v>
      </c>
      <c r="S35" s="12">
        <f>AVERAGE('Celtics Game Data'!I24:I33)</f>
        <v>16.8</v>
      </c>
      <c r="T35" s="11">
        <f>AVERAGE('Celtics Game Data'!J24:J33)</f>
        <v>0.39360000000000001</v>
      </c>
      <c r="U35" s="12">
        <f>AVERAGE('Celtics Game Data'!K24:K33)</f>
        <v>17.7</v>
      </c>
      <c r="V35" s="11">
        <f>AVERAGE('Celtics Game Data'!L24:L33)</f>
        <v>0.81389999999999996</v>
      </c>
      <c r="W35" s="9">
        <v>1</v>
      </c>
      <c r="X35" s="9">
        <v>1</v>
      </c>
      <c r="Y35" s="4">
        <f>'Celtics Game Data'!O34</f>
        <v>0</v>
      </c>
      <c r="Z35" s="10">
        <f>22/31</f>
        <v>0.70967741935483875</v>
      </c>
      <c r="AA35" s="14">
        <v>124</v>
      </c>
      <c r="AB35" s="9" t="b">
        <v>1</v>
      </c>
      <c r="AC35" s="14">
        <v>45</v>
      </c>
      <c r="AD35" s="11">
        <v>0.54200000000000004</v>
      </c>
      <c r="AE35" s="14">
        <v>18</v>
      </c>
      <c r="AF35" s="11">
        <v>0.54500000000000004</v>
      </c>
      <c r="AG35" s="14">
        <v>16</v>
      </c>
      <c r="AH35" s="11">
        <v>0.8</v>
      </c>
      <c r="AI35" s="16">
        <v>125.8</v>
      </c>
      <c r="AJ35" s="16">
        <v>109.6</v>
      </c>
      <c r="AK35" s="9">
        <v>2</v>
      </c>
      <c r="AL35" s="9">
        <v>2</v>
      </c>
      <c r="AM35" s="4">
        <v>0</v>
      </c>
      <c r="AN35" s="2" t="b">
        <f>'Celtics Game Data'!D34</f>
        <v>0</v>
      </c>
      <c r="AO35" s="3">
        <f>'Celtics Game Data'!E34</f>
        <v>123</v>
      </c>
      <c r="AP35" s="3">
        <f>'Celtics Game Data'!F34</f>
        <v>127</v>
      </c>
      <c r="AQ35" s="3">
        <f t="shared" ref="AQ35:AQ66" si="5">AO35-AP35</f>
        <v>-4</v>
      </c>
      <c r="AR35" s="3">
        <f t="shared" ref="AR35:AR66" si="6">SUM(AO35:AP35)</f>
        <v>250</v>
      </c>
      <c r="AS35" s="19">
        <v>240</v>
      </c>
      <c r="AT35" s="9">
        <v>-4.5</v>
      </c>
      <c r="AU35" s="3">
        <f t="shared" si="4"/>
        <v>-110</v>
      </c>
      <c r="AV35" s="3">
        <f t="shared" si="2"/>
        <v>4.5</v>
      </c>
      <c r="AW35" s="4">
        <f t="shared" si="3"/>
        <v>-110</v>
      </c>
    </row>
    <row r="36" spans="1:49" x14ac:dyDescent="0.25">
      <c r="A36" s="5">
        <f>'Celtics Game Data'!A35</f>
        <v>45296</v>
      </c>
      <c r="B36" s="5" t="str">
        <f>'Celtics Game Data'!B35</f>
        <v>Utah Jazz</v>
      </c>
      <c r="C36" s="5" t="str">
        <f>'Celtics Game Data'!C35</f>
        <v>Home</v>
      </c>
      <c r="D36" s="5" t="b">
        <v>0</v>
      </c>
      <c r="E36" s="10">
        <f>COUNTIF('Celtics Game Data'!$D$2:D34,TRUE)/(COUNTIF('Celtics Game Data'!$D$2:D34, TRUE) + COUNTIF('Celtics Game Data'!$D$2:D34, FALSE))</f>
        <v>0.78787878787878785</v>
      </c>
      <c r="F36" s="11">
        <f>IFERROR(COUNTIF('Celtics Game Data'!$Q$2:Q34,2)/(COUNTIF('Celtics Game Data'!$Q$2:Q34, 2) + COUNTIF('Celtics Game Data'!$Q$2:Q34, 1)),"")</f>
        <v>1</v>
      </c>
      <c r="G36" s="11">
        <f>IFERROR(COUNTIF('Celtics Game Data'!$R$2:R34,2)/(COUNTIF('Celtics Game Data'!$R$2:R34, 2) + COUNTIF('Celtics Game Data'!$R$2:R34, 1)),"")</f>
        <v>0.58823529411764708</v>
      </c>
      <c r="H36" s="11">
        <f>COUNTIF('Celtics Game Data'!D30:D34,TRUE)/(COUNTIF('Celtics Game Data'!D30:D34, TRUE) + COUNTIF('Celtics Game Data'!D30:D34, FALSE))</f>
        <v>0.8</v>
      </c>
      <c r="I36" s="11">
        <f>COUNTIF('Celtics Game Data'!D25:D34,TRUE)/(COUNTIF('Celtics Game Data'!D25:D34, TRUE) + COUNTIF('Celtics Game Data'!D25:D34, FALSE))</f>
        <v>0.8</v>
      </c>
      <c r="J36" s="12">
        <f>AVERAGE('Celtics Game Data'!$E$2:E34)</f>
        <v>120.81818181818181</v>
      </c>
      <c r="K36" s="12">
        <f>AVERAGE('Celtics Game Data'!E30:E34)</f>
        <v>126.2</v>
      </c>
      <c r="L36" s="12">
        <f>AVERAGE('Celtics Game Data'!E25:E34)</f>
        <v>128.80000000000001</v>
      </c>
      <c r="M36" s="12">
        <f>AVERAGE('Celtics Game Data'!$M$2:M34)</f>
        <v>123.06060606060608</v>
      </c>
      <c r="N36" s="12">
        <f>AVERAGE('Celtics Game Data'!M25:M34)</f>
        <v>130.32999999999998</v>
      </c>
      <c r="O36" s="12">
        <f>AVERAGE('Celtics Game Data'!$N$2:N34)</f>
        <v>112.4909090909091</v>
      </c>
      <c r="P36" s="12">
        <f>AVERAGE('Celtics Game Data'!N25:N34)</f>
        <v>116.16</v>
      </c>
      <c r="Q36" s="12">
        <f>AVERAGE('Celtics Game Data'!G25:G34)</f>
        <v>47</v>
      </c>
      <c r="R36" s="11">
        <f>AVERAGE('Celtics Game Data'!H25:H34)</f>
        <v>0.49559999999999993</v>
      </c>
      <c r="S36" s="12">
        <f>AVERAGE('Celtics Game Data'!I25:I34)</f>
        <v>17</v>
      </c>
      <c r="T36" s="11">
        <f>AVERAGE('Celtics Game Data'!J25:J34)</f>
        <v>0.39500000000000002</v>
      </c>
      <c r="U36" s="12">
        <f>AVERAGE('Celtics Game Data'!K25:K34)</f>
        <v>18.399999999999999</v>
      </c>
      <c r="V36" s="11">
        <f>AVERAGE('Celtics Game Data'!L25:L34)</f>
        <v>0.81169999999999987</v>
      </c>
      <c r="W36" s="9">
        <v>1</v>
      </c>
      <c r="X36" s="9">
        <v>1</v>
      </c>
      <c r="Y36" s="4">
        <f>'Celtics Game Data'!O35</f>
        <v>0</v>
      </c>
      <c r="Z36" s="10">
        <f>16/35</f>
        <v>0.45714285714285713</v>
      </c>
      <c r="AA36" s="14">
        <v>154</v>
      </c>
      <c r="AB36" s="9" t="b">
        <v>1</v>
      </c>
      <c r="AC36" s="14">
        <v>53</v>
      </c>
      <c r="AD36" s="11">
        <v>0.51500000000000001</v>
      </c>
      <c r="AE36" s="14">
        <v>16</v>
      </c>
      <c r="AF36" s="11">
        <v>0.5</v>
      </c>
      <c r="AG36" s="14">
        <v>32</v>
      </c>
      <c r="AH36" s="11">
        <v>0.91400000000000003</v>
      </c>
      <c r="AI36" s="16">
        <v>137.69999999999999</v>
      </c>
      <c r="AJ36" s="16">
        <v>132.30000000000001</v>
      </c>
      <c r="AK36" s="9">
        <v>12</v>
      </c>
      <c r="AL36" s="9">
        <v>4</v>
      </c>
      <c r="AM36" s="4">
        <v>1</v>
      </c>
      <c r="AN36" s="2" t="b">
        <f>'Celtics Game Data'!D35</f>
        <v>1</v>
      </c>
      <c r="AO36" s="3">
        <f>'Celtics Game Data'!E35</f>
        <v>126</v>
      </c>
      <c r="AP36" s="3">
        <f>'Celtics Game Data'!F35</f>
        <v>97</v>
      </c>
      <c r="AQ36" s="3">
        <f t="shared" si="5"/>
        <v>29</v>
      </c>
      <c r="AR36" s="3">
        <f t="shared" si="6"/>
        <v>223</v>
      </c>
      <c r="AS36" s="19">
        <v>240.5</v>
      </c>
      <c r="AT36" s="9">
        <v>-13.5</v>
      </c>
      <c r="AU36" s="3">
        <f t="shared" si="4"/>
        <v>-110</v>
      </c>
      <c r="AV36" s="3">
        <f t="shared" si="2"/>
        <v>13.5</v>
      </c>
      <c r="AW36" s="4">
        <f t="shared" si="3"/>
        <v>-110</v>
      </c>
    </row>
    <row r="37" spans="1:49" x14ac:dyDescent="0.25">
      <c r="A37" s="5">
        <f>'Celtics Game Data'!A36</f>
        <v>45297</v>
      </c>
      <c r="B37" s="5" t="str">
        <f>'Celtics Game Data'!B36</f>
        <v>Indiana Pacers</v>
      </c>
      <c r="C37" s="5" t="str">
        <f>'Celtics Game Data'!C36</f>
        <v>Away</v>
      </c>
      <c r="D37" s="5" t="b">
        <v>0</v>
      </c>
      <c r="E37" s="10">
        <f>COUNTIF('Celtics Game Data'!$D$2:D35,TRUE)/(COUNTIF('Celtics Game Data'!$D$2:D35, TRUE) + COUNTIF('Celtics Game Data'!$D$2:D35, FALSE))</f>
        <v>0.79411764705882348</v>
      </c>
      <c r="F37" s="11">
        <f>IFERROR(COUNTIF('Celtics Game Data'!$Q$2:Q35,2)/(COUNTIF('Celtics Game Data'!$Q$2:Q35, 2) + COUNTIF('Celtics Game Data'!$Q$2:Q35, 1)),"")</f>
        <v>1</v>
      </c>
      <c r="G37" s="11">
        <f>IFERROR(COUNTIF('Celtics Game Data'!$R$2:R35,2)/(COUNTIF('Celtics Game Data'!$R$2:R35, 2) + COUNTIF('Celtics Game Data'!$R$2:R35, 1)),"")</f>
        <v>0.58823529411764708</v>
      </c>
      <c r="H37" s="11">
        <f>COUNTIF('Celtics Game Data'!D31:D35,TRUE)/(COUNTIF('Celtics Game Data'!D31:D35, TRUE) + COUNTIF('Celtics Game Data'!D31:D35, FALSE))</f>
        <v>0.8</v>
      </c>
      <c r="I37" s="11">
        <f>COUNTIF('Celtics Game Data'!D26:D35,TRUE)/(COUNTIF('Celtics Game Data'!D26:D35, TRUE) + COUNTIF('Celtics Game Data'!D26:D35, FALSE))</f>
        <v>0.8</v>
      </c>
      <c r="J37" s="12">
        <f>AVERAGE('Celtics Game Data'!$E$2:E35)</f>
        <v>120.97058823529412</v>
      </c>
      <c r="K37" s="12">
        <f>AVERAGE('Celtics Game Data'!E31:E35)</f>
        <v>126.2</v>
      </c>
      <c r="L37" s="12">
        <f>AVERAGE('Celtics Game Data'!E26:E35)</f>
        <v>128.6</v>
      </c>
      <c r="M37" s="12">
        <f>AVERAGE('Celtics Game Data'!$M$2:M35)</f>
        <v>122.87352941176472</v>
      </c>
      <c r="N37" s="12">
        <f>AVERAGE('Celtics Game Data'!M26:M35)</f>
        <v>129.1</v>
      </c>
      <c r="O37" s="12">
        <f>AVERAGE('Celtics Game Data'!$N$2:N35)</f>
        <v>111.82647058823531</v>
      </c>
      <c r="P37" s="12">
        <f>AVERAGE('Celtics Game Data'!N26:N35)</f>
        <v>113.96000000000001</v>
      </c>
      <c r="Q37" s="12">
        <f>AVERAGE('Celtics Game Data'!G26:G35)</f>
        <v>46.1</v>
      </c>
      <c r="R37" s="11">
        <f>AVERAGE('Celtics Game Data'!H26:H35)</f>
        <v>0.48669999999999991</v>
      </c>
      <c r="S37" s="12">
        <f>AVERAGE('Celtics Game Data'!I26:I35)</f>
        <v>16.899999999999999</v>
      </c>
      <c r="T37" s="11">
        <f>AVERAGE('Celtics Game Data'!J26:J35)</f>
        <v>0.38679999999999998</v>
      </c>
      <c r="U37" s="12">
        <f>AVERAGE('Celtics Game Data'!K26:K35)</f>
        <v>19.5</v>
      </c>
      <c r="V37" s="11">
        <f>AVERAGE('Celtics Game Data'!L26:L35)</f>
        <v>0.82779999999999987</v>
      </c>
      <c r="W37" s="9">
        <v>1</v>
      </c>
      <c r="X37" s="9">
        <v>1</v>
      </c>
      <c r="Y37" s="4">
        <f>'Celtics Game Data'!O36</f>
        <v>0</v>
      </c>
      <c r="Z37" s="10">
        <f>20/34</f>
        <v>0.58823529411764708</v>
      </c>
      <c r="AA37" s="14">
        <v>150</v>
      </c>
      <c r="AB37" s="9" t="b">
        <v>1</v>
      </c>
      <c r="AC37" s="14">
        <v>40</v>
      </c>
      <c r="AD37" s="11">
        <v>0.43</v>
      </c>
      <c r="AE37" s="14">
        <v>10</v>
      </c>
      <c r="AF37" s="11">
        <v>0.23800000000000002</v>
      </c>
      <c r="AG37" s="14">
        <v>26</v>
      </c>
      <c r="AH37" s="11">
        <v>0.86699999999999999</v>
      </c>
      <c r="AI37" s="16">
        <v>112.8</v>
      </c>
      <c r="AJ37" s="16">
        <v>145.80000000000001</v>
      </c>
      <c r="AK37" s="3">
        <v>5</v>
      </c>
      <c r="AL37" s="3">
        <v>2</v>
      </c>
      <c r="AM37" s="4">
        <v>0</v>
      </c>
      <c r="AN37" s="2" t="b">
        <f>'Celtics Game Data'!D36</f>
        <v>1</v>
      </c>
      <c r="AO37" s="3">
        <f>'Celtics Game Data'!E36</f>
        <v>118</v>
      </c>
      <c r="AP37" s="3">
        <f>'Celtics Game Data'!F36</f>
        <v>101</v>
      </c>
      <c r="AQ37" s="3">
        <f t="shared" si="5"/>
        <v>17</v>
      </c>
      <c r="AR37" s="3">
        <f t="shared" si="6"/>
        <v>219</v>
      </c>
      <c r="AS37" s="19">
        <v>250</v>
      </c>
      <c r="AT37" s="9">
        <v>-6.5</v>
      </c>
      <c r="AU37" s="3">
        <f t="shared" si="4"/>
        <v>-110</v>
      </c>
      <c r="AV37" s="3">
        <f t="shared" si="2"/>
        <v>6.5</v>
      </c>
      <c r="AW37" s="4">
        <f t="shared" si="3"/>
        <v>-110</v>
      </c>
    </row>
    <row r="38" spans="1:49" x14ac:dyDescent="0.25">
      <c r="A38" s="5">
        <f>'Celtics Game Data'!A37</f>
        <v>45299</v>
      </c>
      <c r="B38" s="5" t="str">
        <f>'Celtics Game Data'!B37</f>
        <v>Indiana Pacers</v>
      </c>
      <c r="C38" s="5" t="str">
        <f>'Celtics Game Data'!C37</f>
        <v>Away</v>
      </c>
      <c r="D38" s="5" t="b">
        <v>0</v>
      </c>
      <c r="E38" s="10">
        <f>COUNTIF('Celtics Game Data'!$D$2:D36,TRUE)/(COUNTIF('Celtics Game Data'!$D$2:D36, TRUE) + COUNTIF('Celtics Game Data'!$D$2:D36, FALSE))</f>
        <v>0.8</v>
      </c>
      <c r="F38" s="11">
        <f>IFERROR(COUNTIF('Celtics Game Data'!$Q$2:Q36,2)/(COUNTIF('Celtics Game Data'!$Q$2:Q36, 2) + COUNTIF('Celtics Game Data'!$Q$2:Q36, 1)),"")</f>
        <v>1</v>
      </c>
      <c r="G38" s="11">
        <f>IFERROR(COUNTIF('Celtics Game Data'!$R$2:R36,2)/(COUNTIF('Celtics Game Data'!$R$2:R36, 2) + COUNTIF('Celtics Game Data'!$R$2:R36, 1)),"")</f>
        <v>0.61111111111111116</v>
      </c>
      <c r="H38" s="11">
        <f>COUNTIF('Celtics Game Data'!D32:D36,TRUE)/(COUNTIF('Celtics Game Data'!D32:D36, TRUE) + COUNTIF('Celtics Game Data'!D32:D36, FALSE))</f>
        <v>0.8</v>
      </c>
      <c r="I38" s="11">
        <f>COUNTIF('Celtics Game Data'!D27:D36,TRUE)/(COUNTIF('Celtics Game Data'!D27:D36, TRUE) + COUNTIF('Celtics Game Data'!D27:D36, FALSE))</f>
        <v>0.8</v>
      </c>
      <c r="J38" s="12">
        <f>AVERAGE('Celtics Game Data'!$E$2:E36)</f>
        <v>120.88571428571429</v>
      </c>
      <c r="K38" s="12">
        <f>AVERAGE('Celtics Game Data'!E32:E36)</f>
        <v>124.2</v>
      </c>
      <c r="L38" s="12">
        <f>AVERAGE('Celtics Game Data'!E27:E36)</f>
        <v>129</v>
      </c>
      <c r="M38" s="12">
        <f>AVERAGE('Celtics Game Data'!$M$2:M36)</f>
        <v>122.75714285714288</v>
      </c>
      <c r="N38" s="12">
        <f>AVERAGE('Celtics Game Data'!M27:M36)</f>
        <v>129.33000000000001</v>
      </c>
      <c r="O38" s="12">
        <f>AVERAGE('Celtics Game Data'!$N$2:N36)</f>
        <v>111.53714285714287</v>
      </c>
      <c r="P38" s="12">
        <f>AVERAGE('Celtics Game Data'!N27:N36)</f>
        <v>114.21000000000001</v>
      </c>
      <c r="Q38" s="12">
        <f>AVERAGE('Celtics Game Data'!G27:G36)</f>
        <v>46.2</v>
      </c>
      <c r="R38" s="11">
        <f>AVERAGE('Celtics Game Data'!H27:H36)</f>
        <v>0.4904</v>
      </c>
      <c r="S38" s="12">
        <f>AVERAGE('Celtics Game Data'!I27:I36)</f>
        <v>16.8</v>
      </c>
      <c r="T38" s="11">
        <f>AVERAGE('Celtics Game Data'!J27:J36)</f>
        <v>0.37860000000000005</v>
      </c>
      <c r="U38" s="12">
        <f>AVERAGE('Celtics Game Data'!K27:K36)</f>
        <v>19.8</v>
      </c>
      <c r="V38" s="11">
        <f>AVERAGE('Celtics Game Data'!L27:L36)</f>
        <v>0.79289999999999994</v>
      </c>
      <c r="W38" s="9">
        <v>1</v>
      </c>
      <c r="X38" s="9">
        <v>1</v>
      </c>
      <c r="Y38" s="4">
        <f>'Celtics Game Data'!O37</f>
        <v>5</v>
      </c>
      <c r="Z38" s="10">
        <f>20/35</f>
        <v>0.5714285714285714</v>
      </c>
      <c r="AA38" s="14">
        <v>101</v>
      </c>
      <c r="AB38" s="9" t="b">
        <v>0</v>
      </c>
      <c r="AC38" s="14">
        <v>38</v>
      </c>
      <c r="AD38" s="11">
        <v>0.41299999999999998</v>
      </c>
      <c r="AE38" s="14">
        <v>8</v>
      </c>
      <c r="AF38" s="11">
        <v>0.16</v>
      </c>
      <c r="AG38" s="14">
        <v>17</v>
      </c>
      <c r="AH38" s="11">
        <v>0.77300000000000002</v>
      </c>
      <c r="AI38" s="16">
        <v>101.7</v>
      </c>
      <c r="AJ38" s="16">
        <v>118.8</v>
      </c>
      <c r="AK38" s="9">
        <v>7</v>
      </c>
      <c r="AL38" s="9">
        <v>3</v>
      </c>
      <c r="AM38" s="4">
        <v>0</v>
      </c>
      <c r="AN38" s="2" t="b">
        <f>'Celtics Game Data'!D37</f>
        <v>0</v>
      </c>
      <c r="AO38" s="3">
        <f>'Celtics Game Data'!E37</f>
        <v>131</v>
      </c>
      <c r="AP38" s="3">
        <f>'Celtics Game Data'!F37</f>
        <v>133</v>
      </c>
      <c r="AQ38" s="3">
        <f t="shared" si="5"/>
        <v>-2</v>
      </c>
      <c r="AR38" s="3">
        <f t="shared" si="6"/>
        <v>264</v>
      </c>
      <c r="AS38" s="19">
        <v>246.5</v>
      </c>
      <c r="AT38" s="9">
        <v>-3.5</v>
      </c>
      <c r="AU38" s="3">
        <f t="shared" si="4"/>
        <v>-110</v>
      </c>
      <c r="AV38" s="3">
        <f t="shared" si="2"/>
        <v>3.5</v>
      </c>
      <c r="AW38" s="4">
        <f t="shared" si="3"/>
        <v>-110</v>
      </c>
    </row>
    <row r="39" spans="1:49" x14ac:dyDescent="0.25">
      <c r="A39" s="5">
        <f>'Celtics Game Data'!A38</f>
        <v>45301</v>
      </c>
      <c r="B39" s="5" t="str">
        <f>'Celtics Game Data'!B38</f>
        <v>Minnesota Timberwolves</v>
      </c>
      <c r="C39" s="5" t="str">
        <f>'Celtics Game Data'!C38</f>
        <v>Home</v>
      </c>
      <c r="D39" s="5" t="b">
        <v>0</v>
      </c>
      <c r="E39" s="10">
        <f>COUNTIF('Celtics Game Data'!$D$2:D37,TRUE)/(COUNTIF('Celtics Game Data'!$D$2:D37, TRUE) + COUNTIF('Celtics Game Data'!$D$2:D37, FALSE))</f>
        <v>0.77777777777777779</v>
      </c>
      <c r="F39" s="11">
        <f>IFERROR(COUNTIF('Celtics Game Data'!$Q$2:Q37,2)/(COUNTIF('Celtics Game Data'!$Q$2:Q37, 2) + COUNTIF('Celtics Game Data'!$Q$2:Q37, 1)),"")</f>
        <v>1</v>
      </c>
      <c r="G39" s="11">
        <f>IFERROR(COUNTIF('Celtics Game Data'!$R$2:R37,2)/(COUNTIF('Celtics Game Data'!$R$2:R37, 2) + COUNTIF('Celtics Game Data'!$R$2:R37, 1)),"")</f>
        <v>0.57894736842105265</v>
      </c>
      <c r="H39" s="11">
        <f>COUNTIF('Celtics Game Data'!D33:D37,TRUE)/(COUNTIF('Celtics Game Data'!D33:D37, TRUE) + COUNTIF('Celtics Game Data'!D33:D37, FALSE))</f>
        <v>0.6</v>
      </c>
      <c r="I39" s="11">
        <f>COUNTIF('Celtics Game Data'!D28:D37,TRUE)/(COUNTIF('Celtics Game Data'!D28:D37, TRUE) + COUNTIF('Celtics Game Data'!D28:D37, FALSE))</f>
        <v>0.8</v>
      </c>
      <c r="J39" s="12">
        <f>AVERAGE('Celtics Game Data'!$E$2:E37)</f>
        <v>121.16666666666667</v>
      </c>
      <c r="K39" s="12">
        <f>AVERAGE('Celtics Game Data'!E33:E37)</f>
        <v>126.4</v>
      </c>
      <c r="L39" s="12">
        <f>AVERAGE('Celtics Game Data'!E28:E37)</f>
        <v>129.5</v>
      </c>
      <c r="M39" s="12">
        <f>AVERAGE('Celtics Game Data'!$M$2:M37)</f>
        <v>122.90555555555559</v>
      </c>
      <c r="N39" s="12">
        <f>AVERAGE('Celtics Game Data'!M28:M37)</f>
        <v>130.19</v>
      </c>
      <c r="O39" s="12">
        <f>AVERAGE('Celtics Game Data'!$N$2:N37)</f>
        <v>112.05000000000001</v>
      </c>
      <c r="P39" s="12">
        <f>AVERAGE('Celtics Game Data'!N28:N37)</f>
        <v>114.69000000000001</v>
      </c>
      <c r="Q39" s="12">
        <f>AVERAGE('Celtics Game Data'!G28:G37)</f>
        <v>46.2</v>
      </c>
      <c r="R39" s="11">
        <f>AVERAGE('Celtics Game Data'!H28:H37)</f>
        <v>0.50139999999999996</v>
      </c>
      <c r="S39" s="12">
        <f>AVERAGE('Celtics Game Data'!I28:I37)</f>
        <v>16.8</v>
      </c>
      <c r="T39" s="11">
        <f>AVERAGE('Celtics Game Data'!J28:J37)</f>
        <v>0.39790000000000003</v>
      </c>
      <c r="U39" s="12">
        <f>AVERAGE('Celtics Game Data'!K28:K37)</f>
        <v>20.3</v>
      </c>
      <c r="V39" s="11">
        <f>AVERAGE('Celtics Game Data'!L28:L37)</f>
        <v>0.77369999999999983</v>
      </c>
      <c r="W39" s="9">
        <v>1</v>
      </c>
      <c r="X39" s="9">
        <v>1</v>
      </c>
      <c r="Y39" s="4">
        <f>'Celtics Game Data'!O38</f>
        <v>3</v>
      </c>
      <c r="Z39" s="10">
        <f>26/36</f>
        <v>0.72222222222222221</v>
      </c>
      <c r="AA39" s="14">
        <v>113</v>
      </c>
      <c r="AB39" s="9" t="b">
        <v>1</v>
      </c>
      <c r="AC39" s="14">
        <v>43</v>
      </c>
      <c r="AD39" s="11">
        <v>0.53799999999999992</v>
      </c>
      <c r="AE39" s="14">
        <v>12</v>
      </c>
      <c r="AF39" s="11">
        <v>0.4</v>
      </c>
      <c r="AG39" s="14">
        <v>15</v>
      </c>
      <c r="AH39" s="11">
        <v>0.78599999999999992</v>
      </c>
      <c r="AI39" s="16">
        <v>100</v>
      </c>
      <c r="AJ39" s="16">
        <v>115.5</v>
      </c>
      <c r="AK39" s="9">
        <v>1</v>
      </c>
      <c r="AL39" s="9">
        <v>1</v>
      </c>
      <c r="AM39" s="4">
        <v>4</v>
      </c>
      <c r="AN39" s="2" t="b">
        <f>'Celtics Game Data'!D38</f>
        <v>1</v>
      </c>
      <c r="AO39" s="3">
        <f>'Celtics Game Data'!E38</f>
        <v>127</v>
      </c>
      <c r="AP39" s="3">
        <f>'Celtics Game Data'!F38</f>
        <v>120</v>
      </c>
      <c r="AQ39" s="3">
        <f t="shared" si="5"/>
        <v>7</v>
      </c>
      <c r="AR39" s="3">
        <f t="shared" si="6"/>
        <v>247</v>
      </c>
      <c r="AS39" s="19">
        <v>228</v>
      </c>
      <c r="AT39" s="9">
        <v>-10.5</v>
      </c>
      <c r="AU39" s="3">
        <f t="shared" si="4"/>
        <v>-110</v>
      </c>
      <c r="AV39" s="3">
        <f t="shared" si="2"/>
        <v>10.5</v>
      </c>
      <c r="AW39" s="4">
        <f t="shared" si="3"/>
        <v>-110</v>
      </c>
    </row>
    <row r="40" spans="1:49" x14ac:dyDescent="0.25">
      <c r="A40" s="5">
        <f>'Celtics Game Data'!A39</f>
        <v>45302</v>
      </c>
      <c r="B40" s="5" t="str">
        <f>'Celtics Game Data'!B39</f>
        <v>Milwaukee Bucks</v>
      </c>
      <c r="C40" s="5" t="str">
        <f>'Celtics Game Data'!C39</f>
        <v>Away</v>
      </c>
      <c r="D40" s="5" t="b">
        <v>0</v>
      </c>
      <c r="E40" s="10">
        <f>COUNTIF('Celtics Game Data'!$D$2:D38,TRUE)/(COUNTIF('Celtics Game Data'!$D$2:D38, TRUE) + COUNTIF('Celtics Game Data'!$D$2:D38, FALSE))</f>
        <v>0.78378378378378377</v>
      </c>
      <c r="F40" s="11">
        <f>IFERROR(COUNTIF('Celtics Game Data'!$Q$2:Q38,2)/(COUNTIF('Celtics Game Data'!$Q$2:Q38, 2) + COUNTIF('Celtics Game Data'!$Q$2:Q38, 1)),"")</f>
        <v>1</v>
      </c>
      <c r="G40" s="11">
        <f>IFERROR(COUNTIF('Celtics Game Data'!$R$2:R38,2)/(COUNTIF('Celtics Game Data'!$R$2:R38, 2) + COUNTIF('Celtics Game Data'!$R$2:R38, 1)),"")</f>
        <v>0.57894736842105265</v>
      </c>
      <c r="H40" s="11">
        <f>COUNTIF('Celtics Game Data'!D34:D38,TRUE)/(COUNTIF('Celtics Game Data'!D34:D38, TRUE) + COUNTIF('Celtics Game Data'!D34:D38, FALSE))</f>
        <v>0.6</v>
      </c>
      <c r="I40" s="11">
        <f>COUNTIF('Celtics Game Data'!D29:D38,TRUE)/(COUNTIF('Celtics Game Data'!D29:D38, TRUE) + COUNTIF('Celtics Game Data'!D29:D38, FALSE))</f>
        <v>0.8</v>
      </c>
      <c r="J40" s="12">
        <f>AVERAGE('Celtics Game Data'!$E$2:E38)</f>
        <v>121.32432432432432</v>
      </c>
      <c r="K40" s="12">
        <f>AVERAGE('Celtics Game Data'!E34:E38)</f>
        <v>125</v>
      </c>
      <c r="L40" s="12">
        <f>AVERAGE('Celtics Game Data'!E29:E38)</f>
        <v>127.8</v>
      </c>
      <c r="M40" s="12">
        <f>AVERAGE('Celtics Game Data'!$M$2:M38)</f>
        <v>122.93513513513517</v>
      </c>
      <c r="N40" s="12">
        <f>AVERAGE('Celtics Game Data'!M29:M38)</f>
        <v>127.37</v>
      </c>
      <c r="O40" s="12">
        <f>AVERAGE('Celtics Game Data'!$N$2:N38)</f>
        <v>112.18918918918919</v>
      </c>
      <c r="P40" s="12">
        <f>AVERAGE('Celtics Game Data'!N29:N38)</f>
        <v>113.83</v>
      </c>
      <c r="Q40" s="12">
        <f>AVERAGE('Celtics Game Data'!G29:G38)</f>
        <v>45</v>
      </c>
      <c r="R40" s="11">
        <f>AVERAGE('Celtics Game Data'!H29:H38)</f>
        <v>0.48929999999999996</v>
      </c>
      <c r="S40" s="12">
        <f>AVERAGE('Celtics Game Data'!I29:I38)</f>
        <v>16.5</v>
      </c>
      <c r="T40" s="11">
        <f>AVERAGE('Celtics Game Data'!J29:J38)</f>
        <v>0.38590000000000002</v>
      </c>
      <c r="U40" s="12">
        <f>AVERAGE('Celtics Game Data'!K29:K38)</f>
        <v>21.4</v>
      </c>
      <c r="V40" s="11">
        <f>AVERAGE('Celtics Game Data'!L29:L38)</f>
        <v>0.78720000000000001</v>
      </c>
      <c r="W40" s="9">
        <v>1</v>
      </c>
      <c r="X40" s="9">
        <v>1</v>
      </c>
      <c r="Y40" s="4">
        <f>'Celtics Game Data'!O39</f>
        <v>0</v>
      </c>
      <c r="Z40" s="10">
        <f>25/37</f>
        <v>0.67567567567567566</v>
      </c>
      <c r="AA40" s="14">
        <v>116</v>
      </c>
      <c r="AB40" s="9" t="b">
        <v>0</v>
      </c>
      <c r="AC40" s="14">
        <v>42</v>
      </c>
      <c r="AD40" s="11">
        <v>0.44700000000000001</v>
      </c>
      <c r="AE40" s="14">
        <v>17</v>
      </c>
      <c r="AF40" s="11">
        <v>0.47200000000000003</v>
      </c>
      <c r="AG40" s="14">
        <v>15</v>
      </c>
      <c r="AH40" s="11">
        <v>0.78900000000000003</v>
      </c>
      <c r="AI40" s="16">
        <v>119.5</v>
      </c>
      <c r="AJ40" s="16">
        <v>135.9</v>
      </c>
      <c r="AK40" s="9">
        <v>2</v>
      </c>
      <c r="AL40" s="9">
        <v>1</v>
      </c>
      <c r="AM40" s="4">
        <v>0</v>
      </c>
      <c r="AN40" s="2" t="b">
        <f>'Celtics Game Data'!D39</f>
        <v>0</v>
      </c>
      <c r="AO40" s="3">
        <f>'Celtics Game Data'!E39</f>
        <v>102</v>
      </c>
      <c r="AP40" s="3">
        <f>'Celtics Game Data'!F39</f>
        <v>135</v>
      </c>
      <c r="AQ40" s="3">
        <f t="shared" si="5"/>
        <v>-33</v>
      </c>
      <c r="AR40" s="3">
        <f t="shared" si="6"/>
        <v>237</v>
      </c>
      <c r="AS40" s="19">
        <v>247.5</v>
      </c>
      <c r="AT40" s="9">
        <v>2.5</v>
      </c>
      <c r="AU40" s="3">
        <f t="shared" si="4"/>
        <v>-110</v>
      </c>
      <c r="AV40" s="3">
        <f t="shared" si="2"/>
        <v>-2.5</v>
      </c>
      <c r="AW40" s="4">
        <f t="shared" si="3"/>
        <v>-110</v>
      </c>
    </row>
    <row r="41" spans="1:49" x14ac:dyDescent="0.25">
      <c r="A41" s="5">
        <f>'Celtics Game Data'!A40</f>
        <v>45304</v>
      </c>
      <c r="B41" s="5" t="str">
        <f>'Celtics Game Data'!B40</f>
        <v>Houston Rockets</v>
      </c>
      <c r="C41" s="5" t="str">
        <f>'Celtics Game Data'!C40</f>
        <v>Home</v>
      </c>
      <c r="D41" s="5" t="b">
        <v>0</v>
      </c>
      <c r="E41" s="10">
        <f>COUNTIF('Celtics Game Data'!$D$2:D39,TRUE)/(COUNTIF('Celtics Game Data'!$D$2:D39, TRUE) + COUNTIF('Celtics Game Data'!$D$2:D39, FALSE))</f>
        <v>0.76315789473684215</v>
      </c>
      <c r="F41" s="11">
        <f>IFERROR(COUNTIF('Celtics Game Data'!$Q$2:Q39,2)/(COUNTIF('Celtics Game Data'!$Q$2:Q39, 2) + COUNTIF('Celtics Game Data'!$Q$2:Q39, 1)),"")</f>
        <v>1</v>
      </c>
      <c r="G41" s="11">
        <f>IFERROR(COUNTIF('Celtics Game Data'!$R$2:R39,2)/(COUNTIF('Celtics Game Data'!$R$2:R39, 2) + COUNTIF('Celtics Game Data'!$R$2:R39, 1)),"")</f>
        <v>0.55000000000000004</v>
      </c>
      <c r="H41" s="11">
        <f>COUNTIF('Celtics Game Data'!D35:D39,TRUE)/(COUNTIF('Celtics Game Data'!D35:D39, TRUE) + COUNTIF('Celtics Game Data'!D35:D39, FALSE))</f>
        <v>0.6</v>
      </c>
      <c r="I41" s="11">
        <f>COUNTIF('Celtics Game Data'!D30:D39,TRUE)/(COUNTIF('Celtics Game Data'!D30:D39, TRUE) + COUNTIF('Celtics Game Data'!D30:D39, FALSE))</f>
        <v>0.7</v>
      </c>
      <c r="J41" s="12">
        <f>AVERAGE('Celtics Game Data'!$E$2:E39)</f>
        <v>120.81578947368421</v>
      </c>
      <c r="K41" s="12">
        <f>AVERAGE('Celtics Game Data'!E35:E39)</f>
        <v>120.8</v>
      </c>
      <c r="L41" s="12">
        <f>AVERAGE('Celtics Game Data'!E30:E39)</f>
        <v>123.5</v>
      </c>
      <c r="M41" s="12">
        <f>AVERAGE('Celtics Game Data'!$M$2:M39)</f>
        <v>122.45526315789476</v>
      </c>
      <c r="N41" s="12">
        <f>AVERAGE('Celtics Game Data'!M30:M39)</f>
        <v>122.65000000000002</v>
      </c>
      <c r="O41" s="12">
        <f>AVERAGE('Celtics Game Data'!$N$2:N39)</f>
        <v>112.88157894736842</v>
      </c>
      <c r="P41" s="12">
        <f>AVERAGE('Celtics Game Data'!N30:N39)</f>
        <v>116.35999999999999</v>
      </c>
      <c r="Q41" s="12">
        <f>AVERAGE('Celtics Game Data'!G30:G39)</f>
        <v>43.5</v>
      </c>
      <c r="R41" s="11">
        <f>AVERAGE('Celtics Game Data'!H30:H39)</f>
        <v>0.47459999999999997</v>
      </c>
      <c r="S41" s="12">
        <f>AVERAGE('Celtics Game Data'!I30:I39)</f>
        <v>14.9</v>
      </c>
      <c r="T41" s="11">
        <f>AVERAGE('Celtics Game Data'!J30:J39)</f>
        <v>0.36440000000000006</v>
      </c>
      <c r="U41" s="12">
        <f>AVERAGE('Celtics Game Data'!K30:K39)</f>
        <v>21.7</v>
      </c>
      <c r="V41" s="11">
        <f>AVERAGE('Celtics Game Data'!L30:L39)</f>
        <v>0.79190000000000005</v>
      </c>
      <c r="W41" s="9">
        <v>1</v>
      </c>
      <c r="X41" s="9">
        <v>1</v>
      </c>
      <c r="Y41" s="4">
        <f>'Celtics Game Data'!O40</f>
        <v>0</v>
      </c>
      <c r="Z41" s="10">
        <f>19/37</f>
        <v>0.51351351351351349</v>
      </c>
      <c r="AA41" s="14">
        <v>112</v>
      </c>
      <c r="AB41" s="3" t="b">
        <v>1</v>
      </c>
      <c r="AC41" s="14">
        <v>41</v>
      </c>
      <c r="AD41" s="11">
        <v>0.45600000000000002</v>
      </c>
      <c r="AE41" s="14">
        <v>8</v>
      </c>
      <c r="AF41" s="11">
        <v>0.26700000000000002</v>
      </c>
      <c r="AG41" s="14">
        <v>22</v>
      </c>
      <c r="AH41" s="11">
        <v>0.88</v>
      </c>
      <c r="AI41" s="16">
        <v>115.8</v>
      </c>
      <c r="AJ41" s="16">
        <v>113.7</v>
      </c>
      <c r="AK41" s="9">
        <v>4</v>
      </c>
      <c r="AL41" s="9">
        <v>3</v>
      </c>
      <c r="AM41" s="4">
        <v>0</v>
      </c>
      <c r="AN41" s="2" t="b">
        <f>'Celtics Game Data'!D40</f>
        <v>1</v>
      </c>
      <c r="AO41" s="3">
        <f>'Celtics Game Data'!E40</f>
        <v>145</v>
      </c>
      <c r="AP41" s="3">
        <f>'Celtics Game Data'!F40</f>
        <v>113</v>
      </c>
      <c r="AQ41" s="3">
        <f t="shared" si="5"/>
        <v>32</v>
      </c>
      <c r="AR41" s="3">
        <f t="shared" si="6"/>
        <v>258</v>
      </c>
      <c r="AS41" s="19">
        <v>226.5</v>
      </c>
      <c r="AT41" s="9">
        <v>-14.5</v>
      </c>
      <c r="AU41" s="3">
        <f t="shared" si="4"/>
        <v>-110</v>
      </c>
      <c r="AV41" s="3">
        <f t="shared" si="2"/>
        <v>14.5</v>
      </c>
      <c r="AW41" s="4">
        <f t="shared" si="3"/>
        <v>-110</v>
      </c>
    </row>
    <row r="42" spans="1:49" x14ac:dyDescent="0.25">
      <c r="A42" s="5">
        <f>'Celtics Game Data'!A41</f>
        <v>45306</v>
      </c>
      <c r="B42" s="5" t="str">
        <f>'Celtics Game Data'!B41</f>
        <v>Toronto Raptors</v>
      </c>
      <c r="C42" s="5" t="str">
        <f>'Celtics Game Data'!C41</f>
        <v>Away</v>
      </c>
      <c r="D42" s="5" t="b">
        <v>0</v>
      </c>
      <c r="E42" s="10">
        <f>COUNTIF('Celtics Game Data'!$D$2:D40,TRUE)/(COUNTIF('Celtics Game Data'!$D$2:D40, TRUE) + COUNTIF('Celtics Game Data'!$D$2:D40, FALSE))</f>
        <v>0.76923076923076927</v>
      </c>
      <c r="F42" s="11">
        <f>IFERROR(COUNTIF('Celtics Game Data'!$Q$2:Q40,2)/(COUNTIF('Celtics Game Data'!$Q$2:Q40, 2) + COUNTIF('Celtics Game Data'!$Q$2:Q40, 1)),"")</f>
        <v>1</v>
      </c>
      <c r="G42" s="11">
        <f>IFERROR(COUNTIF('Celtics Game Data'!$R$2:R40,2)/(COUNTIF('Celtics Game Data'!$R$2:R40, 2) + COUNTIF('Celtics Game Data'!$R$2:R40, 1)),"")</f>
        <v>0.55000000000000004</v>
      </c>
      <c r="H42" s="11">
        <f>COUNTIF('Celtics Game Data'!D36:D40,TRUE)/(COUNTIF('Celtics Game Data'!D36:D40, TRUE) + COUNTIF('Celtics Game Data'!D36:D40, FALSE))</f>
        <v>0.6</v>
      </c>
      <c r="I42" s="11">
        <f>COUNTIF('Celtics Game Data'!D31:D40,TRUE)/(COUNTIF('Celtics Game Data'!D31:D40, TRUE) + COUNTIF('Celtics Game Data'!D31:D40, FALSE))</f>
        <v>0.7</v>
      </c>
      <c r="J42" s="12">
        <f>AVERAGE('Celtics Game Data'!$E$2:E40)</f>
        <v>121.43589743589743</v>
      </c>
      <c r="K42" s="12">
        <f>AVERAGE('Celtics Game Data'!E36:E40)</f>
        <v>124.6</v>
      </c>
      <c r="L42" s="12">
        <f>AVERAGE('Celtics Game Data'!E31:E40)</f>
        <v>125.4</v>
      </c>
      <c r="M42" s="12">
        <f>AVERAGE('Celtics Game Data'!$M$2:M40)</f>
        <v>122.83333333333336</v>
      </c>
      <c r="N42" s="12">
        <f>AVERAGE('Celtics Game Data'!M31:M40)</f>
        <v>123.34</v>
      </c>
      <c r="O42" s="12">
        <f>AVERAGE('Celtics Game Data'!$N$2:N40)</f>
        <v>112.72820512820512</v>
      </c>
      <c r="P42" s="12">
        <f>AVERAGE('Celtics Game Data'!N31:N40)</f>
        <v>115.16000000000001</v>
      </c>
      <c r="Q42" s="12">
        <f>AVERAGE('Celtics Game Data'!G31:G40)</f>
        <v>44</v>
      </c>
      <c r="R42" s="11">
        <f>AVERAGE('Celtics Game Data'!H31:H40)</f>
        <v>0.47779999999999995</v>
      </c>
      <c r="S42" s="12">
        <f>AVERAGE('Celtics Game Data'!I31:I40)</f>
        <v>16</v>
      </c>
      <c r="T42" s="11">
        <f>AVERAGE('Celtics Game Data'!J31:J40)</f>
        <v>0.38450000000000001</v>
      </c>
      <c r="U42" s="12">
        <f>AVERAGE('Celtics Game Data'!K31:K40)</f>
        <v>21.5</v>
      </c>
      <c r="V42" s="11">
        <f>AVERAGE('Celtics Game Data'!L31:L40)</f>
        <v>0.79290000000000005</v>
      </c>
      <c r="W42" s="9">
        <v>1</v>
      </c>
      <c r="X42" s="9">
        <v>1</v>
      </c>
      <c r="Y42" s="4">
        <f>'Celtics Game Data'!O41</f>
        <v>4</v>
      </c>
      <c r="Z42" s="10">
        <f>15/39</f>
        <v>0.38461538461538464</v>
      </c>
      <c r="AA42" s="14">
        <v>113</v>
      </c>
      <c r="AB42" s="9" t="b">
        <v>0</v>
      </c>
      <c r="AC42" s="14">
        <v>35</v>
      </c>
      <c r="AD42" s="11">
        <v>0.43200000000000005</v>
      </c>
      <c r="AE42" s="14">
        <v>17</v>
      </c>
      <c r="AF42" s="11">
        <v>0.5</v>
      </c>
      <c r="AG42" s="14">
        <v>26</v>
      </c>
      <c r="AH42" s="11">
        <v>0.70299999999999996</v>
      </c>
      <c r="AI42" s="16">
        <v>112.6</v>
      </c>
      <c r="AJ42" s="16">
        <v>144.5</v>
      </c>
      <c r="AK42" s="9">
        <v>12</v>
      </c>
      <c r="AL42" s="9">
        <v>5</v>
      </c>
      <c r="AM42" s="4">
        <v>1</v>
      </c>
      <c r="AN42" s="2" t="b">
        <f>'Celtics Game Data'!D41</f>
        <v>1</v>
      </c>
      <c r="AO42" s="3">
        <f>'Celtics Game Data'!E41</f>
        <v>105</v>
      </c>
      <c r="AP42" s="3">
        <f>'Celtics Game Data'!F41</f>
        <v>96</v>
      </c>
      <c r="AQ42" s="3">
        <f t="shared" si="5"/>
        <v>9</v>
      </c>
      <c r="AR42" s="3">
        <f t="shared" si="6"/>
        <v>201</v>
      </c>
      <c r="AS42" s="19">
        <v>238.5</v>
      </c>
      <c r="AT42" s="9">
        <v>-6.5</v>
      </c>
      <c r="AU42" s="3">
        <f t="shared" si="4"/>
        <v>-110</v>
      </c>
      <c r="AV42" s="3">
        <f t="shared" si="2"/>
        <v>6.5</v>
      </c>
      <c r="AW42" s="4">
        <f t="shared" si="3"/>
        <v>-110</v>
      </c>
    </row>
    <row r="43" spans="1:49" x14ac:dyDescent="0.25">
      <c r="A43" s="5">
        <f>'Celtics Game Data'!A42</f>
        <v>45308</v>
      </c>
      <c r="B43" s="5" t="str">
        <f>'Celtics Game Data'!B42</f>
        <v>San Antonio Spurs</v>
      </c>
      <c r="C43" s="5" t="str">
        <f>'Celtics Game Data'!C42</f>
        <v>Home</v>
      </c>
      <c r="D43" s="5" t="b">
        <v>0</v>
      </c>
      <c r="E43" s="10">
        <f>COUNTIF('Celtics Game Data'!$D$2:D41,TRUE)/(COUNTIF('Celtics Game Data'!$D$2:D41, TRUE) + COUNTIF('Celtics Game Data'!$D$2:D41, FALSE))</f>
        <v>0.77500000000000002</v>
      </c>
      <c r="F43" s="11">
        <f>IFERROR(COUNTIF('Celtics Game Data'!$Q$2:Q41,2)/(COUNTIF('Celtics Game Data'!$Q$2:Q41, 2) + COUNTIF('Celtics Game Data'!$Q$2:Q41, 1)),"")</f>
        <v>1</v>
      </c>
      <c r="G43" s="11">
        <f>IFERROR(COUNTIF('Celtics Game Data'!$R$2:R41,2)/(COUNTIF('Celtics Game Data'!$R$2:R41, 2) + COUNTIF('Celtics Game Data'!$R$2:R41, 1)),"")</f>
        <v>0.5714285714285714</v>
      </c>
      <c r="H43" s="11">
        <f>COUNTIF('Celtics Game Data'!D37:D41,TRUE)/(COUNTIF('Celtics Game Data'!D37:D41, TRUE) + COUNTIF('Celtics Game Data'!D37:D41, FALSE))</f>
        <v>0.6</v>
      </c>
      <c r="I43" s="11">
        <f>COUNTIF('Celtics Game Data'!D32:D41,TRUE)/(COUNTIF('Celtics Game Data'!D32:D41, TRUE) + COUNTIF('Celtics Game Data'!D32:D41, FALSE))</f>
        <v>0.7</v>
      </c>
      <c r="J43" s="12">
        <f>AVERAGE('Celtics Game Data'!$E$2:E41)</f>
        <v>121.02500000000001</v>
      </c>
      <c r="K43" s="12">
        <f>AVERAGE('Celtics Game Data'!E37:E41)</f>
        <v>122</v>
      </c>
      <c r="L43" s="12">
        <f>AVERAGE('Celtics Game Data'!E32:E41)</f>
        <v>123.1</v>
      </c>
      <c r="M43" s="12">
        <f>AVERAGE('Celtics Game Data'!$M$2:M41)</f>
        <v>122.39750000000001</v>
      </c>
      <c r="N43" s="12">
        <f>AVERAGE('Celtics Game Data'!M32:M41)</f>
        <v>121.93000000000002</v>
      </c>
      <c r="O43" s="12">
        <f>AVERAGE('Celtics Game Data'!$N$2:N41)</f>
        <v>112.3175</v>
      </c>
      <c r="P43" s="12">
        <f>AVERAGE('Celtics Game Data'!N32:N41)</f>
        <v>113.4</v>
      </c>
      <c r="Q43" s="12">
        <f>AVERAGE('Celtics Game Data'!G32:G41)</f>
        <v>42.5</v>
      </c>
      <c r="R43" s="11">
        <f>AVERAGE('Celtics Game Data'!H32:H41)</f>
        <v>0.46950000000000003</v>
      </c>
      <c r="S43" s="12">
        <f>AVERAGE('Celtics Game Data'!I32:I41)</f>
        <v>16.5</v>
      </c>
      <c r="T43" s="11">
        <f>AVERAGE('Celtics Game Data'!J32:J41)</f>
        <v>0.39730000000000004</v>
      </c>
      <c r="U43" s="12">
        <f>AVERAGE('Celtics Game Data'!K32:K41)</f>
        <v>21.7</v>
      </c>
      <c r="V43" s="11">
        <f>AVERAGE('Celtics Game Data'!L32:L41)</f>
        <v>0.80090000000000006</v>
      </c>
      <c r="W43" s="9">
        <v>1</v>
      </c>
      <c r="X43" s="9">
        <v>1</v>
      </c>
      <c r="Y43" s="4">
        <f>'Celtics Game Data'!O42</f>
        <v>5</v>
      </c>
      <c r="Z43" s="10">
        <f>7/39</f>
        <v>0.17948717948717949</v>
      </c>
      <c r="AA43" s="14">
        <v>99</v>
      </c>
      <c r="AB43" s="9" t="b">
        <v>0</v>
      </c>
      <c r="AC43" s="14">
        <v>38</v>
      </c>
      <c r="AD43" s="11">
        <v>0.4</v>
      </c>
      <c r="AE43" s="14">
        <v>11</v>
      </c>
      <c r="AF43" s="11">
        <v>0.26200000000000001</v>
      </c>
      <c r="AG43" s="14">
        <v>12</v>
      </c>
      <c r="AH43" s="11">
        <v>0.70599999999999996</v>
      </c>
      <c r="AI43" s="16">
        <v>94.1</v>
      </c>
      <c r="AJ43" s="16">
        <v>103.6</v>
      </c>
      <c r="AK43" s="9">
        <v>15</v>
      </c>
      <c r="AL43" s="3">
        <v>5</v>
      </c>
      <c r="AM43" s="4">
        <v>1</v>
      </c>
      <c r="AN43" s="2" t="b">
        <f>'Celtics Game Data'!D42</f>
        <v>1</v>
      </c>
      <c r="AO43" s="3">
        <f>'Celtics Game Data'!E42</f>
        <v>117</v>
      </c>
      <c r="AP43" s="3">
        <f>'Celtics Game Data'!F42</f>
        <v>98</v>
      </c>
      <c r="AQ43" s="3">
        <f t="shared" si="5"/>
        <v>19</v>
      </c>
      <c r="AR43" s="3">
        <f t="shared" si="6"/>
        <v>215</v>
      </c>
      <c r="AS43" s="19">
        <v>237.5</v>
      </c>
      <c r="AT43" s="9">
        <v>-14.5</v>
      </c>
      <c r="AU43" s="3">
        <f t="shared" si="4"/>
        <v>-110</v>
      </c>
      <c r="AV43" s="3">
        <f t="shared" si="2"/>
        <v>14.5</v>
      </c>
      <c r="AW43" s="4">
        <f t="shared" si="3"/>
        <v>-110</v>
      </c>
    </row>
    <row r="44" spans="1:49" x14ac:dyDescent="0.25">
      <c r="A44" s="5">
        <f>'Celtics Game Data'!A43</f>
        <v>45310</v>
      </c>
      <c r="B44" s="5" t="str">
        <f>'Celtics Game Data'!B43</f>
        <v>Denver Nuggets</v>
      </c>
      <c r="C44" s="5" t="str">
        <f>'Celtics Game Data'!C43</f>
        <v>Home</v>
      </c>
      <c r="D44" s="5" t="b">
        <v>0</v>
      </c>
      <c r="E44" s="10">
        <f>COUNTIF('Celtics Game Data'!$D$2:D42,TRUE)/(COUNTIF('Celtics Game Data'!$D$2:D42, TRUE) + COUNTIF('Celtics Game Data'!$D$2:D42, FALSE))</f>
        <v>0.78048780487804881</v>
      </c>
      <c r="F44" s="11">
        <f>IFERROR(COUNTIF('Celtics Game Data'!$Q$2:Q42,2)/(COUNTIF('Celtics Game Data'!$Q$2:Q42, 2) + COUNTIF('Celtics Game Data'!$Q$2:Q42, 1)),"")</f>
        <v>1</v>
      </c>
      <c r="G44" s="11">
        <f>IFERROR(COUNTIF('Celtics Game Data'!$R$2:R42,2)/(COUNTIF('Celtics Game Data'!$R$2:R42, 2) + COUNTIF('Celtics Game Data'!$R$2:R42, 1)),"")</f>
        <v>0.5714285714285714</v>
      </c>
      <c r="H44" s="11">
        <f>COUNTIF('Celtics Game Data'!D38:D42,TRUE)/(COUNTIF('Celtics Game Data'!D38:D42, TRUE) + COUNTIF('Celtics Game Data'!D38:D42, FALSE))</f>
        <v>0.8</v>
      </c>
      <c r="I44" s="11">
        <f>COUNTIF('Celtics Game Data'!D33:D42,TRUE)/(COUNTIF('Celtics Game Data'!D33:D42, TRUE) + COUNTIF('Celtics Game Data'!D33:D42, FALSE))</f>
        <v>0.7</v>
      </c>
      <c r="J44" s="12">
        <f>AVERAGE('Celtics Game Data'!$E$2:E42)</f>
        <v>120.92682926829268</v>
      </c>
      <c r="K44" s="12">
        <f>AVERAGE('Celtics Game Data'!E38:E42)</f>
        <v>119.2</v>
      </c>
      <c r="L44" s="12">
        <f>AVERAGE('Celtics Game Data'!E33:E42)</f>
        <v>122.8</v>
      </c>
      <c r="M44" s="12">
        <f>AVERAGE('Celtics Game Data'!$M$2:M42)</f>
        <v>122.38048780487806</v>
      </c>
      <c r="N44" s="12">
        <f>AVERAGE('Celtics Game Data'!M33:M42)</f>
        <v>121.72000000000003</v>
      </c>
      <c r="O44" s="12">
        <f>AVERAGE('Celtics Game Data'!$N$2:N42)</f>
        <v>112.06341463414633</v>
      </c>
      <c r="P44" s="12">
        <f>AVERAGE('Celtics Game Data'!N33:N42)</f>
        <v>111.42</v>
      </c>
      <c r="Q44" s="12">
        <f>AVERAGE('Celtics Game Data'!G33:G42)</f>
        <v>42.4</v>
      </c>
      <c r="R44" s="11">
        <f>AVERAGE('Celtics Game Data'!H33:H42)</f>
        <v>0.46729999999999994</v>
      </c>
      <c r="S44" s="12">
        <f>AVERAGE('Celtics Game Data'!I33:I42)</f>
        <v>16.600000000000001</v>
      </c>
      <c r="T44" s="11">
        <f>AVERAGE('Celtics Game Data'!J33:J42)</f>
        <v>0.40110000000000001</v>
      </c>
      <c r="U44" s="12">
        <f>AVERAGE('Celtics Game Data'!K33:K42)</f>
        <v>21.5</v>
      </c>
      <c r="V44" s="11">
        <f>AVERAGE('Celtics Game Data'!L33:L42)</f>
        <v>0.79479999999999984</v>
      </c>
      <c r="W44" s="9">
        <v>1</v>
      </c>
      <c r="X44" s="9">
        <v>1</v>
      </c>
      <c r="Y44" s="4">
        <f>'Celtics Game Data'!O43</f>
        <v>0</v>
      </c>
      <c r="Z44" s="10">
        <f>28/42</f>
        <v>0.66666666666666663</v>
      </c>
      <c r="AA44" s="14">
        <v>121</v>
      </c>
      <c r="AB44" s="9" t="b">
        <v>0</v>
      </c>
      <c r="AC44" s="14">
        <v>45</v>
      </c>
      <c r="AD44" s="11">
        <v>0.50600000000000001</v>
      </c>
      <c r="AE44" s="14">
        <v>12</v>
      </c>
      <c r="AF44" s="11">
        <v>0.41100000000000003</v>
      </c>
      <c r="AG44" s="14">
        <v>19</v>
      </c>
      <c r="AH44" s="11">
        <v>0.76</v>
      </c>
      <c r="AI44" s="16">
        <v>131.5</v>
      </c>
      <c r="AJ44" s="16">
        <v>136.9</v>
      </c>
      <c r="AK44" s="9">
        <v>3</v>
      </c>
      <c r="AL44" s="9">
        <v>3</v>
      </c>
      <c r="AM44" s="4">
        <v>0</v>
      </c>
      <c r="AN44" s="2" t="b">
        <f>'Celtics Game Data'!D43</f>
        <v>0</v>
      </c>
      <c r="AO44" s="3">
        <f>'Celtics Game Data'!E43</f>
        <v>100</v>
      </c>
      <c r="AP44" s="3">
        <f>'Celtics Game Data'!F43</f>
        <v>102</v>
      </c>
      <c r="AQ44" s="3">
        <f t="shared" si="5"/>
        <v>-2</v>
      </c>
      <c r="AR44" s="3">
        <f t="shared" si="6"/>
        <v>202</v>
      </c>
      <c r="AS44" s="19">
        <v>234</v>
      </c>
      <c r="AT44" s="9">
        <v>-6.5</v>
      </c>
      <c r="AU44" s="3">
        <f t="shared" si="4"/>
        <v>-110</v>
      </c>
      <c r="AV44" s="3">
        <f t="shared" si="2"/>
        <v>6.5</v>
      </c>
      <c r="AW44" s="4">
        <f t="shared" si="3"/>
        <v>-110</v>
      </c>
    </row>
    <row r="45" spans="1:49" x14ac:dyDescent="0.25">
      <c r="A45" s="5">
        <f>'Celtics Game Data'!A44</f>
        <v>45312</v>
      </c>
      <c r="B45" s="5" t="str">
        <f>'Celtics Game Data'!B44</f>
        <v>Houston Rockets</v>
      </c>
      <c r="C45" s="5" t="str">
        <f>'Celtics Game Data'!C44</f>
        <v>Away</v>
      </c>
      <c r="D45" s="5" t="b">
        <v>0</v>
      </c>
      <c r="E45" s="10">
        <f>COUNTIF('Celtics Game Data'!$D$2:D43,TRUE)/(COUNTIF('Celtics Game Data'!$D$2:D43, TRUE) + COUNTIF('Celtics Game Data'!$D$2:D43, FALSE))</f>
        <v>0.76190476190476186</v>
      </c>
      <c r="F45" s="11">
        <f>IFERROR(COUNTIF('Celtics Game Data'!$Q$2:Q43,2)/(COUNTIF('Celtics Game Data'!$Q$2:Q43, 2) + COUNTIF('Celtics Game Data'!$Q$2:Q43, 1)),"")</f>
        <v>0.95238095238095233</v>
      </c>
      <c r="G45" s="11">
        <f>IFERROR(COUNTIF('Celtics Game Data'!$R$2:R43,2)/(COUNTIF('Celtics Game Data'!$R$2:R43, 2) + COUNTIF('Celtics Game Data'!$R$2:R43, 1)),"")</f>
        <v>0.5714285714285714</v>
      </c>
      <c r="H45" s="11">
        <f>COUNTIF('Celtics Game Data'!D39:D43,TRUE)/(COUNTIF('Celtics Game Data'!D39:D43, TRUE) + COUNTIF('Celtics Game Data'!D39:D43, FALSE))</f>
        <v>0.6</v>
      </c>
      <c r="I45" s="11">
        <f>COUNTIF('Celtics Game Data'!D34:D43,TRUE)/(COUNTIF('Celtics Game Data'!D34:D43, TRUE) + COUNTIF('Celtics Game Data'!D34:D43, FALSE))</f>
        <v>0.6</v>
      </c>
      <c r="J45" s="12">
        <f>AVERAGE('Celtics Game Data'!$E$2:E43)</f>
        <v>120.42857142857143</v>
      </c>
      <c r="K45" s="12">
        <f>AVERAGE('Celtics Game Data'!E39:E43)</f>
        <v>113.8</v>
      </c>
      <c r="L45" s="12">
        <f>AVERAGE('Celtics Game Data'!E34:E43)</f>
        <v>119.4</v>
      </c>
      <c r="M45" s="12">
        <f>AVERAGE('Celtics Game Data'!$M$2:M43)</f>
        <v>122.32142857142857</v>
      </c>
      <c r="N45" s="12">
        <f>AVERAGE('Celtics Game Data'!M34:M43)</f>
        <v>120.35</v>
      </c>
      <c r="O45" s="12">
        <f>AVERAGE('Celtics Game Data'!$N$2:N43)</f>
        <v>112.30714285714285</v>
      </c>
      <c r="P45" s="12">
        <f>AVERAGE('Celtics Game Data'!N34:N43)</f>
        <v>113.58</v>
      </c>
      <c r="Q45" s="12">
        <f>AVERAGE('Celtics Game Data'!G34:G43)</f>
        <v>44.1</v>
      </c>
      <c r="R45" s="11">
        <f>AVERAGE('Celtics Game Data'!H34:H43)</f>
        <v>0.45629999999999998</v>
      </c>
      <c r="S45" s="12">
        <f>AVERAGE('Celtics Game Data'!I34:I43)</f>
        <v>16.5</v>
      </c>
      <c r="T45" s="11">
        <f>AVERAGE('Celtics Game Data'!J34:J43)</f>
        <v>0.39720000000000011</v>
      </c>
      <c r="U45" s="12">
        <f>AVERAGE('Celtics Game Data'!K34:K43)</f>
        <v>20.8</v>
      </c>
      <c r="V45" s="11">
        <f>AVERAGE('Celtics Game Data'!L34:L43)</f>
        <v>0.78889999999999993</v>
      </c>
      <c r="W45" s="9">
        <v>1</v>
      </c>
      <c r="X45" s="9">
        <v>1</v>
      </c>
      <c r="Y45" s="4">
        <f>'Celtics Game Data'!O44</f>
        <v>1</v>
      </c>
      <c r="Z45" s="10">
        <f>20/41</f>
        <v>0.48780487804878048</v>
      </c>
      <c r="AA45" s="14">
        <v>127</v>
      </c>
      <c r="AB45" s="3" t="b">
        <v>1</v>
      </c>
      <c r="AC45" s="14">
        <v>50</v>
      </c>
      <c r="AD45" s="11">
        <v>0.42700000000000005</v>
      </c>
      <c r="AE45" s="14">
        <v>13</v>
      </c>
      <c r="AF45" s="11">
        <v>0.33299999999999996</v>
      </c>
      <c r="AG45" s="14">
        <v>14</v>
      </c>
      <c r="AH45" s="11">
        <v>0.63600000000000001</v>
      </c>
      <c r="AI45" s="16">
        <v>116.1</v>
      </c>
      <c r="AJ45" s="15">
        <v>115.2</v>
      </c>
      <c r="AK45" s="9">
        <v>9</v>
      </c>
      <c r="AL45" s="9">
        <v>3</v>
      </c>
      <c r="AM45" s="4">
        <v>5</v>
      </c>
      <c r="AN45" s="2" t="b">
        <f>'Celtics Game Data'!D44</f>
        <v>1</v>
      </c>
      <c r="AO45" s="3">
        <f>'Celtics Game Data'!E44</f>
        <v>116</v>
      </c>
      <c r="AP45" s="3">
        <f>'Celtics Game Data'!F44</f>
        <v>107</v>
      </c>
      <c r="AQ45" s="3">
        <f t="shared" si="5"/>
        <v>9</v>
      </c>
      <c r="AR45" s="3">
        <f t="shared" si="6"/>
        <v>223</v>
      </c>
      <c r="AS45" s="19">
        <v>226.5</v>
      </c>
      <c r="AT45" s="9">
        <v>-11.5</v>
      </c>
      <c r="AU45" s="3">
        <f t="shared" si="4"/>
        <v>-110</v>
      </c>
      <c r="AV45" s="3">
        <f t="shared" si="2"/>
        <v>11.5</v>
      </c>
      <c r="AW45" s="4">
        <f t="shared" si="3"/>
        <v>-110</v>
      </c>
    </row>
    <row r="46" spans="1:49" x14ac:dyDescent="0.25">
      <c r="A46" s="5">
        <f>'Celtics Game Data'!A45</f>
        <v>45313</v>
      </c>
      <c r="B46" s="5" t="str">
        <f>'Celtics Game Data'!B45</f>
        <v>Dallas Mavericks</v>
      </c>
      <c r="C46" s="5" t="str">
        <f>'Celtics Game Data'!C45</f>
        <v>Away</v>
      </c>
      <c r="D46" s="5" t="b">
        <v>0</v>
      </c>
      <c r="E46" s="10">
        <f>COUNTIF('Celtics Game Data'!$D$2:D44,TRUE)/(COUNTIF('Celtics Game Data'!$D$2:D44, TRUE) + COUNTIF('Celtics Game Data'!$D$2:D44, FALSE))</f>
        <v>0.76744186046511631</v>
      </c>
      <c r="F46" s="11">
        <f>IFERROR(COUNTIF('Celtics Game Data'!$Q$2:Q44,2)/(COUNTIF('Celtics Game Data'!$Q$2:Q44, 2) + COUNTIF('Celtics Game Data'!$Q$2:Q44, 1)),"")</f>
        <v>0.95238095238095233</v>
      </c>
      <c r="G46" s="11">
        <f>IFERROR(COUNTIF('Celtics Game Data'!$R$2:R44,2)/(COUNTIF('Celtics Game Data'!$R$2:R44, 2) + COUNTIF('Celtics Game Data'!$R$2:R44, 1)),"")</f>
        <v>0.59090909090909094</v>
      </c>
      <c r="H46" s="11">
        <f>COUNTIF('Celtics Game Data'!D40:D44,TRUE)/(COUNTIF('Celtics Game Data'!D40:D44, TRUE) + COUNTIF('Celtics Game Data'!D40:D44, FALSE))</f>
        <v>0.8</v>
      </c>
      <c r="I46" s="11">
        <f>COUNTIF('Celtics Game Data'!D35:D44,TRUE)/(COUNTIF('Celtics Game Data'!D35:D44, TRUE) + COUNTIF('Celtics Game Data'!D35:D44, FALSE))</f>
        <v>0.7</v>
      </c>
      <c r="J46" s="12">
        <f>AVERAGE('Celtics Game Data'!$E$2:E44)</f>
        <v>120.32558139534883</v>
      </c>
      <c r="K46" s="12">
        <f>AVERAGE('Celtics Game Data'!E40:E44)</f>
        <v>116.6</v>
      </c>
      <c r="L46" s="12">
        <f>AVERAGE('Celtics Game Data'!E35:E44)</f>
        <v>118.7</v>
      </c>
      <c r="M46" s="12">
        <f>AVERAGE('Celtics Game Data'!$M$2:M44)</f>
        <v>122.05813953488372</v>
      </c>
      <c r="N46" s="12">
        <f>AVERAGE('Celtics Game Data'!M35:M44)</f>
        <v>118.75</v>
      </c>
      <c r="O46" s="12">
        <f>AVERAGE('Celtics Game Data'!$N$2:N44)</f>
        <v>112.07441860465116</v>
      </c>
      <c r="P46" s="12">
        <f>AVERAGE('Celtics Game Data'!N35:N44)</f>
        <v>110.69999999999997</v>
      </c>
      <c r="Q46" s="12">
        <f>AVERAGE('Celtics Game Data'!G35:G44)</f>
        <v>44.2</v>
      </c>
      <c r="R46" s="11">
        <f>AVERAGE('Celtics Game Data'!H35:H44)</f>
        <v>0.45450000000000002</v>
      </c>
      <c r="S46" s="12">
        <f>AVERAGE('Celtics Game Data'!I35:I44)</f>
        <v>16.7</v>
      </c>
      <c r="T46" s="11">
        <f>AVERAGE('Celtics Game Data'!J35:J44)</f>
        <v>0.39590000000000003</v>
      </c>
      <c r="U46" s="12">
        <f>AVERAGE('Celtics Game Data'!K35:K44)</f>
        <v>19.7</v>
      </c>
      <c r="V46" s="11">
        <f>AVERAGE('Celtics Game Data'!L35:L44)</f>
        <v>0.77829999999999999</v>
      </c>
      <c r="W46" s="9">
        <v>1</v>
      </c>
      <c r="X46" s="9">
        <v>1</v>
      </c>
      <c r="Y46" s="4">
        <f>'Celtics Game Data'!O45</f>
        <v>3</v>
      </c>
      <c r="Z46" s="10">
        <f>24/42</f>
        <v>0.5714285714285714</v>
      </c>
      <c r="AA46" s="14">
        <v>110</v>
      </c>
      <c r="AB46" s="9" t="b">
        <v>0</v>
      </c>
      <c r="AC46" s="14">
        <v>42</v>
      </c>
      <c r="AD46" s="11">
        <v>0.46200000000000002</v>
      </c>
      <c r="AE46" s="17">
        <v>11</v>
      </c>
      <c r="AF46" s="11">
        <v>0.27500000000000002</v>
      </c>
      <c r="AG46" s="17">
        <v>15</v>
      </c>
      <c r="AH46" s="11">
        <v>0.83299999999999996</v>
      </c>
      <c r="AI46" s="15">
        <v>109.1</v>
      </c>
      <c r="AJ46" s="15">
        <v>126</v>
      </c>
      <c r="AK46" s="9">
        <v>8</v>
      </c>
      <c r="AL46" s="9">
        <v>2</v>
      </c>
      <c r="AM46" s="4">
        <v>3</v>
      </c>
      <c r="AN46" s="2" t="b">
        <f>'Celtics Game Data'!D45</f>
        <v>1</v>
      </c>
      <c r="AO46" s="3">
        <f>'Celtics Game Data'!E45</f>
        <v>119</v>
      </c>
      <c r="AP46" s="3">
        <f>'Celtics Game Data'!F45</f>
        <v>110</v>
      </c>
      <c r="AQ46" s="3">
        <f t="shared" si="5"/>
        <v>9</v>
      </c>
      <c r="AR46" s="3">
        <f t="shared" si="6"/>
        <v>229</v>
      </c>
      <c r="AS46" s="19">
        <v>241</v>
      </c>
      <c r="AT46" s="9">
        <v>-2.5</v>
      </c>
      <c r="AU46" s="3">
        <f t="shared" si="4"/>
        <v>-110</v>
      </c>
      <c r="AV46" s="3">
        <f t="shared" si="2"/>
        <v>2.5</v>
      </c>
      <c r="AW46" s="4">
        <f t="shared" si="3"/>
        <v>-110</v>
      </c>
    </row>
    <row r="47" spans="1:49" x14ac:dyDescent="0.25">
      <c r="A47" s="5">
        <f>'Celtics Game Data'!A46</f>
        <v>45316</v>
      </c>
      <c r="B47" s="5" t="str">
        <f>'Celtics Game Data'!B46</f>
        <v>Miami Heat</v>
      </c>
      <c r="C47" s="5" t="str">
        <f>'Celtics Game Data'!C46</f>
        <v>Away</v>
      </c>
      <c r="D47" s="5" t="b">
        <v>0</v>
      </c>
      <c r="E47" s="10">
        <f>COUNTIF('Celtics Game Data'!$D$2:D45,TRUE)/(COUNTIF('Celtics Game Data'!$D$2:D45, TRUE) + COUNTIF('Celtics Game Data'!$D$2:D45, FALSE))</f>
        <v>0.77272727272727271</v>
      </c>
      <c r="F47" s="11">
        <f>IFERROR(COUNTIF('Celtics Game Data'!$Q$2:Q45,2)/(COUNTIF('Celtics Game Data'!$Q$2:Q45, 2) + COUNTIF('Celtics Game Data'!$Q$2:Q45, 1)),"")</f>
        <v>0.95238095238095233</v>
      </c>
      <c r="G47" s="11">
        <f>IFERROR(COUNTIF('Celtics Game Data'!$R$2:R45,2)/(COUNTIF('Celtics Game Data'!$R$2:R45, 2) + COUNTIF('Celtics Game Data'!$R$2:R45, 1)),"")</f>
        <v>0.60869565217391308</v>
      </c>
      <c r="H47" s="11">
        <f>COUNTIF('Celtics Game Data'!D41:D45,TRUE)/(COUNTIF('Celtics Game Data'!D41:D45, TRUE) + COUNTIF('Celtics Game Data'!D41:D45, FALSE))</f>
        <v>0.8</v>
      </c>
      <c r="I47" s="11">
        <f>COUNTIF('Celtics Game Data'!D36:D45,TRUE)/(COUNTIF('Celtics Game Data'!D36:D45, TRUE) + COUNTIF('Celtics Game Data'!D36:D45, FALSE))</f>
        <v>0.7</v>
      </c>
      <c r="J47" s="12">
        <f>AVERAGE('Celtics Game Data'!$E$2:E45)</f>
        <v>120.29545454545455</v>
      </c>
      <c r="K47" s="12">
        <f>AVERAGE('Celtics Game Data'!E41:E45)</f>
        <v>111.4</v>
      </c>
      <c r="L47" s="12">
        <f>AVERAGE('Celtics Game Data'!E36:E45)</f>
        <v>118</v>
      </c>
      <c r="M47" s="12">
        <f>AVERAGE('Celtics Game Data'!$M$2:M45)</f>
        <v>121.97499999999999</v>
      </c>
      <c r="N47" s="12">
        <f>AVERAGE('Celtics Game Data'!M36:M45)</f>
        <v>118.92</v>
      </c>
      <c r="O47" s="12">
        <f>AVERAGE('Celtics Game Data'!$N$2:N45)</f>
        <v>112.01590909090909</v>
      </c>
      <c r="P47" s="12">
        <f>AVERAGE('Celtics Game Data'!N36:N45)</f>
        <v>112.66</v>
      </c>
      <c r="Q47" s="12">
        <f>AVERAGE('Celtics Game Data'!G36:G45)</f>
        <v>44.4</v>
      </c>
      <c r="R47" s="11">
        <f>AVERAGE('Celtics Game Data'!H36:H45)</f>
        <v>0.45780000000000004</v>
      </c>
      <c r="S47" s="12">
        <f>AVERAGE('Celtics Game Data'!I36:I45)</f>
        <v>16.5</v>
      </c>
      <c r="T47" s="11">
        <f>AVERAGE('Celtics Game Data'!J36:J45)</f>
        <v>0.39380000000000004</v>
      </c>
      <c r="U47" s="12">
        <f>AVERAGE('Celtics Game Data'!K36:K45)</f>
        <v>18.8</v>
      </c>
      <c r="V47" s="11">
        <f>AVERAGE('Celtics Game Data'!L36:L45)</f>
        <v>0.76549999999999985</v>
      </c>
      <c r="W47" s="9">
        <v>1</v>
      </c>
      <c r="X47" s="9">
        <v>1</v>
      </c>
      <c r="Y47" s="4">
        <f>'Celtics Game Data'!O46</f>
        <v>0</v>
      </c>
      <c r="Z47" s="10">
        <f>24/44</f>
        <v>0.54545454545454541</v>
      </c>
      <c r="AA47" s="14">
        <v>105</v>
      </c>
      <c r="AB47" s="9" t="b">
        <v>0</v>
      </c>
      <c r="AC47" s="14">
        <v>33</v>
      </c>
      <c r="AD47" s="11">
        <v>0.40200000000000002</v>
      </c>
      <c r="AE47" s="14">
        <v>11</v>
      </c>
      <c r="AF47" s="11">
        <v>0.32400000000000001</v>
      </c>
      <c r="AG47" s="17">
        <v>19</v>
      </c>
      <c r="AH47" s="11">
        <v>0.76</v>
      </c>
      <c r="AI47" s="12">
        <v>98.8</v>
      </c>
      <c r="AJ47" s="12">
        <v>108.1</v>
      </c>
      <c r="AK47" s="3">
        <v>7</v>
      </c>
      <c r="AL47" s="3">
        <v>1</v>
      </c>
      <c r="AM47" s="4">
        <v>0</v>
      </c>
      <c r="AN47" s="2" t="b">
        <f>'Celtics Game Data'!D46</f>
        <v>1</v>
      </c>
      <c r="AO47" s="3">
        <f>'Celtics Game Data'!E46</f>
        <v>143</v>
      </c>
      <c r="AP47" s="3">
        <f>'Celtics Game Data'!F46</f>
        <v>110</v>
      </c>
      <c r="AQ47" s="3">
        <f t="shared" si="5"/>
        <v>33</v>
      </c>
      <c r="AR47" s="3">
        <f t="shared" si="6"/>
        <v>253</v>
      </c>
      <c r="AS47" s="19">
        <v>225</v>
      </c>
      <c r="AT47" s="9">
        <v>-8.5</v>
      </c>
      <c r="AU47" s="3">
        <f t="shared" si="4"/>
        <v>-110</v>
      </c>
      <c r="AV47" s="3">
        <f t="shared" si="2"/>
        <v>8.5</v>
      </c>
      <c r="AW47" s="4">
        <f t="shared" si="3"/>
        <v>-110</v>
      </c>
    </row>
    <row r="48" spans="1:49" x14ac:dyDescent="0.25">
      <c r="A48" s="5">
        <f>'Celtics Game Data'!A47</f>
        <v>45318</v>
      </c>
      <c r="B48" s="5" t="str">
        <f>'Celtics Game Data'!B47</f>
        <v>Los Angeles Clippers</v>
      </c>
      <c r="C48" s="5" t="str">
        <f>'Celtics Game Data'!C47</f>
        <v>Home</v>
      </c>
      <c r="D48" s="5" t="b">
        <v>0</v>
      </c>
      <c r="E48" s="10">
        <f>COUNTIF('Celtics Game Data'!$D$2:D46,TRUE)/(COUNTIF('Celtics Game Data'!$D$2:D46, TRUE) + COUNTIF('Celtics Game Data'!$D$2:D46, FALSE))</f>
        <v>0.77777777777777779</v>
      </c>
      <c r="F48" s="11">
        <f>IFERROR(COUNTIF('Celtics Game Data'!$Q$2:Q46,2)/(COUNTIF('Celtics Game Data'!$Q$2:Q46, 2) + COUNTIF('Celtics Game Data'!$Q$2:Q46, 1)),"")</f>
        <v>0.95238095238095233</v>
      </c>
      <c r="G48" s="11">
        <f>IFERROR(COUNTIF('Celtics Game Data'!$R$2:R46,2)/(COUNTIF('Celtics Game Data'!$R$2:R46, 2) + COUNTIF('Celtics Game Data'!$R$2:R46, 1)),"")</f>
        <v>0.625</v>
      </c>
      <c r="H48" s="11">
        <f>COUNTIF('Celtics Game Data'!D42:D46,TRUE)/(COUNTIF('Celtics Game Data'!D42:D46, TRUE) + COUNTIF('Celtics Game Data'!D42:D46, FALSE))</f>
        <v>0.8</v>
      </c>
      <c r="I48" s="11">
        <f>COUNTIF('Celtics Game Data'!D37:D46,TRUE)/(COUNTIF('Celtics Game Data'!D37:D46, TRUE) + COUNTIF('Celtics Game Data'!D37:D46, FALSE))</f>
        <v>0.7</v>
      </c>
      <c r="J48" s="12">
        <f>AVERAGE('Celtics Game Data'!$E$2:E46)</f>
        <v>120.8</v>
      </c>
      <c r="K48" s="12">
        <f>AVERAGE('Celtics Game Data'!E42:E46)</f>
        <v>119</v>
      </c>
      <c r="L48" s="12">
        <f>AVERAGE('Celtics Game Data'!E37:E46)</f>
        <v>120.5</v>
      </c>
      <c r="M48" s="12">
        <f>AVERAGE('Celtics Game Data'!$M$2:M46)</f>
        <v>122.73333333333333</v>
      </c>
      <c r="N48" s="12">
        <f>AVERAGE('Celtics Game Data'!M37:M46)</f>
        <v>122.65</v>
      </c>
      <c r="O48" s="12">
        <f>AVERAGE('Celtics Game Data'!$N$2:N46)</f>
        <v>112.19333333333333</v>
      </c>
      <c r="P48" s="12">
        <f>AVERAGE('Celtics Game Data'!N37:N46)</f>
        <v>114.48999999999998</v>
      </c>
      <c r="Q48" s="12">
        <f>AVERAGE('Celtics Game Data'!G37:G46)</f>
        <v>44.9</v>
      </c>
      <c r="R48" s="11">
        <f>AVERAGE('Celtics Game Data'!H37:H46)</f>
        <v>0.47050000000000003</v>
      </c>
      <c r="S48" s="12">
        <f>AVERAGE('Celtics Game Data'!I37:I46)</f>
        <v>17.100000000000001</v>
      </c>
      <c r="T48" s="11">
        <f>AVERAGE('Celtics Game Data'!J37:J46)</f>
        <v>0.4098</v>
      </c>
      <c r="U48" s="12">
        <f>AVERAGE('Celtics Game Data'!K37:K46)</f>
        <v>19.7</v>
      </c>
      <c r="V48" s="11">
        <f>AVERAGE('Celtics Game Data'!L37:L46)</f>
        <v>0.80789999999999984</v>
      </c>
      <c r="W48" s="9">
        <v>1</v>
      </c>
      <c r="X48" s="9">
        <v>1</v>
      </c>
      <c r="Y48" s="4">
        <f>'Celtics Game Data'!O47</f>
        <v>3</v>
      </c>
      <c r="Z48" s="10">
        <f>29/43</f>
        <v>0.67441860465116277</v>
      </c>
      <c r="AA48" s="14">
        <v>127</v>
      </c>
      <c r="AB48" s="9" t="b">
        <v>1</v>
      </c>
      <c r="AC48" s="14">
        <v>48</v>
      </c>
      <c r="AD48" s="11">
        <v>0.505</v>
      </c>
      <c r="AE48" s="14">
        <v>9</v>
      </c>
      <c r="AF48" s="11">
        <v>0.28100000000000003</v>
      </c>
      <c r="AG48" s="17">
        <v>22</v>
      </c>
      <c r="AH48" s="11">
        <v>0.91700000000000004</v>
      </c>
      <c r="AI48" s="12">
        <v>126.8</v>
      </c>
      <c r="AJ48" s="12">
        <v>106.8</v>
      </c>
      <c r="AK48" s="9">
        <v>3</v>
      </c>
      <c r="AL48" s="9">
        <v>1</v>
      </c>
      <c r="AM48" s="4">
        <v>0</v>
      </c>
      <c r="AN48" s="2" t="b">
        <f>'Celtics Game Data'!D47</f>
        <v>0</v>
      </c>
      <c r="AO48" s="3">
        <v>96</v>
      </c>
      <c r="AP48" s="3">
        <v>115</v>
      </c>
      <c r="AQ48" s="3">
        <f t="shared" si="5"/>
        <v>-19</v>
      </c>
      <c r="AR48" s="3">
        <f t="shared" si="6"/>
        <v>211</v>
      </c>
      <c r="AS48" s="19">
        <v>232</v>
      </c>
      <c r="AT48" s="9">
        <v>-6.5</v>
      </c>
      <c r="AU48" s="3">
        <f t="shared" si="4"/>
        <v>-110</v>
      </c>
      <c r="AV48" s="3">
        <f t="shared" si="2"/>
        <v>6.5</v>
      </c>
      <c r="AW48" s="4">
        <f t="shared" si="3"/>
        <v>-110</v>
      </c>
    </row>
    <row r="49" spans="1:49" x14ac:dyDescent="0.25">
      <c r="A49" s="5">
        <f>'Celtics Game Data'!A48</f>
        <v>45320</v>
      </c>
      <c r="B49" s="5" t="str">
        <f>'Celtics Game Data'!B48</f>
        <v>New Orleans Pelicans</v>
      </c>
      <c r="C49" s="5" t="str">
        <f>'Celtics Game Data'!C48</f>
        <v>Home</v>
      </c>
      <c r="D49" s="5" t="b">
        <v>0</v>
      </c>
      <c r="E49" s="10">
        <f>COUNTIF('Celtics Game Data'!$D$2:D47,TRUE)/(COUNTIF('Celtics Game Data'!$D$2:D47, TRUE) + COUNTIF('Celtics Game Data'!$D$2:D47, FALSE))</f>
        <v>0.76086956521739135</v>
      </c>
      <c r="F49" s="11">
        <f>IFERROR(COUNTIF('Celtics Game Data'!$Q$2:Q47,2)/(COUNTIF('Celtics Game Data'!$Q$2:Q47, 2) + COUNTIF('Celtics Game Data'!$Q$2:Q47, 1)),"")</f>
        <v>0.90909090909090906</v>
      </c>
      <c r="G49" s="11">
        <f>IFERROR(COUNTIF('Celtics Game Data'!$R$2:R47,2)/(COUNTIF('Celtics Game Data'!$R$2:R47, 2) + COUNTIF('Celtics Game Data'!$R$2:R47, 1)),"")</f>
        <v>0.625</v>
      </c>
      <c r="H49" s="11">
        <f>COUNTIF('Celtics Game Data'!D43:D47,TRUE)/(COUNTIF('Celtics Game Data'!D43:D47, TRUE) + COUNTIF('Celtics Game Data'!D43:D47, FALSE))</f>
        <v>0.6</v>
      </c>
      <c r="I49" s="11">
        <f>COUNTIF('Celtics Game Data'!D38:D47,TRUE)/(COUNTIF('Celtics Game Data'!D38:D47, TRUE) + COUNTIF('Celtics Game Data'!D38:D47, FALSE))</f>
        <v>0.7</v>
      </c>
      <c r="J49" s="12">
        <f>AVERAGE('Celtics Game Data'!$E$2:E47)</f>
        <v>120.67391304347827</v>
      </c>
      <c r="K49" s="12">
        <f>AVERAGE('Celtics Game Data'!E43:E47)</f>
        <v>118.6</v>
      </c>
      <c r="L49" s="12">
        <f>AVERAGE('Celtics Game Data'!E38:E47)</f>
        <v>118.9</v>
      </c>
      <c r="M49" s="12">
        <f>AVERAGE('Celtics Game Data'!$M$2:M47)</f>
        <v>122.16956521739131</v>
      </c>
      <c r="N49" s="12">
        <f>AVERAGE('Celtics Game Data'!M38:M47)</f>
        <v>119.51999999999998</v>
      </c>
      <c r="O49" s="12">
        <f>AVERAGE('Celtics Game Data'!$N$2:N47)</f>
        <v>112.32173913043479</v>
      </c>
      <c r="P49" s="12">
        <f>AVERAGE('Celtics Game Data'!N38:N47)</f>
        <v>113.3</v>
      </c>
      <c r="Q49" s="12">
        <f>AVERAGE('Celtics Game Data'!G38:G47)</f>
        <v>43.8</v>
      </c>
      <c r="R49" s="11">
        <f>AVERAGE('Celtics Game Data'!H38:H47)</f>
        <v>0.45430000000000009</v>
      </c>
      <c r="S49" s="12">
        <f>AVERAGE('Celtics Game Data'!I38:I47)</f>
        <v>16.399999999999999</v>
      </c>
      <c r="T49" s="11">
        <f>AVERAGE('Celtics Game Data'!J38:J47)</f>
        <v>0.38619999999999999</v>
      </c>
      <c r="U49" s="12">
        <f>AVERAGE('Celtics Game Data'!K38:K47)</f>
        <v>19.100000000000001</v>
      </c>
      <c r="V49" s="11">
        <f>AVERAGE('Celtics Game Data'!L38:L47)</f>
        <v>0.82639999999999991</v>
      </c>
      <c r="W49" s="9">
        <v>1</v>
      </c>
      <c r="X49" s="9">
        <v>1</v>
      </c>
      <c r="Y49" s="4">
        <f>'Celtics Game Data'!O48</f>
        <v>3</v>
      </c>
      <c r="Z49" s="10">
        <f>26/46</f>
        <v>0.56521739130434778</v>
      </c>
      <c r="AA49" s="14">
        <v>117</v>
      </c>
      <c r="AB49" s="9" t="b">
        <v>0</v>
      </c>
      <c r="AC49" s="14">
        <v>40</v>
      </c>
      <c r="AD49" s="11">
        <v>0.47099999999999997</v>
      </c>
      <c r="AE49" s="14">
        <v>9</v>
      </c>
      <c r="AF49" s="11">
        <v>0.39100000000000001</v>
      </c>
      <c r="AG49" s="17">
        <v>28</v>
      </c>
      <c r="AH49" s="11">
        <v>0.77800000000000002</v>
      </c>
      <c r="AI49" s="12">
        <v>112.5</v>
      </c>
      <c r="AJ49" s="12">
        <v>135.6</v>
      </c>
      <c r="AK49" s="9">
        <v>6</v>
      </c>
      <c r="AL49" s="9">
        <v>1</v>
      </c>
      <c r="AM49" s="4">
        <v>0</v>
      </c>
      <c r="AN49" s="2" t="b">
        <f>'Celtics Game Data'!D48</f>
        <v>1</v>
      </c>
      <c r="AO49" s="3">
        <f>'Celtics Game Data'!E48</f>
        <v>118</v>
      </c>
      <c r="AP49" s="3">
        <f>'Celtics Game Data'!F48</f>
        <v>112</v>
      </c>
      <c r="AQ49" s="3">
        <f t="shared" si="5"/>
        <v>6</v>
      </c>
      <c r="AR49" s="3">
        <f t="shared" si="6"/>
        <v>230</v>
      </c>
      <c r="AS49" s="19">
        <v>233.5</v>
      </c>
      <c r="AT49" s="9">
        <v>-8.5</v>
      </c>
      <c r="AU49" s="3">
        <f t="shared" si="4"/>
        <v>-110</v>
      </c>
      <c r="AV49" s="3">
        <f t="shared" si="2"/>
        <v>8.5</v>
      </c>
      <c r="AW49" s="4">
        <f t="shared" si="3"/>
        <v>-110</v>
      </c>
    </row>
    <row r="50" spans="1:49" x14ac:dyDescent="0.25">
      <c r="A50" s="5">
        <f>'Celtics Game Data'!A49</f>
        <v>45321</v>
      </c>
      <c r="B50" s="5" t="str">
        <f>'Celtics Game Data'!B49</f>
        <v>Indiana Pacers</v>
      </c>
      <c r="C50" s="5" t="str">
        <f>'Celtics Game Data'!C49</f>
        <v>Home</v>
      </c>
      <c r="D50" s="5" t="b">
        <v>0</v>
      </c>
      <c r="E50" s="10">
        <f>COUNTIF('Celtics Game Data'!$D$2:D48,TRUE)/(COUNTIF('Celtics Game Data'!$D$2:D48, TRUE) + COUNTIF('Celtics Game Data'!$D$2:D48, FALSE))</f>
        <v>0.76595744680851063</v>
      </c>
      <c r="F50" s="11">
        <f>IFERROR(COUNTIF('Celtics Game Data'!$Q$2:Q48,2)/(COUNTIF('Celtics Game Data'!$Q$2:Q48, 2) + COUNTIF('Celtics Game Data'!$Q$2:Q48, 1)),"")</f>
        <v>0.91304347826086951</v>
      </c>
      <c r="G50" s="11">
        <f>IFERROR(COUNTIF('Celtics Game Data'!$R$2:R48,2)/(COUNTIF('Celtics Game Data'!$R$2:R48, 2) + COUNTIF('Celtics Game Data'!$R$2:R48, 1)),"")</f>
        <v>0.625</v>
      </c>
      <c r="H50" s="11">
        <f>COUNTIF('Celtics Game Data'!D44:D48,TRUE)/(COUNTIF('Celtics Game Data'!D44:D48, TRUE) + COUNTIF('Celtics Game Data'!D44:D48, FALSE))</f>
        <v>0.8</v>
      </c>
      <c r="I50" s="11">
        <f>COUNTIF('Celtics Game Data'!D39:D48,TRUE)/(COUNTIF('Celtics Game Data'!D39:D48, TRUE) + COUNTIF('Celtics Game Data'!D39:D48, FALSE))</f>
        <v>0.7</v>
      </c>
      <c r="J50" s="12">
        <f>AVERAGE('Celtics Game Data'!$E$2:E48)</f>
        <v>120.61702127659575</v>
      </c>
      <c r="K50" s="12">
        <f>AVERAGE('Celtics Game Data'!E44:E48)</f>
        <v>122.2</v>
      </c>
      <c r="L50" s="12">
        <f>AVERAGE('Celtics Game Data'!E39:E48)</f>
        <v>118</v>
      </c>
      <c r="M50" s="12">
        <f>AVERAGE('Celtics Game Data'!$M$2:M48)</f>
        <v>122.14680851063831</v>
      </c>
      <c r="N50" s="12">
        <f>AVERAGE('Celtics Game Data'!M39:M48)</f>
        <v>119.22999999999999</v>
      </c>
      <c r="O50" s="12">
        <f>AVERAGE('Celtics Game Data'!$N$2:N48)</f>
        <v>112.37872340425533</v>
      </c>
      <c r="P50" s="12">
        <f>AVERAGE('Celtics Game Data'!N39:N48)</f>
        <v>113.08</v>
      </c>
      <c r="Q50" s="12">
        <f>AVERAGE('Celtics Game Data'!G39:G48)</f>
        <v>44.2</v>
      </c>
      <c r="R50" s="11">
        <f>AVERAGE('Celtics Game Data'!H39:H48)</f>
        <v>0.46160000000000007</v>
      </c>
      <c r="S50" s="12">
        <f>AVERAGE('Celtics Game Data'!I39:I48)</f>
        <v>16.2</v>
      </c>
      <c r="T50" s="11">
        <f>AVERAGE('Celtics Game Data'!J39:J48)</f>
        <v>0.38280000000000003</v>
      </c>
      <c r="U50" s="12">
        <f>AVERAGE('Celtics Game Data'!K39:K48)</f>
        <v>17.5</v>
      </c>
      <c r="V50" s="11">
        <f>AVERAGE('Celtics Game Data'!L39:L48)</f>
        <v>0.80459999999999998</v>
      </c>
      <c r="W50" s="9">
        <v>1</v>
      </c>
      <c r="X50" s="9">
        <v>1</v>
      </c>
      <c r="Y50" s="4">
        <f>'Celtics Game Data'!O49</f>
        <v>0</v>
      </c>
      <c r="Z50" s="10">
        <f>27/47</f>
        <v>0.57446808510638303</v>
      </c>
      <c r="AA50" s="14">
        <v>116</v>
      </c>
      <c r="AB50" s="9" t="b">
        <v>1</v>
      </c>
      <c r="AC50" s="14">
        <v>44</v>
      </c>
      <c r="AD50" s="11">
        <v>0.48899999999999999</v>
      </c>
      <c r="AE50" s="14">
        <v>13</v>
      </c>
      <c r="AF50" s="11">
        <v>0.371</v>
      </c>
      <c r="AG50" s="17">
        <v>15</v>
      </c>
      <c r="AH50" s="11">
        <v>0.93799999999999994</v>
      </c>
      <c r="AI50" s="12">
        <v>123.5</v>
      </c>
      <c r="AJ50" s="12">
        <v>117.1</v>
      </c>
      <c r="AK50" s="9">
        <v>6</v>
      </c>
      <c r="AL50" s="9">
        <v>3</v>
      </c>
      <c r="AM50" s="4">
        <v>2</v>
      </c>
      <c r="AN50" s="2" t="b">
        <f>'Celtics Game Data'!D49</f>
        <v>1</v>
      </c>
      <c r="AO50" s="3">
        <f>'Celtics Game Data'!E49</f>
        <v>129</v>
      </c>
      <c r="AP50" s="3">
        <f>'Celtics Game Data'!F49</f>
        <v>124</v>
      </c>
      <c r="AQ50" s="3">
        <f t="shared" si="5"/>
        <v>5</v>
      </c>
      <c r="AR50" s="3">
        <f t="shared" si="6"/>
        <v>253</v>
      </c>
      <c r="AS50" s="19">
        <v>249</v>
      </c>
      <c r="AT50" s="9">
        <v>-7.5</v>
      </c>
      <c r="AU50" s="3">
        <f t="shared" si="4"/>
        <v>-110</v>
      </c>
      <c r="AV50" s="3">
        <f t="shared" si="2"/>
        <v>7.5</v>
      </c>
      <c r="AW50" s="4">
        <f t="shared" si="3"/>
        <v>-110</v>
      </c>
    </row>
    <row r="51" spans="1:49" x14ac:dyDescent="0.25">
      <c r="A51" s="5">
        <f>'Celtics Game Data'!A50</f>
        <v>45323</v>
      </c>
      <c r="B51" s="5" t="str">
        <f>'Celtics Game Data'!B50</f>
        <v>Los Angeles Lakers</v>
      </c>
      <c r="C51" s="5" t="str">
        <f>'Celtics Game Data'!C50</f>
        <v>Home</v>
      </c>
      <c r="D51" s="5" t="b">
        <v>0</v>
      </c>
      <c r="E51" s="10">
        <f>COUNTIF('Celtics Game Data'!$D$2:D49,TRUE)/(COUNTIF('Celtics Game Data'!$D$2:D49, TRUE) + COUNTIF('Celtics Game Data'!$D$2:D49, FALSE))</f>
        <v>0.77083333333333337</v>
      </c>
      <c r="F51" s="11">
        <f>IFERROR(COUNTIF('Celtics Game Data'!$Q$2:Q49,2)/(COUNTIF('Celtics Game Data'!$Q$2:Q49, 2) + COUNTIF('Celtics Game Data'!$Q$2:Q49, 1)),"")</f>
        <v>0.91666666666666663</v>
      </c>
      <c r="G51" s="11">
        <f>IFERROR(COUNTIF('Celtics Game Data'!$R$2:R49,2)/(COUNTIF('Celtics Game Data'!$R$2:R49, 2) + COUNTIF('Celtics Game Data'!$R$2:R49, 1)),"")</f>
        <v>0.625</v>
      </c>
      <c r="H51" s="11">
        <f>COUNTIF('Celtics Game Data'!D45:D49,TRUE)/(COUNTIF('Celtics Game Data'!D45:D49, TRUE) + COUNTIF('Celtics Game Data'!D45:D49, FALSE))</f>
        <v>0.8</v>
      </c>
      <c r="I51" s="11">
        <f>COUNTIF('Celtics Game Data'!D40:D49,TRUE)/(COUNTIF('Celtics Game Data'!D40:D49, TRUE) + COUNTIF('Celtics Game Data'!D40:D49, FALSE))</f>
        <v>0.8</v>
      </c>
      <c r="J51" s="12">
        <f>AVERAGE('Celtics Game Data'!$E$2:E49)</f>
        <v>120.79166666666667</v>
      </c>
      <c r="K51" s="12">
        <f>AVERAGE('Celtics Game Data'!E45:E49)</f>
        <v>124.8</v>
      </c>
      <c r="L51" s="12">
        <f>AVERAGE('Celtics Game Data'!E40:E49)</f>
        <v>120.7</v>
      </c>
      <c r="M51" s="12">
        <f>AVERAGE('Celtics Game Data'!$M$2:M49)</f>
        <v>122.34166666666668</v>
      </c>
      <c r="N51" s="12">
        <f>AVERAGE('Celtics Game Data'!M40:M49)</f>
        <v>121.91</v>
      </c>
      <c r="O51" s="12">
        <f>AVERAGE('Celtics Game Data'!$N$2:N49)</f>
        <v>112.67083333333333</v>
      </c>
      <c r="P51" s="12">
        <f>AVERAGE('Celtics Game Data'!N40:N49)</f>
        <v>111.87</v>
      </c>
      <c r="Q51" s="12">
        <f>AVERAGE('Celtics Game Data'!G40:G49)</f>
        <v>45.5</v>
      </c>
      <c r="R51" s="11">
        <f>AVERAGE('Celtics Game Data'!H40:H49)</f>
        <v>0.47820000000000001</v>
      </c>
      <c r="S51" s="12">
        <f>AVERAGE('Celtics Game Data'!I40:I49)</f>
        <v>17</v>
      </c>
      <c r="T51" s="11">
        <f>AVERAGE('Celtics Game Data'!J40:J49)</f>
        <v>0.4043000000000001</v>
      </c>
      <c r="U51" s="12">
        <f>AVERAGE('Celtics Game Data'!K40:K49)</f>
        <v>16.8</v>
      </c>
      <c r="V51" s="11">
        <f>AVERAGE('Celtics Game Data'!L40:L49)</f>
        <v>0.80310000000000004</v>
      </c>
      <c r="W51" s="9">
        <v>1</v>
      </c>
      <c r="X51" s="9">
        <v>1</v>
      </c>
      <c r="Y51" s="4">
        <f>'Celtics Game Data'!O50</f>
        <v>0</v>
      </c>
      <c r="Z51" s="10">
        <f>24/49</f>
        <v>0.48979591836734693</v>
      </c>
      <c r="AA51" s="14">
        <v>122</v>
      </c>
      <c r="AB51" s="9" t="b">
        <v>0</v>
      </c>
      <c r="AC51" s="14">
        <v>48</v>
      </c>
      <c r="AD51" s="11">
        <v>0.53300000000000003</v>
      </c>
      <c r="AE51" s="14">
        <v>12</v>
      </c>
      <c r="AF51" s="11">
        <v>0.36399999999999999</v>
      </c>
      <c r="AG51" s="17">
        <v>14</v>
      </c>
      <c r="AH51" s="11">
        <v>0.56000000000000005</v>
      </c>
      <c r="AI51" s="12">
        <v>115.2</v>
      </c>
      <c r="AJ51" s="12">
        <v>130.30000000000001</v>
      </c>
      <c r="AK51" s="9">
        <v>9</v>
      </c>
      <c r="AL51" s="9">
        <v>4</v>
      </c>
      <c r="AM51" s="4">
        <v>9</v>
      </c>
      <c r="AN51" s="2" t="b">
        <f>'Celtics Game Data'!D50</f>
        <v>0</v>
      </c>
      <c r="AO51" s="3">
        <f>'Celtics Game Data'!E50</f>
        <v>105</v>
      </c>
      <c r="AP51" s="3">
        <f>'Celtics Game Data'!F50</f>
        <v>114</v>
      </c>
      <c r="AQ51" s="3">
        <f t="shared" si="5"/>
        <v>-9</v>
      </c>
      <c r="AR51" s="3">
        <f t="shared" si="6"/>
        <v>219</v>
      </c>
      <c r="AS51" s="19">
        <v>237.5</v>
      </c>
      <c r="AT51" s="9">
        <v>-15.5</v>
      </c>
      <c r="AU51" s="3">
        <f t="shared" si="4"/>
        <v>-110</v>
      </c>
      <c r="AV51" s="3">
        <f t="shared" si="2"/>
        <v>15.5</v>
      </c>
      <c r="AW51" s="4">
        <f t="shared" si="3"/>
        <v>-110</v>
      </c>
    </row>
    <row r="52" spans="1:49" x14ac:dyDescent="0.25">
      <c r="A52" s="5">
        <f>'Celtics Game Data'!A51</f>
        <v>45326</v>
      </c>
      <c r="B52" s="5" t="str">
        <f>'Celtics Game Data'!B51</f>
        <v>Memphis Grizzlies</v>
      </c>
      <c r="C52" s="5" t="str">
        <f>'Celtics Game Data'!C51</f>
        <v>Home</v>
      </c>
      <c r="D52" s="5" t="b">
        <v>0</v>
      </c>
      <c r="E52" s="10">
        <f>COUNTIF('Celtics Game Data'!$D$2:D50,TRUE)/(COUNTIF('Celtics Game Data'!$D$2:D50, TRUE) + COUNTIF('Celtics Game Data'!$D$2:D50, FALSE))</f>
        <v>0.75510204081632648</v>
      </c>
      <c r="F52" s="11">
        <f>IFERROR(COUNTIF('Celtics Game Data'!$Q$2:Q50,2)/(COUNTIF('Celtics Game Data'!$Q$2:Q50, 2) + COUNTIF('Celtics Game Data'!$Q$2:Q50, 1)),"")</f>
        <v>0.88</v>
      </c>
      <c r="G52" s="11">
        <f>IFERROR(COUNTIF('Celtics Game Data'!$R$2:R50,2)/(COUNTIF('Celtics Game Data'!$R$2:R50, 2) + COUNTIF('Celtics Game Data'!$R$2:R50, 1)),"")</f>
        <v>0.625</v>
      </c>
      <c r="H52" s="11">
        <f>COUNTIF('Celtics Game Data'!D46:D50,TRUE)/(COUNTIF('Celtics Game Data'!D46:D50, TRUE) + COUNTIF('Celtics Game Data'!D46:D50, FALSE))</f>
        <v>0.6</v>
      </c>
      <c r="I52" s="11">
        <f>COUNTIF('Celtics Game Data'!D41:D50,TRUE)/(COUNTIF('Celtics Game Data'!D41:D50, TRUE) + COUNTIF('Celtics Game Data'!D41:D50, FALSE))</f>
        <v>0.7</v>
      </c>
      <c r="J52" s="12">
        <f>AVERAGE('Celtics Game Data'!$E$2:E50)</f>
        <v>120.46938775510205</v>
      </c>
      <c r="K52" s="12">
        <f>AVERAGE('Celtics Game Data'!E46:E50)</f>
        <v>122</v>
      </c>
      <c r="L52" s="12">
        <f>AVERAGE('Celtics Game Data'!E41:E50)</f>
        <v>116.7</v>
      </c>
      <c r="M52" s="12">
        <f>AVERAGE('Celtics Game Data'!$M$2:M50)</f>
        <v>122.06122448979593</v>
      </c>
      <c r="N52" s="12">
        <f>AVERAGE('Celtics Game Data'!M41:M50)</f>
        <v>119.05</v>
      </c>
      <c r="O52" s="12">
        <f>AVERAGE('Celtics Game Data'!$N$2:N50)</f>
        <v>112.77755102040815</v>
      </c>
      <c r="P52" s="12">
        <f>AVERAGE('Celtics Game Data'!N41:N50)</f>
        <v>112.97</v>
      </c>
      <c r="Q52" s="12">
        <f>AVERAGE('Celtics Game Data'!G41:G50)</f>
        <v>44.5</v>
      </c>
      <c r="R52" s="11">
        <f>AVERAGE('Celtics Game Data'!H41:H50)</f>
        <v>0.46679999999999999</v>
      </c>
      <c r="S52" s="12">
        <f>AVERAGE('Celtics Game Data'!I41:I50)</f>
        <v>16.2</v>
      </c>
      <c r="T52" s="11">
        <f>AVERAGE('Celtics Game Data'!J41:J50)</f>
        <v>0.38650000000000007</v>
      </c>
      <c r="U52" s="12">
        <f>AVERAGE('Celtics Game Data'!K41:K50)</f>
        <v>15.6</v>
      </c>
      <c r="V52" s="11">
        <f>AVERAGE('Celtics Game Data'!L41:L50)</f>
        <v>0.82710000000000006</v>
      </c>
      <c r="W52" s="9">
        <v>1</v>
      </c>
      <c r="X52" s="9">
        <v>1</v>
      </c>
      <c r="Y52" s="4">
        <f>'Celtics Game Data'!O51</f>
        <v>4</v>
      </c>
      <c r="Z52" s="10">
        <f>18/49</f>
        <v>0.36734693877551022</v>
      </c>
      <c r="AA52" s="14">
        <v>101</v>
      </c>
      <c r="AB52" s="9" t="b">
        <v>0</v>
      </c>
      <c r="AC52" s="14">
        <v>35</v>
      </c>
      <c r="AD52" s="11">
        <v>0.40200000000000002</v>
      </c>
      <c r="AE52" s="14">
        <v>14</v>
      </c>
      <c r="AF52" s="11">
        <v>0.30399999999999999</v>
      </c>
      <c r="AG52" s="17">
        <v>17</v>
      </c>
      <c r="AH52" s="11">
        <v>0.70799999999999996</v>
      </c>
      <c r="AI52" s="12">
        <v>101.9</v>
      </c>
      <c r="AJ52" s="12">
        <v>122.1</v>
      </c>
      <c r="AK52" s="9">
        <v>13</v>
      </c>
      <c r="AL52" s="3">
        <v>4</v>
      </c>
      <c r="AM52" s="4">
        <v>13</v>
      </c>
      <c r="AN52" s="2" t="b">
        <f>'Celtics Game Data'!D51</f>
        <v>1</v>
      </c>
      <c r="AO52" s="3">
        <f>'Celtics Game Data'!E51</f>
        <v>131</v>
      </c>
      <c r="AP52" s="3">
        <f>'Celtics Game Data'!F51</f>
        <v>91</v>
      </c>
      <c r="AQ52" s="3">
        <f t="shared" si="5"/>
        <v>40</v>
      </c>
      <c r="AR52" s="3">
        <f t="shared" si="6"/>
        <v>222</v>
      </c>
      <c r="AS52" s="19">
        <v>219</v>
      </c>
      <c r="AT52" s="9">
        <v>-19.5</v>
      </c>
      <c r="AU52" s="3">
        <f t="shared" si="4"/>
        <v>-110</v>
      </c>
      <c r="AV52" s="3">
        <f t="shared" si="2"/>
        <v>19.5</v>
      </c>
      <c r="AW52" s="4">
        <f t="shared" si="3"/>
        <v>-110</v>
      </c>
    </row>
    <row r="53" spans="1:49" x14ac:dyDescent="0.25">
      <c r="A53" s="5">
        <f>'Celtics Game Data'!A52</f>
        <v>45329</v>
      </c>
      <c r="B53" s="5" t="str">
        <f>'Celtics Game Data'!B52</f>
        <v>Atlanta Hawks</v>
      </c>
      <c r="C53" s="5" t="str">
        <f>'Celtics Game Data'!C52</f>
        <v>Home</v>
      </c>
      <c r="D53" s="5" t="b">
        <v>0</v>
      </c>
      <c r="E53" s="10">
        <f>COUNTIF('Celtics Game Data'!$D$2:D51,TRUE)/(COUNTIF('Celtics Game Data'!$D$2:D51, TRUE) + COUNTIF('Celtics Game Data'!$D$2:D51, FALSE))</f>
        <v>0.76</v>
      </c>
      <c r="F53" s="11">
        <f>IFERROR(COUNTIF('Celtics Game Data'!$Q$2:Q51,2)/(COUNTIF('Celtics Game Data'!$Q$2:Q51, 2) + COUNTIF('Celtics Game Data'!$Q$2:Q51, 1)),"")</f>
        <v>0.88461538461538458</v>
      </c>
      <c r="G53" s="11">
        <f>IFERROR(COUNTIF('Celtics Game Data'!$R$2:R51,2)/(COUNTIF('Celtics Game Data'!$R$2:R51, 2) + COUNTIF('Celtics Game Data'!$R$2:R51, 1)),"")</f>
        <v>0.625</v>
      </c>
      <c r="H53" s="11">
        <f>COUNTIF('Celtics Game Data'!D47:D51,TRUE)/(COUNTIF('Celtics Game Data'!D47:D51, TRUE) + COUNTIF('Celtics Game Data'!D47:D51, FALSE))</f>
        <v>0.6</v>
      </c>
      <c r="I53" s="11">
        <f>COUNTIF('Celtics Game Data'!D42:D51,TRUE)/(COUNTIF('Celtics Game Data'!D42:D51, TRUE) + COUNTIF('Celtics Game Data'!D42:D51, FALSE))</f>
        <v>0.7</v>
      </c>
      <c r="J53" s="12">
        <f>AVERAGE('Celtics Game Data'!$E$2:E51)</f>
        <v>120.68</v>
      </c>
      <c r="K53" s="12">
        <f>AVERAGE('Celtics Game Data'!E47:E51)</f>
        <v>119.6</v>
      </c>
      <c r="L53" s="12">
        <f>AVERAGE('Celtics Game Data'!E42:E51)</f>
        <v>119.3</v>
      </c>
      <c r="M53" s="12">
        <f>AVERAGE('Celtics Game Data'!$M$2:M51)</f>
        <v>122.29600000000002</v>
      </c>
      <c r="N53" s="12">
        <f>AVERAGE('Celtics Game Data'!M42:M51)</f>
        <v>121.88999999999999</v>
      </c>
      <c r="O53" s="12">
        <f>AVERAGE('Celtics Game Data'!$N$2:N51)</f>
        <v>112.37999999999998</v>
      </c>
      <c r="P53" s="12">
        <f>AVERAGE('Celtics Game Data'!N42:N51)</f>
        <v>112.63000000000002</v>
      </c>
      <c r="Q53" s="12">
        <f>AVERAGE('Celtics Game Data'!G42:G51)</f>
        <v>46</v>
      </c>
      <c r="R53" s="11">
        <f>AVERAGE('Celtics Game Data'!H42:H51)</f>
        <v>0.47510000000000002</v>
      </c>
      <c r="S53" s="12">
        <f>AVERAGE('Celtics Game Data'!I42:I51)</f>
        <v>16.5</v>
      </c>
      <c r="T53" s="11">
        <f>AVERAGE('Celtics Game Data'!J42:J51)</f>
        <v>0.38280000000000003</v>
      </c>
      <c r="U53" s="12">
        <f>AVERAGE('Celtics Game Data'!K42:K51)</f>
        <v>14.9</v>
      </c>
      <c r="V53" s="11">
        <f>AVERAGE('Celtics Game Data'!L42:L51)</f>
        <v>0.82400000000000007</v>
      </c>
      <c r="W53" s="9">
        <v>1</v>
      </c>
      <c r="X53" s="9">
        <v>1</v>
      </c>
      <c r="Y53" s="4">
        <f>'Celtics Game Data'!O52</f>
        <v>1</v>
      </c>
      <c r="Z53" s="10">
        <f>22/50</f>
        <v>0.44</v>
      </c>
      <c r="AA53" s="14">
        <v>144</v>
      </c>
      <c r="AB53" s="9" t="b">
        <v>0</v>
      </c>
      <c r="AC53" s="14">
        <v>51</v>
      </c>
      <c r="AD53" s="11">
        <v>0.53700000000000003</v>
      </c>
      <c r="AE53" s="14">
        <v>20</v>
      </c>
      <c r="AF53" s="11">
        <v>0.51300000000000001</v>
      </c>
      <c r="AG53" s="17">
        <v>22</v>
      </c>
      <c r="AH53" s="11">
        <v>0.81499999999999995</v>
      </c>
      <c r="AI53" s="12">
        <v>143.30000000000001</v>
      </c>
      <c r="AJ53" s="12">
        <v>148.30000000000001</v>
      </c>
      <c r="AK53" s="3">
        <v>10</v>
      </c>
      <c r="AL53" s="3">
        <v>3</v>
      </c>
      <c r="AM53" s="4">
        <v>4</v>
      </c>
      <c r="AN53" s="2" t="b">
        <f>'Celtics Game Data'!D52</f>
        <v>1</v>
      </c>
      <c r="AO53" s="3">
        <f>'Celtics Game Data'!E52</f>
        <v>125</v>
      </c>
      <c r="AP53" s="3">
        <f>'Celtics Game Data'!F52</f>
        <v>117</v>
      </c>
      <c r="AQ53" s="3">
        <f t="shared" si="5"/>
        <v>8</v>
      </c>
      <c r="AR53" s="3">
        <f t="shared" si="6"/>
        <v>242</v>
      </c>
      <c r="AS53" s="19">
        <v>244</v>
      </c>
      <c r="AT53" s="9">
        <v>-12.5</v>
      </c>
      <c r="AU53" s="3">
        <f t="shared" si="4"/>
        <v>-110</v>
      </c>
      <c r="AV53" s="3">
        <f t="shared" si="2"/>
        <v>12.5</v>
      </c>
      <c r="AW53" s="4">
        <f t="shared" si="3"/>
        <v>-110</v>
      </c>
    </row>
    <row r="54" spans="1:49" x14ac:dyDescent="0.25">
      <c r="A54" s="5">
        <f>'Celtics Game Data'!A53</f>
        <v>45331</v>
      </c>
      <c r="B54" s="5" t="str">
        <f>'Celtics Game Data'!B53</f>
        <v>Washington Wizards</v>
      </c>
      <c r="C54" s="5" t="str">
        <f>'Celtics Game Data'!C53</f>
        <v>Home</v>
      </c>
      <c r="D54" s="5" t="b">
        <v>0</v>
      </c>
      <c r="E54" s="10">
        <f>COUNTIF('Celtics Game Data'!$D$2:D52,TRUE)/(COUNTIF('Celtics Game Data'!$D$2:D52, TRUE) + COUNTIF('Celtics Game Data'!$D$2:D52, FALSE))</f>
        <v>0.76470588235294112</v>
      </c>
      <c r="F54" s="11">
        <f>IFERROR(COUNTIF('Celtics Game Data'!$Q$2:Q52,2)/(COUNTIF('Celtics Game Data'!$Q$2:Q52, 2) + COUNTIF('Celtics Game Data'!$Q$2:Q52, 1)),"")</f>
        <v>0.88888888888888884</v>
      </c>
      <c r="G54" s="11">
        <f>IFERROR(COUNTIF('Celtics Game Data'!$R$2:R52,2)/(COUNTIF('Celtics Game Data'!$R$2:R52, 2) + COUNTIF('Celtics Game Data'!$R$2:R52, 1)),"")</f>
        <v>0.625</v>
      </c>
      <c r="H54" s="11">
        <f>COUNTIF('Celtics Game Data'!D48:D52,TRUE)/(COUNTIF('Celtics Game Data'!D48:D52, TRUE) + COUNTIF('Celtics Game Data'!D48:D52, FALSE))</f>
        <v>0.8</v>
      </c>
      <c r="I54" s="11">
        <f>COUNTIF('Celtics Game Data'!D43:D52,TRUE)/(COUNTIF('Celtics Game Data'!D43:D52, TRUE) + COUNTIF('Celtics Game Data'!D43:D52, FALSE))</f>
        <v>0.7</v>
      </c>
      <c r="J54" s="12">
        <f>AVERAGE('Celtics Game Data'!$E$2:E52)</f>
        <v>120.76470588235294</v>
      </c>
      <c r="K54" s="12">
        <f>AVERAGE('Celtics Game Data'!E48:E52)</f>
        <v>121.6</v>
      </c>
      <c r="L54" s="12">
        <f>AVERAGE('Celtics Game Data'!E43:E52)</f>
        <v>120.1</v>
      </c>
      <c r="M54" s="12">
        <f>AVERAGE('Celtics Game Data'!$M$2:M52)</f>
        <v>122.25686274509806</v>
      </c>
      <c r="N54" s="12">
        <f>AVERAGE('Celtics Game Data'!M43:M52)</f>
        <v>121.75</v>
      </c>
      <c r="O54" s="12">
        <f>AVERAGE('Celtics Game Data'!$N$2:N52)</f>
        <v>112.38431372549019</v>
      </c>
      <c r="P54" s="12">
        <f>AVERAGE('Celtics Game Data'!N43:N52)</f>
        <v>113.7</v>
      </c>
      <c r="Q54" s="12">
        <f>AVERAGE('Celtics Game Data'!G43:G52)</f>
        <v>46.1</v>
      </c>
      <c r="R54" s="11">
        <f>AVERAGE('Celtics Game Data'!H43:H52)</f>
        <v>0.48110000000000008</v>
      </c>
      <c r="S54" s="12">
        <f>AVERAGE('Celtics Game Data'!I43:I52)</f>
        <v>16.399999999999999</v>
      </c>
      <c r="T54" s="11">
        <f>AVERAGE('Celtics Game Data'!J43:J52)</f>
        <v>0.37009999999999998</v>
      </c>
      <c r="U54" s="12">
        <f>AVERAGE('Celtics Game Data'!K43:K52)</f>
        <v>14.4</v>
      </c>
      <c r="V54" s="11">
        <f>AVERAGE('Celtics Game Data'!L43:L52)</f>
        <v>0.83599999999999997</v>
      </c>
      <c r="W54" s="9">
        <v>1</v>
      </c>
      <c r="X54" s="9">
        <v>1</v>
      </c>
      <c r="Y54" s="4">
        <f>'Celtics Game Data'!O53</f>
        <v>0</v>
      </c>
      <c r="Z54" s="10">
        <f>9/50</f>
        <v>0.18</v>
      </c>
      <c r="AA54" s="14">
        <v>106</v>
      </c>
      <c r="AB54" s="9" t="b">
        <v>0</v>
      </c>
      <c r="AC54" s="14">
        <v>41</v>
      </c>
      <c r="AD54" s="11">
        <v>0.44700000000000001</v>
      </c>
      <c r="AE54" s="14">
        <v>16</v>
      </c>
      <c r="AF54" s="11">
        <v>0.4</v>
      </c>
      <c r="AG54" s="17">
        <v>6</v>
      </c>
      <c r="AH54" s="11">
        <v>0.66700000000000004</v>
      </c>
      <c r="AI54" s="12">
        <v>104.8</v>
      </c>
      <c r="AJ54" s="12">
        <v>112.7</v>
      </c>
      <c r="AK54" s="9">
        <v>14</v>
      </c>
      <c r="AL54" s="3">
        <v>5</v>
      </c>
      <c r="AM54" s="4">
        <v>1</v>
      </c>
      <c r="AN54" s="2" t="b">
        <f>'Celtics Game Data'!D53</f>
        <v>1</v>
      </c>
      <c r="AO54" s="3">
        <f>'Celtics Game Data'!E53</f>
        <v>133</v>
      </c>
      <c r="AP54" s="3">
        <f>'Celtics Game Data'!F53</f>
        <v>129</v>
      </c>
      <c r="AQ54" s="3">
        <f t="shared" si="5"/>
        <v>4</v>
      </c>
      <c r="AR54" s="3">
        <f t="shared" si="6"/>
        <v>262</v>
      </c>
      <c r="AS54" s="19">
        <v>236.5</v>
      </c>
      <c r="AT54" s="9">
        <v>-17.5</v>
      </c>
      <c r="AU54" s="3">
        <f t="shared" si="4"/>
        <v>-110</v>
      </c>
      <c r="AV54" s="3">
        <f t="shared" si="2"/>
        <v>17.5</v>
      </c>
      <c r="AW54" s="4">
        <f t="shared" si="3"/>
        <v>-110</v>
      </c>
    </row>
    <row r="55" spans="1:49" x14ac:dyDescent="0.25">
      <c r="A55" s="5">
        <f>'Celtics Game Data'!A54</f>
        <v>45333</v>
      </c>
      <c r="B55" s="5" t="str">
        <f>'Celtics Game Data'!B54</f>
        <v>Miami Heat</v>
      </c>
      <c r="C55" s="5" t="str">
        <f>'Celtics Game Data'!C54</f>
        <v>Away</v>
      </c>
      <c r="D55" s="5" t="b">
        <v>0</v>
      </c>
      <c r="E55" s="10">
        <f>COUNTIF('Celtics Game Data'!$D$2:D53,TRUE)/(COUNTIF('Celtics Game Data'!$D$2:D53, TRUE) + COUNTIF('Celtics Game Data'!$D$2:D53, FALSE))</f>
        <v>0.76923076923076927</v>
      </c>
      <c r="F55" s="11">
        <f>IFERROR(COUNTIF('Celtics Game Data'!$Q$2:Q53,2)/(COUNTIF('Celtics Game Data'!$Q$2:Q53, 2) + COUNTIF('Celtics Game Data'!$Q$2:Q53, 1)),"")</f>
        <v>0.8928571428571429</v>
      </c>
      <c r="G55" s="11">
        <f>IFERROR(COUNTIF('Celtics Game Data'!$R$2:R53,2)/(COUNTIF('Celtics Game Data'!$R$2:R53, 2) + COUNTIF('Celtics Game Data'!$R$2:R53, 1)),"")</f>
        <v>0.625</v>
      </c>
      <c r="H55" s="11">
        <f>COUNTIF('Celtics Game Data'!D49:D53,TRUE)/(COUNTIF('Celtics Game Data'!D49:D53, TRUE) + COUNTIF('Celtics Game Data'!D49:D53, FALSE))</f>
        <v>0.8</v>
      </c>
      <c r="I55" s="11">
        <f>COUNTIF('Celtics Game Data'!D44:D53,TRUE)/(COUNTIF('Celtics Game Data'!D44:D53, TRUE) + COUNTIF('Celtics Game Data'!D44:D53, FALSE))</f>
        <v>0.8</v>
      </c>
      <c r="J55" s="12">
        <f>AVERAGE('Celtics Game Data'!$E$2:E53)</f>
        <v>121</v>
      </c>
      <c r="K55" s="12">
        <f>AVERAGE('Celtics Game Data'!E49:E53)</f>
        <v>124.6</v>
      </c>
      <c r="L55" s="12">
        <f>AVERAGE('Celtics Game Data'!E44:E53)</f>
        <v>123.4</v>
      </c>
      <c r="M55" s="12">
        <f>AVERAGE('Celtics Game Data'!$M$2:M53)</f>
        <v>122.27692307692311</v>
      </c>
      <c r="N55" s="12">
        <f>AVERAGE('Celtics Game Data'!M44:M53)</f>
        <v>122.08999999999999</v>
      </c>
      <c r="O55" s="12">
        <f>AVERAGE('Celtics Game Data'!$N$2:N53)</f>
        <v>112.52307692307691</v>
      </c>
      <c r="P55" s="12">
        <f>AVERAGE('Celtics Game Data'!N44:N53)</f>
        <v>113.42999999999999</v>
      </c>
      <c r="Q55" s="12">
        <f>AVERAGE('Celtics Game Data'!G44:G53)</f>
        <v>44.1</v>
      </c>
      <c r="R55" s="11">
        <f>AVERAGE('Celtics Game Data'!H44:H53)</f>
        <v>0.49059999999999998</v>
      </c>
      <c r="S55" s="12">
        <f>AVERAGE('Celtics Game Data'!I44:I53)</f>
        <v>16.100000000000001</v>
      </c>
      <c r="T55" s="11">
        <f>AVERAGE('Celtics Game Data'!J44:J53)</f>
        <v>0.37070000000000003</v>
      </c>
      <c r="U55" s="12">
        <f>AVERAGE('Celtics Game Data'!K44:K53)</f>
        <v>16</v>
      </c>
      <c r="V55" s="11">
        <f>AVERAGE('Celtics Game Data'!L44:L53)</f>
        <v>0.85749999999999993</v>
      </c>
      <c r="W55" s="9">
        <v>1</v>
      </c>
      <c r="X55" s="9">
        <v>1</v>
      </c>
      <c r="Y55" s="4">
        <f>'Celtics Game Data'!O54</f>
        <v>0</v>
      </c>
      <c r="Z55" s="10">
        <f>28/52</f>
        <v>0.53846153846153844</v>
      </c>
      <c r="AA55" s="14">
        <v>116</v>
      </c>
      <c r="AB55" s="9" t="b">
        <v>1</v>
      </c>
      <c r="AC55" s="14">
        <v>43</v>
      </c>
      <c r="AD55" s="11">
        <v>0.49399999999999999</v>
      </c>
      <c r="AE55" s="14">
        <v>12</v>
      </c>
      <c r="AF55" s="11">
        <v>0.316</v>
      </c>
      <c r="AG55" s="17">
        <v>18</v>
      </c>
      <c r="AH55" s="11">
        <v>0.78300000000000003</v>
      </c>
      <c r="AI55" s="12">
        <v>113.2</v>
      </c>
      <c r="AJ55" s="12">
        <v>101.5</v>
      </c>
      <c r="AK55" s="3">
        <v>8</v>
      </c>
      <c r="AL55" s="3">
        <v>2</v>
      </c>
      <c r="AM55" s="4">
        <v>5</v>
      </c>
      <c r="AN55" s="2" t="b">
        <f>'Celtics Game Data'!D54</f>
        <v>1</v>
      </c>
      <c r="AO55" s="3">
        <f>'Celtics Game Data'!E54</f>
        <v>110</v>
      </c>
      <c r="AP55" s="3">
        <f>'Celtics Game Data'!F54</f>
        <v>106</v>
      </c>
      <c r="AQ55" s="3">
        <f t="shared" si="5"/>
        <v>4</v>
      </c>
      <c r="AR55" s="3">
        <f t="shared" si="6"/>
        <v>216</v>
      </c>
      <c r="AS55" s="19">
        <v>225</v>
      </c>
      <c r="AT55" s="9">
        <v>-7.5</v>
      </c>
      <c r="AU55" s="3">
        <f t="shared" si="4"/>
        <v>-110</v>
      </c>
      <c r="AV55" s="3">
        <f t="shared" si="2"/>
        <v>7.5</v>
      </c>
      <c r="AW55" s="4">
        <f t="shared" si="3"/>
        <v>-110</v>
      </c>
    </row>
    <row r="56" spans="1:49" x14ac:dyDescent="0.25">
      <c r="A56" s="5">
        <f>'Celtics Game Data'!A55</f>
        <v>45335</v>
      </c>
      <c r="B56" s="5" t="str">
        <f>'Celtics Game Data'!B55</f>
        <v>Brooklyn Nets</v>
      </c>
      <c r="C56" s="5" t="str">
        <f>'Celtics Game Data'!C55</f>
        <v>Away</v>
      </c>
      <c r="D56" s="5" t="b">
        <v>0</v>
      </c>
      <c r="E56" s="10">
        <f>COUNTIF('Celtics Game Data'!$D$2:D54,TRUE)/(COUNTIF('Celtics Game Data'!$D$2:D54, TRUE) + COUNTIF('Celtics Game Data'!$D$2:D54, FALSE))</f>
        <v>0.77358490566037741</v>
      </c>
      <c r="F56" s="11">
        <f>IFERROR(COUNTIF('Celtics Game Data'!$Q$2:Q54,2)/(COUNTIF('Celtics Game Data'!$Q$2:Q54, 2) + COUNTIF('Celtics Game Data'!$Q$2:Q54, 1)),"")</f>
        <v>0.8928571428571429</v>
      </c>
      <c r="G56" s="11">
        <f>IFERROR(COUNTIF('Celtics Game Data'!$R$2:R54,2)/(COUNTIF('Celtics Game Data'!$R$2:R54, 2) + COUNTIF('Celtics Game Data'!$R$2:R54, 1)),"")</f>
        <v>0.64</v>
      </c>
      <c r="H56" s="11">
        <f>COUNTIF('Celtics Game Data'!D50:D54,TRUE)/(COUNTIF('Celtics Game Data'!D50:D54, TRUE) + COUNTIF('Celtics Game Data'!D50:D54, FALSE))</f>
        <v>0.8</v>
      </c>
      <c r="I56" s="11">
        <f>COUNTIF('Celtics Game Data'!D45:D54,TRUE)/(COUNTIF('Celtics Game Data'!D45:D54, TRUE) + COUNTIF('Celtics Game Data'!D45:D54, FALSE))</f>
        <v>0.8</v>
      </c>
      <c r="J56" s="12">
        <f>AVERAGE('Celtics Game Data'!$E$2:E54)</f>
        <v>120.79245283018868</v>
      </c>
      <c r="K56" s="12">
        <f>AVERAGE('Celtics Game Data'!E50:E54)</f>
        <v>120.8</v>
      </c>
      <c r="L56" s="12">
        <f>AVERAGE('Celtics Game Data'!E45:E54)</f>
        <v>122.8</v>
      </c>
      <c r="M56" s="12">
        <f>AVERAGE('Celtics Game Data'!$M$2:M54)</f>
        <v>122.24150943396228</v>
      </c>
      <c r="N56" s="12">
        <f>AVERAGE('Celtics Game Data'!M45:M54)</f>
        <v>123.03</v>
      </c>
      <c r="O56" s="12">
        <f>AVERAGE('Celtics Game Data'!$N$2:N54)</f>
        <v>112.58867924528302</v>
      </c>
      <c r="P56" s="12">
        <f>AVERAGE('Celtics Game Data'!N45:N54)</f>
        <v>114.8</v>
      </c>
      <c r="Q56" s="12">
        <f>AVERAGE('Celtics Game Data'!G45:G54)</f>
        <v>43.9</v>
      </c>
      <c r="R56" s="11">
        <f>AVERAGE('Celtics Game Data'!H45:H54)</f>
        <v>0.49729999999999996</v>
      </c>
      <c r="S56" s="12">
        <f>AVERAGE('Celtics Game Data'!I45:I54)</f>
        <v>16</v>
      </c>
      <c r="T56" s="11">
        <f>AVERAGE('Celtics Game Data'!J45:J54)</f>
        <v>0.37550000000000006</v>
      </c>
      <c r="U56" s="12">
        <f>AVERAGE('Celtics Game Data'!K45:K54)</f>
        <v>15.9</v>
      </c>
      <c r="V56" s="11">
        <f>AVERAGE('Celtics Game Data'!L45:L54)</f>
        <v>0.85589999999999988</v>
      </c>
      <c r="W56" s="9">
        <v>1</v>
      </c>
      <c r="X56" s="9">
        <v>1</v>
      </c>
      <c r="Y56" s="4">
        <f>'Celtics Game Data'!O55</f>
        <v>3</v>
      </c>
      <c r="Z56" s="10">
        <f>21/52</f>
        <v>0.40384615384615385</v>
      </c>
      <c r="AA56" s="14">
        <v>123</v>
      </c>
      <c r="AB56" s="9" t="b">
        <v>1</v>
      </c>
      <c r="AC56" s="14">
        <v>49</v>
      </c>
      <c r="AD56" s="11">
        <v>0.56299999999999994</v>
      </c>
      <c r="AE56" s="14">
        <v>17</v>
      </c>
      <c r="AF56" s="11">
        <v>0.5</v>
      </c>
      <c r="AG56" s="17">
        <v>8</v>
      </c>
      <c r="AH56" s="11">
        <v>0.72699999999999998</v>
      </c>
      <c r="AI56" s="12">
        <v>131.9</v>
      </c>
      <c r="AJ56" s="12">
        <v>110.4</v>
      </c>
      <c r="AK56" s="9">
        <v>11</v>
      </c>
      <c r="AL56" s="9">
        <v>4</v>
      </c>
      <c r="AM56" s="4">
        <v>3</v>
      </c>
      <c r="AN56" s="2" t="b">
        <f>'Celtics Game Data'!D55</f>
        <v>1</v>
      </c>
      <c r="AO56" s="3">
        <f>'Celtics Game Data'!E55</f>
        <v>118</v>
      </c>
      <c r="AP56" s="3">
        <f>'Celtics Game Data'!F55</f>
        <v>110</v>
      </c>
      <c r="AQ56" s="3">
        <f t="shared" si="5"/>
        <v>8</v>
      </c>
      <c r="AR56" s="3">
        <f t="shared" si="6"/>
        <v>228</v>
      </c>
      <c r="AS56" s="19">
        <v>227</v>
      </c>
      <c r="AT56" s="9">
        <v>-8.5</v>
      </c>
      <c r="AU56" s="3">
        <f t="shared" si="4"/>
        <v>-110</v>
      </c>
      <c r="AV56" s="3">
        <f t="shared" si="2"/>
        <v>8.5</v>
      </c>
      <c r="AW56" s="4">
        <f t="shared" si="3"/>
        <v>-110</v>
      </c>
    </row>
    <row r="57" spans="1:49" x14ac:dyDescent="0.25">
      <c r="A57" s="5">
        <f>'Celtics Game Data'!A56</f>
        <v>45336</v>
      </c>
      <c r="B57" s="5" t="str">
        <f>'Celtics Game Data'!B56</f>
        <v>Brooklyn Nets</v>
      </c>
      <c r="C57" s="5" t="str">
        <f>'Celtics Game Data'!C56</f>
        <v>Home</v>
      </c>
      <c r="D57" s="5" t="b">
        <v>0</v>
      </c>
      <c r="E57" s="10">
        <f>COUNTIF('Celtics Game Data'!$D$2:D55,TRUE)/(COUNTIF('Celtics Game Data'!$D$2:D55, TRUE) + COUNTIF('Celtics Game Data'!$D$2:D55, FALSE))</f>
        <v>0.77777777777777779</v>
      </c>
      <c r="F57" s="11">
        <f>IFERROR(COUNTIF('Celtics Game Data'!$Q$2:Q55,2)/(COUNTIF('Celtics Game Data'!$Q$2:Q55, 2) + COUNTIF('Celtics Game Data'!$Q$2:Q55, 1)),"")</f>
        <v>0.8928571428571429</v>
      </c>
      <c r="G57" s="11">
        <f>IFERROR(COUNTIF('Celtics Game Data'!$R$2:R55,2)/(COUNTIF('Celtics Game Data'!$R$2:R55, 2) + COUNTIF('Celtics Game Data'!$R$2:R55, 1)),"")</f>
        <v>0.65384615384615385</v>
      </c>
      <c r="H57" s="11">
        <f>COUNTIF('Celtics Game Data'!D51:D55,TRUE)/(COUNTIF('Celtics Game Data'!D51:D55, TRUE) + COUNTIF('Celtics Game Data'!D51:D55, FALSE))</f>
        <v>1</v>
      </c>
      <c r="I57" s="11">
        <f>COUNTIF('Celtics Game Data'!D46:D55,TRUE)/(COUNTIF('Celtics Game Data'!D46:D55, TRUE) + COUNTIF('Celtics Game Data'!D46:D55, FALSE))</f>
        <v>0.8</v>
      </c>
      <c r="J57" s="12">
        <f>AVERAGE('Celtics Game Data'!$E$2:E55)</f>
        <v>120.74074074074075</v>
      </c>
      <c r="K57" s="12">
        <f>AVERAGE('Celtics Game Data'!E51:E55)</f>
        <v>123.4</v>
      </c>
      <c r="L57" s="12">
        <f>AVERAGE('Celtics Game Data'!E46:E55)</f>
        <v>122.7</v>
      </c>
      <c r="M57" s="12">
        <f>AVERAGE('Celtics Game Data'!$M$2:M55)</f>
        <v>122.26851851851853</v>
      </c>
      <c r="N57" s="12">
        <f>AVERAGE('Celtics Game Data'!M46:M55)</f>
        <v>123.56000000000002</v>
      </c>
      <c r="O57" s="12">
        <f>AVERAGE('Celtics Game Data'!$N$2:N55)</f>
        <v>112.63888888888889</v>
      </c>
      <c r="P57" s="12">
        <f>AVERAGE('Celtics Game Data'!N46:N55)</f>
        <v>115.38</v>
      </c>
      <c r="Q57" s="12">
        <f>AVERAGE('Celtics Game Data'!G46:G55)</f>
        <v>44.1</v>
      </c>
      <c r="R57" s="11">
        <f>AVERAGE('Celtics Game Data'!H46:H55)</f>
        <v>0.50250000000000006</v>
      </c>
      <c r="S57" s="12">
        <f>AVERAGE('Celtics Game Data'!I46:I55)</f>
        <v>16</v>
      </c>
      <c r="T57" s="11">
        <f>AVERAGE('Celtics Game Data'!J46:J55)</f>
        <v>0.38339999999999996</v>
      </c>
      <c r="U57" s="12">
        <f>AVERAGE('Celtics Game Data'!K46:K55)</f>
        <v>15.4</v>
      </c>
      <c r="V57" s="11">
        <f>AVERAGE('Celtics Game Data'!L46:L55)</f>
        <v>0.85650000000000015</v>
      </c>
      <c r="W57" s="9">
        <v>1</v>
      </c>
      <c r="X57" s="9">
        <v>1</v>
      </c>
      <c r="Y57" s="4">
        <f>'Celtics Game Data'!O56</f>
        <v>4</v>
      </c>
      <c r="Z57" s="10">
        <f>21/53</f>
        <v>0.39622641509433965</v>
      </c>
      <c r="AA57" s="14">
        <v>110</v>
      </c>
      <c r="AB57" s="9" t="b">
        <v>0</v>
      </c>
      <c r="AC57" s="14">
        <v>39</v>
      </c>
      <c r="AD57" s="11">
        <v>0.49399999999999999</v>
      </c>
      <c r="AE57" s="14">
        <v>15</v>
      </c>
      <c r="AF57" s="11">
        <v>0.45500000000000002</v>
      </c>
      <c r="AG57" s="17">
        <v>17</v>
      </c>
      <c r="AH57" s="11">
        <v>0.65400000000000003</v>
      </c>
      <c r="AI57" s="12">
        <v>115.3</v>
      </c>
      <c r="AJ57" s="12">
        <v>123.7</v>
      </c>
      <c r="AK57" s="9">
        <v>11</v>
      </c>
      <c r="AL57" s="9">
        <v>4</v>
      </c>
      <c r="AM57" s="4">
        <v>2</v>
      </c>
      <c r="AN57" s="2" t="b">
        <f>'Celtics Game Data'!D56</f>
        <v>1</v>
      </c>
      <c r="AO57" s="3">
        <f>'Celtics Game Data'!E56</f>
        <v>136</v>
      </c>
      <c r="AP57" s="3">
        <f>'Celtics Game Data'!F56</f>
        <v>86</v>
      </c>
      <c r="AQ57" s="3">
        <f t="shared" si="5"/>
        <v>50</v>
      </c>
      <c r="AR57" s="3">
        <f t="shared" si="6"/>
        <v>222</v>
      </c>
      <c r="AS57" s="19">
        <v>227</v>
      </c>
      <c r="AT57" s="9">
        <v>-11.5</v>
      </c>
      <c r="AU57" s="3">
        <f t="shared" si="4"/>
        <v>-110</v>
      </c>
      <c r="AV57" s="3">
        <f t="shared" si="2"/>
        <v>11.5</v>
      </c>
      <c r="AW57" s="4">
        <f t="shared" si="3"/>
        <v>-110</v>
      </c>
    </row>
    <row r="58" spans="1:49" x14ac:dyDescent="0.25">
      <c r="A58" s="5">
        <f>'Celtics Game Data'!A57</f>
        <v>45344</v>
      </c>
      <c r="B58" s="5" t="str">
        <f>'Celtics Game Data'!B57</f>
        <v>Chicago Bulls</v>
      </c>
      <c r="C58" s="5" t="str">
        <f>'Celtics Game Data'!C57</f>
        <v>Away</v>
      </c>
      <c r="D58" s="5" t="b">
        <v>0</v>
      </c>
      <c r="E58" s="10">
        <f>COUNTIF('Celtics Game Data'!$D$2:D56,TRUE)/(COUNTIF('Celtics Game Data'!$D$2:D56, TRUE) + COUNTIF('Celtics Game Data'!$D$2:D56, FALSE))</f>
        <v>0.78181818181818186</v>
      </c>
      <c r="F58" s="11">
        <f>IFERROR(COUNTIF('Celtics Game Data'!$Q$2:Q56,2)/(COUNTIF('Celtics Game Data'!$Q$2:Q56, 2) + COUNTIF('Celtics Game Data'!$Q$2:Q56, 1)),"")</f>
        <v>0.89655172413793105</v>
      </c>
      <c r="G58" s="11">
        <f>IFERROR(COUNTIF('Celtics Game Data'!$R$2:R56,2)/(COUNTIF('Celtics Game Data'!$R$2:R56, 2) + COUNTIF('Celtics Game Data'!$R$2:R56, 1)),"")</f>
        <v>0.65384615384615385</v>
      </c>
      <c r="H58" s="11">
        <f>COUNTIF('Celtics Game Data'!D52:D56,TRUE)/(COUNTIF('Celtics Game Data'!D52:D56, TRUE) + COUNTIF('Celtics Game Data'!D52:D56, FALSE))</f>
        <v>1</v>
      </c>
      <c r="I58" s="11">
        <f>COUNTIF('Celtics Game Data'!D47:D56,TRUE)/(COUNTIF('Celtics Game Data'!D47:D56, TRUE) + COUNTIF('Celtics Game Data'!D47:D56, FALSE))</f>
        <v>0.8</v>
      </c>
      <c r="J58" s="12">
        <f>AVERAGE('Celtics Game Data'!$E$2:E56)</f>
        <v>121.01818181818182</v>
      </c>
      <c r="K58" s="12">
        <f>AVERAGE('Celtics Game Data'!E52:E56)</f>
        <v>124.4</v>
      </c>
      <c r="L58" s="12">
        <f>AVERAGE('Celtics Game Data'!E47:E56)</f>
        <v>122</v>
      </c>
      <c r="M58" s="12">
        <f>AVERAGE('Celtics Game Data'!$M$2:M56)</f>
        <v>122.74727272727274</v>
      </c>
      <c r="N58" s="12">
        <f>AVERAGE('Celtics Game Data'!M47:M56)</f>
        <v>122.80999999999997</v>
      </c>
      <c r="O58" s="12">
        <f>AVERAGE('Celtics Game Data'!$N$2:N56)</f>
        <v>112.3</v>
      </c>
      <c r="P58" s="12">
        <f>AVERAGE('Celtics Game Data'!N47:N56)</f>
        <v>112.78</v>
      </c>
      <c r="Q58" s="12">
        <f>AVERAGE('Celtics Game Data'!G47:G56)</f>
        <v>44.2</v>
      </c>
      <c r="R58" s="11">
        <f>AVERAGE('Celtics Game Data'!H47:H56)</f>
        <v>0.49580000000000002</v>
      </c>
      <c r="S58" s="12">
        <f>AVERAGE('Celtics Game Data'!I47:I56)</f>
        <v>16</v>
      </c>
      <c r="T58" s="11">
        <f>AVERAGE('Celtics Game Data'!J47:J56)</f>
        <v>0.37729999999999997</v>
      </c>
      <c r="U58" s="12">
        <f>AVERAGE('Celtics Game Data'!K47:K56)</f>
        <v>14.5</v>
      </c>
      <c r="V58" s="11">
        <f>AVERAGE('Celtics Game Data'!L47:L56)</f>
        <v>0.84479999999999988</v>
      </c>
      <c r="W58" s="9">
        <v>1</v>
      </c>
      <c r="X58" s="9">
        <v>1</v>
      </c>
      <c r="Y58" s="4">
        <f>'Celtics Game Data'!O57</f>
        <v>0</v>
      </c>
      <c r="Z58" s="10">
        <f>26/(26+29)</f>
        <v>0.47272727272727272</v>
      </c>
      <c r="AA58" s="14">
        <v>105</v>
      </c>
      <c r="AB58" s="9" t="b">
        <v>0</v>
      </c>
      <c r="AC58" s="14">
        <v>38</v>
      </c>
      <c r="AD58" s="11">
        <v>0.45800000000000002</v>
      </c>
      <c r="AE58" s="14">
        <v>14</v>
      </c>
      <c r="AF58" s="11">
        <v>0.42399999999999999</v>
      </c>
      <c r="AG58" s="17">
        <v>15</v>
      </c>
      <c r="AH58" s="11">
        <v>0.88200000000000001</v>
      </c>
      <c r="AI58" s="12">
        <v>113.3</v>
      </c>
      <c r="AJ58" s="12">
        <v>116.5</v>
      </c>
      <c r="AK58" s="9">
        <v>9</v>
      </c>
      <c r="AL58" s="9">
        <v>4</v>
      </c>
      <c r="AM58" s="4">
        <v>4</v>
      </c>
      <c r="AN58" s="2" t="b">
        <f>'Celtics Game Data'!D57</f>
        <v>1</v>
      </c>
      <c r="AO58" s="3">
        <f>'Celtics Game Data'!E57</f>
        <v>129</v>
      </c>
      <c r="AP58" s="3">
        <f>'Celtics Game Data'!F57</f>
        <v>112</v>
      </c>
      <c r="AQ58" s="3">
        <f t="shared" si="5"/>
        <v>17</v>
      </c>
      <c r="AR58" s="3">
        <f t="shared" si="6"/>
        <v>241</v>
      </c>
      <c r="AS58" s="19">
        <v>224</v>
      </c>
      <c r="AT58" s="9">
        <v>-8.5</v>
      </c>
      <c r="AU58" s="3">
        <f t="shared" si="4"/>
        <v>-110</v>
      </c>
      <c r="AV58" s="3">
        <f t="shared" si="2"/>
        <v>8.5</v>
      </c>
      <c r="AW58" s="4">
        <f t="shared" si="3"/>
        <v>-110</v>
      </c>
    </row>
    <row r="59" spans="1:49" x14ac:dyDescent="0.25">
      <c r="A59" s="5">
        <f>'Celtics Game Data'!A58</f>
        <v>45346</v>
      </c>
      <c r="B59" s="5" t="str">
        <f>'Celtics Game Data'!B58</f>
        <v>New York Knicks</v>
      </c>
      <c r="C59" s="5" t="str">
        <f>'Celtics Game Data'!C58</f>
        <v>Away</v>
      </c>
      <c r="D59" s="5" t="b">
        <v>0</v>
      </c>
      <c r="E59" s="10">
        <f>COUNTIF('Celtics Game Data'!$D$2:D57,TRUE)/(COUNTIF('Celtics Game Data'!$D$2:D57, TRUE) + COUNTIF('Celtics Game Data'!$D$2:D57, FALSE))</f>
        <v>0.7857142857142857</v>
      </c>
      <c r="F59" s="11">
        <f>IFERROR(COUNTIF('Celtics Game Data'!$Q$2:Q57,2)/(COUNTIF('Celtics Game Data'!$Q$2:Q57, 2) + COUNTIF('Celtics Game Data'!$Q$2:Q57, 1)),"")</f>
        <v>0.89655172413793105</v>
      </c>
      <c r="G59" s="11">
        <f>IFERROR(COUNTIF('Celtics Game Data'!$R$2:R57,2)/(COUNTIF('Celtics Game Data'!$R$2:R57, 2) + COUNTIF('Celtics Game Data'!$R$2:R57, 1)),"")</f>
        <v>0.66666666666666663</v>
      </c>
      <c r="H59" s="11">
        <f>COUNTIF('Celtics Game Data'!D53:D57,TRUE)/(COUNTIF('Celtics Game Data'!D53:D57, TRUE) + COUNTIF('Celtics Game Data'!D53:D57, FALSE))</f>
        <v>1</v>
      </c>
      <c r="I59" s="11">
        <f>COUNTIF('Celtics Game Data'!D48:D57,TRUE)/(COUNTIF('Celtics Game Data'!D48:D57, TRUE) + COUNTIF('Celtics Game Data'!D48:D57, FALSE))</f>
        <v>0.9</v>
      </c>
      <c r="J59" s="12">
        <f>AVERAGE('Celtics Game Data'!$E$2:E57)</f>
        <v>121.16071428571429</v>
      </c>
      <c r="K59" s="12">
        <f>AVERAGE('Celtics Game Data'!E53:E57)</f>
        <v>125.2</v>
      </c>
      <c r="L59" s="12">
        <f>AVERAGE('Celtics Game Data'!E48:E57)</f>
        <v>123.4</v>
      </c>
      <c r="M59" s="12">
        <f>AVERAGE('Celtics Game Data'!$M$2:M57)</f>
        <v>122.90000000000002</v>
      </c>
      <c r="N59" s="12">
        <f>AVERAGE('Celtics Game Data'!M48:M57)</f>
        <v>126.25999999999999</v>
      </c>
      <c r="O59" s="12">
        <f>AVERAGE('Celtics Game Data'!$N$2:N57)</f>
        <v>112.33035714285714</v>
      </c>
      <c r="P59" s="12">
        <f>AVERAGE('Celtics Game Data'!N48:N57)</f>
        <v>112.37</v>
      </c>
      <c r="Q59" s="12">
        <f>AVERAGE('Celtics Game Data'!G48:G57)</f>
        <v>45.1</v>
      </c>
      <c r="R59" s="11">
        <f>AVERAGE('Celtics Game Data'!H48:H57)</f>
        <v>0.51400000000000001</v>
      </c>
      <c r="S59" s="12">
        <f>AVERAGE('Celtics Game Data'!I48:I57)</f>
        <v>17.3</v>
      </c>
      <c r="T59" s="11">
        <f>AVERAGE('Celtics Game Data'!J48:J57)</f>
        <v>0.40119999999999995</v>
      </c>
      <c r="U59" s="12">
        <f>AVERAGE('Celtics Game Data'!K48:K57)</f>
        <v>14.7</v>
      </c>
      <c r="V59" s="11">
        <f>AVERAGE('Celtics Game Data'!L48:L57)</f>
        <v>0.83349999999999991</v>
      </c>
      <c r="W59" s="9">
        <v>1</v>
      </c>
      <c r="X59" s="9">
        <v>1</v>
      </c>
      <c r="Y59" s="4">
        <f>'Celtics Game Data'!O58</f>
        <v>0</v>
      </c>
      <c r="Z59" s="10">
        <f>34/(34+22)</f>
        <v>0.6071428571428571</v>
      </c>
      <c r="AA59" s="14">
        <v>110</v>
      </c>
      <c r="AB59" s="9" t="b">
        <v>1</v>
      </c>
      <c r="AC59" s="14">
        <v>38</v>
      </c>
      <c r="AD59" s="11">
        <v>0.48099999999999998</v>
      </c>
      <c r="AE59" s="14">
        <v>15</v>
      </c>
      <c r="AF59" s="11">
        <v>0.441</v>
      </c>
      <c r="AG59" s="17">
        <v>19</v>
      </c>
      <c r="AH59" s="11">
        <v>0.70399999999999996</v>
      </c>
      <c r="AI59" s="12">
        <v>115</v>
      </c>
      <c r="AJ59" s="12">
        <v>100.3</v>
      </c>
      <c r="AK59" s="9">
        <v>4</v>
      </c>
      <c r="AL59" s="3">
        <v>2</v>
      </c>
      <c r="AM59" s="4">
        <v>5</v>
      </c>
      <c r="AN59" s="2" t="b">
        <f>'Celtics Game Data'!D58</f>
        <v>1</v>
      </c>
      <c r="AO59" s="3">
        <f>'Celtics Game Data'!E58</f>
        <v>116</v>
      </c>
      <c r="AP59" s="3">
        <f>'Celtics Game Data'!F58</f>
        <v>102</v>
      </c>
      <c r="AQ59" s="3">
        <f t="shared" si="5"/>
        <v>14</v>
      </c>
      <c r="AR59" s="3">
        <f t="shared" si="6"/>
        <v>218</v>
      </c>
      <c r="AS59" s="19">
        <v>224.5</v>
      </c>
      <c r="AT59" s="9">
        <v>-6.5</v>
      </c>
      <c r="AU59" s="3">
        <f t="shared" si="4"/>
        <v>-110</v>
      </c>
      <c r="AV59" s="3">
        <f t="shared" si="2"/>
        <v>6.5</v>
      </c>
      <c r="AW59" s="4">
        <f t="shared" si="3"/>
        <v>-110</v>
      </c>
    </row>
    <row r="60" spans="1:49" x14ac:dyDescent="0.25">
      <c r="A60" s="5">
        <f>'Celtics Game Data'!A59</f>
        <v>45349</v>
      </c>
      <c r="B60" s="5" t="str">
        <f>'Celtics Game Data'!B59</f>
        <v>Philadelphia 76ers</v>
      </c>
      <c r="C60" s="5" t="str">
        <f>'Celtics Game Data'!C59</f>
        <v>Home</v>
      </c>
      <c r="D60" s="5" t="b">
        <v>0</v>
      </c>
      <c r="E60" s="10">
        <f>COUNTIF('Celtics Game Data'!$D$2:D58,TRUE)/(COUNTIF('Celtics Game Data'!$D$2:D58, TRUE) + COUNTIF('Celtics Game Data'!$D$2:D58, FALSE))</f>
        <v>0.78947368421052633</v>
      </c>
      <c r="F60" s="11">
        <f>IFERROR(COUNTIF('Celtics Game Data'!$Q$2:Q58,2)/(COUNTIF('Celtics Game Data'!$Q$2:Q58, 2) + COUNTIF('Celtics Game Data'!$Q$2:Q58, 1)),"")</f>
        <v>0.89655172413793105</v>
      </c>
      <c r="G60" s="11">
        <f>IFERROR(COUNTIF('Celtics Game Data'!$R$2:R58,2)/(COUNTIF('Celtics Game Data'!$R$2:R58, 2) + COUNTIF('Celtics Game Data'!$R$2:R58, 1)),"")</f>
        <v>0.6785714285714286</v>
      </c>
      <c r="H60" s="11">
        <f>COUNTIF('Celtics Game Data'!D54:D58,TRUE)/(COUNTIF('Celtics Game Data'!D54:D58, TRUE) + COUNTIF('Celtics Game Data'!D54:D58, FALSE))</f>
        <v>1</v>
      </c>
      <c r="I60" s="11">
        <f>COUNTIF('Celtics Game Data'!D49:D58,TRUE)/(COUNTIF('Celtics Game Data'!D49:D58, TRUE) + COUNTIF('Celtics Game Data'!D49:D58, FALSE))</f>
        <v>0.9</v>
      </c>
      <c r="J60" s="12">
        <f>AVERAGE('Celtics Game Data'!$E$2:E58)</f>
        <v>121.07017543859649</v>
      </c>
      <c r="K60" s="12">
        <f>AVERAGE('Celtics Game Data'!E54:E58)</f>
        <v>121.8</v>
      </c>
      <c r="L60" s="12">
        <f>AVERAGE('Celtics Game Data'!E49:E58)</f>
        <v>123.2</v>
      </c>
      <c r="M60" s="12">
        <f>AVERAGE('Celtics Game Data'!$M$2:M58)</f>
        <v>123.21929824561407</v>
      </c>
      <c r="N60" s="12">
        <f>AVERAGE('Celtics Game Data'!M49:M58)</f>
        <v>128.26</v>
      </c>
      <c r="O60" s="12">
        <f>AVERAGE('Celtics Game Data'!$N$2:N58)</f>
        <v>112.53684210526316</v>
      </c>
      <c r="P60" s="12">
        <f>AVERAGE('Celtics Game Data'!N49:N58)</f>
        <v>113.28</v>
      </c>
      <c r="Q60" s="12">
        <f>AVERAGE('Celtics Game Data'!G49:G58)</f>
        <v>45.4</v>
      </c>
      <c r="R60" s="11">
        <f>AVERAGE('Celtics Game Data'!H49:H58)</f>
        <v>0.52019999999999988</v>
      </c>
      <c r="S60" s="12">
        <f>AVERAGE('Celtics Game Data'!I49:I58)</f>
        <v>17.100000000000001</v>
      </c>
      <c r="T60" s="11">
        <f>AVERAGE('Celtics Game Data'!J49:J58)</f>
        <v>0.40709999999999996</v>
      </c>
      <c r="U60" s="12">
        <f>AVERAGE('Celtics Game Data'!K49:K58)</f>
        <v>14.1</v>
      </c>
      <c r="V60" s="11">
        <f>AVERAGE('Celtics Game Data'!L49:L58)</f>
        <v>0.83349999999999991</v>
      </c>
      <c r="W60" s="9">
        <v>1</v>
      </c>
      <c r="X60" s="9">
        <v>1</v>
      </c>
      <c r="Y60" s="4">
        <f>'Celtics Game Data'!O59</f>
        <v>0</v>
      </c>
      <c r="Z60" s="10">
        <f>33/(33+24)</f>
        <v>0.57894736842105265</v>
      </c>
      <c r="AA60" s="14">
        <v>98</v>
      </c>
      <c r="AB60" s="9" t="b">
        <v>0</v>
      </c>
      <c r="AC60" s="14">
        <v>36</v>
      </c>
      <c r="AD60" s="11">
        <v>0.371</v>
      </c>
      <c r="AE60" s="14">
        <v>16</v>
      </c>
      <c r="AF60" s="11">
        <v>0.34799999999999998</v>
      </c>
      <c r="AG60" s="17">
        <v>10</v>
      </c>
      <c r="AH60" s="11">
        <v>0.90900000000000003</v>
      </c>
      <c r="AI60" s="12">
        <v>102.1</v>
      </c>
      <c r="AJ60" s="12">
        <v>124</v>
      </c>
      <c r="AK60" s="9">
        <v>5</v>
      </c>
      <c r="AL60" s="9">
        <v>3</v>
      </c>
      <c r="AM60" s="4">
        <v>5</v>
      </c>
      <c r="AN60" s="2" t="b">
        <f>'Celtics Game Data'!D59</f>
        <v>1</v>
      </c>
      <c r="AO60" s="3">
        <f>'Celtics Game Data'!E59</f>
        <v>117</v>
      </c>
      <c r="AP60" s="3">
        <f>'Celtics Game Data'!F59</f>
        <v>99</v>
      </c>
      <c r="AQ60" s="3">
        <f t="shared" si="5"/>
        <v>18</v>
      </c>
      <c r="AR60" s="3">
        <f t="shared" si="6"/>
        <v>216</v>
      </c>
      <c r="AS60" s="19">
        <v>231.5</v>
      </c>
      <c r="AT60" s="9">
        <v>-11.5</v>
      </c>
      <c r="AU60" s="3">
        <f t="shared" si="4"/>
        <v>-110</v>
      </c>
      <c r="AV60" s="3">
        <f t="shared" si="2"/>
        <v>11.5</v>
      </c>
      <c r="AW60" s="4">
        <f t="shared" si="3"/>
        <v>-110</v>
      </c>
    </row>
    <row r="61" spans="1:49" x14ac:dyDescent="0.25">
      <c r="A61" s="5">
        <f>'Celtics Game Data'!A60</f>
        <v>45352</v>
      </c>
      <c r="B61" s="5" t="str">
        <f>'Celtics Game Data'!B60</f>
        <v>Dallas Mavericks</v>
      </c>
      <c r="C61" s="5" t="str">
        <f>'Celtics Game Data'!C60</f>
        <v>Home</v>
      </c>
      <c r="D61" s="5" t="b">
        <v>0</v>
      </c>
      <c r="E61" s="10">
        <f>COUNTIF('Celtics Game Data'!$D$2:D59,TRUE)/(COUNTIF('Celtics Game Data'!$D$2:D59, TRUE) + COUNTIF('Celtics Game Data'!$D$2:D59, FALSE))</f>
        <v>0.7931034482758621</v>
      </c>
      <c r="F61" s="11">
        <f>IFERROR(COUNTIF('Celtics Game Data'!$Q$2:Q59,2)/(COUNTIF('Celtics Game Data'!$Q$2:Q59, 2) + COUNTIF('Celtics Game Data'!$Q$2:Q59, 1)),"")</f>
        <v>0.9</v>
      </c>
      <c r="G61" s="11">
        <f>IFERROR(COUNTIF('Celtics Game Data'!$R$2:R59,2)/(COUNTIF('Celtics Game Data'!$R$2:R59, 2) + COUNTIF('Celtics Game Data'!$R$2:R59, 1)),"")</f>
        <v>0.6785714285714286</v>
      </c>
      <c r="H61" s="11">
        <f>COUNTIF('Celtics Game Data'!D55:D59,TRUE)/(COUNTIF('Celtics Game Data'!D55:D59, TRUE) + COUNTIF('Celtics Game Data'!D55:D59, FALSE))</f>
        <v>1</v>
      </c>
      <c r="I61" s="11">
        <f>COUNTIF('Celtics Game Data'!D50:D59,TRUE)/(COUNTIF('Celtics Game Data'!D50:D59, TRUE) + COUNTIF('Celtics Game Data'!D50:D59, FALSE))</f>
        <v>0.9</v>
      </c>
      <c r="J61" s="12">
        <f>AVERAGE('Celtics Game Data'!$E$2:E59)</f>
        <v>121</v>
      </c>
      <c r="K61" s="12">
        <f>AVERAGE('Celtics Game Data'!E55:E59)</f>
        <v>123.2</v>
      </c>
      <c r="L61" s="12">
        <f>AVERAGE('Celtics Game Data'!E50:E59)</f>
        <v>122</v>
      </c>
      <c r="M61" s="12">
        <f>AVERAGE('Celtics Game Data'!$M$2:M59)</f>
        <v>123.21724137931038</v>
      </c>
      <c r="N61" s="12">
        <f>AVERAGE('Celtics Game Data'!M50:M59)</f>
        <v>127.41999999999999</v>
      </c>
      <c r="O61" s="12">
        <f>AVERAGE('Celtics Game Data'!$N$2:N59)</f>
        <v>112.39310344827587</v>
      </c>
      <c r="P61" s="12">
        <f>AVERAGE('Celtics Game Data'!N50:N59)</f>
        <v>111.05999999999999</v>
      </c>
      <c r="Q61" s="12">
        <f>AVERAGE('Celtics Game Data'!G50:G59)</f>
        <v>44.6</v>
      </c>
      <c r="R61" s="11">
        <f>AVERAGE('Celtics Game Data'!H50:H59)</f>
        <v>0.51819999999999988</v>
      </c>
      <c r="S61" s="12">
        <f>AVERAGE('Celtics Game Data'!I50:I59)</f>
        <v>15.9</v>
      </c>
      <c r="T61" s="11">
        <f>AVERAGE('Celtics Game Data'!J50:J59)</f>
        <v>0.38259999999999994</v>
      </c>
      <c r="U61" s="12">
        <f>AVERAGE('Celtics Game Data'!K50:K59)</f>
        <v>15.7</v>
      </c>
      <c r="V61" s="11">
        <f>AVERAGE('Celtics Game Data'!L50:L59)</f>
        <v>0.84360000000000002</v>
      </c>
      <c r="W61" s="9">
        <v>1</v>
      </c>
      <c r="X61" s="9">
        <v>1</v>
      </c>
      <c r="Y61" s="4">
        <f>'Celtics Game Data'!O60</f>
        <v>0</v>
      </c>
      <c r="Z61" s="10">
        <f>34/(34+25)</f>
        <v>0.57627118644067798</v>
      </c>
      <c r="AA61" s="14">
        <v>136</v>
      </c>
      <c r="AB61" s="9" t="b">
        <v>1</v>
      </c>
      <c r="AC61" s="14">
        <v>52</v>
      </c>
      <c r="AD61" s="11">
        <v>0.54200000000000004</v>
      </c>
      <c r="AE61" s="14">
        <v>15</v>
      </c>
      <c r="AF61" s="11">
        <v>0.34899999999999998</v>
      </c>
      <c r="AG61" s="17">
        <v>17</v>
      </c>
      <c r="AH61" s="11">
        <v>0.81</v>
      </c>
      <c r="AI61" s="12">
        <v>126.9</v>
      </c>
      <c r="AJ61" s="12">
        <v>116.7</v>
      </c>
      <c r="AK61" s="9">
        <v>7</v>
      </c>
      <c r="AL61" s="9">
        <v>2</v>
      </c>
      <c r="AM61" s="4">
        <v>0</v>
      </c>
      <c r="AN61" s="2" t="b">
        <f>'Celtics Game Data'!D60</f>
        <v>1</v>
      </c>
      <c r="AO61" s="3">
        <f>'Celtics Game Data'!E60</f>
        <v>138</v>
      </c>
      <c r="AP61" s="3">
        <f>'Celtics Game Data'!F60</f>
        <v>110</v>
      </c>
      <c r="AQ61" s="3">
        <f t="shared" si="5"/>
        <v>28</v>
      </c>
      <c r="AR61" s="3">
        <f t="shared" si="6"/>
        <v>248</v>
      </c>
      <c r="AS61" s="19">
        <v>237.5</v>
      </c>
      <c r="AT61" s="9">
        <v>-8.5</v>
      </c>
      <c r="AU61" s="3">
        <f t="shared" si="4"/>
        <v>-110</v>
      </c>
      <c r="AV61" s="3">
        <f t="shared" si="2"/>
        <v>8.5</v>
      </c>
      <c r="AW61" s="4">
        <f t="shared" si="3"/>
        <v>-110</v>
      </c>
    </row>
    <row r="62" spans="1:49" x14ac:dyDescent="0.25">
      <c r="A62" s="5">
        <f>'Celtics Game Data'!A61</f>
        <v>45354</v>
      </c>
      <c r="B62" s="5" t="str">
        <f>'Celtics Game Data'!B61</f>
        <v>Golden State Warriors</v>
      </c>
      <c r="C62" s="5" t="str">
        <f>'Celtics Game Data'!C61</f>
        <v>Home</v>
      </c>
      <c r="D62" s="5" t="b">
        <v>0</v>
      </c>
      <c r="E62" s="10">
        <f>COUNTIF('Celtics Game Data'!$D$2:D60,TRUE)/(COUNTIF('Celtics Game Data'!$D$2:D60, TRUE) + COUNTIF('Celtics Game Data'!$D$2:D60, FALSE))</f>
        <v>0.79661016949152541</v>
      </c>
      <c r="F62" s="11">
        <f>IFERROR(COUNTIF('Celtics Game Data'!$Q$2:Q60,2)/(COUNTIF('Celtics Game Data'!$Q$2:Q60, 2) + COUNTIF('Celtics Game Data'!$Q$2:Q60, 1)),"")</f>
        <v>0.90322580645161288</v>
      </c>
      <c r="G62" s="11">
        <f>IFERROR(COUNTIF('Celtics Game Data'!$R$2:R60,2)/(COUNTIF('Celtics Game Data'!$R$2:R60, 2) + COUNTIF('Celtics Game Data'!$R$2:R60, 1)),"")</f>
        <v>0.6785714285714286</v>
      </c>
      <c r="H62" s="11">
        <f>COUNTIF('Celtics Game Data'!D56:D60,TRUE)/(COUNTIF('Celtics Game Data'!D56:D60, TRUE) + COUNTIF('Celtics Game Data'!D56:D60, FALSE))</f>
        <v>1</v>
      </c>
      <c r="I62" s="11">
        <f>COUNTIF('Celtics Game Data'!D51:D60,TRUE)/(COUNTIF('Celtics Game Data'!D51:D60, TRUE) + COUNTIF('Celtics Game Data'!D51:D60, FALSE))</f>
        <v>1</v>
      </c>
      <c r="J62" s="12">
        <f>AVERAGE('Celtics Game Data'!$E$2:E60)</f>
        <v>121.28813559322033</v>
      </c>
      <c r="K62" s="12">
        <f>AVERAGE('Celtics Game Data'!E56:E60)</f>
        <v>127.2</v>
      </c>
      <c r="L62" s="12">
        <f>AVERAGE('Celtics Game Data'!E51:E60)</f>
        <v>125.3</v>
      </c>
      <c r="M62" s="12">
        <f>AVERAGE('Celtics Game Data'!$M$2:M60)</f>
        <v>123.52372881355936</v>
      </c>
      <c r="N62" s="12">
        <f>AVERAGE('Celtics Game Data'!M51:M60)</f>
        <v>130.69</v>
      </c>
      <c r="O62" s="12">
        <f>AVERAGE('Celtics Game Data'!$N$2:N60)</f>
        <v>112.39661016949154</v>
      </c>
      <c r="P62" s="12">
        <f>AVERAGE('Celtics Game Data'!N51:N60)</f>
        <v>110.53</v>
      </c>
      <c r="Q62" s="12">
        <f>AVERAGE('Celtics Game Data'!G51:G60)</f>
        <v>45.7</v>
      </c>
      <c r="R62" s="11">
        <f>AVERAGE('Celtics Game Data'!H51:H60)</f>
        <v>0.53119999999999989</v>
      </c>
      <c r="S62" s="12">
        <f>AVERAGE('Celtics Game Data'!I51:I60)</f>
        <v>16.399999999999999</v>
      </c>
      <c r="T62" s="11">
        <f>AVERAGE('Celtics Game Data'!J51:J60)</f>
        <v>0.39809999999999995</v>
      </c>
      <c r="U62" s="12">
        <f>AVERAGE('Celtics Game Data'!K51:K60)</f>
        <v>16.3</v>
      </c>
      <c r="V62" s="11">
        <f>AVERAGE('Celtics Game Data'!L51:L60)</f>
        <v>0.84360000000000013</v>
      </c>
      <c r="W62" s="9">
        <v>1</v>
      </c>
      <c r="X62" s="9">
        <v>1</v>
      </c>
      <c r="Y62" s="4">
        <f>'Celtics Game Data'!O61</f>
        <v>3</v>
      </c>
      <c r="Z62" s="10">
        <f>32/(32+27)</f>
        <v>0.5423728813559322</v>
      </c>
      <c r="AA62" s="14">
        <v>120</v>
      </c>
      <c r="AB62" s="9" t="b">
        <v>1</v>
      </c>
      <c r="AC62" s="14">
        <v>44</v>
      </c>
      <c r="AD62" s="11">
        <v>0.44900000000000001</v>
      </c>
      <c r="AE62" s="14">
        <v>18</v>
      </c>
      <c r="AF62" s="11">
        <v>0.40899999999999997</v>
      </c>
      <c r="AG62" s="17">
        <v>14</v>
      </c>
      <c r="AH62" s="11">
        <v>0.77800000000000002</v>
      </c>
      <c r="AI62" s="12">
        <v>116.6</v>
      </c>
      <c r="AJ62" s="12">
        <v>102</v>
      </c>
      <c r="AK62" s="9">
        <v>11</v>
      </c>
      <c r="AL62" s="9">
        <v>4</v>
      </c>
      <c r="AM62" s="4">
        <v>2</v>
      </c>
      <c r="AN62" s="2" t="b">
        <f>'Celtics Game Data'!D61</f>
        <v>1</v>
      </c>
      <c r="AO62" s="3">
        <f>'Celtics Game Data'!E61</f>
        <v>140</v>
      </c>
      <c r="AP62" s="3">
        <f>'Celtics Game Data'!F61</f>
        <v>88</v>
      </c>
      <c r="AQ62" s="3">
        <f t="shared" si="5"/>
        <v>52</v>
      </c>
      <c r="AR62" s="3">
        <f t="shared" si="6"/>
        <v>228</v>
      </c>
      <c r="AS62" s="19">
        <v>231</v>
      </c>
      <c r="AT62" s="9">
        <v>-7.5</v>
      </c>
      <c r="AU62" s="3">
        <f t="shared" si="4"/>
        <v>-110</v>
      </c>
      <c r="AV62" s="3">
        <f t="shared" si="2"/>
        <v>7.5</v>
      </c>
      <c r="AW62" s="4">
        <f t="shared" si="3"/>
        <v>-110</v>
      </c>
    </row>
    <row r="63" spans="1:49" x14ac:dyDescent="0.25">
      <c r="A63" s="5">
        <f>'Celtics Game Data'!A62</f>
        <v>45356</v>
      </c>
      <c r="B63" s="5" t="str">
        <f>'Celtics Game Data'!B62</f>
        <v>Cleveland Cavaliers</v>
      </c>
      <c r="C63" s="5" t="str">
        <f>'Celtics Game Data'!C62</f>
        <v>Away</v>
      </c>
      <c r="D63" s="5" t="b">
        <v>0</v>
      </c>
      <c r="E63" s="10">
        <f>COUNTIF('Celtics Game Data'!$D$2:D61,TRUE)/(COUNTIF('Celtics Game Data'!$D$2:D61, TRUE) + COUNTIF('Celtics Game Data'!$D$2:D61, FALSE))</f>
        <v>0.8</v>
      </c>
      <c r="F63" s="11">
        <f>IFERROR(COUNTIF('Celtics Game Data'!$Q$2:Q61,2)/(COUNTIF('Celtics Game Data'!$Q$2:Q61, 2) + COUNTIF('Celtics Game Data'!$Q$2:Q61, 1)),"")</f>
        <v>0.90625</v>
      </c>
      <c r="G63" s="11">
        <f>IFERROR(COUNTIF('Celtics Game Data'!$R$2:R61,2)/(COUNTIF('Celtics Game Data'!$R$2:R61, 2) + COUNTIF('Celtics Game Data'!$R$2:R61, 1)),"")</f>
        <v>0.6785714285714286</v>
      </c>
      <c r="H63" s="11">
        <f>COUNTIF('Celtics Game Data'!D57:D61,TRUE)/(COUNTIF('Celtics Game Data'!D57:D61, TRUE) + COUNTIF('Celtics Game Data'!D57:D61, FALSE))</f>
        <v>1</v>
      </c>
      <c r="I63" s="11">
        <f>COUNTIF('Celtics Game Data'!D52:D61,TRUE)/(COUNTIF('Celtics Game Data'!D52:D61, TRUE) + COUNTIF('Celtics Game Data'!D52:D61, FALSE))</f>
        <v>1</v>
      </c>
      <c r="J63" s="12">
        <f>AVERAGE('Celtics Game Data'!$E$2:E61)</f>
        <v>121.6</v>
      </c>
      <c r="K63" s="12">
        <f>AVERAGE('Celtics Game Data'!E57:E61)</f>
        <v>128</v>
      </c>
      <c r="L63" s="12">
        <f>AVERAGE('Celtics Game Data'!E52:E61)</f>
        <v>126.2</v>
      </c>
      <c r="M63" s="12">
        <f>AVERAGE('Celtics Game Data'!$M$2:M61)</f>
        <v>123.1316666666667</v>
      </c>
      <c r="N63" s="12">
        <f>AVERAGE('Celtics Game Data'!M52:M61)</f>
        <v>127.30999999999999</v>
      </c>
      <c r="O63" s="12">
        <f>AVERAGE('Celtics Game Data'!$N$2:N61)</f>
        <v>112.84666666666666</v>
      </c>
      <c r="P63" s="12">
        <f>AVERAGE('Celtics Game Data'!N52:N61)</f>
        <v>115.18000000000002</v>
      </c>
      <c r="Q63" s="12">
        <f>AVERAGE('Celtics Game Data'!G52:G61)</f>
        <v>46.2</v>
      </c>
      <c r="R63" s="11">
        <f>AVERAGE('Celtics Game Data'!H52:H61)</f>
        <v>0.53789999999999993</v>
      </c>
      <c r="S63" s="12">
        <f>AVERAGE('Celtics Game Data'!I52:I61)</f>
        <v>17</v>
      </c>
      <c r="T63" s="11">
        <f>AVERAGE('Celtics Game Data'!J52:J61)</f>
        <v>0.41179999999999994</v>
      </c>
      <c r="U63" s="12">
        <f>AVERAGE('Celtics Game Data'!K52:K61)</f>
        <v>15.6</v>
      </c>
      <c r="V63" s="11">
        <f>AVERAGE('Celtics Game Data'!L52:L61)</f>
        <v>0.83650000000000002</v>
      </c>
      <c r="W63" s="9">
        <v>1</v>
      </c>
      <c r="X63" s="9">
        <v>1</v>
      </c>
      <c r="Y63" s="4">
        <f>'Celtics Game Data'!O62</f>
        <v>0</v>
      </c>
      <c r="Z63" s="10">
        <f>39/(39+21)</f>
        <v>0.65</v>
      </c>
      <c r="AA63" s="3">
        <v>98</v>
      </c>
      <c r="AB63" s="9" t="b">
        <v>0</v>
      </c>
      <c r="AC63" s="14">
        <v>39</v>
      </c>
      <c r="AD63" s="11">
        <v>0.44800000000000001</v>
      </c>
      <c r="AE63" s="14">
        <v>17</v>
      </c>
      <c r="AF63" s="11">
        <v>0.38600000000000001</v>
      </c>
      <c r="AG63" s="17">
        <v>3</v>
      </c>
      <c r="AH63" s="11">
        <v>0.375</v>
      </c>
      <c r="AI63" s="12">
        <v>111.2</v>
      </c>
      <c r="AJ63" s="12">
        <v>121.5</v>
      </c>
      <c r="AK63" s="9">
        <v>3</v>
      </c>
      <c r="AL63" s="9">
        <v>2</v>
      </c>
      <c r="AM63" s="4">
        <v>5</v>
      </c>
      <c r="AN63" s="2" t="b">
        <f>'Celtics Game Data'!D62</f>
        <v>0</v>
      </c>
      <c r="AO63" s="3">
        <f>'Celtics Game Data'!E62</f>
        <v>104</v>
      </c>
      <c r="AP63" s="3">
        <f>'Celtics Game Data'!F62</f>
        <v>105</v>
      </c>
      <c r="AQ63" s="3">
        <f t="shared" si="5"/>
        <v>-1</v>
      </c>
      <c r="AR63" s="3">
        <f t="shared" si="6"/>
        <v>209</v>
      </c>
      <c r="AS63" s="19">
        <v>217</v>
      </c>
      <c r="AT63" s="9">
        <v>-8.5</v>
      </c>
      <c r="AU63" s="3">
        <f t="shared" si="4"/>
        <v>-110</v>
      </c>
      <c r="AV63" s="3">
        <f t="shared" si="2"/>
        <v>8.5</v>
      </c>
      <c r="AW63" s="4">
        <f t="shared" si="3"/>
        <v>-110</v>
      </c>
    </row>
    <row r="64" spans="1:49" x14ac:dyDescent="0.25">
      <c r="A64" s="5">
        <f>'Celtics Game Data'!A63</f>
        <v>45358</v>
      </c>
      <c r="B64" s="5" t="str">
        <f>'Celtics Game Data'!B63</f>
        <v>Denver Nuggets</v>
      </c>
      <c r="C64" s="5" t="str">
        <f>'Celtics Game Data'!C63</f>
        <v>Away</v>
      </c>
      <c r="D64" s="5" t="b">
        <v>0</v>
      </c>
      <c r="E64" s="10">
        <f>COUNTIF('Celtics Game Data'!$D$2:D62,TRUE)/(COUNTIF('Celtics Game Data'!$D$2:D62, TRUE) + COUNTIF('Celtics Game Data'!$D$2:D62, FALSE))</f>
        <v>0.78688524590163933</v>
      </c>
      <c r="F64" s="11">
        <f>IFERROR(COUNTIF('Celtics Game Data'!$Q$2:Q62,2)/(COUNTIF('Celtics Game Data'!$Q$2:Q62, 2) + COUNTIF('Celtics Game Data'!$Q$2:Q62, 1)),"")</f>
        <v>0.90625</v>
      </c>
      <c r="G64" s="11">
        <f>IFERROR(COUNTIF('Celtics Game Data'!$R$2:R62,2)/(COUNTIF('Celtics Game Data'!$R$2:R62, 2) + COUNTIF('Celtics Game Data'!$R$2:R62, 1)),"")</f>
        <v>0.65517241379310343</v>
      </c>
      <c r="H64" s="11">
        <f>COUNTIF('Celtics Game Data'!D58:D62,TRUE)/(COUNTIF('Celtics Game Data'!D58:D62, TRUE) + COUNTIF('Celtics Game Data'!D58:D62, FALSE))</f>
        <v>0.8</v>
      </c>
      <c r="I64" s="11">
        <f>COUNTIF('Celtics Game Data'!D53:D62,TRUE)/(COUNTIF('Celtics Game Data'!D53:D62, TRUE) + COUNTIF('Celtics Game Data'!D53:D62, FALSE))</f>
        <v>0.9</v>
      </c>
      <c r="J64" s="12">
        <f>AVERAGE('Celtics Game Data'!$E$2:E62)</f>
        <v>121.31147540983606</v>
      </c>
      <c r="K64" s="12">
        <f>AVERAGE('Celtics Game Data'!E58:E62)</f>
        <v>123</v>
      </c>
      <c r="L64" s="12">
        <f>AVERAGE('Celtics Game Data'!E53:E62)</f>
        <v>124.1</v>
      </c>
      <c r="M64" s="12">
        <f>AVERAGE('Celtics Game Data'!$M$2:M62)</f>
        <v>122.93606557377053</v>
      </c>
      <c r="N64" s="12">
        <f>AVERAGE('Celtics Game Data'!M53:M62)</f>
        <v>126.4</v>
      </c>
      <c r="O64" s="12">
        <f>AVERAGE('Celtics Game Data'!$N$2:N62)</f>
        <v>112.8377049180328</v>
      </c>
      <c r="P64" s="12">
        <f>AVERAGE('Celtics Game Data'!N53:N62)</f>
        <v>115.15</v>
      </c>
      <c r="Q64" s="12">
        <f>AVERAGE('Celtics Game Data'!G53:G62)</f>
        <v>45.8</v>
      </c>
      <c r="R64" s="11">
        <f>AVERAGE('Celtics Game Data'!H53:H62)</f>
        <v>0.52710000000000001</v>
      </c>
      <c r="S64" s="12">
        <f>AVERAGE('Celtics Game Data'!I53:I62)</f>
        <v>16.8</v>
      </c>
      <c r="T64" s="11">
        <f>AVERAGE('Celtics Game Data'!J53:J62)</f>
        <v>0.41660000000000003</v>
      </c>
      <c r="U64" s="12">
        <f>AVERAGE('Celtics Game Data'!K53:K62)</f>
        <v>15.7</v>
      </c>
      <c r="V64" s="11">
        <f>AVERAGE('Celtics Game Data'!L53:L62)</f>
        <v>0.83729999999999993</v>
      </c>
      <c r="W64" s="9">
        <v>1</v>
      </c>
      <c r="X64" s="9">
        <v>1</v>
      </c>
      <c r="Y64" s="4">
        <f>'Celtics Game Data'!O63</f>
        <v>0</v>
      </c>
      <c r="Z64" s="10">
        <f>42/62</f>
        <v>0.67741935483870963</v>
      </c>
      <c r="AA64" s="9">
        <v>107</v>
      </c>
      <c r="AB64" s="9" t="b">
        <v>0</v>
      </c>
      <c r="AC64" s="14">
        <v>41</v>
      </c>
      <c r="AD64" s="11">
        <v>0.42699999999999999</v>
      </c>
      <c r="AE64" s="14">
        <v>15</v>
      </c>
      <c r="AF64" s="11">
        <v>0.375</v>
      </c>
      <c r="AG64" s="17">
        <v>10</v>
      </c>
      <c r="AH64" s="11">
        <v>0.71399999999999997</v>
      </c>
      <c r="AI64" s="12">
        <v>104.1</v>
      </c>
      <c r="AJ64" s="12">
        <v>113.8</v>
      </c>
      <c r="AK64" s="9">
        <v>3</v>
      </c>
      <c r="AL64" s="9">
        <v>3</v>
      </c>
      <c r="AM64" s="4">
        <v>0</v>
      </c>
      <c r="AN64" s="2" t="b">
        <f>'Celtics Game Data'!D63</f>
        <v>0</v>
      </c>
      <c r="AO64" s="3">
        <f>'Celtics Game Data'!E63</f>
        <v>109</v>
      </c>
      <c r="AP64" s="3">
        <f>'Celtics Game Data'!F63</f>
        <v>115</v>
      </c>
      <c r="AQ64" s="3">
        <f t="shared" si="5"/>
        <v>-6</v>
      </c>
      <c r="AR64" s="3">
        <f t="shared" si="6"/>
        <v>224</v>
      </c>
      <c r="AS64" s="19">
        <v>222</v>
      </c>
      <c r="AT64" s="9">
        <v>-2.5</v>
      </c>
      <c r="AU64" s="3">
        <f t="shared" si="4"/>
        <v>-110</v>
      </c>
      <c r="AV64" s="3">
        <f t="shared" si="2"/>
        <v>2.5</v>
      </c>
      <c r="AW64" s="4">
        <f t="shared" si="3"/>
        <v>-110</v>
      </c>
    </row>
    <row r="65" spans="1:49" x14ac:dyDescent="0.25">
      <c r="A65" s="5">
        <f>'Celtics Game Data'!A64</f>
        <v>45360</v>
      </c>
      <c r="B65" s="5" t="str">
        <f>'Celtics Game Data'!B64</f>
        <v>Phoenix Suns</v>
      </c>
      <c r="C65" s="5" t="str">
        <f>'Celtics Game Data'!C64</f>
        <v>Away</v>
      </c>
      <c r="D65" s="5" t="b">
        <v>0</v>
      </c>
      <c r="E65" s="10">
        <f>COUNTIF('Celtics Game Data'!$D$2:D63,TRUE)/(COUNTIF('Celtics Game Data'!$D$2:D63, TRUE) + COUNTIF('Celtics Game Data'!$D$2:D63, FALSE))</f>
        <v>0.77419354838709675</v>
      </c>
      <c r="F65" s="11">
        <f>IFERROR(COUNTIF('Celtics Game Data'!$Q$2:Q63,2)/(COUNTIF('Celtics Game Data'!$Q$2:Q63, 2) + COUNTIF('Celtics Game Data'!$Q$2:Q63, 1)),"")</f>
        <v>0.90625</v>
      </c>
      <c r="G65" s="11">
        <f>IFERROR(COUNTIF('Celtics Game Data'!$R$2:R63,2)/(COUNTIF('Celtics Game Data'!$R$2:R63, 2) + COUNTIF('Celtics Game Data'!$R$2:R63, 1)),"")</f>
        <v>0.6333333333333333</v>
      </c>
      <c r="H65" s="11">
        <f>COUNTIF('Celtics Game Data'!D59:D63,TRUE)/(COUNTIF('Celtics Game Data'!D59:D63, TRUE) + COUNTIF('Celtics Game Data'!D59:D63, FALSE))</f>
        <v>0.6</v>
      </c>
      <c r="I65" s="11">
        <f>COUNTIF('Celtics Game Data'!D54:D63,TRUE)/(COUNTIF('Celtics Game Data'!D54:D63, TRUE) + COUNTIF('Celtics Game Data'!D54:D63, FALSE))</f>
        <v>0.8</v>
      </c>
      <c r="J65" s="12">
        <f>AVERAGE('Celtics Game Data'!$E$2:E63)</f>
        <v>121.11290322580645</v>
      </c>
      <c r="K65" s="12">
        <f>AVERAGE('Celtics Game Data'!E59:E63)</f>
        <v>121.6</v>
      </c>
      <c r="L65" s="12">
        <f>AVERAGE('Celtics Game Data'!E54:E63)</f>
        <v>121.7</v>
      </c>
      <c r="M65" s="12">
        <f>AVERAGE('Celtics Game Data'!$M$2:M63)</f>
        <v>122.79838709677422</v>
      </c>
      <c r="N65" s="12">
        <f>AVERAGE('Celtics Game Data'!M54:M63)</f>
        <v>125.51000000000002</v>
      </c>
      <c r="O65" s="12">
        <f>AVERAGE('Celtics Game Data'!$N$2:N63)</f>
        <v>112.91290322580646</v>
      </c>
      <c r="P65" s="12">
        <f>AVERAGE('Celtics Game Data'!N54:N63)</f>
        <v>114.94000000000001</v>
      </c>
      <c r="Q65" s="12">
        <f>AVERAGE('Celtics Game Data'!G54:G63)</f>
        <v>45.1</v>
      </c>
      <c r="R65" s="11">
        <f>AVERAGE('Celtics Game Data'!H54:H63)</f>
        <v>0.51999999999999991</v>
      </c>
      <c r="S65" s="12">
        <f>AVERAGE('Celtics Game Data'!I54:I63)</f>
        <v>16.8</v>
      </c>
      <c r="T65" s="11">
        <f>AVERAGE('Celtics Game Data'!J54:J63)</f>
        <v>0.41309999999999991</v>
      </c>
      <c r="U65" s="12">
        <f>AVERAGE('Celtics Game Data'!K54:K63)</f>
        <v>14.7</v>
      </c>
      <c r="V65" s="11">
        <f>AVERAGE('Celtics Game Data'!L54:L63)</f>
        <v>0.80840000000000001</v>
      </c>
      <c r="W65" s="9">
        <v>1</v>
      </c>
      <c r="X65" s="9">
        <v>1</v>
      </c>
      <c r="Y65" s="4">
        <f>'Celtics Game Data'!O64</f>
        <v>3</v>
      </c>
      <c r="Z65" s="10">
        <f>37/(37+26)</f>
        <v>0.58730158730158732</v>
      </c>
      <c r="AA65" s="9">
        <v>120</v>
      </c>
      <c r="AB65" s="9" t="b">
        <v>1</v>
      </c>
      <c r="AC65" s="14">
        <v>44</v>
      </c>
      <c r="AD65" s="11">
        <v>0.51200000000000001</v>
      </c>
      <c r="AE65" s="14">
        <v>15</v>
      </c>
      <c r="AF65" s="11">
        <v>0.42899999999999999</v>
      </c>
      <c r="AG65" s="17">
        <v>17</v>
      </c>
      <c r="AH65" s="11">
        <v>0.85</v>
      </c>
      <c r="AI65" s="12">
        <v>123.3</v>
      </c>
      <c r="AJ65" s="12">
        <v>116.1</v>
      </c>
      <c r="AK65" s="9">
        <v>6</v>
      </c>
      <c r="AL65" s="9">
        <v>2</v>
      </c>
      <c r="AM65" s="4">
        <v>4</v>
      </c>
      <c r="AN65" s="2" t="b">
        <f>'Celtics Game Data'!D64</f>
        <v>1</v>
      </c>
      <c r="AO65" s="3">
        <f>'Celtics Game Data'!E64</f>
        <v>117</v>
      </c>
      <c r="AP65" s="3">
        <f>'Celtics Game Data'!F64</f>
        <v>107</v>
      </c>
      <c r="AQ65" s="3">
        <f t="shared" si="5"/>
        <v>10</v>
      </c>
      <c r="AR65" s="3">
        <f t="shared" si="6"/>
        <v>224</v>
      </c>
      <c r="AS65" s="19">
        <v>226</v>
      </c>
      <c r="AT65" s="9">
        <v>-5.5</v>
      </c>
      <c r="AU65" s="3">
        <f t="shared" si="4"/>
        <v>-110</v>
      </c>
      <c r="AV65" s="3">
        <f t="shared" si="2"/>
        <v>5.5</v>
      </c>
      <c r="AW65" s="4">
        <f t="shared" si="3"/>
        <v>-110</v>
      </c>
    </row>
    <row r="66" spans="1:49" x14ac:dyDescent="0.25">
      <c r="A66" s="5">
        <f>'Celtics Game Data'!A65</f>
        <v>45362</v>
      </c>
      <c r="B66" s="5" t="str">
        <f>'Celtics Game Data'!B65</f>
        <v>Portland Trail Blazers</v>
      </c>
      <c r="C66" s="5" t="str">
        <f>'Celtics Game Data'!C65</f>
        <v>Away</v>
      </c>
      <c r="D66" s="5" t="b">
        <v>0</v>
      </c>
      <c r="E66" s="10">
        <f>COUNTIF('Celtics Game Data'!$D$2:D64,TRUE)/(COUNTIF('Celtics Game Data'!$D$2:D64, TRUE) + COUNTIF('Celtics Game Data'!$D$2:D64, FALSE))</f>
        <v>0.77777777777777779</v>
      </c>
      <c r="F66" s="11">
        <f>IFERROR(COUNTIF('Celtics Game Data'!$Q$2:Q64,2)/(COUNTIF('Celtics Game Data'!$Q$2:Q64, 2) + COUNTIF('Celtics Game Data'!$Q$2:Q64, 1)),"")</f>
        <v>0.90625</v>
      </c>
      <c r="G66" s="11">
        <f>IFERROR(COUNTIF('Celtics Game Data'!$R$2:R64,2)/(COUNTIF('Celtics Game Data'!$R$2:R64, 2) + COUNTIF('Celtics Game Data'!$R$2:R64, 1)),"")</f>
        <v>0.64516129032258063</v>
      </c>
      <c r="H66" s="11">
        <f>COUNTIF('Celtics Game Data'!D60:D64,TRUE)/(COUNTIF('Celtics Game Data'!D60:D64, TRUE) + COUNTIF('Celtics Game Data'!D60:D64, FALSE))</f>
        <v>0.6</v>
      </c>
      <c r="I66" s="11">
        <f>COUNTIF('Celtics Game Data'!D55:D64,TRUE)/(COUNTIF('Celtics Game Data'!D55:D64, TRUE) + COUNTIF('Celtics Game Data'!D55:D64, FALSE))</f>
        <v>0.8</v>
      </c>
      <c r="J66" s="12">
        <f>AVERAGE('Celtics Game Data'!$E$2:E64)</f>
        <v>121.04761904761905</v>
      </c>
      <c r="K66" s="12">
        <f>AVERAGE('Celtics Game Data'!E60:E64)</f>
        <v>121.6</v>
      </c>
      <c r="L66" s="12">
        <f>AVERAGE('Celtics Game Data'!E55:E64)</f>
        <v>122.4</v>
      </c>
      <c r="M66" s="12">
        <f>AVERAGE('Celtics Game Data'!$M$2:M64)</f>
        <v>122.78412698412701</v>
      </c>
      <c r="N66" s="12">
        <f>AVERAGE('Celtics Game Data'!M55:M64)</f>
        <v>125.66000000000004</v>
      </c>
      <c r="O66" s="12">
        <f>AVERAGE('Celtics Game Data'!$N$2:N64)</f>
        <v>112.89047619047619</v>
      </c>
      <c r="P66" s="12">
        <f>AVERAGE('Celtics Game Data'!N55:N64)</f>
        <v>114.49000000000001</v>
      </c>
      <c r="Q66" s="12">
        <f>AVERAGE('Celtics Game Data'!G55:G64)</f>
        <v>45.6</v>
      </c>
      <c r="R66" s="11">
        <f>AVERAGE('Celtics Game Data'!H55:H64)</f>
        <v>0.51829999999999987</v>
      </c>
      <c r="S66" s="12">
        <f>AVERAGE('Celtics Game Data'!I55:I64)</f>
        <v>16.7</v>
      </c>
      <c r="T66" s="11">
        <f>AVERAGE('Celtics Game Data'!J55:J64)</f>
        <v>0.41059999999999997</v>
      </c>
      <c r="U66" s="12">
        <f>AVERAGE('Celtics Game Data'!K55:K64)</f>
        <v>14.5</v>
      </c>
      <c r="V66" s="11">
        <f>AVERAGE('Celtics Game Data'!L55:L64)</f>
        <v>0.81469999999999987</v>
      </c>
      <c r="W66" s="9">
        <v>1</v>
      </c>
      <c r="X66" s="9">
        <v>1</v>
      </c>
      <c r="Y66" s="4">
        <f>'Celtics Game Data'!O65</f>
        <v>4</v>
      </c>
      <c r="Z66" s="10">
        <f>18/(18+45)</f>
        <v>0.2857142857142857</v>
      </c>
      <c r="AA66" s="9">
        <v>128</v>
      </c>
      <c r="AB66" s="9" t="b">
        <v>1</v>
      </c>
      <c r="AC66" s="14">
        <v>49</v>
      </c>
      <c r="AD66" s="11">
        <v>0.47599999999999998</v>
      </c>
      <c r="AE66" s="14">
        <v>16</v>
      </c>
      <c r="AF66" s="11">
        <v>0.4</v>
      </c>
      <c r="AG66" s="17">
        <v>14</v>
      </c>
      <c r="AH66" s="11">
        <v>0.93300000000000005</v>
      </c>
      <c r="AI66" s="12">
        <v>121.4</v>
      </c>
      <c r="AJ66" s="12">
        <v>111.9</v>
      </c>
      <c r="AK66" s="9">
        <v>14</v>
      </c>
      <c r="AL66" s="9">
        <v>5</v>
      </c>
      <c r="AM66" s="4">
        <v>1</v>
      </c>
      <c r="AN66" s="2" t="b">
        <f>'Celtics Game Data'!D65</f>
        <v>1</v>
      </c>
      <c r="AO66" s="3">
        <f>'Celtics Game Data'!E65</f>
        <v>121</v>
      </c>
      <c r="AP66" s="3">
        <f>'Celtics Game Data'!F65</f>
        <v>99</v>
      </c>
      <c r="AQ66" s="3">
        <f t="shared" si="5"/>
        <v>22</v>
      </c>
      <c r="AR66" s="3">
        <f t="shared" si="6"/>
        <v>220</v>
      </c>
      <c r="AS66" s="19">
        <v>221</v>
      </c>
      <c r="AT66" s="9">
        <v>-11.5</v>
      </c>
      <c r="AU66" s="3">
        <f t="shared" si="4"/>
        <v>-110</v>
      </c>
      <c r="AV66" s="3">
        <f t="shared" si="2"/>
        <v>11.5</v>
      </c>
      <c r="AW66" s="4">
        <f t="shared" si="3"/>
        <v>-110</v>
      </c>
    </row>
    <row r="67" spans="1:49" x14ac:dyDescent="0.25">
      <c r="A67" s="5">
        <f>'Celtics Game Data'!A66</f>
        <v>45363</v>
      </c>
      <c r="B67" s="5" t="str">
        <f>'Celtics Game Data'!B66</f>
        <v>Utah Jazz</v>
      </c>
      <c r="C67" s="5" t="str">
        <f>'Celtics Game Data'!C66</f>
        <v>Away</v>
      </c>
      <c r="D67" s="5" t="b">
        <v>0</v>
      </c>
      <c r="E67" s="10">
        <f>COUNTIF('Celtics Game Data'!$D$2:D65,TRUE)/(COUNTIF('Celtics Game Data'!$D$2:D65, TRUE) + COUNTIF('Celtics Game Data'!$D$2:D65, FALSE))</f>
        <v>0.78125</v>
      </c>
      <c r="F67" s="11">
        <f>IFERROR(COUNTIF('Celtics Game Data'!$Q$2:Q65,2)/(COUNTIF('Celtics Game Data'!$Q$2:Q65, 2) + COUNTIF('Celtics Game Data'!$Q$2:Q65, 1)),"")</f>
        <v>0.90625</v>
      </c>
      <c r="G67" s="11">
        <f>IFERROR(COUNTIF('Celtics Game Data'!$R$2:R65,2)/(COUNTIF('Celtics Game Data'!$R$2:R65, 2) + COUNTIF('Celtics Game Data'!$R$2:R65, 1)),"")</f>
        <v>0.65625</v>
      </c>
      <c r="H67" s="11">
        <f>COUNTIF('Celtics Game Data'!D61:D65,TRUE)/(COUNTIF('Celtics Game Data'!D61:D65, TRUE) + COUNTIF('Celtics Game Data'!D61:D65, FALSE))</f>
        <v>0.6</v>
      </c>
      <c r="I67" s="11">
        <f>COUNTIF('Celtics Game Data'!D56:D65,TRUE)/(COUNTIF('Celtics Game Data'!D56:D65, TRUE) + COUNTIF('Celtics Game Data'!D56:D65, FALSE))</f>
        <v>0.8</v>
      </c>
      <c r="J67" s="12">
        <f>AVERAGE('Celtics Game Data'!$E$2:E65)</f>
        <v>121.046875</v>
      </c>
      <c r="K67" s="12">
        <f>AVERAGE('Celtics Game Data'!E61:E65)</f>
        <v>118.2</v>
      </c>
      <c r="L67" s="12">
        <f>AVERAGE('Celtics Game Data'!E56:E65)</f>
        <v>122.7</v>
      </c>
      <c r="M67" s="12">
        <f>AVERAGE('Celtics Game Data'!$M$2:M65)</f>
        <v>122.95625000000003</v>
      </c>
      <c r="N67" s="12">
        <f>AVERAGE('Celtics Game Data'!M56:M65)</f>
        <v>126.67</v>
      </c>
      <c r="O67" s="12">
        <f>AVERAGE('Celtics Game Data'!$N$2:N65)</f>
        <v>112.83750000000001</v>
      </c>
      <c r="P67" s="12">
        <f>AVERAGE('Celtics Game Data'!N56:N65)</f>
        <v>113.91</v>
      </c>
      <c r="Q67" s="12">
        <f>AVERAGE('Celtics Game Data'!G56:G65)</f>
        <v>46.2</v>
      </c>
      <c r="R67" s="11">
        <f>AVERAGE('Celtics Game Data'!H56:H65)</f>
        <v>0.51550000000000007</v>
      </c>
      <c r="S67" s="12">
        <f>AVERAGE('Celtics Game Data'!I56:I65)</f>
        <v>16.7</v>
      </c>
      <c r="T67" s="11">
        <f>AVERAGE('Celtics Game Data'!J56:J65)</f>
        <v>0.40759999999999996</v>
      </c>
      <c r="U67" s="12">
        <f>AVERAGE('Celtics Game Data'!K56:K65)</f>
        <v>13.6</v>
      </c>
      <c r="V67" s="11">
        <f>AVERAGE('Celtics Game Data'!L56:L65)</f>
        <v>0.80749999999999988</v>
      </c>
      <c r="W67" s="9">
        <v>1</v>
      </c>
      <c r="X67" s="9">
        <v>1</v>
      </c>
      <c r="Y67" s="4">
        <f>'Celtics Game Data'!O66</f>
        <v>7</v>
      </c>
      <c r="Z67" s="10">
        <f>28/(28+36)</f>
        <v>0.4375</v>
      </c>
      <c r="AA67" s="9">
        <v>121</v>
      </c>
      <c r="AB67" s="9" t="b">
        <v>0</v>
      </c>
      <c r="AC67" s="14">
        <v>47</v>
      </c>
      <c r="AD67" s="11">
        <v>0.5</v>
      </c>
      <c r="AE67" s="14">
        <v>8</v>
      </c>
      <c r="AF67" s="11">
        <v>0.308</v>
      </c>
      <c r="AG67" s="17">
        <v>19</v>
      </c>
      <c r="AH67" s="11">
        <v>0.76</v>
      </c>
      <c r="AI67" s="12">
        <v>121.8</v>
      </c>
      <c r="AJ67" s="12">
        <v>142.9</v>
      </c>
      <c r="AK67" s="9">
        <v>12</v>
      </c>
      <c r="AL67" s="9">
        <v>4</v>
      </c>
      <c r="AM67" s="4">
        <v>6</v>
      </c>
      <c r="AN67" s="2" t="b">
        <f>'Celtics Game Data'!D66</f>
        <v>1</v>
      </c>
      <c r="AO67" s="3">
        <f>'Celtics Game Data'!E66</f>
        <v>123</v>
      </c>
      <c r="AP67" s="3">
        <f>'Celtics Game Data'!F66</f>
        <v>107</v>
      </c>
      <c r="AQ67" s="3">
        <f t="shared" ref="AQ67:AQ84" si="7">AO67-AP67</f>
        <v>16</v>
      </c>
      <c r="AR67" s="3">
        <f t="shared" ref="AR67:AR84" si="8">SUM(AO67:AP67)</f>
        <v>230</v>
      </c>
      <c r="AS67" s="19">
        <v>230</v>
      </c>
      <c r="AT67" s="9">
        <v>-6.5</v>
      </c>
      <c r="AU67" s="3">
        <f t="shared" si="4"/>
        <v>-110</v>
      </c>
      <c r="AV67" s="3">
        <f t="shared" si="2"/>
        <v>6.5</v>
      </c>
      <c r="AW67" s="4">
        <f t="shared" si="3"/>
        <v>-110</v>
      </c>
    </row>
    <row r="68" spans="1:49" x14ac:dyDescent="0.25">
      <c r="A68" s="5">
        <f>'Celtics Game Data'!A67</f>
        <v>45365</v>
      </c>
      <c r="B68" s="5" t="str">
        <f>'Celtics Game Data'!B67</f>
        <v>Phoenix Suns</v>
      </c>
      <c r="C68" s="5" t="str">
        <f>'Celtics Game Data'!C67</f>
        <v>Home</v>
      </c>
      <c r="D68" s="5" t="b">
        <v>0</v>
      </c>
      <c r="E68" s="10">
        <f>COUNTIF('Celtics Game Data'!$D$2:D66,TRUE)/(COUNTIF('Celtics Game Data'!$D$2:D66, TRUE) + COUNTIF('Celtics Game Data'!$D$2:D66, FALSE))</f>
        <v>0.7846153846153846</v>
      </c>
      <c r="F68" s="11">
        <f>IFERROR(COUNTIF('Celtics Game Data'!$Q$2:Q66,2)/(COUNTIF('Celtics Game Data'!$Q$2:Q66, 2) + COUNTIF('Celtics Game Data'!$Q$2:Q66, 1)),"")</f>
        <v>0.90625</v>
      </c>
      <c r="G68" s="11">
        <f>IFERROR(COUNTIF('Celtics Game Data'!$R$2:R66,2)/(COUNTIF('Celtics Game Data'!$R$2:R66, 2) + COUNTIF('Celtics Game Data'!$R$2:R66, 1)),"")</f>
        <v>0.66666666666666663</v>
      </c>
      <c r="H68" s="11">
        <f>COUNTIF('Celtics Game Data'!D62:D66,TRUE)/(COUNTIF('Celtics Game Data'!D62:D66, TRUE) + COUNTIF('Celtics Game Data'!D62:D66, FALSE))</f>
        <v>0.6</v>
      </c>
      <c r="I68" s="11">
        <f>COUNTIF('Celtics Game Data'!D57:D66,TRUE)/(COUNTIF('Celtics Game Data'!D57:D66, TRUE) + COUNTIF('Celtics Game Data'!D57:D66, FALSE))</f>
        <v>0.8</v>
      </c>
      <c r="J68" s="12">
        <f>AVERAGE('Celtics Game Data'!$E$2:E66)</f>
        <v>121.07692307692308</v>
      </c>
      <c r="K68" s="12">
        <f>AVERAGE('Celtics Game Data'!E62:E66)</f>
        <v>114.8</v>
      </c>
      <c r="L68" s="12">
        <f>AVERAGE('Celtics Game Data'!E57:E66)</f>
        <v>121.4</v>
      </c>
      <c r="M68" s="12">
        <f>AVERAGE('Celtics Game Data'!$M$2:M66)</f>
        <v>123.16307692307694</v>
      </c>
      <c r="N68" s="12">
        <f>AVERAGE('Celtics Game Data'!M57:M66)</f>
        <v>125.45</v>
      </c>
      <c r="O68" s="12">
        <f>AVERAGE('Celtics Game Data'!$N$2:N66)</f>
        <v>112.92769230769231</v>
      </c>
      <c r="P68" s="12">
        <f>AVERAGE('Celtics Game Data'!N57:N66)</f>
        <v>116.38</v>
      </c>
      <c r="Q68" s="12">
        <f>AVERAGE('Celtics Game Data'!G57:G66)</f>
        <v>45.3</v>
      </c>
      <c r="R68" s="11">
        <f>AVERAGE('Celtics Game Data'!H57:H66)</f>
        <v>0.50509999999999999</v>
      </c>
      <c r="S68" s="12">
        <f>AVERAGE('Celtics Game Data'!I57:I66)</f>
        <v>16.5</v>
      </c>
      <c r="T68" s="11">
        <f>AVERAGE('Celtics Game Data'!J57:J66)</f>
        <v>0.39949999999999997</v>
      </c>
      <c r="U68" s="12">
        <f>AVERAGE('Celtics Game Data'!K57:K66)</f>
        <v>14.3</v>
      </c>
      <c r="V68" s="11">
        <f>AVERAGE('Celtics Game Data'!L57:L66)</f>
        <v>0.81369999999999987</v>
      </c>
      <c r="W68" s="9">
        <v>1</v>
      </c>
      <c r="X68" s="9">
        <v>1</v>
      </c>
      <c r="Y68" s="4">
        <f>'Celtics Game Data'!O67</f>
        <v>3</v>
      </c>
      <c r="Z68" s="10">
        <f>38/(38+27)</f>
        <v>0.58461538461538465</v>
      </c>
      <c r="AA68" s="9">
        <v>117</v>
      </c>
      <c r="AB68" s="9" t="b">
        <v>1</v>
      </c>
      <c r="AC68" s="14">
        <v>46</v>
      </c>
      <c r="AD68" s="11">
        <v>0.54800000000000004</v>
      </c>
      <c r="AE68" s="14">
        <v>12</v>
      </c>
      <c r="AF68" s="11">
        <v>0.375</v>
      </c>
      <c r="AG68" s="17">
        <v>13</v>
      </c>
      <c r="AH68" s="11">
        <v>0.68400000000000005</v>
      </c>
      <c r="AI68" s="12">
        <v>126.5</v>
      </c>
      <c r="AJ68" s="12">
        <v>120.1</v>
      </c>
      <c r="AK68" s="9">
        <v>6</v>
      </c>
      <c r="AL68" s="9">
        <v>2</v>
      </c>
      <c r="AM68" s="4">
        <v>1</v>
      </c>
      <c r="AN68" s="2" t="b">
        <f>'Celtics Game Data'!D67</f>
        <v>1</v>
      </c>
      <c r="AO68" s="3">
        <f>'Celtics Game Data'!E67</f>
        <v>127</v>
      </c>
      <c r="AP68" s="3">
        <f>'Celtics Game Data'!F67</f>
        <v>112</v>
      </c>
      <c r="AQ68" s="3">
        <f t="shared" si="7"/>
        <v>15</v>
      </c>
      <c r="AR68" s="3">
        <f t="shared" si="8"/>
        <v>239</v>
      </c>
      <c r="AS68" s="19">
        <v>227</v>
      </c>
      <c r="AT68" s="9">
        <v>-5.5</v>
      </c>
      <c r="AU68" s="3">
        <f t="shared" si="4"/>
        <v>-110</v>
      </c>
      <c r="AV68" s="3">
        <f t="shared" si="2"/>
        <v>5.5</v>
      </c>
      <c r="AW68" s="4">
        <f t="shared" si="3"/>
        <v>-110</v>
      </c>
    </row>
    <row r="69" spans="1:49" x14ac:dyDescent="0.25">
      <c r="A69" s="5">
        <f>'Celtics Game Data'!A68</f>
        <v>45368</v>
      </c>
      <c r="B69" s="5" t="str">
        <f>'Celtics Game Data'!B68</f>
        <v>Washington Wizards</v>
      </c>
      <c r="C69" s="5" t="str">
        <f>'Celtics Game Data'!C68</f>
        <v>Away</v>
      </c>
      <c r="D69" s="5" t="b">
        <v>0</v>
      </c>
      <c r="E69" s="10">
        <f>COUNTIF('Celtics Game Data'!$D$2:D67,TRUE)/(COUNTIF('Celtics Game Data'!$D$2:D67, TRUE) + COUNTIF('Celtics Game Data'!$D$2:D67, FALSE))</f>
        <v>0.78787878787878785</v>
      </c>
      <c r="F69" s="11">
        <f>IFERROR(COUNTIF('Celtics Game Data'!$Q$2:Q67,2)/(COUNTIF('Celtics Game Data'!$Q$2:Q67, 2) + COUNTIF('Celtics Game Data'!$Q$2:Q67, 1)),"")</f>
        <v>0.90909090909090906</v>
      </c>
      <c r="G69" s="11">
        <f>IFERROR(COUNTIF('Celtics Game Data'!$R$2:R67,2)/(COUNTIF('Celtics Game Data'!$R$2:R67, 2) + COUNTIF('Celtics Game Data'!$R$2:R67, 1)),"")</f>
        <v>0.66666666666666663</v>
      </c>
      <c r="H69" s="11">
        <f>COUNTIF('Celtics Game Data'!D63:D67,TRUE)/(COUNTIF('Celtics Game Data'!D63:D67, TRUE) + COUNTIF('Celtics Game Data'!D63:D67, FALSE))</f>
        <v>0.8</v>
      </c>
      <c r="I69" s="11">
        <f>COUNTIF('Celtics Game Data'!D58:D67,TRUE)/(COUNTIF('Celtics Game Data'!D58:D67, TRUE) + COUNTIF('Celtics Game Data'!D58:D67, FALSE))</f>
        <v>0.8</v>
      </c>
      <c r="J69" s="12">
        <f>AVERAGE('Celtics Game Data'!$E$2:E67)</f>
        <v>121.16666666666667</v>
      </c>
      <c r="K69" s="12">
        <f>AVERAGE('Celtics Game Data'!E63:E67)</f>
        <v>119.4</v>
      </c>
      <c r="L69" s="12">
        <f>AVERAGE('Celtics Game Data'!E58:E67)</f>
        <v>121.2</v>
      </c>
      <c r="M69" s="12">
        <f>AVERAGE('Celtics Game Data'!$M$2:M67)</f>
        <v>123.35151515151517</v>
      </c>
      <c r="N69" s="12">
        <f>AVERAGE('Celtics Game Data'!M58:M67)</f>
        <v>125.88</v>
      </c>
      <c r="O69" s="12">
        <f>AVERAGE('Celtics Game Data'!$N$2:N67)</f>
        <v>113.02878787878788</v>
      </c>
      <c r="P69" s="12">
        <f>AVERAGE('Celtics Game Data'!N58:N67)</f>
        <v>116.93999999999998</v>
      </c>
      <c r="Q69" s="12">
        <f>AVERAGE('Celtics Game Data'!G58:G67)</f>
        <v>45.5</v>
      </c>
      <c r="R69" s="11">
        <f>AVERAGE('Celtics Game Data'!H58:H67)</f>
        <v>0.50369999999999993</v>
      </c>
      <c r="S69" s="12">
        <f>AVERAGE('Celtics Game Data'!I58:I67)</f>
        <v>16.7</v>
      </c>
      <c r="T69" s="11">
        <f>AVERAGE('Celtics Game Data'!J58:J67)</f>
        <v>0.40060000000000001</v>
      </c>
      <c r="U69" s="12">
        <f>AVERAGE('Celtics Game Data'!K58:K67)</f>
        <v>13.5</v>
      </c>
      <c r="V69" s="11">
        <f>AVERAGE('Celtics Game Data'!L58:L67)</f>
        <v>0.81020000000000003</v>
      </c>
      <c r="W69" s="9">
        <v>1</v>
      </c>
      <c r="X69" s="9">
        <v>1</v>
      </c>
      <c r="Y69" s="4">
        <f>'Celtics Game Data'!O68</f>
        <v>9</v>
      </c>
      <c r="Z69" s="10">
        <f>11/(11+56)</f>
        <v>0.16417910447761194</v>
      </c>
      <c r="AA69" s="9">
        <v>98</v>
      </c>
      <c r="AB69" s="9" t="b">
        <v>0</v>
      </c>
      <c r="AC69" s="14">
        <v>36</v>
      </c>
      <c r="AD69" s="11">
        <v>0.42899999999999999</v>
      </c>
      <c r="AE69" s="14">
        <v>13</v>
      </c>
      <c r="AF69" s="11">
        <v>0.40600000000000003</v>
      </c>
      <c r="AG69" s="17">
        <v>13</v>
      </c>
      <c r="AH69" s="11">
        <v>0.59099999999999997</v>
      </c>
      <c r="AI69" s="12">
        <v>99.7</v>
      </c>
      <c r="AJ69" s="12">
        <v>129.19999999999999</v>
      </c>
      <c r="AK69" s="9">
        <v>15</v>
      </c>
      <c r="AL69" s="3">
        <v>5</v>
      </c>
      <c r="AM69" s="4">
        <v>9</v>
      </c>
      <c r="AN69" s="2" t="b">
        <f>'Celtics Game Data'!D68</f>
        <v>1</v>
      </c>
      <c r="AO69" s="3">
        <f>'Celtics Game Data'!E68</f>
        <v>130</v>
      </c>
      <c r="AP69" s="3">
        <f>'Celtics Game Data'!F68</f>
        <v>104</v>
      </c>
      <c r="AQ69" s="3">
        <f t="shared" si="7"/>
        <v>26</v>
      </c>
      <c r="AR69" s="3">
        <f t="shared" si="8"/>
        <v>234</v>
      </c>
      <c r="AS69" s="19">
        <v>226</v>
      </c>
      <c r="AT69" s="9">
        <v>-14.5</v>
      </c>
      <c r="AU69" s="3">
        <f t="shared" si="4"/>
        <v>-110</v>
      </c>
      <c r="AV69" s="3">
        <f t="shared" si="2"/>
        <v>14.5</v>
      </c>
      <c r="AW69" s="4">
        <f t="shared" si="3"/>
        <v>-110</v>
      </c>
    </row>
    <row r="70" spans="1:49" x14ac:dyDescent="0.25">
      <c r="A70" s="5">
        <f>'Celtics Game Data'!A69</f>
        <v>45369</v>
      </c>
      <c r="B70" s="5" t="str">
        <f>'Celtics Game Data'!B69</f>
        <v>Detroit Pistons</v>
      </c>
      <c r="C70" s="5" t="str">
        <f>'Celtics Game Data'!C69</f>
        <v>Home</v>
      </c>
      <c r="D70" s="5" t="b">
        <v>0</v>
      </c>
      <c r="E70" s="10">
        <f>COUNTIF('Celtics Game Data'!$D$2:D68,TRUE)/(COUNTIF('Celtics Game Data'!$D$2:D68, TRUE) + COUNTIF('Celtics Game Data'!$D$2:D68, FALSE))</f>
        <v>0.79104477611940294</v>
      </c>
      <c r="F70" s="11">
        <f>IFERROR(COUNTIF('Celtics Game Data'!$Q$2:Q68,2)/(COUNTIF('Celtics Game Data'!$Q$2:Q68, 2) + COUNTIF('Celtics Game Data'!$Q$2:Q68, 1)),"")</f>
        <v>0.90909090909090906</v>
      </c>
      <c r="G70" s="11">
        <f>IFERROR(COUNTIF('Celtics Game Data'!$R$2:R68,2)/(COUNTIF('Celtics Game Data'!$R$2:R68, 2) + COUNTIF('Celtics Game Data'!$R$2:R68, 1)),"")</f>
        <v>0.67647058823529416</v>
      </c>
      <c r="H70" s="11">
        <f>COUNTIF('Celtics Game Data'!D64:D68,TRUE)/(COUNTIF('Celtics Game Data'!D64:D68, TRUE) + COUNTIF('Celtics Game Data'!D64:D68, FALSE))</f>
        <v>1</v>
      </c>
      <c r="I70" s="11">
        <f>COUNTIF('Celtics Game Data'!D59:D68,TRUE)/(COUNTIF('Celtics Game Data'!D59:D68, TRUE) + COUNTIF('Celtics Game Data'!D59:D68, FALSE))</f>
        <v>0.8</v>
      </c>
      <c r="J70" s="12">
        <f>AVERAGE('Celtics Game Data'!$E$2:E68)</f>
        <v>121.29850746268657</v>
      </c>
      <c r="K70" s="12">
        <f>AVERAGE('Celtics Game Data'!E64:E68)</f>
        <v>123.6</v>
      </c>
      <c r="L70" s="12">
        <f>AVERAGE('Celtics Game Data'!E59:E68)</f>
        <v>122.6</v>
      </c>
      <c r="M70" s="12">
        <f>AVERAGE('Celtics Game Data'!$M$2:M68)</f>
        <v>123.49850746268659</v>
      </c>
      <c r="N70" s="12">
        <f>AVERAGE('Celtics Game Data'!M59:M68)</f>
        <v>125.09</v>
      </c>
      <c r="O70" s="12">
        <f>AVERAGE('Celtics Game Data'!$N$2:N68)</f>
        <v>112.93134328358209</v>
      </c>
      <c r="P70" s="12">
        <f>AVERAGE('Celtics Game Data'!N59:N68)</f>
        <v>115.17999999999999</v>
      </c>
      <c r="Q70" s="12">
        <f>AVERAGE('Celtics Game Data'!G59:G68)</f>
        <v>45.2</v>
      </c>
      <c r="R70" s="11">
        <f>AVERAGE('Celtics Game Data'!H59:H68)</f>
        <v>0.49630000000000002</v>
      </c>
      <c r="S70" s="12">
        <f>AVERAGE('Celtics Game Data'!I59:I68)</f>
        <v>17.600000000000001</v>
      </c>
      <c r="T70" s="11">
        <f>AVERAGE('Celtics Game Data'!J59:J68)</f>
        <v>0.40570000000000006</v>
      </c>
      <c r="U70" s="12">
        <f>AVERAGE('Celtics Game Data'!K59:K68)</f>
        <v>14.6</v>
      </c>
      <c r="V70" s="11">
        <f>AVERAGE('Celtics Game Data'!L59:L68)</f>
        <v>0.81850000000000001</v>
      </c>
      <c r="W70" s="9">
        <v>1</v>
      </c>
      <c r="X70" s="9">
        <v>1</v>
      </c>
      <c r="Y70" s="4">
        <f>'Celtics Game Data'!O69</f>
        <v>6</v>
      </c>
      <c r="Z70" s="10">
        <f>12/(12+55)</f>
        <v>0.17910447761194029</v>
      </c>
      <c r="AA70" s="9">
        <v>101</v>
      </c>
      <c r="AB70" s="9" t="b">
        <v>0</v>
      </c>
      <c r="AC70" s="14">
        <v>38</v>
      </c>
      <c r="AD70" s="11">
        <v>0.45800000000000002</v>
      </c>
      <c r="AE70" s="14">
        <v>14</v>
      </c>
      <c r="AF70" s="11">
        <v>0.38900000000000001</v>
      </c>
      <c r="AG70" s="17">
        <v>11</v>
      </c>
      <c r="AH70" s="11">
        <v>0.78600000000000003</v>
      </c>
      <c r="AI70" s="12">
        <v>109.1</v>
      </c>
      <c r="AJ70" s="12">
        <v>112.3</v>
      </c>
      <c r="AK70" s="3">
        <v>14</v>
      </c>
      <c r="AL70" s="3">
        <v>5</v>
      </c>
      <c r="AM70" s="4">
        <v>12</v>
      </c>
      <c r="AN70" s="2" t="b">
        <f>'Celtics Game Data'!D69</f>
        <v>1</v>
      </c>
      <c r="AO70" s="3">
        <f>'Celtics Game Data'!E69</f>
        <v>119</v>
      </c>
      <c r="AP70" s="3">
        <f>'Celtics Game Data'!F69</f>
        <v>94</v>
      </c>
      <c r="AQ70" s="3">
        <f t="shared" si="7"/>
        <v>25</v>
      </c>
      <c r="AR70" s="3">
        <f t="shared" si="8"/>
        <v>213</v>
      </c>
      <c r="AS70" s="19">
        <v>222</v>
      </c>
      <c r="AT70" s="9">
        <v>-15.5</v>
      </c>
      <c r="AU70" s="3">
        <f t="shared" si="4"/>
        <v>-110</v>
      </c>
      <c r="AV70" s="3">
        <f t="shared" si="2"/>
        <v>15.5</v>
      </c>
      <c r="AW70" s="4">
        <f t="shared" si="3"/>
        <v>-110</v>
      </c>
    </row>
    <row r="71" spans="1:49" x14ac:dyDescent="0.25">
      <c r="A71" s="5">
        <f>'Celtics Game Data'!A70</f>
        <v>45371</v>
      </c>
      <c r="B71" s="5" t="str">
        <f>'Celtics Game Data'!B70</f>
        <v>Milwaukee Bucks</v>
      </c>
      <c r="C71" s="5" t="str">
        <f>'Celtics Game Data'!C70</f>
        <v>Home</v>
      </c>
      <c r="D71" s="5" t="b">
        <v>0</v>
      </c>
      <c r="E71" s="10">
        <f>COUNTIF('Celtics Game Data'!$D$2:D69,TRUE)/(COUNTIF('Celtics Game Data'!$D$2:D69, TRUE) + COUNTIF('Celtics Game Data'!$D$2:D69, FALSE))</f>
        <v>0.79411764705882348</v>
      </c>
      <c r="F71" s="11">
        <f>IFERROR(COUNTIF('Celtics Game Data'!$Q$2:Q69,2)/(COUNTIF('Celtics Game Data'!$Q$2:Q69, 2) + COUNTIF('Celtics Game Data'!$Q$2:Q69, 1)),"")</f>
        <v>0.91176470588235292</v>
      </c>
      <c r="G71" s="11">
        <f>IFERROR(COUNTIF('Celtics Game Data'!$R$2:R69,2)/(COUNTIF('Celtics Game Data'!$R$2:R69, 2) + COUNTIF('Celtics Game Data'!$R$2:R69, 1)),"")</f>
        <v>0.67647058823529416</v>
      </c>
      <c r="H71" s="11">
        <f>COUNTIF('Celtics Game Data'!D65:D69,TRUE)/(COUNTIF('Celtics Game Data'!D65:D69, TRUE) + COUNTIF('Celtics Game Data'!D65:D69, FALSE))</f>
        <v>1</v>
      </c>
      <c r="I71" s="11">
        <f>COUNTIF('Celtics Game Data'!D60:D69,TRUE)/(COUNTIF('Celtics Game Data'!D60:D69, TRUE) + COUNTIF('Celtics Game Data'!D60:D69, FALSE))</f>
        <v>0.8</v>
      </c>
      <c r="J71" s="12">
        <f>AVERAGE('Celtics Game Data'!$E$2:E69)</f>
        <v>121.26470588235294</v>
      </c>
      <c r="K71" s="12">
        <f>AVERAGE('Celtics Game Data'!E65:E69)</f>
        <v>124</v>
      </c>
      <c r="L71" s="12">
        <f>AVERAGE('Celtics Game Data'!E60:E69)</f>
        <v>122.8</v>
      </c>
      <c r="M71" s="12">
        <f>AVERAGE('Celtics Game Data'!$M$2:M69)</f>
        <v>123.56764705882357</v>
      </c>
      <c r="N71" s="12">
        <f>AVERAGE('Celtics Game Data'!M60:M69)</f>
        <v>125.6</v>
      </c>
      <c r="O71" s="12">
        <f>AVERAGE('Celtics Game Data'!$N$2:N69)</f>
        <v>112.76029411764706</v>
      </c>
      <c r="P71" s="12">
        <f>AVERAGE('Celtics Game Data'!N60:N69)</f>
        <v>114.88999999999999</v>
      </c>
      <c r="Q71" s="12">
        <f>AVERAGE('Celtics Game Data'!G60:G69)</f>
        <v>45.6</v>
      </c>
      <c r="R71" s="11">
        <f>AVERAGE('Celtics Game Data'!H60:H69)</f>
        <v>0.48959999999999998</v>
      </c>
      <c r="S71" s="12">
        <f>AVERAGE('Celtics Game Data'!I60:I69)</f>
        <v>19.3</v>
      </c>
      <c r="T71" s="11">
        <f>AVERAGE('Celtics Game Data'!J60:J69)</f>
        <v>0.4279</v>
      </c>
      <c r="U71" s="12">
        <f>AVERAGE('Celtics Game Data'!K60:K69)</f>
        <v>12.3</v>
      </c>
      <c r="V71" s="11">
        <f>AVERAGE('Celtics Game Data'!L60:L69)</f>
        <v>0.81120000000000003</v>
      </c>
      <c r="W71" s="9">
        <v>1</v>
      </c>
      <c r="X71" s="9">
        <v>1</v>
      </c>
      <c r="Y71" s="4">
        <f>'Celtics Game Data'!O70</f>
        <v>1</v>
      </c>
      <c r="Z71" s="10">
        <f>44/68</f>
        <v>0.6470588235294118</v>
      </c>
      <c r="AA71" s="9">
        <v>140</v>
      </c>
      <c r="AB71" s="9" t="b">
        <v>1</v>
      </c>
      <c r="AC71" s="14">
        <v>51</v>
      </c>
      <c r="AD71" s="11">
        <v>0.54300000000000004</v>
      </c>
      <c r="AE71" s="14">
        <v>24</v>
      </c>
      <c r="AF71" s="11">
        <v>0.58499999999999996</v>
      </c>
      <c r="AG71" s="17">
        <v>14</v>
      </c>
      <c r="AH71" s="11">
        <v>1</v>
      </c>
      <c r="AI71" s="12">
        <v>143.4</v>
      </c>
      <c r="AJ71" s="12">
        <v>132.19999999999999</v>
      </c>
      <c r="AK71" s="9">
        <v>2</v>
      </c>
      <c r="AL71" s="9">
        <v>1</v>
      </c>
      <c r="AM71" s="4">
        <v>5</v>
      </c>
      <c r="AN71" s="2" t="b">
        <f>'Celtics Game Data'!D70</f>
        <v>1</v>
      </c>
      <c r="AO71" s="3">
        <f>'Celtics Game Data'!E70</f>
        <v>122</v>
      </c>
      <c r="AP71" s="3">
        <f>'Celtics Game Data'!F70</f>
        <v>119</v>
      </c>
      <c r="AQ71" s="3">
        <f t="shared" si="7"/>
        <v>3</v>
      </c>
      <c r="AR71" s="3">
        <f t="shared" si="8"/>
        <v>241</v>
      </c>
      <c r="AS71" s="19">
        <v>226</v>
      </c>
      <c r="AT71" s="9">
        <v>-10.5</v>
      </c>
      <c r="AU71" s="3">
        <f t="shared" si="4"/>
        <v>-110</v>
      </c>
      <c r="AV71" s="3">
        <f t="shared" si="2"/>
        <v>10.5</v>
      </c>
      <c r="AW71" s="4">
        <f t="shared" si="3"/>
        <v>-110</v>
      </c>
    </row>
    <row r="72" spans="1:49" x14ac:dyDescent="0.25">
      <c r="A72" s="5">
        <f>'Celtics Game Data'!A71</f>
        <v>45373</v>
      </c>
      <c r="B72" s="5" t="str">
        <f>'Celtics Game Data'!B71</f>
        <v>Detroit Pistons</v>
      </c>
      <c r="C72" s="5" t="str">
        <f>'Celtics Game Data'!C71</f>
        <v>Away</v>
      </c>
      <c r="D72" s="5" t="b">
        <v>0</v>
      </c>
      <c r="E72" s="10">
        <f>COUNTIF('Celtics Game Data'!$D$2:D70,TRUE)/(COUNTIF('Celtics Game Data'!$D$2:D70, TRUE) + COUNTIF('Celtics Game Data'!$D$2:D70, FALSE))</f>
        <v>0.79710144927536231</v>
      </c>
      <c r="F72" s="11">
        <f>IFERROR(COUNTIF('Celtics Game Data'!$Q$2:Q70,2)/(COUNTIF('Celtics Game Data'!$Q$2:Q70, 2) + COUNTIF('Celtics Game Data'!$Q$2:Q70, 1)),"")</f>
        <v>0.91428571428571426</v>
      </c>
      <c r="G72" s="11">
        <f>IFERROR(COUNTIF('Celtics Game Data'!$R$2:R70,2)/(COUNTIF('Celtics Game Data'!$R$2:R70, 2) + COUNTIF('Celtics Game Data'!$R$2:R70, 1)),"")</f>
        <v>0.67647058823529416</v>
      </c>
      <c r="H72" s="11">
        <f>COUNTIF('Celtics Game Data'!D66:D70,TRUE)/(COUNTIF('Celtics Game Data'!D66:D70, TRUE) + COUNTIF('Celtics Game Data'!D66:D70, FALSE))</f>
        <v>1</v>
      </c>
      <c r="I72" s="11">
        <f>COUNTIF('Celtics Game Data'!D61:D70,TRUE)/(COUNTIF('Celtics Game Data'!D61:D70, TRUE) + COUNTIF('Celtics Game Data'!D61:D70, FALSE))</f>
        <v>0.8</v>
      </c>
      <c r="J72" s="12">
        <f>AVERAGE('Celtics Game Data'!$E$2:E70)</f>
        <v>121.27536231884058</v>
      </c>
      <c r="K72" s="12">
        <f>AVERAGE('Celtics Game Data'!E66:E70)</f>
        <v>124.2</v>
      </c>
      <c r="L72" s="12">
        <f>AVERAGE('Celtics Game Data'!E61:E70)</f>
        <v>121.2</v>
      </c>
      <c r="M72" s="12">
        <f>AVERAGE('Celtics Game Data'!$M$2:M70)</f>
        <v>123.67681159420293</v>
      </c>
      <c r="N72" s="12">
        <f>AVERAGE('Celtics Game Data'!M61:M70)</f>
        <v>124.58</v>
      </c>
      <c r="O72" s="12">
        <f>AVERAGE('Celtics Game Data'!$N$2:N70)</f>
        <v>112.97971014492754</v>
      </c>
      <c r="P72" s="12">
        <f>AVERAGE('Celtics Game Data'!N61:N70)</f>
        <v>116.42000000000003</v>
      </c>
      <c r="Q72" s="12">
        <f>AVERAGE('Celtics Game Data'!G61:G70)</f>
        <v>44.4</v>
      </c>
      <c r="R72" s="11">
        <f>AVERAGE('Celtics Game Data'!H61:H70)</f>
        <v>0.48139999999999999</v>
      </c>
      <c r="S72" s="12">
        <f>AVERAGE('Celtics Game Data'!I61:I70)</f>
        <v>19</v>
      </c>
      <c r="T72" s="11">
        <f>AVERAGE('Celtics Game Data'!J61:J70)</f>
        <v>0.42409999999999998</v>
      </c>
      <c r="U72" s="12">
        <f>AVERAGE('Celtics Game Data'!K61:K70)</f>
        <v>13.4</v>
      </c>
      <c r="V72" s="11">
        <f>AVERAGE('Celtics Game Data'!L61:L70)</f>
        <v>0.79400000000000004</v>
      </c>
      <c r="W72" s="9">
        <v>1</v>
      </c>
      <c r="X72" s="9">
        <v>1</v>
      </c>
      <c r="Y72" s="4">
        <f>'Celtics Game Data'!O71</f>
        <v>6</v>
      </c>
      <c r="Z72" s="10">
        <f>12/69</f>
        <v>0.17391304347826086</v>
      </c>
      <c r="AA72" s="9">
        <v>103</v>
      </c>
      <c r="AB72" s="9" t="b">
        <v>0</v>
      </c>
      <c r="AC72" s="14">
        <v>37</v>
      </c>
      <c r="AD72" s="11">
        <v>0.41099999999999998</v>
      </c>
      <c r="AE72" s="14">
        <v>5</v>
      </c>
      <c r="AF72" s="11">
        <v>0.217</v>
      </c>
      <c r="AG72" s="17">
        <v>24</v>
      </c>
      <c r="AH72" s="11">
        <v>0.8</v>
      </c>
      <c r="AI72" s="12">
        <v>100.7</v>
      </c>
      <c r="AJ72" s="12">
        <v>119.3</v>
      </c>
      <c r="AK72" s="3">
        <v>14</v>
      </c>
      <c r="AL72" s="3">
        <v>5</v>
      </c>
      <c r="AM72" s="4">
        <v>8</v>
      </c>
      <c r="AN72" s="2" t="b">
        <f>'Celtics Game Data'!D71</f>
        <v>1</v>
      </c>
      <c r="AO72" s="3">
        <f>'Celtics Game Data'!E71</f>
        <v>129</v>
      </c>
      <c r="AP72" s="3">
        <f>'Celtics Game Data'!F71</f>
        <v>102</v>
      </c>
      <c r="AQ72" s="3">
        <f t="shared" si="7"/>
        <v>27</v>
      </c>
      <c r="AR72" s="3">
        <f t="shared" si="8"/>
        <v>231</v>
      </c>
      <c r="AS72" s="19">
        <v>224</v>
      </c>
      <c r="AT72" s="9">
        <v>-13.5</v>
      </c>
      <c r="AU72" s="3">
        <f t="shared" si="4"/>
        <v>-110</v>
      </c>
      <c r="AV72" s="3">
        <f t="shared" si="2"/>
        <v>13.5</v>
      </c>
      <c r="AW72" s="4">
        <f t="shared" si="3"/>
        <v>-110</v>
      </c>
    </row>
    <row r="73" spans="1:49" x14ac:dyDescent="0.25">
      <c r="A73" s="5">
        <f>'Celtics Game Data'!A72</f>
        <v>45374</v>
      </c>
      <c r="B73" s="5" t="str">
        <f>'Celtics Game Data'!B72</f>
        <v>Chicago Bulls</v>
      </c>
      <c r="C73" s="5" t="str">
        <f>'Celtics Game Data'!C72</f>
        <v>Away</v>
      </c>
      <c r="D73" s="5" t="b">
        <v>0</v>
      </c>
      <c r="E73" s="10">
        <f>COUNTIF('Celtics Game Data'!$D$2:D71,TRUE)/(COUNTIF('Celtics Game Data'!$D$2:D71, TRUE) + COUNTIF('Celtics Game Data'!$D$2:D71, FALSE))</f>
        <v>0.8</v>
      </c>
      <c r="F73" s="11">
        <f>IFERROR(COUNTIF('Celtics Game Data'!$Q$2:Q71,2)/(COUNTIF('Celtics Game Data'!$Q$2:Q71, 2) + COUNTIF('Celtics Game Data'!$Q$2:Q71, 1)),"")</f>
        <v>0.91428571428571426</v>
      </c>
      <c r="G73" s="11">
        <f>IFERROR(COUNTIF('Celtics Game Data'!$R$2:R71,2)/(COUNTIF('Celtics Game Data'!$R$2:R71, 2) + COUNTIF('Celtics Game Data'!$R$2:R71, 1)),"")</f>
        <v>0.68571428571428572</v>
      </c>
      <c r="H73" s="11">
        <f>COUNTIF('Celtics Game Data'!D67:D71,TRUE)/(COUNTIF('Celtics Game Data'!D67:D71, TRUE) + COUNTIF('Celtics Game Data'!D67:D71, FALSE))</f>
        <v>1</v>
      </c>
      <c r="I73" s="11">
        <f>COUNTIF('Celtics Game Data'!D62:D71,TRUE)/(COUNTIF('Celtics Game Data'!D62:D71, TRUE) + COUNTIF('Celtics Game Data'!D62:D71, FALSE))</f>
        <v>0.8</v>
      </c>
      <c r="J73" s="12">
        <f>AVERAGE('Celtics Game Data'!$E$2:E71)</f>
        <v>121.38571428571429</v>
      </c>
      <c r="K73" s="12">
        <f>AVERAGE('Celtics Game Data'!E67:E71)</f>
        <v>125.4</v>
      </c>
      <c r="L73" s="12">
        <f>AVERAGE('Celtics Game Data'!E62:E71)</f>
        <v>120.1</v>
      </c>
      <c r="M73" s="12">
        <f>AVERAGE('Celtics Game Data'!$M$2:M71)</f>
        <v>123.80571428571433</v>
      </c>
      <c r="N73" s="12">
        <f>AVERAGE('Celtics Game Data'!M62:M71)</f>
        <v>127.85</v>
      </c>
      <c r="O73" s="12">
        <f>AVERAGE('Celtics Game Data'!$N$2:N71)</f>
        <v>112.86428571428571</v>
      </c>
      <c r="P73" s="12">
        <f>AVERAGE('Celtics Game Data'!N62:N71)</f>
        <v>112.97</v>
      </c>
      <c r="Q73" s="12">
        <f>AVERAGE('Celtics Game Data'!G62:G71)</f>
        <v>43.8</v>
      </c>
      <c r="R73" s="11">
        <f>AVERAGE('Celtics Game Data'!H62:H71)</f>
        <v>0.47899999999999993</v>
      </c>
      <c r="S73" s="12">
        <f>AVERAGE('Celtics Game Data'!I62:I71)</f>
        <v>18.100000000000001</v>
      </c>
      <c r="T73" s="11">
        <f>AVERAGE('Celtics Game Data'!J62:J71)</f>
        <v>0.40869999999999995</v>
      </c>
      <c r="U73" s="12">
        <f>AVERAGE('Celtics Game Data'!K62:K71)</f>
        <v>14.4</v>
      </c>
      <c r="V73" s="11">
        <f>AVERAGE('Celtics Game Data'!L62:L71)</f>
        <v>0.78260000000000007</v>
      </c>
      <c r="W73" s="9">
        <v>1</v>
      </c>
      <c r="X73" s="9">
        <v>1</v>
      </c>
      <c r="Y73" s="4">
        <f>'Celtics Game Data'!O72</f>
        <v>9</v>
      </c>
      <c r="Z73" s="10">
        <f>34/70</f>
        <v>0.48571428571428571</v>
      </c>
      <c r="AA73" s="9">
        <v>117</v>
      </c>
      <c r="AB73" s="9" t="b">
        <v>0</v>
      </c>
      <c r="AC73" s="14">
        <v>42</v>
      </c>
      <c r="AD73" s="11">
        <v>0.45200000000000001</v>
      </c>
      <c r="AE73" s="14">
        <v>12</v>
      </c>
      <c r="AF73" s="11">
        <v>0.38700000000000001</v>
      </c>
      <c r="AG73" s="17">
        <v>21</v>
      </c>
      <c r="AH73" s="11">
        <v>0.84</v>
      </c>
      <c r="AI73" s="12">
        <v>116.5</v>
      </c>
      <c r="AJ73" s="12">
        <v>126.5</v>
      </c>
      <c r="AK73" s="9">
        <v>9</v>
      </c>
      <c r="AL73" s="9">
        <v>4</v>
      </c>
      <c r="AM73" s="4">
        <v>4</v>
      </c>
      <c r="AN73" s="2" t="b">
        <f>'Celtics Game Data'!D72</f>
        <v>1</v>
      </c>
      <c r="AO73" s="3">
        <f>'Celtics Game Data'!E72</f>
        <v>124</v>
      </c>
      <c r="AP73" s="3">
        <f>'Celtics Game Data'!F72</f>
        <v>113</v>
      </c>
      <c r="AQ73" s="3">
        <f t="shared" si="7"/>
        <v>11</v>
      </c>
      <c r="AR73" s="3">
        <f t="shared" si="8"/>
        <v>237</v>
      </c>
      <c r="AS73" s="19">
        <v>219</v>
      </c>
      <c r="AT73" s="9">
        <v>-5.5</v>
      </c>
      <c r="AU73" s="3">
        <f t="shared" si="4"/>
        <v>-110</v>
      </c>
      <c r="AV73" s="3">
        <f t="shared" si="2"/>
        <v>5.5</v>
      </c>
      <c r="AW73" s="4">
        <f t="shared" si="3"/>
        <v>-110</v>
      </c>
    </row>
    <row r="74" spans="1:49" x14ac:dyDescent="0.25">
      <c r="A74" s="5">
        <f>'Celtics Game Data'!A73</f>
        <v>45376</v>
      </c>
      <c r="B74" s="5" t="str">
        <f>'Celtics Game Data'!B73</f>
        <v>Atlanta Hawks</v>
      </c>
      <c r="C74" s="5" t="str">
        <f>'Celtics Game Data'!C73</f>
        <v>Away</v>
      </c>
      <c r="D74" s="5" t="b">
        <v>0</v>
      </c>
      <c r="E74" s="10">
        <f>COUNTIF('Celtics Game Data'!$D$2:D72,TRUE)/(COUNTIF('Celtics Game Data'!$D$2:D72, TRUE) + COUNTIF('Celtics Game Data'!$D$2:D72, FALSE))</f>
        <v>0.80281690140845074</v>
      </c>
      <c r="F74" s="11">
        <f>IFERROR(COUNTIF('Celtics Game Data'!$Q$2:Q72,2)/(COUNTIF('Celtics Game Data'!$Q$2:Q72, 2) + COUNTIF('Celtics Game Data'!$Q$2:Q72, 1)),"")</f>
        <v>0.91428571428571426</v>
      </c>
      <c r="G74" s="11">
        <f>IFERROR(COUNTIF('Celtics Game Data'!$R$2:R72,2)/(COUNTIF('Celtics Game Data'!$R$2:R72, 2) + COUNTIF('Celtics Game Data'!$R$2:R72, 1)),"")</f>
        <v>0.69444444444444442</v>
      </c>
      <c r="H74" s="11">
        <f>COUNTIF('Celtics Game Data'!D68:D72,TRUE)/(COUNTIF('Celtics Game Data'!D68:D72, TRUE) + COUNTIF('Celtics Game Data'!D68:D72, FALSE))</f>
        <v>1</v>
      </c>
      <c r="I74" s="11">
        <f>COUNTIF('Celtics Game Data'!D63:D72,TRUE)/(COUNTIF('Celtics Game Data'!D63:D72, TRUE) + COUNTIF('Celtics Game Data'!D63:D72, FALSE))</f>
        <v>0.9</v>
      </c>
      <c r="J74" s="12">
        <f>AVERAGE('Celtics Game Data'!$E$2:E72)</f>
        <v>121.4225352112676</v>
      </c>
      <c r="K74" s="12">
        <f>AVERAGE('Celtics Game Data'!E68:E72)</f>
        <v>124.8</v>
      </c>
      <c r="L74" s="12">
        <f>AVERAGE('Celtics Game Data'!E63:E72)</f>
        <v>122.1</v>
      </c>
      <c r="M74" s="12">
        <f>AVERAGE('Celtics Game Data'!$M$2:M72)</f>
        <v>123.99718309859159</v>
      </c>
      <c r="N74" s="12">
        <f>AVERAGE('Celtics Game Data'!M63:M72)</f>
        <v>130.47</v>
      </c>
      <c r="O74" s="12">
        <f>AVERAGE('Celtics Game Data'!$N$2:N72)</f>
        <v>113.03802816901408</v>
      </c>
      <c r="P74" s="12">
        <f>AVERAGE('Celtics Game Data'!N63:N72)</f>
        <v>114.25999999999999</v>
      </c>
      <c r="Q74" s="12">
        <f>AVERAGE('Celtics Game Data'!G63:G72)</f>
        <v>44.3</v>
      </c>
      <c r="R74" s="11">
        <f>AVERAGE('Celtics Game Data'!H63:H72)</f>
        <v>0.4882999999999999</v>
      </c>
      <c r="S74" s="12">
        <f>AVERAGE('Celtics Game Data'!I63:I72)</f>
        <v>18.7</v>
      </c>
      <c r="T74" s="11">
        <f>AVERAGE('Celtics Game Data'!J63:J72)</f>
        <v>0.41299999999999998</v>
      </c>
      <c r="U74" s="12">
        <f>AVERAGE('Celtics Game Data'!K63:K72)</f>
        <v>14.8</v>
      </c>
      <c r="V74" s="11">
        <f>AVERAGE('Celtics Game Data'!L63:L72)</f>
        <v>0.7790999999999999</v>
      </c>
      <c r="W74" s="9">
        <v>1</v>
      </c>
      <c r="X74" s="9">
        <v>1</v>
      </c>
      <c r="Y74" s="4">
        <f>'Celtics Game Data'!O73</f>
        <v>3</v>
      </c>
      <c r="Z74" s="10">
        <f>31/70</f>
        <v>0.44285714285714284</v>
      </c>
      <c r="AA74" s="9">
        <v>132</v>
      </c>
      <c r="AB74" s="9" t="b">
        <v>1</v>
      </c>
      <c r="AC74" s="14">
        <v>50</v>
      </c>
      <c r="AD74" s="11">
        <v>0.55600000000000005</v>
      </c>
      <c r="AE74" s="14">
        <v>20</v>
      </c>
      <c r="AF74" s="11">
        <v>0.47599999999999998</v>
      </c>
      <c r="AG74" s="17">
        <v>12</v>
      </c>
      <c r="AH74" s="11">
        <v>0.85699999999999998</v>
      </c>
      <c r="AI74" s="12">
        <v>146.1</v>
      </c>
      <c r="AJ74" s="12">
        <v>100.7</v>
      </c>
      <c r="AK74" s="3">
        <v>10</v>
      </c>
      <c r="AL74" s="3">
        <v>3</v>
      </c>
      <c r="AM74" s="4">
        <v>7</v>
      </c>
      <c r="AN74" s="2" t="b">
        <f>'Celtics Game Data'!D73</f>
        <v>0</v>
      </c>
      <c r="AO74" s="3">
        <f>'Celtics Game Data'!E73</f>
        <v>118</v>
      </c>
      <c r="AP74" s="3">
        <f>'Celtics Game Data'!F73</f>
        <v>120</v>
      </c>
      <c r="AQ74" s="3">
        <f t="shared" si="7"/>
        <v>-2</v>
      </c>
      <c r="AR74" s="3">
        <f t="shared" si="8"/>
        <v>238</v>
      </c>
      <c r="AS74" s="19">
        <v>225</v>
      </c>
      <c r="AT74" s="9">
        <v>-10.5</v>
      </c>
      <c r="AU74" s="3">
        <f t="shared" si="4"/>
        <v>-110</v>
      </c>
      <c r="AV74" s="3">
        <f t="shared" si="2"/>
        <v>10.5</v>
      </c>
      <c r="AW74" s="4">
        <f t="shared" si="3"/>
        <v>-110</v>
      </c>
    </row>
    <row r="75" spans="1:49" x14ac:dyDescent="0.25">
      <c r="A75" s="5">
        <f>'Celtics Game Data'!A74</f>
        <v>45379</v>
      </c>
      <c r="B75" s="5" t="str">
        <f>'Celtics Game Data'!B74</f>
        <v>Atlanta Hawks</v>
      </c>
      <c r="C75" s="5" t="str">
        <f>'Celtics Game Data'!C74</f>
        <v>Away</v>
      </c>
      <c r="D75" s="5" t="b">
        <v>0</v>
      </c>
      <c r="E75" s="10">
        <f>COUNTIF('Celtics Game Data'!$D$2:D73,TRUE)/(COUNTIF('Celtics Game Data'!$D$2:D73, TRUE) + COUNTIF('Celtics Game Data'!$D$2:D73, FALSE))</f>
        <v>0.79166666666666663</v>
      </c>
      <c r="F75" s="11">
        <f>IFERROR(COUNTIF('Celtics Game Data'!$Q$2:Q73,2)/(COUNTIF('Celtics Game Data'!$Q$2:Q73, 2) + COUNTIF('Celtics Game Data'!$Q$2:Q73, 1)),"")</f>
        <v>0.91428571428571426</v>
      </c>
      <c r="G75" s="11">
        <f>IFERROR(COUNTIF('Celtics Game Data'!$R$2:R73,2)/(COUNTIF('Celtics Game Data'!$R$2:R73, 2) + COUNTIF('Celtics Game Data'!$R$2:R73, 1)),"")</f>
        <v>0.67567567567567566</v>
      </c>
      <c r="H75" s="11">
        <f>COUNTIF('Celtics Game Data'!D69:D73,TRUE)/(COUNTIF('Celtics Game Data'!D69:D73, TRUE) + COUNTIF('Celtics Game Data'!D69:D73, FALSE))</f>
        <v>0.8</v>
      </c>
      <c r="I75" s="11">
        <f>COUNTIF('Celtics Game Data'!D64:D73,TRUE)/(COUNTIF('Celtics Game Data'!D64:D73, TRUE) + COUNTIF('Celtics Game Data'!D64:D73, FALSE))</f>
        <v>0.9</v>
      </c>
      <c r="J75" s="12">
        <f>AVERAGE('Celtics Game Data'!$E$2:E73)</f>
        <v>121.375</v>
      </c>
      <c r="K75" s="12">
        <f>AVERAGE('Celtics Game Data'!E69:E73)</f>
        <v>122.4</v>
      </c>
      <c r="L75" s="12">
        <f>AVERAGE('Celtics Game Data'!E64:E73)</f>
        <v>123</v>
      </c>
      <c r="M75" s="12">
        <f>AVERAGE('Celtics Game Data'!$M$2:M73)</f>
        <v>124.04305555555558</v>
      </c>
      <c r="N75" s="12">
        <f>AVERAGE('Celtics Game Data'!M64:M73)</f>
        <v>131.76000000000002</v>
      </c>
      <c r="O75" s="12">
        <f>AVERAGE('Celtics Game Data'!$N$2:N73)</f>
        <v>113.26666666666667</v>
      </c>
      <c r="P75" s="12">
        <f>AVERAGE('Celtics Game Data'!N64:N73)</f>
        <v>115.46</v>
      </c>
      <c r="Q75" s="12">
        <f>AVERAGE('Celtics Game Data'!G64:G73)</f>
        <v>44.9</v>
      </c>
      <c r="R75" s="11">
        <f>AVERAGE('Celtics Game Data'!H64:H73)</f>
        <v>0.49270000000000003</v>
      </c>
      <c r="S75" s="12">
        <f>AVERAGE('Celtics Game Data'!I64:I73)</f>
        <v>18.7</v>
      </c>
      <c r="T75" s="11">
        <f>AVERAGE('Celtics Game Data'!J64:J73)</f>
        <v>0.41299999999999998</v>
      </c>
      <c r="U75" s="12">
        <f>AVERAGE('Celtics Game Data'!K64:K73)</f>
        <v>14.5</v>
      </c>
      <c r="V75" s="11">
        <f>AVERAGE('Celtics Game Data'!L64:L73)</f>
        <v>0.78349999999999997</v>
      </c>
      <c r="W75" s="9">
        <v>1</v>
      </c>
      <c r="X75" s="9">
        <v>1</v>
      </c>
      <c r="Y75" s="4">
        <f>'Celtics Game Data'!O74</f>
        <v>0</v>
      </c>
      <c r="Z75" s="10">
        <f>33/(33+39)</f>
        <v>0.45833333333333331</v>
      </c>
      <c r="AA75" s="9">
        <v>120</v>
      </c>
      <c r="AB75" s="9" t="b">
        <v>1</v>
      </c>
      <c r="AC75" s="14">
        <v>44</v>
      </c>
      <c r="AD75" s="11">
        <v>0.51800000000000002</v>
      </c>
      <c r="AE75" s="14">
        <v>16</v>
      </c>
      <c r="AF75" s="11">
        <v>0.39</v>
      </c>
      <c r="AG75" s="17">
        <v>16</v>
      </c>
      <c r="AH75" s="11">
        <v>0.8</v>
      </c>
      <c r="AI75" s="12">
        <v>120.6</v>
      </c>
      <c r="AJ75" s="12">
        <v>106.5</v>
      </c>
      <c r="AK75" s="9">
        <v>10</v>
      </c>
      <c r="AL75" s="3">
        <v>3</v>
      </c>
      <c r="AM75" s="4">
        <v>7</v>
      </c>
      <c r="AN75" s="2" t="b">
        <f>'Celtics Game Data'!D74</f>
        <v>0</v>
      </c>
      <c r="AO75" s="3">
        <f>'Celtics Game Data'!E74</f>
        <v>122</v>
      </c>
      <c r="AP75" s="3">
        <f>'Celtics Game Data'!F74</f>
        <v>123</v>
      </c>
      <c r="AQ75" s="3">
        <f t="shared" si="7"/>
        <v>-1</v>
      </c>
      <c r="AR75" s="3">
        <f t="shared" si="8"/>
        <v>245</v>
      </c>
      <c r="AS75" s="19">
        <v>228.5</v>
      </c>
      <c r="AT75" s="9">
        <v>-15.5</v>
      </c>
      <c r="AU75" s="3">
        <f t="shared" si="4"/>
        <v>-110</v>
      </c>
      <c r="AV75" s="3">
        <f t="shared" si="2"/>
        <v>15.5</v>
      </c>
      <c r="AW75" s="4">
        <f t="shared" si="3"/>
        <v>-110</v>
      </c>
    </row>
    <row r="76" spans="1:49" x14ac:dyDescent="0.25">
      <c r="A76" s="5">
        <f>'Celtics Game Data'!A75</f>
        <v>45381</v>
      </c>
      <c r="B76" s="5" t="str">
        <f>'Celtics Game Data'!B75</f>
        <v>New Orleans Pelicans</v>
      </c>
      <c r="C76" s="5" t="str">
        <f>'Celtics Game Data'!C75</f>
        <v>Away</v>
      </c>
      <c r="D76" s="5" t="b">
        <v>0</v>
      </c>
      <c r="E76" s="10">
        <f>COUNTIF('Celtics Game Data'!$D$2:D74,TRUE)/(COUNTIF('Celtics Game Data'!$D$2:D74, TRUE) + COUNTIF('Celtics Game Data'!$D$2:D74, FALSE))</f>
        <v>0.78082191780821919</v>
      </c>
      <c r="F76" s="11">
        <f>IFERROR(COUNTIF('Celtics Game Data'!$Q$2:Q74,2)/(COUNTIF('Celtics Game Data'!$Q$2:Q74, 2) + COUNTIF('Celtics Game Data'!$Q$2:Q74, 1)),"")</f>
        <v>0.91428571428571426</v>
      </c>
      <c r="G76" s="11">
        <f>IFERROR(COUNTIF('Celtics Game Data'!$R$2:R74,2)/(COUNTIF('Celtics Game Data'!$R$2:R74, 2) + COUNTIF('Celtics Game Data'!$R$2:R74, 1)),"")</f>
        <v>0.65789473684210531</v>
      </c>
      <c r="H76" s="11">
        <f>COUNTIF('Celtics Game Data'!D70:D74,TRUE)/(COUNTIF('Celtics Game Data'!D70:D74, TRUE) + COUNTIF('Celtics Game Data'!D70:D74, FALSE))</f>
        <v>0.6</v>
      </c>
      <c r="I76" s="11">
        <f>COUNTIF('Celtics Game Data'!D65:D74,TRUE)/(COUNTIF('Celtics Game Data'!D65:D74, TRUE) + COUNTIF('Celtics Game Data'!D65:D74, FALSE))</f>
        <v>0.8</v>
      </c>
      <c r="J76" s="12">
        <f>AVERAGE('Celtics Game Data'!$E$2:E74)</f>
        <v>121.38356164383562</v>
      </c>
      <c r="K76" s="12">
        <f>AVERAGE('Celtics Game Data'!E70:E74)</f>
        <v>123</v>
      </c>
      <c r="L76" s="12">
        <f>AVERAGE('Celtics Game Data'!E65:E74)</f>
        <v>123.5</v>
      </c>
      <c r="M76" s="12">
        <f>AVERAGE('Celtics Game Data'!$M$2:M74)</f>
        <v>123.98219178082195</v>
      </c>
      <c r="N76" s="12">
        <f>AVERAGE('Celtics Game Data'!M65:M74)</f>
        <v>131.53</v>
      </c>
      <c r="O76" s="12">
        <f>AVERAGE('Celtics Game Data'!$N$2:N74)</f>
        <v>113.36712328767122</v>
      </c>
      <c r="P76" s="12">
        <f>AVERAGE('Celtics Game Data'!N65:N74)</f>
        <v>116.36999999999998</v>
      </c>
      <c r="Q76" s="12">
        <f>AVERAGE('Celtics Game Data'!G65:G74)</f>
        <v>44.8</v>
      </c>
      <c r="R76" s="11">
        <f>AVERAGE('Celtics Game Data'!H65:H74)</f>
        <v>0.49169999999999997</v>
      </c>
      <c r="S76" s="12">
        <f>AVERAGE('Celtics Game Data'!I65:I74)</f>
        <v>18.600000000000001</v>
      </c>
      <c r="T76" s="11">
        <f>AVERAGE('Celtics Game Data'!J65:J74)</f>
        <v>0.41340000000000005</v>
      </c>
      <c r="U76" s="12">
        <f>AVERAGE('Celtics Game Data'!K65:K74)</f>
        <v>15.3</v>
      </c>
      <c r="V76" s="11">
        <f>AVERAGE('Celtics Game Data'!L65:L74)</f>
        <v>0.7923</v>
      </c>
      <c r="W76" s="9">
        <v>1</v>
      </c>
      <c r="X76" s="9">
        <v>1</v>
      </c>
      <c r="Y76" s="4">
        <f>'Celtics Game Data'!O75</f>
        <v>0</v>
      </c>
      <c r="Z76" s="10">
        <f>45/(45+28)</f>
        <v>0.61643835616438358</v>
      </c>
      <c r="AA76" s="9">
        <v>107</v>
      </c>
      <c r="AB76" s="9" t="b">
        <v>1</v>
      </c>
      <c r="AC76" s="14">
        <v>36</v>
      </c>
      <c r="AD76" s="11">
        <v>0.39600000000000002</v>
      </c>
      <c r="AE76" s="14">
        <v>8</v>
      </c>
      <c r="AF76" s="11">
        <v>0.25</v>
      </c>
      <c r="AG76" s="17">
        <v>27</v>
      </c>
      <c r="AH76" s="11">
        <v>0.79400000000000004</v>
      </c>
      <c r="AI76" s="12">
        <v>109.1</v>
      </c>
      <c r="AJ76" s="12">
        <v>102</v>
      </c>
      <c r="AK76" s="9">
        <v>5</v>
      </c>
      <c r="AL76" s="9">
        <v>1</v>
      </c>
      <c r="AM76" s="4">
        <v>4</v>
      </c>
      <c r="AN76" s="2" t="b">
        <f>'Celtics Game Data'!D75</f>
        <v>1</v>
      </c>
      <c r="AO76" s="3">
        <f>'Celtics Game Data'!E75</f>
        <v>104</v>
      </c>
      <c r="AP76" s="3">
        <f>'Celtics Game Data'!F75</f>
        <v>92</v>
      </c>
      <c r="AQ76" s="3">
        <f t="shared" si="7"/>
        <v>12</v>
      </c>
      <c r="AR76" s="3">
        <f t="shared" si="8"/>
        <v>196</v>
      </c>
      <c r="AS76" s="19">
        <v>223.5</v>
      </c>
      <c r="AT76" s="9">
        <v>-6.5</v>
      </c>
      <c r="AU76" s="3">
        <f t="shared" si="4"/>
        <v>-110</v>
      </c>
      <c r="AV76" s="3">
        <f t="shared" si="2"/>
        <v>6.5</v>
      </c>
      <c r="AW76" s="4">
        <f t="shared" si="3"/>
        <v>-110</v>
      </c>
    </row>
    <row r="77" spans="1:49" x14ac:dyDescent="0.25">
      <c r="A77" s="5">
        <f>'Celtics Game Data'!A76</f>
        <v>45383</v>
      </c>
      <c r="B77" s="5" t="str">
        <f>'Celtics Game Data'!B76</f>
        <v>Charlotte Hornets</v>
      </c>
      <c r="C77" s="5" t="str">
        <f>'Celtics Game Data'!C76</f>
        <v>Away</v>
      </c>
      <c r="D77" s="5" t="b">
        <v>0</v>
      </c>
      <c r="E77" s="10">
        <f>COUNTIF('Celtics Game Data'!$D$2:D75,TRUE)/(COUNTIF('Celtics Game Data'!$D$2:D75, TRUE) + COUNTIF('Celtics Game Data'!$D$2:D75, FALSE))</f>
        <v>0.78378378378378377</v>
      </c>
      <c r="F77" s="11">
        <f>IFERROR(COUNTIF('Celtics Game Data'!$Q$2:Q75,2)/(COUNTIF('Celtics Game Data'!$Q$2:Q75, 2) + COUNTIF('Celtics Game Data'!$Q$2:Q75, 1)),"")</f>
        <v>0.91428571428571426</v>
      </c>
      <c r="G77" s="11">
        <f>IFERROR(COUNTIF('Celtics Game Data'!$R$2:R75,2)/(COUNTIF('Celtics Game Data'!$R$2:R75, 2) + COUNTIF('Celtics Game Data'!$R$2:R75, 1)),"")</f>
        <v>0.66666666666666663</v>
      </c>
      <c r="H77" s="11">
        <f>COUNTIF('Celtics Game Data'!D71:D75,TRUE)/(COUNTIF('Celtics Game Data'!D71:D75, TRUE) + COUNTIF('Celtics Game Data'!D71:D75, FALSE))</f>
        <v>0.6</v>
      </c>
      <c r="I77" s="11">
        <f>COUNTIF('Celtics Game Data'!D66:D75,TRUE)/(COUNTIF('Celtics Game Data'!D66:D75, TRUE) + COUNTIF('Celtics Game Data'!D66:D75, FALSE))</f>
        <v>0.8</v>
      </c>
      <c r="J77" s="12">
        <f>AVERAGE('Celtics Game Data'!$E$2:E75)</f>
        <v>121.14864864864865</v>
      </c>
      <c r="K77" s="12">
        <f>AVERAGE('Celtics Game Data'!E71:E75)</f>
        <v>119.4</v>
      </c>
      <c r="L77" s="12">
        <f>AVERAGE('Celtics Game Data'!E66:E75)</f>
        <v>121.8</v>
      </c>
      <c r="M77" s="12">
        <f>AVERAGE('Celtics Game Data'!$M$2:M75)</f>
        <v>123.85945945945949</v>
      </c>
      <c r="N77" s="12">
        <f>AVERAGE('Celtics Game Data'!M66:M75)</f>
        <v>129.64000000000001</v>
      </c>
      <c r="O77" s="12">
        <f>AVERAGE('Celtics Game Data'!$N$2:N75)</f>
        <v>113.20810810810811</v>
      </c>
      <c r="P77" s="12">
        <f>AVERAGE('Celtics Game Data'!N66:N75)</f>
        <v>115.58</v>
      </c>
      <c r="Q77" s="12">
        <f>AVERAGE('Celtics Game Data'!G66:G75)</f>
        <v>43.8</v>
      </c>
      <c r="R77" s="11">
        <f>AVERAGE('Celtics Game Data'!H66:H75)</f>
        <v>0.49030000000000007</v>
      </c>
      <c r="S77" s="12">
        <f>AVERAGE('Celtics Game Data'!I66:I75)</f>
        <v>18.600000000000001</v>
      </c>
      <c r="T77" s="11">
        <f>AVERAGE('Celtics Game Data'!J66:J75)</f>
        <v>0.41640000000000005</v>
      </c>
      <c r="U77" s="12">
        <f>AVERAGE('Celtics Game Data'!K66:K75)</f>
        <v>15.6</v>
      </c>
      <c r="V77" s="11">
        <f>AVERAGE('Celtics Game Data'!L66:L75)</f>
        <v>0.81730000000000003</v>
      </c>
      <c r="W77" s="9">
        <v>1</v>
      </c>
      <c r="X77" s="9">
        <v>1</v>
      </c>
      <c r="Y77" s="4">
        <f>'Celtics Game Data'!O76</f>
        <v>4</v>
      </c>
      <c r="Z77" s="10">
        <f>18/(18+56)</f>
        <v>0.24324324324324326</v>
      </c>
      <c r="AA77" s="9">
        <v>118</v>
      </c>
      <c r="AB77" s="9" t="b">
        <v>0</v>
      </c>
      <c r="AC77" s="14">
        <v>44</v>
      </c>
      <c r="AD77" s="11">
        <v>0.5</v>
      </c>
      <c r="AE77" s="14">
        <v>23</v>
      </c>
      <c r="AF77" s="11">
        <v>0.442</v>
      </c>
      <c r="AG77" s="17">
        <v>7</v>
      </c>
      <c r="AH77" s="11">
        <v>0.63600000000000001</v>
      </c>
      <c r="AI77" s="12">
        <v>127.8</v>
      </c>
      <c r="AJ77" s="12">
        <v>140.80000000000001</v>
      </c>
      <c r="AK77" s="9">
        <v>13</v>
      </c>
      <c r="AL77" s="3">
        <v>4</v>
      </c>
      <c r="AM77" s="4">
        <v>10</v>
      </c>
      <c r="AN77" s="2" t="b">
        <f>'Celtics Game Data'!D76</f>
        <v>1</v>
      </c>
      <c r="AO77" s="3">
        <f>'Celtics Game Data'!E76</f>
        <v>118</v>
      </c>
      <c r="AP77" s="3">
        <f>'Celtics Game Data'!F76</f>
        <v>104</v>
      </c>
      <c r="AQ77" s="3">
        <f t="shared" si="7"/>
        <v>14</v>
      </c>
      <c r="AR77" s="3">
        <f t="shared" si="8"/>
        <v>222</v>
      </c>
      <c r="AS77" s="19">
        <v>219.5</v>
      </c>
      <c r="AT77" s="9">
        <v>-18.5</v>
      </c>
      <c r="AU77" s="3">
        <f t="shared" si="4"/>
        <v>-110</v>
      </c>
      <c r="AV77" s="3">
        <f t="shared" si="2"/>
        <v>18.5</v>
      </c>
      <c r="AW77" s="4">
        <f t="shared" si="3"/>
        <v>-110</v>
      </c>
    </row>
    <row r="78" spans="1:49" x14ac:dyDescent="0.25">
      <c r="A78" s="5">
        <f>'Celtics Game Data'!A77</f>
        <v>45385</v>
      </c>
      <c r="B78" s="5" t="str">
        <f>'Celtics Game Data'!B77</f>
        <v>Oklahoma City Thunder</v>
      </c>
      <c r="C78" s="5" t="str">
        <f>'Celtics Game Data'!C77</f>
        <v>Home</v>
      </c>
      <c r="D78" s="5" t="b">
        <v>0</v>
      </c>
      <c r="E78" s="10">
        <f>COUNTIF('Celtics Game Data'!$D$2:D76,TRUE)/(COUNTIF('Celtics Game Data'!$D$2:D76, TRUE) + COUNTIF('Celtics Game Data'!$D$2:D76, FALSE))</f>
        <v>0.78666666666666663</v>
      </c>
      <c r="F78" s="11">
        <f>IFERROR(COUNTIF('Celtics Game Data'!$Q$2:Q76,2)/(COUNTIF('Celtics Game Data'!$Q$2:Q76, 2) + COUNTIF('Celtics Game Data'!$Q$2:Q76, 1)),"")</f>
        <v>0.91428571428571426</v>
      </c>
      <c r="G78" s="11">
        <f>IFERROR(COUNTIF('Celtics Game Data'!$R$2:R76,2)/(COUNTIF('Celtics Game Data'!$R$2:R76, 2) + COUNTIF('Celtics Game Data'!$R$2:R76, 1)),"")</f>
        <v>0.67500000000000004</v>
      </c>
      <c r="H78" s="11">
        <f>COUNTIF('Celtics Game Data'!D72:D76,TRUE)/(COUNTIF('Celtics Game Data'!D72:D76, TRUE) + COUNTIF('Celtics Game Data'!D72:D76, FALSE))</f>
        <v>0.6</v>
      </c>
      <c r="I78" s="11">
        <f>COUNTIF('Celtics Game Data'!D67:D76,TRUE)/(COUNTIF('Celtics Game Data'!D67:D76, TRUE) + COUNTIF('Celtics Game Data'!D67:D76, FALSE))</f>
        <v>0.8</v>
      </c>
      <c r="J78" s="12">
        <f>AVERAGE('Celtics Game Data'!$E$2:E76)</f>
        <v>121.10666666666667</v>
      </c>
      <c r="K78" s="12">
        <f>AVERAGE('Celtics Game Data'!E72:E76)</f>
        <v>117.2</v>
      </c>
      <c r="L78" s="12">
        <f>AVERAGE('Celtics Game Data'!E67:E76)</f>
        <v>121.3</v>
      </c>
      <c r="M78" s="12">
        <f>AVERAGE('Celtics Game Data'!$M$2:M76)</f>
        <v>123.90666666666669</v>
      </c>
      <c r="N78" s="12">
        <f>AVERAGE('Celtics Game Data'!M67:M76)</f>
        <v>128.74</v>
      </c>
      <c r="O78" s="12">
        <f>AVERAGE('Celtics Game Data'!$N$2:N76)</f>
        <v>113.19599999999998</v>
      </c>
      <c r="P78" s="12">
        <f>AVERAGE('Celtics Game Data'!N67:N76)</f>
        <v>114.93999999999998</v>
      </c>
      <c r="Q78" s="12">
        <f>AVERAGE('Celtics Game Data'!G67:G76)</f>
        <v>43.8</v>
      </c>
      <c r="R78" s="11">
        <f>AVERAGE('Celtics Game Data'!H67:H76)</f>
        <v>0.49189999999999995</v>
      </c>
      <c r="S78" s="12">
        <f>AVERAGE('Celtics Game Data'!I67:I76)</f>
        <v>18.5</v>
      </c>
      <c r="T78" s="11">
        <f>AVERAGE('Celtics Game Data'!J67:J76)</f>
        <v>0.41139999999999999</v>
      </c>
      <c r="U78" s="12">
        <f>AVERAGE('Celtics Game Data'!K67:K76)</f>
        <v>15.2</v>
      </c>
      <c r="V78" s="11">
        <f>AVERAGE('Celtics Game Data'!L67:L76)</f>
        <v>0.80909999999999993</v>
      </c>
      <c r="W78" s="9">
        <v>1</v>
      </c>
      <c r="X78" s="9">
        <v>1</v>
      </c>
      <c r="Y78" s="4">
        <f>'Celtics Game Data'!O77</f>
        <v>0</v>
      </c>
      <c r="Z78" s="10">
        <f>52/75</f>
        <v>0.69333333333333336</v>
      </c>
      <c r="AA78" s="9">
        <v>105</v>
      </c>
      <c r="AB78" s="9" t="b">
        <v>0</v>
      </c>
      <c r="AC78" s="14">
        <v>37</v>
      </c>
      <c r="AD78" s="11">
        <v>0.42499999999999999</v>
      </c>
      <c r="AE78" s="14">
        <v>13</v>
      </c>
      <c r="AF78" s="11">
        <v>0.33300000000000002</v>
      </c>
      <c r="AG78" s="17">
        <v>18</v>
      </c>
      <c r="AH78" s="11">
        <v>0.81799999999999995</v>
      </c>
      <c r="AI78" s="12">
        <v>110.9</v>
      </c>
      <c r="AJ78" s="12">
        <v>115.1</v>
      </c>
      <c r="AK78" s="9">
        <v>3</v>
      </c>
      <c r="AL78" s="9">
        <v>3</v>
      </c>
      <c r="AM78" s="4">
        <v>9</v>
      </c>
      <c r="AN78" s="2" t="b">
        <f>'Celtics Game Data'!D77</f>
        <v>1</v>
      </c>
      <c r="AO78" s="3">
        <f>'Celtics Game Data'!E77</f>
        <v>135</v>
      </c>
      <c r="AP78" s="3">
        <f>'Celtics Game Data'!F77</f>
        <v>100</v>
      </c>
      <c r="AQ78" s="3">
        <f t="shared" si="7"/>
        <v>35</v>
      </c>
      <c r="AR78" s="3">
        <f t="shared" si="8"/>
        <v>235</v>
      </c>
      <c r="AS78" s="19">
        <v>229</v>
      </c>
      <c r="AT78" s="9">
        <v>-12.5</v>
      </c>
      <c r="AU78" s="3">
        <f t="shared" si="4"/>
        <v>-110</v>
      </c>
      <c r="AV78" s="3">
        <f t="shared" si="2"/>
        <v>12.5</v>
      </c>
      <c r="AW78" s="4">
        <f t="shared" si="3"/>
        <v>-110</v>
      </c>
    </row>
    <row r="79" spans="1:49" x14ac:dyDescent="0.25">
      <c r="A79" s="5">
        <f>'Celtics Game Data'!A78</f>
        <v>45387</v>
      </c>
      <c r="B79" s="5" t="str">
        <f>'Celtics Game Data'!B78</f>
        <v>Sacramento Kings</v>
      </c>
      <c r="C79" s="5" t="str">
        <f>'Celtics Game Data'!C78</f>
        <v>Home</v>
      </c>
      <c r="D79" s="5" t="b">
        <v>0</v>
      </c>
      <c r="E79" s="10">
        <f>COUNTIF('Celtics Game Data'!$D$2:D77,TRUE)/(COUNTIF('Celtics Game Data'!$D$2:D77, TRUE) + COUNTIF('Celtics Game Data'!$D$2:D77, FALSE))</f>
        <v>0.78947368421052633</v>
      </c>
      <c r="F79" s="11">
        <f>IFERROR(COUNTIF('Celtics Game Data'!$Q$2:Q77,2)/(COUNTIF('Celtics Game Data'!$Q$2:Q77, 2) + COUNTIF('Celtics Game Data'!$Q$2:Q77, 1)),"")</f>
        <v>0.91666666666666663</v>
      </c>
      <c r="G79" s="11">
        <f>IFERROR(COUNTIF('Celtics Game Data'!$R$2:R77,2)/(COUNTIF('Celtics Game Data'!$R$2:R77, 2) + COUNTIF('Celtics Game Data'!$R$2:R77, 1)),"")</f>
        <v>0.67500000000000004</v>
      </c>
      <c r="H79" s="11">
        <f>COUNTIF('Celtics Game Data'!D73:D77,TRUE)/(COUNTIF('Celtics Game Data'!D73:D77, TRUE) + COUNTIF('Celtics Game Data'!D73:D77, FALSE))</f>
        <v>0.6</v>
      </c>
      <c r="I79" s="11">
        <f>COUNTIF('Celtics Game Data'!D68:D77,TRUE)/(COUNTIF('Celtics Game Data'!D68:D77, TRUE) + COUNTIF('Celtics Game Data'!D68:D77, FALSE))</f>
        <v>0.8</v>
      </c>
      <c r="J79" s="12">
        <f>AVERAGE('Celtics Game Data'!$E$2:E77)</f>
        <v>121.28947368421052</v>
      </c>
      <c r="K79" s="12">
        <f>AVERAGE('Celtics Game Data'!E73:E77)</f>
        <v>119.4</v>
      </c>
      <c r="L79" s="12">
        <f>AVERAGE('Celtics Game Data'!E68:E77)</f>
        <v>122.1</v>
      </c>
      <c r="M79" s="12">
        <f>AVERAGE('Celtics Game Data'!$M$2:M77)</f>
        <v>124.09605263157896</v>
      </c>
      <c r="N79" s="12">
        <f>AVERAGE('Celtics Game Data'!M68:M77)</f>
        <v>129.01000000000002</v>
      </c>
      <c r="O79" s="12">
        <f>AVERAGE('Celtics Game Data'!$N$2:N77)</f>
        <v>113.05394736842103</v>
      </c>
      <c r="P79" s="12">
        <f>AVERAGE('Celtics Game Data'!N68:N77)</f>
        <v>113.22000000000003</v>
      </c>
      <c r="Q79" s="12">
        <f>AVERAGE('Celtics Game Data'!G68:G77)</f>
        <v>44.1</v>
      </c>
      <c r="R79" s="11">
        <f>AVERAGE('Celtics Game Data'!H68:H77)</f>
        <v>0.49340000000000001</v>
      </c>
      <c r="S79" s="12">
        <f>AVERAGE('Celtics Game Data'!I68:I77)</f>
        <v>17.7</v>
      </c>
      <c r="T79" s="11">
        <f>AVERAGE('Celtics Game Data'!J68:J77)</f>
        <v>0.40390000000000004</v>
      </c>
      <c r="U79" s="12">
        <f>AVERAGE('Celtics Game Data'!K68:K77)</f>
        <v>16.2</v>
      </c>
      <c r="V79" s="11">
        <f>AVERAGE('Celtics Game Data'!L68:L77)</f>
        <v>0.83109999999999984</v>
      </c>
      <c r="W79" s="9">
        <v>1</v>
      </c>
      <c r="X79" s="9">
        <v>1</v>
      </c>
      <c r="Y79" s="4">
        <f>'Celtics Game Data'!O78</f>
        <v>3</v>
      </c>
      <c r="Z79" s="10">
        <f>44/76</f>
        <v>0.57894736842105265</v>
      </c>
      <c r="AA79" s="9">
        <v>109</v>
      </c>
      <c r="AB79" s="9" t="b">
        <v>0</v>
      </c>
      <c r="AC79" s="14">
        <v>42</v>
      </c>
      <c r="AD79" s="11">
        <v>0.48799999999999999</v>
      </c>
      <c r="AE79" s="14">
        <v>15</v>
      </c>
      <c r="AF79" s="11">
        <v>0.42899999999999999</v>
      </c>
      <c r="AG79" s="17">
        <v>7</v>
      </c>
      <c r="AH79" s="11">
        <v>0.58299999999999996</v>
      </c>
      <c r="AI79" s="12">
        <v>115.6</v>
      </c>
      <c r="AJ79" s="12">
        <v>127.2</v>
      </c>
      <c r="AK79" s="9">
        <v>8</v>
      </c>
      <c r="AL79" s="9">
        <v>3</v>
      </c>
      <c r="AM79" s="4">
        <v>3</v>
      </c>
      <c r="AN79" s="2" t="b">
        <f>'Celtics Game Data'!D78</f>
        <v>1</v>
      </c>
      <c r="AO79" s="3">
        <f>'Celtics Game Data'!E78</f>
        <v>101</v>
      </c>
      <c r="AP79" s="3">
        <f>'Celtics Game Data'!F78</f>
        <v>100</v>
      </c>
      <c r="AQ79" s="3">
        <f t="shared" si="7"/>
        <v>1</v>
      </c>
      <c r="AR79" s="3">
        <f t="shared" si="8"/>
        <v>201</v>
      </c>
      <c r="AS79" s="19">
        <v>226</v>
      </c>
      <c r="AT79" s="9">
        <v>-8.5</v>
      </c>
      <c r="AU79" s="3">
        <f t="shared" si="4"/>
        <v>-110</v>
      </c>
      <c r="AV79" s="3">
        <f t="shared" si="2"/>
        <v>8.5</v>
      </c>
      <c r="AW79" s="4">
        <f t="shared" si="3"/>
        <v>-110</v>
      </c>
    </row>
    <row r="80" spans="1:49" x14ac:dyDescent="0.25">
      <c r="A80" s="5">
        <f>'Celtics Game Data'!A79</f>
        <v>45389</v>
      </c>
      <c r="B80" s="5" t="str">
        <f>'Celtics Game Data'!B79</f>
        <v>Portland Trail Blazers</v>
      </c>
      <c r="C80" s="5" t="str">
        <f>'Celtics Game Data'!C79</f>
        <v>Home</v>
      </c>
      <c r="D80" s="5" t="b">
        <v>0</v>
      </c>
      <c r="E80" s="10">
        <f>COUNTIF('Celtics Game Data'!$D$2:D78,TRUE)/(COUNTIF('Celtics Game Data'!$D$2:D78, TRUE) + COUNTIF('Celtics Game Data'!$D$2:D78, FALSE))</f>
        <v>0.79220779220779225</v>
      </c>
      <c r="F80" s="11">
        <f>IFERROR(COUNTIF('Celtics Game Data'!$Q$2:Q78,2)/(COUNTIF('Celtics Game Data'!$Q$2:Q78, 2) + COUNTIF('Celtics Game Data'!$Q$2:Q78, 1)),"")</f>
        <v>0.91891891891891897</v>
      </c>
      <c r="G80" s="11">
        <f>IFERROR(COUNTIF('Celtics Game Data'!$R$2:R78,2)/(COUNTIF('Celtics Game Data'!$R$2:R78, 2) + COUNTIF('Celtics Game Data'!$R$2:R78, 1)),"")</f>
        <v>0.67500000000000004</v>
      </c>
      <c r="H80" s="11">
        <f>COUNTIF('Celtics Game Data'!D74:D78,TRUE)/(COUNTIF('Celtics Game Data'!D74:D78, TRUE) + COUNTIF('Celtics Game Data'!D74:D78, FALSE))</f>
        <v>0.8</v>
      </c>
      <c r="I80" s="11">
        <f>COUNTIF('Celtics Game Data'!D69:D78,TRUE)/(COUNTIF('Celtics Game Data'!D69:D78, TRUE) + COUNTIF('Celtics Game Data'!D69:D78, FALSE))</f>
        <v>0.8</v>
      </c>
      <c r="J80" s="12">
        <f>AVERAGE('Celtics Game Data'!$E$2:E78)</f>
        <v>121.02597402597402</v>
      </c>
      <c r="K80" s="12">
        <f>AVERAGE('Celtics Game Data'!E74:E78)</f>
        <v>116</v>
      </c>
      <c r="L80" s="12">
        <f>AVERAGE('Celtics Game Data'!E69:E78)</f>
        <v>119.2</v>
      </c>
      <c r="M80" s="12">
        <f>AVERAGE('Celtics Game Data'!$M$2:M78)</f>
        <v>123.91428571428574</v>
      </c>
      <c r="N80" s="12">
        <f>AVERAGE('Celtics Game Data'!M69:M78)</f>
        <v>126.69999999999997</v>
      </c>
      <c r="O80" s="12">
        <f>AVERAGE('Celtics Game Data'!$N$2:N78)</f>
        <v>113.00129870129868</v>
      </c>
      <c r="P80" s="12">
        <f>AVERAGE('Celtics Game Data'!N69:N78)</f>
        <v>113.47</v>
      </c>
      <c r="Q80" s="12">
        <f>AVERAGE('Celtics Game Data'!G69:G78)</f>
        <v>43.6</v>
      </c>
      <c r="R80" s="11">
        <f>AVERAGE('Celtics Game Data'!H69:H78)</f>
        <v>0.48670000000000002</v>
      </c>
      <c r="S80" s="12">
        <f>AVERAGE('Celtics Game Data'!I69:I78)</f>
        <v>16.5</v>
      </c>
      <c r="T80" s="11">
        <f>AVERAGE('Celtics Game Data'!J69:J78)</f>
        <v>0.38319999999999999</v>
      </c>
      <c r="U80" s="12">
        <f>AVERAGE('Celtics Game Data'!K69:K78)</f>
        <v>15.5</v>
      </c>
      <c r="V80" s="11">
        <f>AVERAGE('Celtics Game Data'!L69:L78)</f>
        <v>0.82</v>
      </c>
      <c r="W80" s="9">
        <v>1</v>
      </c>
      <c r="X80" s="9">
        <v>1</v>
      </c>
      <c r="Y80" s="4">
        <f>'Celtics Game Data'!O79</f>
        <v>5</v>
      </c>
      <c r="Z80" s="10">
        <f>21/77</f>
        <v>0.27272727272727271</v>
      </c>
      <c r="AA80" s="9">
        <v>108</v>
      </c>
      <c r="AB80" s="9" t="b">
        <v>1</v>
      </c>
      <c r="AC80" s="14">
        <v>41</v>
      </c>
      <c r="AD80" s="11">
        <v>0.436</v>
      </c>
      <c r="AE80" s="14">
        <v>9</v>
      </c>
      <c r="AF80" s="11">
        <v>0.31</v>
      </c>
      <c r="AG80" s="17">
        <v>17</v>
      </c>
      <c r="AH80" s="11">
        <v>0.70799999999999996</v>
      </c>
      <c r="AI80" s="12">
        <v>111.6</v>
      </c>
      <c r="AJ80" s="12">
        <v>105.4</v>
      </c>
      <c r="AK80" s="9">
        <v>14</v>
      </c>
      <c r="AL80" s="9">
        <v>5</v>
      </c>
      <c r="AM80" s="4">
        <v>10</v>
      </c>
      <c r="AN80" s="2" t="b">
        <f>'Celtics Game Data'!D79</f>
        <v>1</v>
      </c>
      <c r="AO80" s="3">
        <f>'Celtics Game Data'!E79</f>
        <v>124</v>
      </c>
      <c r="AP80" s="3">
        <f>'Celtics Game Data'!F79</f>
        <v>107</v>
      </c>
      <c r="AQ80" s="3">
        <f t="shared" si="7"/>
        <v>17</v>
      </c>
      <c r="AR80" s="3">
        <f t="shared" si="8"/>
        <v>231</v>
      </c>
      <c r="AS80" s="19">
        <v>216.5</v>
      </c>
      <c r="AT80" s="9">
        <v>-16.5</v>
      </c>
      <c r="AU80" s="3">
        <f t="shared" si="4"/>
        <v>-110</v>
      </c>
      <c r="AV80" s="3">
        <f t="shared" si="2"/>
        <v>16.5</v>
      </c>
      <c r="AW80" s="4">
        <f t="shared" si="3"/>
        <v>-110</v>
      </c>
    </row>
    <row r="81" spans="1:49" x14ac:dyDescent="0.25">
      <c r="A81" s="5">
        <f>'Celtics Game Data'!A80</f>
        <v>45391</v>
      </c>
      <c r="B81" s="5" t="str">
        <f>'Celtics Game Data'!B80</f>
        <v>Milwaukee Bucks</v>
      </c>
      <c r="C81" s="5" t="str">
        <f>'Celtics Game Data'!C80</f>
        <v>Away</v>
      </c>
      <c r="D81" s="5" t="b">
        <v>0</v>
      </c>
      <c r="E81" s="10">
        <f>COUNTIF('Celtics Game Data'!$D$2:D79,TRUE)/(COUNTIF('Celtics Game Data'!$D$2:D79, TRUE) + COUNTIF('Celtics Game Data'!$D$2:D79, FALSE))</f>
        <v>0.79487179487179482</v>
      </c>
      <c r="F81" s="11">
        <f>IFERROR(COUNTIF('Celtics Game Data'!$Q$2:Q79,2)/(COUNTIF('Celtics Game Data'!$Q$2:Q79, 2) + COUNTIF('Celtics Game Data'!$Q$2:Q79, 1)),"")</f>
        <v>0.92105263157894735</v>
      </c>
      <c r="G81" s="11">
        <f>IFERROR(COUNTIF('Celtics Game Data'!$R$2:R79,2)/(COUNTIF('Celtics Game Data'!$R$2:R79, 2) + COUNTIF('Celtics Game Data'!$R$2:R79, 1)),"")</f>
        <v>0.67500000000000004</v>
      </c>
      <c r="H81" s="11">
        <f>COUNTIF('Celtics Game Data'!D75:D79,TRUE)/(COUNTIF('Celtics Game Data'!D75:D79, TRUE) + COUNTIF('Celtics Game Data'!D75:D79, FALSE))</f>
        <v>1</v>
      </c>
      <c r="I81" s="11">
        <f>COUNTIF('Celtics Game Data'!D70:D79,TRUE)/(COUNTIF('Celtics Game Data'!D70:D79, TRUE) + COUNTIF('Celtics Game Data'!D70:D79, FALSE))</f>
        <v>0.8</v>
      </c>
      <c r="J81" s="12">
        <f>AVERAGE('Celtics Game Data'!$E$2:E79)</f>
        <v>121.06410256410257</v>
      </c>
      <c r="K81" s="12">
        <f>AVERAGE('Celtics Game Data'!E75:E79)</f>
        <v>116.4</v>
      </c>
      <c r="L81" s="12">
        <f>AVERAGE('Celtics Game Data'!E70:E79)</f>
        <v>119.7</v>
      </c>
      <c r="M81" s="12">
        <f>AVERAGE('Celtics Game Data'!$M$2:M79)</f>
        <v>123.96282051282054</v>
      </c>
      <c r="N81" s="12">
        <f>AVERAGE('Celtics Game Data'!M70:M79)</f>
        <v>126.64999999999998</v>
      </c>
      <c r="O81" s="12">
        <f>AVERAGE('Celtics Game Data'!$N$2:N79)</f>
        <v>112.96538461538461</v>
      </c>
      <c r="P81" s="12">
        <f>AVERAGE('Celtics Game Data'!N70:N79)</f>
        <v>114.36000000000001</v>
      </c>
      <c r="Q81" s="12">
        <f>AVERAGE('Celtics Game Data'!G70:G79)</f>
        <v>44.2</v>
      </c>
      <c r="R81" s="11">
        <f>AVERAGE('Celtics Game Data'!H70:H79)</f>
        <v>0.49770000000000003</v>
      </c>
      <c r="S81" s="12">
        <f>AVERAGE('Celtics Game Data'!I70:I79)</f>
        <v>15.9</v>
      </c>
      <c r="T81" s="11">
        <f>AVERAGE('Celtics Game Data'!J70:J79)</f>
        <v>0.38039999999999996</v>
      </c>
      <c r="U81" s="12">
        <f>AVERAGE('Celtics Game Data'!K70:K79)</f>
        <v>15.4</v>
      </c>
      <c r="V81" s="11">
        <f>AVERAGE('Celtics Game Data'!L70:L79)</f>
        <v>0.81229999999999991</v>
      </c>
      <c r="W81" s="9">
        <v>1</v>
      </c>
      <c r="X81" s="9">
        <v>1</v>
      </c>
      <c r="Y81" s="4">
        <f>'Celtics Game Data'!O80</f>
        <v>3</v>
      </c>
      <c r="Z81" s="10">
        <f>47/(47+31)</f>
        <v>0.60256410256410253</v>
      </c>
      <c r="AA81" s="9">
        <v>109</v>
      </c>
      <c r="AB81" s="9" t="b">
        <v>0</v>
      </c>
      <c r="AC81" s="14">
        <v>35</v>
      </c>
      <c r="AD81" s="11">
        <v>0.46700000000000003</v>
      </c>
      <c r="AE81" s="14">
        <v>12</v>
      </c>
      <c r="AF81" s="11">
        <v>0.35299999999999998</v>
      </c>
      <c r="AG81" s="17">
        <v>27</v>
      </c>
      <c r="AH81" s="11">
        <v>0.84399999999999997</v>
      </c>
      <c r="AI81" s="12">
        <v>120</v>
      </c>
      <c r="AJ81" s="12">
        <v>134.30000000000001</v>
      </c>
      <c r="AK81" s="9">
        <v>2</v>
      </c>
      <c r="AL81" s="9">
        <v>1</v>
      </c>
      <c r="AM81" s="4">
        <v>0</v>
      </c>
      <c r="AN81" s="2" t="b">
        <f>'Celtics Game Data'!D80</f>
        <v>0</v>
      </c>
      <c r="AO81" s="3">
        <f>'Celtics Game Data'!E80</f>
        <v>91</v>
      </c>
      <c r="AP81" s="3">
        <f>'Celtics Game Data'!F80</f>
        <v>104</v>
      </c>
      <c r="AQ81" s="3">
        <f t="shared" si="7"/>
        <v>-13</v>
      </c>
      <c r="AR81" s="3">
        <f t="shared" si="8"/>
        <v>195</v>
      </c>
      <c r="AS81" s="19">
        <v>231</v>
      </c>
      <c r="AT81" s="9">
        <v>3.5</v>
      </c>
      <c r="AU81" s="3">
        <f t="shared" si="4"/>
        <v>-110</v>
      </c>
      <c r="AV81" s="3">
        <f t="shared" si="2"/>
        <v>-3.5</v>
      </c>
      <c r="AW81" s="4">
        <f t="shared" si="3"/>
        <v>-110</v>
      </c>
    </row>
    <row r="82" spans="1:49" x14ac:dyDescent="0.25">
      <c r="A82" s="5">
        <f>'Celtics Game Data'!A81</f>
        <v>45393</v>
      </c>
      <c r="B82" s="5" t="str">
        <f>'Celtics Game Data'!B81</f>
        <v>New York Knicks</v>
      </c>
      <c r="C82" s="5" t="str">
        <f>'Celtics Game Data'!C81</f>
        <v>Home</v>
      </c>
      <c r="D82" s="5" t="b">
        <v>0</v>
      </c>
      <c r="E82" s="10">
        <f>COUNTIF('Celtics Game Data'!$D$2:D80,TRUE)/(COUNTIF('Celtics Game Data'!$D$2:D80, TRUE) + COUNTIF('Celtics Game Data'!$D$2:D80, FALSE))</f>
        <v>0.78481012658227844</v>
      </c>
      <c r="F82" s="11">
        <f>IFERROR(COUNTIF('Celtics Game Data'!$Q$2:Q80,2)/(COUNTIF('Celtics Game Data'!$Q$2:Q80, 2) + COUNTIF('Celtics Game Data'!$Q$2:Q80, 1)),"")</f>
        <v>0.92105263157894735</v>
      </c>
      <c r="G82" s="11">
        <f>IFERROR(COUNTIF('Celtics Game Data'!$R$2:R80,2)/(COUNTIF('Celtics Game Data'!$R$2:R80, 2) + COUNTIF('Celtics Game Data'!$R$2:R80, 1)),"")</f>
        <v>0.65853658536585369</v>
      </c>
      <c r="H82" s="11">
        <f>COUNTIF('Celtics Game Data'!D76:D80,TRUE)/(COUNTIF('Celtics Game Data'!D76:D80, TRUE) + COUNTIF('Celtics Game Data'!D76:D80, FALSE))</f>
        <v>0.8</v>
      </c>
      <c r="I82" s="11">
        <f>COUNTIF('Celtics Game Data'!D71:D80,TRUE)/(COUNTIF('Celtics Game Data'!D71:D80, TRUE) + COUNTIF('Celtics Game Data'!D71:D80, FALSE))</f>
        <v>0.7</v>
      </c>
      <c r="J82" s="12">
        <f>AVERAGE('Celtics Game Data'!$E$2:E80)</f>
        <v>120.68354430379746</v>
      </c>
      <c r="K82" s="12">
        <f>AVERAGE('Celtics Game Data'!E76:E80)</f>
        <v>113.8</v>
      </c>
      <c r="L82" s="12">
        <f>AVERAGE('Celtics Game Data'!E71:E80)</f>
        <v>116.6</v>
      </c>
      <c r="M82" s="12">
        <f>AVERAGE('Celtics Game Data'!$M$2:M80)</f>
        <v>123.69240506329118</v>
      </c>
      <c r="N82" s="12">
        <f>AVERAGE('Celtics Game Data'!M71:M80)</f>
        <v>123.79999999999998</v>
      </c>
      <c r="O82" s="12">
        <f>AVERAGE('Celtics Game Data'!$N$2:N80)</f>
        <v>113.01898734177215</v>
      </c>
      <c r="P82" s="12">
        <f>AVERAGE('Celtics Game Data'!N71:N80)</f>
        <v>113.29</v>
      </c>
      <c r="Q82" s="12">
        <f>AVERAGE('Celtics Game Data'!G71:G80)</f>
        <v>43.9</v>
      </c>
      <c r="R82" s="11">
        <f>AVERAGE('Celtics Game Data'!H71:H80)</f>
        <v>0.4904</v>
      </c>
      <c r="S82" s="12">
        <f>AVERAGE('Celtics Game Data'!I71:I80)</f>
        <v>15.8</v>
      </c>
      <c r="T82" s="11">
        <f>AVERAGE('Celtics Game Data'!J71:J80)</f>
        <v>0.36809999999999998</v>
      </c>
      <c r="U82" s="12">
        <f>AVERAGE('Celtics Game Data'!K71:K80)</f>
        <v>13</v>
      </c>
      <c r="V82" s="11">
        <f>AVERAGE('Celtics Game Data'!L71:L80)</f>
        <v>0.81055555555555558</v>
      </c>
      <c r="W82" s="9">
        <v>1</v>
      </c>
      <c r="X82" s="9">
        <v>1</v>
      </c>
      <c r="Y82" s="4">
        <f>'Celtics Game Data'!O81</f>
        <v>0</v>
      </c>
      <c r="Z82" s="10">
        <f>47/(47+32)</f>
        <v>0.59493670886075944</v>
      </c>
      <c r="AA82" s="9">
        <v>128</v>
      </c>
      <c r="AB82" s="9" t="b">
        <v>1</v>
      </c>
      <c r="AC82" s="14">
        <v>46</v>
      </c>
      <c r="AD82" s="11">
        <v>0.55400000000000005</v>
      </c>
      <c r="AE82" s="14">
        <v>17</v>
      </c>
      <c r="AF82" s="11">
        <v>0.47199999999999998</v>
      </c>
      <c r="AG82" s="17">
        <v>19</v>
      </c>
      <c r="AH82" s="11">
        <v>0.95</v>
      </c>
      <c r="AI82" s="12">
        <v>139</v>
      </c>
      <c r="AJ82" s="12">
        <v>127.1</v>
      </c>
      <c r="AK82" s="9">
        <v>3</v>
      </c>
      <c r="AL82" s="9">
        <v>2</v>
      </c>
      <c r="AM82" s="4">
        <v>4</v>
      </c>
      <c r="AN82" s="2" t="b">
        <f>'Celtics Game Data'!D81</f>
        <v>0</v>
      </c>
      <c r="AO82" s="3">
        <f>'Celtics Game Data'!E81</f>
        <v>109</v>
      </c>
      <c r="AP82" s="3">
        <f>'Celtics Game Data'!F81</f>
        <v>118</v>
      </c>
      <c r="AQ82" s="3">
        <f t="shared" si="7"/>
        <v>-9</v>
      </c>
      <c r="AR82" s="3">
        <f t="shared" si="8"/>
        <v>227</v>
      </c>
      <c r="AS82" s="19">
        <v>221.5</v>
      </c>
      <c r="AT82" s="9">
        <v>-3.5</v>
      </c>
      <c r="AU82" s="3">
        <f t="shared" si="4"/>
        <v>-110</v>
      </c>
      <c r="AV82" s="3">
        <f t="shared" si="2"/>
        <v>3.5</v>
      </c>
      <c r="AW82" s="4">
        <f t="shared" si="3"/>
        <v>-110</v>
      </c>
    </row>
    <row r="83" spans="1:49" x14ac:dyDescent="0.25">
      <c r="A83" s="5">
        <f>'Celtics Game Data'!A82</f>
        <v>45394</v>
      </c>
      <c r="B83" s="5" t="str">
        <f>'Celtics Game Data'!B82</f>
        <v>Charlotte Hornets</v>
      </c>
      <c r="C83" s="5" t="str">
        <f>'Celtics Game Data'!C82</f>
        <v>Home</v>
      </c>
      <c r="D83" s="5" t="b">
        <v>0</v>
      </c>
      <c r="E83" s="10">
        <f>COUNTIF('Celtics Game Data'!$D$2:D81,TRUE)/(COUNTIF('Celtics Game Data'!$D$2:D81, TRUE) + COUNTIF('Celtics Game Data'!$D$2:D81, FALSE))</f>
        <v>0.77500000000000002</v>
      </c>
      <c r="F83" s="11">
        <f>IFERROR(COUNTIF('Celtics Game Data'!$Q$2:Q81,2)/(COUNTIF('Celtics Game Data'!$Q$2:Q81, 2) + COUNTIF('Celtics Game Data'!$Q$2:Q81, 1)),"")</f>
        <v>0.89743589743589747</v>
      </c>
      <c r="G83" s="11">
        <f>IFERROR(COUNTIF('Celtics Game Data'!$R$2:R81,2)/(COUNTIF('Celtics Game Data'!$R$2:R81, 2) + COUNTIF('Celtics Game Data'!$R$2:R81, 1)),"")</f>
        <v>0.65853658536585369</v>
      </c>
      <c r="H83" s="11">
        <f>COUNTIF('Celtics Game Data'!D77:D81,TRUE)/(COUNTIF('Celtics Game Data'!D77:D81, TRUE) + COUNTIF('Celtics Game Data'!D77:D81, FALSE))</f>
        <v>0.6</v>
      </c>
      <c r="I83" s="11">
        <f>COUNTIF('Celtics Game Data'!D72:D81,TRUE)/(COUNTIF('Celtics Game Data'!D72:D81, TRUE) + COUNTIF('Celtics Game Data'!D72:D81, FALSE))</f>
        <v>0.6</v>
      </c>
      <c r="J83" s="12">
        <f>AVERAGE('Celtics Game Data'!$E$2:E81)</f>
        <v>120.53749999999999</v>
      </c>
      <c r="K83" s="12">
        <f>AVERAGE('Celtics Game Data'!E77:E81)</f>
        <v>112</v>
      </c>
      <c r="L83" s="12">
        <f>AVERAGE('Celtics Game Data'!E72:E81)</f>
        <v>114.6</v>
      </c>
      <c r="M83" s="12">
        <f>AVERAGE('Celtics Game Data'!$M$2:M81)</f>
        <v>123.60125000000002</v>
      </c>
      <c r="N83" s="12">
        <f>AVERAGE('Celtics Game Data'!M72:M81)</f>
        <v>122.17</v>
      </c>
      <c r="O83" s="12">
        <f>AVERAGE('Celtics Game Data'!$N$2:N81)</f>
        <v>113.18125000000001</v>
      </c>
      <c r="P83" s="12">
        <f>AVERAGE('Celtics Game Data'!N72:N81)</f>
        <v>115.4</v>
      </c>
      <c r="Q83" s="12">
        <f>AVERAGE('Celtics Game Data'!G72:G81)</f>
        <v>43.2</v>
      </c>
      <c r="R83" s="11">
        <f>AVERAGE('Celtics Game Data'!H72:H81)</f>
        <v>0.48410000000000003</v>
      </c>
      <c r="S83" s="12">
        <f>AVERAGE('Celtics Game Data'!I72:I81)</f>
        <v>15.8</v>
      </c>
      <c r="T83" s="11">
        <f>AVERAGE('Celtics Game Data'!J72:J81)</f>
        <v>0.37059999999999993</v>
      </c>
      <c r="U83" s="12">
        <f>AVERAGE('Celtics Game Data'!K72:K81)</f>
        <v>12.4</v>
      </c>
      <c r="V83" s="11">
        <f>AVERAGE('Celtics Game Data'!L72:L81)</f>
        <v>0.82266666666666655</v>
      </c>
      <c r="W83" s="9">
        <v>1</v>
      </c>
      <c r="X83" s="9">
        <v>1</v>
      </c>
      <c r="Y83" s="4">
        <f>'Celtics Game Data'!O82</f>
        <v>15</v>
      </c>
      <c r="Z83" s="10">
        <f>20/80</f>
        <v>0.25</v>
      </c>
      <c r="AA83" s="9">
        <v>115</v>
      </c>
      <c r="AB83" s="9" t="b">
        <v>1</v>
      </c>
      <c r="AC83" s="14">
        <v>40</v>
      </c>
      <c r="AD83" s="11">
        <v>0.50600000000000001</v>
      </c>
      <c r="AE83" s="14">
        <v>14</v>
      </c>
      <c r="AF83" s="11">
        <v>0.38900000000000001</v>
      </c>
      <c r="AG83" s="17">
        <v>21</v>
      </c>
      <c r="AH83" s="11">
        <v>0.95499999999999996</v>
      </c>
      <c r="AI83" s="12">
        <v>120.4</v>
      </c>
      <c r="AJ83" s="12">
        <v>119.3</v>
      </c>
      <c r="AK83" s="9">
        <v>13</v>
      </c>
      <c r="AL83" s="3">
        <v>4</v>
      </c>
      <c r="AM83" s="4">
        <v>10</v>
      </c>
      <c r="AN83" s="2" t="b">
        <f>'Celtics Game Data'!D82</f>
        <v>1</v>
      </c>
      <c r="AO83" s="3">
        <f>'Celtics Game Data'!E82</f>
        <v>131</v>
      </c>
      <c r="AP83" s="3">
        <f>'Celtics Game Data'!F82</f>
        <v>98</v>
      </c>
      <c r="AQ83" s="3">
        <f t="shared" si="7"/>
        <v>33</v>
      </c>
      <c r="AR83" s="3">
        <f t="shared" si="8"/>
        <v>229</v>
      </c>
      <c r="AS83" s="19">
        <v>217.5</v>
      </c>
      <c r="AT83" s="9">
        <v>-7.5</v>
      </c>
      <c r="AU83" s="3">
        <f t="shared" si="4"/>
        <v>-110</v>
      </c>
      <c r="AV83" s="3">
        <f t="shared" si="2"/>
        <v>7.5</v>
      </c>
      <c r="AW83" s="4">
        <f t="shared" si="3"/>
        <v>-110</v>
      </c>
    </row>
    <row r="84" spans="1:49" x14ac:dyDescent="0.25">
      <c r="A84" s="5">
        <f>'Celtics Game Data'!A83</f>
        <v>45396</v>
      </c>
      <c r="B84" s="5" t="str">
        <f>'Celtics Game Data'!B83</f>
        <v>Washington Wizards</v>
      </c>
      <c r="C84" s="5" t="str">
        <f>'Celtics Game Data'!C83</f>
        <v>Home</v>
      </c>
      <c r="D84" s="5" t="b">
        <v>0</v>
      </c>
      <c r="E84" s="10">
        <f>COUNTIF('Celtics Game Data'!$D$2:D82,TRUE)/(COUNTIF('Celtics Game Data'!$D$2:D82, TRUE) + COUNTIF('Celtics Game Data'!$D$2:D82, FALSE))</f>
        <v>0.77777777777777779</v>
      </c>
      <c r="F84" s="11">
        <f>IFERROR(COUNTIF('Celtics Game Data'!$Q$2:Q82,2)/(COUNTIF('Celtics Game Data'!$Q$2:Q82, 2) + COUNTIF('Celtics Game Data'!$Q$2:Q82, 1)),"")</f>
        <v>0.9</v>
      </c>
      <c r="G84" s="11">
        <f>IFERROR(COUNTIF('Celtics Game Data'!$R$2:R82,2)/(COUNTIF('Celtics Game Data'!$R$2:R82, 2) + COUNTIF('Celtics Game Data'!$R$2:R82, 1)),"")</f>
        <v>0.65853658536585369</v>
      </c>
      <c r="H84" s="11">
        <f>COUNTIF('Celtics Game Data'!D78:D82,TRUE)/(COUNTIF('Celtics Game Data'!D78:D82, TRUE) + COUNTIF('Celtics Game Data'!D78:D82, FALSE))</f>
        <v>0.6</v>
      </c>
      <c r="I84" s="11">
        <f>COUNTIF('Celtics Game Data'!D73:D82,TRUE)/(COUNTIF('Celtics Game Data'!D73:D82, TRUE) + COUNTIF('Celtics Game Data'!D73:D82, FALSE))</f>
        <v>0.6</v>
      </c>
      <c r="J84" s="12">
        <f>AVERAGE('Celtics Game Data'!$E$2:E82)</f>
        <v>120.66666666666667</v>
      </c>
      <c r="K84" s="12">
        <f>AVERAGE('Celtics Game Data'!E78:E82)</f>
        <v>111.2</v>
      </c>
      <c r="L84" s="12">
        <f>AVERAGE('Celtics Game Data'!E73:E82)</f>
        <v>115.3</v>
      </c>
      <c r="M84" s="12">
        <f>AVERAGE('Celtics Game Data'!$M$2:M82)</f>
        <v>123.73086419753089</v>
      </c>
      <c r="N84" s="12">
        <f>AVERAGE('Celtics Game Data'!M73:M82)</f>
        <v>121.84</v>
      </c>
      <c r="O84" s="12">
        <f>AVERAGE('Celtics Game Data'!$N$2:N82)</f>
        <v>113.02222222222221</v>
      </c>
      <c r="P84" s="12">
        <f>AVERAGE('Celtics Game Data'!N73:N82)</f>
        <v>112.91000000000001</v>
      </c>
      <c r="Q84" s="12">
        <f>AVERAGE('Celtics Game Data'!G73:G82)</f>
        <v>44.2</v>
      </c>
      <c r="R84" s="11">
        <f>AVERAGE('Celtics Game Data'!H73:H82)</f>
        <v>0.48480000000000006</v>
      </c>
      <c r="S84" s="12">
        <f>AVERAGE('Celtics Game Data'!I73:I82)</f>
        <v>15.1</v>
      </c>
      <c r="T84" s="11">
        <f>AVERAGE('Celtics Game Data'!J73:J82)</f>
        <v>0.3609</v>
      </c>
      <c r="U84" s="12">
        <f>AVERAGE('Celtics Game Data'!K73:K82)</f>
        <v>11.8</v>
      </c>
      <c r="V84" s="11">
        <f>AVERAGE('Celtics Game Data'!L73:L82)</f>
        <v>0.80155555555555547</v>
      </c>
      <c r="W84" s="9">
        <v>1</v>
      </c>
      <c r="X84" s="9">
        <v>1</v>
      </c>
      <c r="Y84" s="4">
        <f>'Celtics Game Data'!O83</f>
        <v>15</v>
      </c>
      <c r="Z84" s="10">
        <f>15/81</f>
        <v>0.18518518518518517</v>
      </c>
      <c r="AA84" s="9">
        <v>127</v>
      </c>
      <c r="AB84" s="9" t="b">
        <v>0</v>
      </c>
      <c r="AC84" s="14">
        <v>45</v>
      </c>
      <c r="AD84" s="11">
        <v>0.52300000000000002</v>
      </c>
      <c r="AE84" s="14">
        <v>18</v>
      </c>
      <c r="AF84" s="11">
        <v>0.41899999999999998</v>
      </c>
      <c r="AG84" s="17">
        <v>19</v>
      </c>
      <c r="AH84" s="11">
        <v>0.65500000000000003</v>
      </c>
      <c r="AI84" s="12">
        <v>120.8</v>
      </c>
      <c r="AJ84" s="12">
        <v>122.7</v>
      </c>
      <c r="AK84" s="9">
        <v>14</v>
      </c>
      <c r="AL84" s="9">
        <v>5</v>
      </c>
      <c r="AM84" s="4">
        <v>10</v>
      </c>
      <c r="AN84" s="2" t="b">
        <f>'Celtics Game Data'!D83</f>
        <v>1</v>
      </c>
      <c r="AO84" s="3">
        <f>'Celtics Game Data'!E83</f>
        <v>132</v>
      </c>
      <c r="AP84" s="3">
        <f>'Celtics Game Data'!F83</f>
        <v>122</v>
      </c>
      <c r="AQ84" s="3">
        <f t="shared" si="7"/>
        <v>10</v>
      </c>
      <c r="AR84" s="3">
        <f t="shared" si="8"/>
        <v>254</v>
      </c>
      <c r="AS84" s="19">
        <v>229</v>
      </c>
      <c r="AT84" s="9">
        <v>-10.5</v>
      </c>
      <c r="AU84" s="3">
        <f t="shared" si="4"/>
        <v>-110</v>
      </c>
      <c r="AV84" s="3">
        <f t="shared" si="2"/>
        <v>10.5</v>
      </c>
      <c r="AW84" s="4">
        <f t="shared" si="3"/>
        <v>-110</v>
      </c>
    </row>
    <row r="85" spans="1:49" x14ac:dyDescent="0.25">
      <c r="A85" s="5"/>
      <c r="AG85" s="17"/>
    </row>
    <row r="86" spans="1:49" x14ac:dyDescent="0.25">
      <c r="A86" s="5"/>
      <c r="AG86" s="17"/>
    </row>
    <row r="87" spans="1:49" x14ac:dyDescent="0.25">
      <c r="A87" s="5"/>
      <c r="AG87" s="17"/>
    </row>
    <row r="88" spans="1:49" x14ac:dyDescent="0.25">
      <c r="A88" s="5"/>
    </row>
    <row r="89" spans="1:49" x14ac:dyDescent="0.25">
      <c r="A89" s="5"/>
    </row>
    <row r="90" spans="1:49" x14ac:dyDescent="0.25">
      <c r="A90" s="5"/>
    </row>
    <row r="91" spans="1:49" x14ac:dyDescent="0.25">
      <c r="A91" s="5"/>
    </row>
    <row r="92" spans="1:49" x14ac:dyDescent="0.25">
      <c r="A92" s="5"/>
    </row>
    <row r="93" spans="1:49" x14ac:dyDescent="0.25">
      <c r="A93" s="5"/>
    </row>
    <row r="94" spans="1:49" x14ac:dyDescent="0.25">
      <c r="A94" s="5"/>
    </row>
    <row r="95" spans="1:49" x14ac:dyDescent="0.25">
      <c r="A95" s="5"/>
    </row>
    <row r="96" spans="1:49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</sheetData>
  <sortState ref="A3:AY248">
    <sortCondition ref="A2"/>
  </sortState>
  <mergeCells count="5">
    <mergeCell ref="E1:Y1"/>
    <mergeCell ref="Z1:AM1"/>
    <mergeCell ref="A1:D1"/>
    <mergeCell ref="AN1:AR1"/>
    <mergeCell ref="AS1:AW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workbookViewId="0">
      <pane ySplit="1" topLeftCell="A32" activePane="bottomLeft" state="frozen"/>
      <selection pane="bottomLeft" activeCell="B45" sqref="B45"/>
    </sheetView>
  </sheetViews>
  <sheetFormatPr defaultRowHeight="15" x14ac:dyDescent="0.25"/>
  <cols>
    <col min="1" max="1" width="10.7109375" bestFit="1" customWidth="1"/>
    <col min="2" max="2" width="10" bestFit="1" customWidth="1"/>
    <col min="3" max="3" width="12.140625" bestFit="1" customWidth="1"/>
    <col min="5" max="5" width="12.140625" bestFit="1" customWidth="1"/>
    <col min="8" max="8" width="9.140625" style="6"/>
    <col min="10" max="10" width="9.140625" style="6"/>
    <col min="12" max="12" width="9.140625" style="6"/>
    <col min="14" max="14" width="9.140625" style="7"/>
    <col min="15" max="15" width="26.85546875" bestFit="1" customWidth="1"/>
    <col min="17" max="17" width="15.28515625" bestFit="1" customWidth="1"/>
    <col min="18" max="18" width="14.85546875" bestFit="1" customWidth="1"/>
  </cols>
  <sheetData>
    <row r="1" spans="1:18" x14ac:dyDescent="0.25">
      <c r="A1" t="s">
        <v>0</v>
      </c>
      <c r="B1" t="s">
        <v>1</v>
      </c>
      <c r="C1" t="s">
        <v>4</v>
      </c>
      <c r="D1" t="s">
        <v>25</v>
      </c>
      <c r="E1" t="s">
        <v>43</v>
      </c>
      <c r="F1" t="s">
        <v>44</v>
      </c>
      <c r="G1" t="s">
        <v>39</v>
      </c>
      <c r="H1" s="6" t="s">
        <v>40</v>
      </c>
      <c r="I1" t="s">
        <v>37</v>
      </c>
      <c r="J1" s="6" t="s">
        <v>38</v>
      </c>
      <c r="K1" t="s">
        <v>41</v>
      </c>
      <c r="L1" s="6" t="s">
        <v>42</v>
      </c>
      <c r="M1" t="s">
        <v>45</v>
      </c>
      <c r="N1" s="7" t="s">
        <v>46</v>
      </c>
      <c r="O1" t="s">
        <v>47</v>
      </c>
      <c r="Q1" t="s">
        <v>78</v>
      </c>
      <c r="R1" t="s">
        <v>79</v>
      </c>
    </row>
    <row r="2" spans="1:18" x14ac:dyDescent="0.25">
      <c r="A2" s="1">
        <v>45224</v>
      </c>
      <c r="B2" t="s">
        <v>2</v>
      </c>
      <c r="C2" t="s">
        <v>3</v>
      </c>
      <c r="D2" t="b">
        <v>1</v>
      </c>
      <c r="E2">
        <v>108</v>
      </c>
      <c r="F2">
        <v>104</v>
      </c>
      <c r="G2">
        <v>37</v>
      </c>
      <c r="H2" s="6">
        <v>0.48099999999999998</v>
      </c>
      <c r="I2">
        <v>12</v>
      </c>
      <c r="J2" s="6">
        <v>0.308</v>
      </c>
      <c r="K2">
        <v>26</v>
      </c>
      <c r="L2" s="6">
        <v>0.84599999999999997</v>
      </c>
      <c r="M2">
        <v>114.4</v>
      </c>
      <c r="N2" s="8">
        <v>110.1</v>
      </c>
      <c r="O2">
        <v>0</v>
      </c>
      <c r="Q2">
        <f>IF(C2="Home",IF(D2=TRUE,2,1),0)</f>
        <v>0</v>
      </c>
      <c r="R2">
        <f>IF(C2="Away",IF(D2=TRUE,2,1),0)</f>
        <v>2</v>
      </c>
    </row>
    <row r="3" spans="1:18" x14ac:dyDescent="0.25">
      <c r="A3" s="1">
        <v>45226</v>
      </c>
      <c r="B3" t="s">
        <v>49</v>
      </c>
      <c r="C3" t="s">
        <v>50</v>
      </c>
      <c r="D3" t="b">
        <v>1</v>
      </c>
      <c r="E3">
        <v>119</v>
      </c>
      <c r="F3">
        <v>111</v>
      </c>
      <c r="G3">
        <v>45</v>
      </c>
      <c r="H3" s="6">
        <v>0.47399999999999998</v>
      </c>
      <c r="I3">
        <v>16</v>
      </c>
      <c r="J3" s="6">
        <v>0.41</v>
      </c>
      <c r="K3">
        <v>13</v>
      </c>
      <c r="L3" s="6">
        <v>0.68400000000000005</v>
      </c>
      <c r="M3">
        <v>119.8</v>
      </c>
      <c r="N3" s="8">
        <v>111.7</v>
      </c>
      <c r="O3">
        <v>0</v>
      </c>
      <c r="Q3">
        <f t="shared" ref="Q3:Q66" si="0">IF(C3="Home",IF(D3=TRUE,2,1),0)</f>
        <v>2</v>
      </c>
      <c r="R3">
        <f t="shared" ref="R3:R66" si="1">IF(C3="Away",IF(D3=TRUE,2,1),0)</f>
        <v>0</v>
      </c>
    </row>
    <row r="4" spans="1:18" x14ac:dyDescent="0.25">
      <c r="A4" s="1">
        <v>45229</v>
      </c>
      <c r="B4" t="s">
        <v>51</v>
      </c>
      <c r="C4" t="s">
        <v>3</v>
      </c>
      <c r="D4" t="b">
        <v>1</v>
      </c>
      <c r="E4">
        <v>126</v>
      </c>
      <c r="F4">
        <v>107</v>
      </c>
      <c r="G4">
        <v>51</v>
      </c>
      <c r="H4" s="6">
        <v>0.5</v>
      </c>
      <c r="I4">
        <v>19</v>
      </c>
      <c r="J4" s="6">
        <v>0.35799999999999998</v>
      </c>
      <c r="K4">
        <v>5</v>
      </c>
      <c r="L4" s="6">
        <v>0.71399999999999997</v>
      </c>
      <c r="M4">
        <v>123.8</v>
      </c>
      <c r="N4" s="7">
        <v>105.1</v>
      </c>
      <c r="O4">
        <v>0</v>
      </c>
      <c r="Q4">
        <f t="shared" si="0"/>
        <v>0</v>
      </c>
      <c r="R4">
        <f t="shared" si="1"/>
        <v>2</v>
      </c>
    </row>
    <row r="5" spans="1:18" x14ac:dyDescent="0.25">
      <c r="A5" s="1">
        <v>45231</v>
      </c>
      <c r="B5" t="s">
        <v>52</v>
      </c>
      <c r="C5" t="s">
        <v>50</v>
      </c>
      <c r="D5" t="b">
        <v>1</v>
      </c>
      <c r="E5">
        <v>155</v>
      </c>
      <c r="F5">
        <v>104</v>
      </c>
      <c r="G5">
        <v>54</v>
      </c>
      <c r="H5" s="6">
        <v>0.56799999999999995</v>
      </c>
      <c r="I5">
        <v>20</v>
      </c>
      <c r="J5" s="6">
        <v>0.57099999999999995</v>
      </c>
      <c r="K5">
        <v>27</v>
      </c>
      <c r="L5" s="6">
        <v>0.96399999999999997</v>
      </c>
      <c r="M5">
        <v>148.30000000000001</v>
      </c>
      <c r="N5" s="7">
        <v>99.5</v>
      </c>
      <c r="O5">
        <v>0</v>
      </c>
      <c r="Q5">
        <f t="shared" si="0"/>
        <v>2</v>
      </c>
      <c r="R5">
        <f t="shared" si="1"/>
        <v>0</v>
      </c>
    </row>
    <row r="6" spans="1:18" x14ac:dyDescent="0.25">
      <c r="A6" s="1">
        <v>45234</v>
      </c>
      <c r="B6" t="s">
        <v>53</v>
      </c>
      <c r="C6" t="s">
        <v>3</v>
      </c>
      <c r="D6" t="b">
        <v>1</v>
      </c>
      <c r="E6">
        <v>124</v>
      </c>
      <c r="F6">
        <v>114</v>
      </c>
      <c r="G6">
        <v>43</v>
      </c>
      <c r="H6" s="6">
        <v>0.47799999999999998</v>
      </c>
      <c r="I6">
        <v>15</v>
      </c>
      <c r="J6" s="6">
        <v>0.33300000000000002</v>
      </c>
      <c r="K6">
        <v>23</v>
      </c>
      <c r="L6" s="6">
        <v>0.85199999999999998</v>
      </c>
      <c r="M6">
        <v>124.4</v>
      </c>
      <c r="N6" s="7">
        <v>114.3</v>
      </c>
      <c r="O6">
        <v>2</v>
      </c>
      <c r="Q6">
        <f t="shared" si="0"/>
        <v>0</v>
      </c>
      <c r="R6">
        <f t="shared" si="1"/>
        <v>2</v>
      </c>
    </row>
    <row r="7" spans="1:18" x14ac:dyDescent="0.25">
      <c r="A7" s="1">
        <v>45235</v>
      </c>
      <c r="B7" t="s">
        <v>54</v>
      </c>
      <c r="C7" t="s">
        <v>3</v>
      </c>
      <c r="D7" t="b">
        <v>0</v>
      </c>
      <c r="E7">
        <v>109</v>
      </c>
      <c r="F7">
        <v>114</v>
      </c>
      <c r="G7">
        <v>36</v>
      </c>
      <c r="H7" s="6">
        <v>0.39100000000000001</v>
      </c>
      <c r="I7">
        <v>11</v>
      </c>
      <c r="J7" s="6">
        <v>0.28199999999999997</v>
      </c>
      <c r="K7">
        <v>26</v>
      </c>
      <c r="L7" s="6">
        <v>0.76500000000000001</v>
      </c>
      <c r="M7">
        <v>99.2</v>
      </c>
      <c r="N7" s="7">
        <v>103.7</v>
      </c>
      <c r="O7">
        <v>2</v>
      </c>
      <c r="Q7">
        <f t="shared" si="0"/>
        <v>0</v>
      </c>
      <c r="R7">
        <f t="shared" si="1"/>
        <v>1</v>
      </c>
    </row>
    <row r="8" spans="1:18" x14ac:dyDescent="0.25">
      <c r="A8" s="1">
        <v>45238</v>
      </c>
      <c r="B8" t="s">
        <v>55</v>
      </c>
      <c r="C8" t="s">
        <v>3</v>
      </c>
      <c r="D8" t="b">
        <v>0</v>
      </c>
      <c r="E8">
        <v>103</v>
      </c>
      <c r="F8">
        <v>106</v>
      </c>
      <c r="G8">
        <v>36</v>
      </c>
      <c r="H8" s="6">
        <v>0.39600000000000002</v>
      </c>
      <c r="I8">
        <v>15</v>
      </c>
      <c r="J8" s="6">
        <v>0.31900000000000001</v>
      </c>
      <c r="K8">
        <v>16</v>
      </c>
      <c r="L8" s="6">
        <v>0.84199999999999997</v>
      </c>
      <c r="M8">
        <v>103.6</v>
      </c>
      <c r="N8" s="7">
        <v>106.6</v>
      </c>
      <c r="O8">
        <v>0</v>
      </c>
      <c r="Q8">
        <f t="shared" si="0"/>
        <v>0</v>
      </c>
      <c r="R8">
        <f t="shared" si="1"/>
        <v>1</v>
      </c>
    </row>
    <row r="9" spans="1:18" x14ac:dyDescent="0.25">
      <c r="A9" s="1">
        <v>45240</v>
      </c>
      <c r="B9" t="s">
        <v>53</v>
      </c>
      <c r="C9" t="s">
        <v>50</v>
      </c>
      <c r="D9" t="b">
        <v>1</v>
      </c>
      <c r="E9">
        <v>121</v>
      </c>
      <c r="F9">
        <v>107</v>
      </c>
      <c r="G9">
        <v>41</v>
      </c>
      <c r="H9" s="6">
        <v>0.436</v>
      </c>
      <c r="I9">
        <v>19</v>
      </c>
      <c r="J9" s="6">
        <v>0.36499999999999999</v>
      </c>
      <c r="K9">
        <v>20</v>
      </c>
      <c r="L9" s="6">
        <v>0.71399999999999997</v>
      </c>
      <c r="M9">
        <v>129.9</v>
      </c>
      <c r="N9" s="7">
        <v>114.9</v>
      </c>
      <c r="O9">
        <v>0</v>
      </c>
      <c r="Q9">
        <f t="shared" si="0"/>
        <v>2</v>
      </c>
      <c r="R9">
        <f t="shared" si="1"/>
        <v>0</v>
      </c>
    </row>
    <row r="10" spans="1:18" x14ac:dyDescent="0.25">
      <c r="A10" s="1">
        <v>45241</v>
      </c>
      <c r="B10" t="s">
        <v>56</v>
      </c>
      <c r="C10" t="s">
        <v>50</v>
      </c>
      <c r="D10" t="b">
        <v>1</v>
      </c>
      <c r="E10">
        <v>117</v>
      </c>
      <c r="F10">
        <v>94</v>
      </c>
      <c r="G10">
        <v>47</v>
      </c>
      <c r="H10" s="6">
        <v>0.54700000000000004</v>
      </c>
      <c r="I10">
        <v>15</v>
      </c>
      <c r="J10" s="6">
        <v>0.34100000000000003</v>
      </c>
      <c r="K10">
        <v>8</v>
      </c>
      <c r="L10" s="6">
        <v>0.61499999999999999</v>
      </c>
      <c r="M10">
        <v>120.7</v>
      </c>
      <c r="N10" s="7">
        <v>91</v>
      </c>
      <c r="O10">
        <v>0</v>
      </c>
      <c r="Q10">
        <f t="shared" si="0"/>
        <v>2</v>
      </c>
      <c r="R10">
        <f t="shared" si="1"/>
        <v>0</v>
      </c>
    </row>
    <row r="11" spans="1:18" x14ac:dyDescent="0.25">
      <c r="A11" s="1">
        <v>45243</v>
      </c>
      <c r="B11" t="s">
        <v>2</v>
      </c>
      <c r="C11" t="s">
        <v>50</v>
      </c>
      <c r="D11" t="b">
        <v>1</v>
      </c>
      <c r="E11">
        <v>114</v>
      </c>
      <c r="F11">
        <v>98</v>
      </c>
      <c r="G11">
        <v>40</v>
      </c>
      <c r="H11" s="6">
        <v>0.50600000000000001</v>
      </c>
      <c r="I11">
        <v>19</v>
      </c>
      <c r="J11" s="6">
        <v>0.442</v>
      </c>
      <c r="K11">
        <v>15</v>
      </c>
      <c r="L11" s="6">
        <v>0.93799999999999994</v>
      </c>
      <c r="M11">
        <v>135.30000000000001</v>
      </c>
      <c r="N11" s="7">
        <v>116.3</v>
      </c>
      <c r="O11">
        <v>0</v>
      </c>
      <c r="Q11">
        <f t="shared" si="0"/>
        <v>2</v>
      </c>
      <c r="R11">
        <f t="shared" si="1"/>
        <v>0</v>
      </c>
    </row>
    <row r="12" spans="1:18" x14ac:dyDescent="0.25">
      <c r="A12" s="1">
        <v>45245</v>
      </c>
      <c r="B12" t="s">
        <v>55</v>
      </c>
      <c r="C12" t="s">
        <v>3</v>
      </c>
      <c r="D12" t="b">
        <v>1</v>
      </c>
      <c r="E12">
        <v>117</v>
      </c>
      <c r="F12">
        <v>107</v>
      </c>
      <c r="G12">
        <v>42</v>
      </c>
      <c r="H12" s="6">
        <v>0.47699999999999998</v>
      </c>
      <c r="I12">
        <v>18</v>
      </c>
      <c r="J12" s="6">
        <v>0.36</v>
      </c>
      <c r="K12">
        <v>15</v>
      </c>
      <c r="L12" s="6">
        <v>0.78900000000000003</v>
      </c>
      <c r="M12">
        <v>128.4</v>
      </c>
      <c r="N12" s="7">
        <v>117.4</v>
      </c>
      <c r="O12">
        <v>7</v>
      </c>
      <c r="Q12">
        <f t="shared" si="0"/>
        <v>0</v>
      </c>
      <c r="R12">
        <f t="shared" si="1"/>
        <v>2</v>
      </c>
    </row>
    <row r="13" spans="1:18" x14ac:dyDescent="0.25">
      <c r="A13" s="1">
        <v>45247</v>
      </c>
      <c r="B13" t="s">
        <v>56</v>
      </c>
      <c r="C13" t="s">
        <v>3</v>
      </c>
      <c r="D13" t="b">
        <v>1</v>
      </c>
      <c r="E13">
        <v>108</v>
      </c>
      <c r="F13">
        <v>105</v>
      </c>
      <c r="G13">
        <v>42</v>
      </c>
      <c r="H13" s="6">
        <v>0.45700000000000002</v>
      </c>
      <c r="I13">
        <v>16</v>
      </c>
      <c r="J13" s="6">
        <v>0.34799999999999998</v>
      </c>
      <c r="K13">
        <v>8</v>
      </c>
      <c r="L13" s="6">
        <v>0.88900000000000001</v>
      </c>
      <c r="M13">
        <v>110.4</v>
      </c>
      <c r="N13" s="7">
        <v>107.4</v>
      </c>
      <c r="O13">
        <v>0</v>
      </c>
      <c r="Q13">
        <f t="shared" si="0"/>
        <v>0</v>
      </c>
      <c r="R13">
        <f t="shared" si="1"/>
        <v>2</v>
      </c>
    </row>
    <row r="14" spans="1:18" x14ac:dyDescent="0.25">
      <c r="A14" s="1">
        <v>45249</v>
      </c>
      <c r="B14" t="s">
        <v>57</v>
      </c>
      <c r="C14" t="s">
        <v>3</v>
      </c>
      <c r="D14" t="b">
        <v>1</v>
      </c>
      <c r="E14">
        <v>102</v>
      </c>
      <c r="F14">
        <v>100</v>
      </c>
      <c r="G14">
        <v>35</v>
      </c>
      <c r="H14" s="6">
        <v>0.45500000000000002</v>
      </c>
      <c r="I14">
        <v>12</v>
      </c>
      <c r="J14" s="6">
        <v>0.38700000000000001</v>
      </c>
      <c r="K14">
        <v>20</v>
      </c>
      <c r="L14" s="6">
        <v>0.8</v>
      </c>
      <c r="M14">
        <v>111.1</v>
      </c>
      <c r="N14" s="7">
        <v>108.9</v>
      </c>
      <c r="O14">
        <v>0</v>
      </c>
      <c r="Q14">
        <f t="shared" si="0"/>
        <v>0</v>
      </c>
      <c r="R14">
        <f t="shared" si="1"/>
        <v>2</v>
      </c>
    </row>
    <row r="15" spans="1:18" x14ac:dyDescent="0.25">
      <c r="A15" s="1">
        <v>45250</v>
      </c>
      <c r="B15" t="s">
        <v>58</v>
      </c>
      <c r="C15" t="s">
        <v>3</v>
      </c>
      <c r="D15" t="b">
        <v>0</v>
      </c>
      <c r="E15">
        <v>118</v>
      </c>
      <c r="F15">
        <v>121</v>
      </c>
      <c r="G15">
        <v>42</v>
      </c>
      <c r="H15" s="6">
        <v>0.433</v>
      </c>
      <c r="I15">
        <v>16</v>
      </c>
      <c r="J15" s="6">
        <v>0.32</v>
      </c>
      <c r="K15">
        <v>18</v>
      </c>
      <c r="L15" s="6">
        <v>0.64300000000000002</v>
      </c>
      <c r="M15">
        <v>110.9</v>
      </c>
      <c r="N15" s="7">
        <v>113.7</v>
      </c>
      <c r="O15">
        <v>2</v>
      </c>
      <c r="Q15">
        <f t="shared" si="0"/>
        <v>0</v>
      </c>
      <c r="R15">
        <f t="shared" si="1"/>
        <v>1</v>
      </c>
    </row>
    <row r="16" spans="1:18" x14ac:dyDescent="0.25">
      <c r="A16" s="1">
        <v>45252</v>
      </c>
      <c r="B16" t="s">
        <v>59</v>
      </c>
      <c r="C16" t="s">
        <v>50</v>
      </c>
      <c r="D16" t="b">
        <v>1</v>
      </c>
      <c r="E16">
        <v>119</v>
      </c>
      <c r="F16">
        <v>116</v>
      </c>
      <c r="G16">
        <v>44</v>
      </c>
      <c r="H16" s="6">
        <v>0.52400000000000002</v>
      </c>
      <c r="I16">
        <v>17</v>
      </c>
      <c r="J16" s="6">
        <v>0.40500000000000003</v>
      </c>
      <c r="K16">
        <v>14</v>
      </c>
      <c r="L16" s="6">
        <v>0.82399999999999995</v>
      </c>
      <c r="M16">
        <v>117.2</v>
      </c>
      <c r="N16" s="7">
        <v>114.2</v>
      </c>
      <c r="O16">
        <v>0</v>
      </c>
      <c r="Q16">
        <f t="shared" si="0"/>
        <v>2</v>
      </c>
      <c r="R16">
        <f t="shared" si="1"/>
        <v>0</v>
      </c>
    </row>
    <row r="17" spans="1:18" x14ac:dyDescent="0.25">
      <c r="A17" s="1">
        <v>45254</v>
      </c>
      <c r="B17" t="s">
        <v>60</v>
      </c>
      <c r="C17" t="s">
        <v>3</v>
      </c>
      <c r="D17" t="b">
        <v>0</v>
      </c>
      <c r="E17">
        <v>96</v>
      </c>
      <c r="F17">
        <v>113</v>
      </c>
      <c r="G17">
        <v>31</v>
      </c>
      <c r="H17" s="6">
        <v>0.40799999999999997</v>
      </c>
      <c r="I17">
        <v>7</v>
      </c>
      <c r="J17" s="6">
        <v>0.24099999999999999</v>
      </c>
      <c r="K17">
        <v>27</v>
      </c>
      <c r="L17" s="6">
        <v>0.73</v>
      </c>
      <c r="M17">
        <v>97.4</v>
      </c>
      <c r="N17" s="7">
        <v>114.7</v>
      </c>
      <c r="O17">
        <v>1</v>
      </c>
      <c r="Q17">
        <f t="shared" si="0"/>
        <v>0</v>
      </c>
      <c r="R17">
        <f t="shared" si="1"/>
        <v>1</v>
      </c>
    </row>
    <row r="18" spans="1:18" x14ac:dyDescent="0.25">
      <c r="A18" s="1">
        <v>45256</v>
      </c>
      <c r="B18" t="s">
        <v>61</v>
      </c>
      <c r="C18" t="s">
        <v>50</v>
      </c>
      <c r="D18" t="b">
        <v>1</v>
      </c>
      <c r="E18">
        <v>113</v>
      </c>
      <c r="F18">
        <v>103</v>
      </c>
      <c r="G18">
        <v>42</v>
      </c>
      <c r="H18" s="6">
        <v>0.442</v>
      </c>
      <c r="I18">
        <v>13</v>
      </c>
      <c r="J18" s="6">
        <v>0.27700000000000002</v>
      </c>
      <c r="K18">
        <v>16</v>
      </c>
      <c r="L18" s="6">
        <v>0.8</v>
      </c>
      <c r="M18">
        <v>117</v>
      </c>
      <c r="N18" s="7">
        <v>106.6</v>
      </c>
      <c r="O18">
        <v>4</v>
      </c>
      <c r="Q18">
        <f t="shared" si="0"/>
        <v>2</v>
      </c>
      <c r="R18">
        <f t="shared" si="1"/>
        <v>0</v>
      </c>
    </row>
    <row r="19" spans="1:18" x14ac:dyDescent="0.25">
      <c r="A19" s="1">
        <v>45258</v>
      </c>
      <c r="B19" t="s">
        <v>62</v>
      </c>
      <c r="C19" t="s">
        <v>50</v>
      </c>
      <c r="D19" t="b">
        <v>1</v>
      </c>
      <c r="E19">
        <v>124</v>
      </c>
      <c r="F19">
        <v>97</v>
      </c>
      <c r="G19">
        <v>47</v>
      </c>
      <c r="H19" s="6">
        <v>0.52200000000000002</v>
      </c>
      <c r="I19">
        <v>21</v>
      </c>
      <c r="J19" s="6">
        <v>0.42899999999999999</v>
      </c>
      <c r="K19">
        <v>9</v>
      </c>
      <c r="L19" s="6">
        <v>0.75</v>
      </c>
      <c r="M19">
        <v>128.4</v>
      </c>
      <c r="N19" s="7">
        <v>100.4</v>
      </c>
      <c r="O19">
        <v>3</v>
      </c>
      <c r="Q19">
        <f t="shared" si="0"/>
        <v>2</v>
      </c>
      <c r="R19">
        <f t="shared" si="1"/>
        <v>0</v>
      </c>
    </row>
    <row r="20" spans="1:18" x14ac:dyDescent="0.25">
      <c r="A20" s="1">
        <v>45261</v>
      </c>
      <c r="B20" t="s">
        <v>55</v>
      </c>
      <c r="C20" t="s">
        <v>50</v>
      </c>
      <c r="D20" t="b">
        <v>1</v>
      </c>
      <c r="E20">
        <v>125</v>
      </c>
      <c r="F20">
        <v>119</v>
      </c>
      <c r="G20">
        <v>39</v>
      </c>
      <c r="H20" s="6">
        <v>0.50600000000000001</v>
      </c>
      <c r="I20">
        <v>16</v>
      </c>
      <c r="J20" s="6">
        <v>0.48499999999999999</v>
      </c>
      <c r="K20">
        <v>31</v>
      </c>
      <c r="L20" s="6">
        <v>0.86099999999999999</v>
      </c>
      <c r="M20">
        <v>122.8</v>
      </c>
      <c r="N20" s="7">
        <v>116.9</v>
      </c>
      <c r="O20">
        <v>3</v>
      </c>
      <c r="Q20">
        <f t="shared" si="0"/>
        <v>2</v>
      </c>
      <c r="R20">
        <f t="shared" si="1"/>
        <v>0</v>
      </c>
    </row>
    <row r="21" spans="1:18" x14ac:dyDescent="0.25">
      <c r="A21" s="1">
        <v>45264</v>
      </c>
      <c r="B21" t="s">
        <v>52</v>
      </c>
      <c r="C21" t="s">
        <v>3</v>
      </c>
      <c r="D21" t="b">
        <v>0</v>
      </c>
      <c r="E21">
        <v>112</v>
      </c>
      <c r="F21">
        <v>122</v>
      </c>
      <c r="G21">
        <v>46</v>
      </c>
      <c r="H21" s="6">
        <v>0.47399999999999998</v>
      </c>
      <c r="I21">
        <v>12</v>
      </c>
      <c r="J21" s="6">
        <v>0.29299999999999998</v>
      </c>
      <c r="K21">
        <v>8</v>
      </c>
      <c r="L21" s="6">
        <v>0.66700000000000004</v>
      </c>
      <c r="M21">
        <v>109.6</v>
      </c>
      <c r="N21" s="7">
        <v>119.3</v>
      </c>
      <c r="O21">
        <v>3</v>
      </c>
      <c r="Q21">
        <f t="shared" si="0"/>
        <v>0</v>
      </c>
      <c r="R21">
        <f t="shared" si="1"/>
        <v>1</v>
      </c>
    </row>
    <row r="22" spans="1:18" x14ac:dyDescent="0.25">
      <c r="A22" s="1">
        <v>45268</v>
      </c>
      <c r="B22" t="s">
        <v>2</v>
      </c>
      <c r="C22" t="s">
        <v>50</v>
      </c>
      <c r="D22" t="b">
        <v>1</v>
      </c>
      <c r="E22">
        <v>133</v>
      </c>
      <c r="F22">
        <v>123</v>
      </c>
      <c r="G22">
        <v>48</v>
      </c>
      <c r="H22" s="6">
        <v>0.52700000000000002</v>
      </c>
      <c r="I22">
        <v>19</v>
      </c>
      <c r="J22" s="6">
        <v>0.40400000000000003</v>
      </c>
      <c r="K22">
        <v>18</v>
      </c>
      <c r="L22" s="6">
        <v>0.85699999999999998</v>
      </c>
      <c r="M22">
        <v>137</v>
      </c>
      <c r="N22" s="7">
        <v>126.7</v>
      </c>
      <c r="O22">
        <v>0</v>
      </c>
      <c r="Q22">
        <f t="shared" si="0"/>
        <v>2</v>
      </c>
      <c r="R22">
        <f t="shared" si="1"/>
        <v>0</v>
      </c>
    </row>
    <row r="23" spans="1:18" x14ac:dyDescent="0.25">
      <c r="A23" s="1">
        <v>45272</v>
      </c>
      <c r="B23" t="s">
        <v>63</v>
      </c>
      <c r="C23" t="s">
        <v>50</v>
      </c>
      <c r="D23" t="b">
        <v>1</v>
      </c>
      <c r="E23">
        <v>120</v>
      </c>
      <c r="F23">
        <v>113</v>
      </c>
      <c r="G23">
        <v>38</v>
      </c>
      <c r="H23" s="6">
        <v>0.45200000000000001</v>
      </c>
      <c r="I23">
        <v>18</v>
      </c>
      <c r="J23" s="6">
        <v>0.40899999999999997</v>
      </c>
      <c r="K23">
        <v>26</v>
      </c>
      <c r="L23" s="6">
        <v>1</v>
      </c>
      <c r="M23">
        <v>124.6</v>
      </c>
      <c r="N23" s="7">
        <v>117.3</v>
      </c>
      <c r="O23">
        <v>0</v>
      </c>
      <c r="Q23">
        <f t="shared" si="0"/>
        <v>2</v>
      </c>
      <c r="R23">
        <f t="shared" si="1"/>
        <v>0</v>
      </c>
    </row>
    <row r="24" spans="1:18" x14ac:dyDescent="0.25">
      <c r="A24" s="1">
        <v>45274</v>
      </c>
      <c r="B24" t="s">
        <v>63</v>
      </c>
      <c r="C24" t="s">
        <v>50</v>
      </c>
      <c r="D24" t="b">
        <v>1</v>
      </c>
      <c r="E24">
        <v>116</v>
      </c>
      <c r="F24">
        <v>107</v>
      </c>
      <c r="G24">
        <v>43</v>
      </c>
      <c r="H24" s="6">
        <v>0.50600000000000001</v>
      </c>
      <c r="I24">
        <v>13</v>
      </c>
      <c r="J24" s="6">
        <v>0.36099999999999999</v>
      </c>
      <c r="K24">
        <v>17</v>
      </c>
      <c r="L24" s="6">
        <v>0.85</v>
      </c>
      <c r="M24">
        <v>123.5</v>
      </c>
      <c r="N24" s="7">
        <v>113.9</v>
      </c>
      <c r="O24">
        <v>0</v>
      </c>
      <c r="Q24">
        <f t="shared" si="0"/>
        <v>2</v>
      </c>
      <c r="R24">
        <f t="shared" si="1"/>
        <v>0</v>
      </c>
    </row>
    <row r="25" spans="1:18" x14ac:dyDescent="0.25">
      <c r="A25" s="1">
        <v>45275</v>
      </c>
      <c r="B25" t="s">
        <v>60</v>
      </c>
      <c r="C25" t="s">
        <v>50</v>
      </c>
      <c r="D25" t="b">
        <v>1</v>
      </c>
      <c r="E25">
        <v>128</v>
      </c>
      <c r="F25">
        <v>111</v>
      </c>
      <c r="G25">
        <v>48</v>
      </c>
      <c r="H25" s="6">
        <v>0.52200000000000002</v>
      </c>
      <c r="I25">
        <v>18</v>
      </c>
      <c r="J25" s="6">
        <v>0.42899999999999999</v>
      </c>
      <c r="K25">
        <v>20</v>
      </c>
      <c r="L25" s="6">
        <v>0.7</v>
      </c>
      <c r="M25">
        <v>129</v>
      </c>
      <c r="N25" s="7">
        <v>111.9</v>
      </c>
      <c r="O25">
        <v>3</v>
      </c>
      <c r="Q25">
        <f t="shared" si="0"/>
        <v>2</v>
      </c>
      <c r="R25">
        <f t="shared" si="1"/>
        <v>0</v>
      </c>
    </row>
    <row r="26" spans="1:18" x14ac:dyDescent="0.25">
      <c r="A26" s="1">
        <v>45277</v>
      </c>
      <c r="B26" t="s">
        <v>60</v>
      </c>
      <c r="C26" t="s">
        <v>50</v>
      </c>
      <c r="D26" t="b">
        <v>1</v>
      </c>
      <c r="E26">
        <v>114</v>
      </c>
      <c r="F26">
        <v>97</v>
      </c>
      <c r="G26">
        <v>45</v>
      </c>
      <c r="H26" s="6">
        <v>0.47399999999999998</v>
      </c>
      <c r="I26">
        <v>17</v>
      </c>
      <c r="J26" s="6">
        <v>0.47199999999999998</v>
      </c>
      <c r="K26">
        <v>7</v>
      </c>
      <c r="L26" s="6">
        <v>0.875</v>
      </c>
      <c r="M26">
        <v>116.5</v>
      </c>
      <c r="N26" s="7">
        <v>99.2</v>
      </c>
      <c r="O26">
        <v>0</v>
      </c>
      <c r="Q26">
        <f t="shared" si="0"/>
        <v>2</v>
      </c>
      <c r="R26">
        <f t="shared" si="1"/>
        <v>0</v>
      </c>
    </row>
    <row r="27" spans="1:18" x14ac:dyDescent="0.25">
      <c r="A27" s="1">
        <v>45279</v>
      </c>
      <c r="B27" t="s">
        <v>64</v>
      </c>
      <c r="C27" t="s">
        <v>3</v>
      </c>
      <c r="D27" t="b">
        <v>0</v>
      </c>
      <c r="E27">
        <v>126</v>
      </c>
      <c r="F27">
        <v>132</v>
      </c>
      <c r="G27">
        <v>47</v>
      </c>
      <c r="H27" s="6">
        <v>0.41199999999999998</v>
      </c>
      <c r="I27">
        <v>17</v>
      </c>
      <c r="J27" s="6">
        <v>0.29299999999999998</v>
      </c>
      <c r="K27">
        <v>15</v>
      </c>
      <c r="L27" s="6">
        <v>0.88200000000000001</v>
      </c>
      <c r="M27">
        <v>119.5</v>
      </c>
      <c r="N27" s="7">
        <v>125.2</v>
      </c>
      <c r="O27">
        <v>3</v>
      </c>
      <c r="Q27">
        <f t="shared" si="0"/>
        <v>0</v>
      </c>
      <c r="R27">
        <f t="shared" si="1"/>
        <v>1</v>
      </c>
    </row>
    <row r="28" spans="1:18" x14ac:dyDescent="0.25">
      <c r="A28" s="1">
        <v>45280</v>
      </c>
      <c r="B28" t="s">
        <v>65</v>
      </c>
      <c r="C28" t="s">
        <v>3</v>
      </c>
      <c r="D28" t="b">
        <v>1</v>
      </c>
      <c r="E28">
        <v>144</v>
      </c>
      <c r="F28">
        <v>119</v>
      </c>
      <c r="G28">
        <v>51</v>
      </c>
      <c r="H28" s="6">
        <v>0.55400000000000005</v>
      </c>
      <c r="I28">
        <v>22</v>
      </c>
      <c r="J28" s="6">
        <v>0.52400000000000002</v>
      </c>
      <c r="K28">
        <v>20</v>
      </c>
      <c r="L28" s="6">
        <v>0.83299999999999996</v>
      </c>
      <c r="M28">
        <v>152.19999999999999</v>
      </c>
      <c r="N28" s="7">
        <v>125.8</v>
      </c>
      <c r="O28">
        <v>0</v>
      </c>
      <c r="Q28">
        <f t="shared" si="0"/>
        <v>0</v>
      </c>
      <c r="R28">
        <f t="shared" si="1"/>
        <v>2</v>
      </c>
    </row>
    <row r="29" spans="1:18" x14ac:dyDescent="0.25">
      <c r="A29" s="1">
        <v>45283</v>
      </c>
      <c r="B29" t="s">
        <v>66</v>
      </c>
      <c r="C29" t="s">
        <v>3</v>
      </c>
      <c r="D29" t="b">
        <v>1</v>
      </c>
      <c r="E29">
        <v>145</v>
      </c>
      <c r="F29">
        <v>108</v>
      </c>
      <c r="G29">
        <v>49</v>
      </c>
      <c r="H29" s="6">
        <v>0.52100000000000002</v>
      </c>
      <c r="I29">
        <v>25</v>
      </c>
      <c r="J29" s="6">
        <v>0.47199999999999998</v>
      </c>
      <c r="K29">
        <v>22</v>
      </c>
      <c r="L29" s="6">
        <v>0.78600000000000003</v>
      </c>
      <c r="M29">
        <v>151.9</v>
      </c>
      <c r="N29" s="7">
        <v>113.2</v>
      </c>
      <c r="O29">
        <v>3</v>
      </c>
      <c r="Q29">
        <f t="shared" si="0"/>
        <v>0</v>
      </c>
      <c r="R29">
        <f t="shared" si="1"/>
        <v>2</v>
      </c>
    </row>
    <row r="30" spans="1:18" x14ac:dyDescent="0.25">
      <c r="A30" s="1">
        <v>45285</v>
      </c>
      <c r="B30" t="s">
        <v>67</v>
      </c>
      <c r="C30" t="s">
        <v>3</v>
      </c>
      <c r="D30" t="b">
        <v>1</v>
      </c>
      <c r="E30">
        <v>126</v>
      </c>
      <c r="F30">
        <v>115</v>
      </c>
      <c r="G30">
        <v>46</v>
      </c>
      <c r="H30" s="6">
        <v>0.505</v>
      </c>
      <c r="I30">
        <v>13</v>
      </c>
      <c r="J30" s="6">
        <v>0.31</v>
      </c>
      <c r="K30">
        <v>21</v>
      </c>
      <c r="L30" s="6">
        <v>0.75</v>
      </c>
      <c r="M30">
        <v>130.30000000000001</v>
      </c>
      <c r="N30" s="7">
        <v>118.9</v>
      </c>
      <c r="O30">
        <v>0</v>
      </c>
      <c r="Q30">
        <f t="shared" si="0"/>
        <v>0</v>
      </c>
      <c r="R30">
        <f t="shared" si="1"/>
        <v>2</v>
      </c>
    </row>
    <row r="31" spans="1:18" x14ac:dyDescent="0.25">
      <c r="A31" s="1">
        <v>45288</v>
      </c>
      <c r="B31" t="s">
        <v>68</v>
      </c>
      <c r="C31" t="s">
        <v>50</v>
      </c>
      <c r="D31" t="b">
        <v>1</v>
      </c>
      <c r="E31">
        <v>128</v>
      </c>
      <c r="F31">
        <v>122</v>
      </c>
      <c r="G31">
        <v>48</v>
      </c>
      <c r="H31" s="6">
        <v>0.48499999999999999</v>
      </c>
      <c r="I31">
        <v>11</v>
      </c>
      <c r="J31" s="6">
        <v>0.28199999999999997</v>
      </c>
      <c r="K31">
        <v>21</v>
      </c>
      <c r="L31" s="6">
        <v>0.84</v>
      </c>
      <c r="M31">
        <v>119.5</v>
      </c>
      <c r="N31" s="7">
        <v>113.9</v>
      </c>
      <c r="O31">
        <v>4</v>
      </c>
      <c r="Q31">
        <f t="shared" si="0"/>
        <v>2</v>
      </c>
      <c r="R31">
        <f t="shared" si="1"/>
        <v>0</v>
      </c>
    </row>
    <row r="32" spans="1:18" x14ac:dyDescent="0.25">
      <c r="A32" s="1">
        <v>45289</v>
      </c>
      <c r="B32" t="s">
        <v>56</v>
      </c>
      <c r="C32" t="s">
        <v>50</v>
      </c>
      <c r="D32" t="b">
        <v>1</v>
      </c>
      <c r="E32">
        <v>120</v>
      </c>
      <c r="F32">
        <v>118</v>
      </c>
      <c r="G32">
        <v>43</v>
      </c>
      <c r="H32" s="6">
        <v>0.48899999999999999</v>
      </c>
      <c r="I32">
        <v>17</v>
      </c>
      <c r="J32" s="6">
        <v>0.436</v>
      </c>
      <c r="K32">
        <v>17</v>
      </c>
      <c r="L32" s="6">
        <v>0.85</v>
      </c>
      <c r="M32">
        <v>123.8</v>
      </c>
      <c r="N32" s="7">
        <v>121.7</v>
      </c>
      <c r="O32">
        <v>8</v>
      </c>
      <c r="Q32">
        <f t="shared" si="0"/>
        <v>2</v>
      </c>
      <c r="R32">
        <f t="shared" si="1"/>
        <v>0</v>
      </c>
    </row>
    <row r="33" spans="1:18" x14ac:dyDescent="0.25">
      <c r="A33" s="1">
        <v>45291</v>
      </c>
      <c r="B33" t="s">
        <v>69</v>
      </c>
      <c r="C33" t="s">
        <v>3</v>
      </c>
      <c r="D33" t="b">
        <v>1</v>
      </c>
      <c r="E33">
        <v>134</v>
      </c>
      <c r="F33">
        <v>101</v>
      </c>
      <c r="G33">
        <v>51</v>
      </c>
      <c r="H33" s="6">
        <v>0.53700000000000003</v>
      </c>
      <c r="I33">
        <v>15</v>
      </c>
      <c r="J33" s="6">
        <v>0.35699999999999998</v>
      </c>
      <c r="K33">
        <v>17</v>
      </c>
      <c r="L33" s="6">
        <v>0.77300000000000002</v>
      </c>
      <c r="M33">
        <v>133.6</v>
      </c>
      <c r="N33" s="7">
        <v>100.7</v>
      </c>
      <c r="O33">
        <v>1</v>
      </c>
      <c r="Q33">
        <f t="shared" si="0"/>
        <v>0</v>
      </c>
      <c r="R33">
        <f t="shared" si="1"/>
        <v>2</v>
      </c>
    </row>
    <row r="34" spans="1:18" x14ac:dyDescent="0.25">
      <c r="A34" s="1">
        <v>45293</v>
      </c>
      <c r="B34" t="s">
        <v>70</v>
      </c>
      <c r="C34" t="s">
        <v>3</v>
      </c>
      <c r="D34" t="b">
        <v>0</v>
      </c>
      <c r="E34">
        <v>123</v>
      </c>
      <c r="F34">
        <v>127</v>
      </c>
      <c r="G34">
        <v>42</v>
      </c>
      <c r="H34" s="6">
        <v>0.45700000000000002</v>
      </c>
      <c r="I34">
        <v>15</v>
      </c>
      <c r="J34" s="6">
        <v>0.375</v>
      </c>
      <c r="K34">
        <v>24</v>
      </c>
      <c r="L34" s="6">
        <v>0.82799999999999996</v>
      </c>
      <c r="M34">
        <v>127</v>
      </c>
      <c r="N34" s="7">
        <v>131.1</v>
      </c>
      <c r="O34">
        <v>0</v>
      </c>
      <c r="Q34">
        <f t="shared" si="0"/>
        <v>0</v>
      </c>
      <c r="R34">
        <f t="shared" si="1"/>
        <v>1</v>
      </c>
    </row>
    <row r="35" spans="1:18" x14ac:dyDescent="0.25">
      <c r="A35" s="1">
        <v>45296</v>
      </c>
      <c r="B35" t="s">
        <v>71</v>
      </c>
      <c r="C35" t="s">
        <v>50</v>
      </c>
      <c r="D35" t="b">
        <v>1</v>
      </c>
      <c r="E35">
        <v>126</v>
      </c>
      <c r="F35">
        <v>97</v>
      </c>
      <c r="G35">
        <v>39</v>
      </c>
      <c r="H35" s="6">
        <v>0.433</v>
      </c>
      <c r="I35">
        <v>17</v>
      </c>
      <c r="J35" s="6">
        <v>0.34699999999999998</v>
      </c>
      <c r="K35">
        <v>31</v>
      </c>
      <c r="L35" s="6">
        <v>0.86099999999999999</v>
      </c>
      <c r="M35">
        <v>116.7</v>
      </c>
      <c r="N35" s="7">
        <v>89.9</v>
      </c>
      <c r="O35">
        <v>0</v>
      </c>
      <c r="Q35">
        <f t="shared" si="0"/>
        <v>2</v>
      </c>
      <c r="R35">
        <f t="shared" si="1"/>
        <v>0</v>
      </c>
    </row>
    <row r="36" spans="1:18" x14ac:dyDescent="0.25">
      <c r="A36" s="1">
        <v>45297</v>
      </c>
      <c r="B36" t="s">
        <v>52</v>
      </c>
      <c r="C36" t="s">
        <v>3</v>
      </c>
      <c r="D36" t="b">
        <v>1</v>
      </c>
      <c r="E36">
        <v>118</v>
      </c>
      <c r="F36">
        <v>101</v>
      </c>
      <c r="G36">
        <v>46</v>
      </c>
      <c r="H36" s="6">
        <v>0.51100000000000001</v>
      </c>
      <c r="I36">
        <v>16</v>
      </c>
      <c r="J36" s="6">
        <v>0.39</v>
      </c>
      <c r="K36">
        <v>10</v>
      </c>
      <c r="L36" s="6">
        <v>0.52600000000000002</v>
      </c>
      <c r="M36">
        <v>118.8</v>
      </c>
      <c r="N36" s="7">
        <v>101.7</v>
      </c>
      <c r="O36">
        <v>0</v>
      </c>
      <c r="Q36">
        <f t="shared" si="0"/>
        <v>0</v>
      </c>
      <c r="R36">
        <f t="shared" si="1"/>
        <v>2</v>
      </c>
    </row>
    <row r="37" spans="1:18" x14ac:dyDescent="0.25">
      <c r="A37" s="1">
        <v>45299</v>
      </c>
      <c r="B37" t="s">
        <v>52</v>
      </c>
      <c r="C37" t="s">
        <v>3</v>
      </c>
      <c r="D37" t="b">
        <v>0</v>
      </c>
      <c r="E37">
        <v>131</v>
      </c>
      <c r="F37">
        <v>133</v>
      </c>
      <c r="G37">
        <v>47</v>
      </c>
      <c r="H37" s="6">
        <v>0.52200000000000002</v>
      </c>
      <c r="I37">
        <v>17</v>
      </c>
      <c r="J37" s="6">
        <v>0.48599999999999999</v>
      </c>
      <c r="K37">
        <v>20</v>
      </c>
      <c r="L37" s="6">
        <v>0.69</v>
      </c>
      <c r="M37">
        <v>128.1</v>
      </c>
      <c r="N37" s="7">
        <v>130</v>
      </c>
      <c r="O37">
        <v>5</v>
      </c>
      <c r="Q37">
        <f t="shared" si="0"/>
        <v>0</v>
      </c>
      <c r="R37">
        <f t="shared" si="1"/>
        <v>1</v>
      </c>
    </row>
    <row r="38" spans="1:18" x14ac:dyDescent="0.25">
      <c r="A38" s="1">
        <v>45301</v>
      </c>
      <c r="B38" t="s">
        <v>54</v>
      </c>
      <c r="C38" t="s">
        <v>50</v>
      </c>
      <c r="D38" t="b">
        <v>1</v>
      </c>
      <c r="E38">
        <v>127</v>
      </c>
      <c r="F38">
        <v>120</v>
      </c>
      <c r="G38">
        <v>39</v>
      </c>
      <c r="H38" s="6">
        <v>0.433</v>
      </c>
      <c r="I38">
        <v>19</v>
      </c>
      <c r="J38" s="6">
        <v>0.40400000000000003</v>
      </c>
      <c r="K38">
        <v>31</v>
      </c>
      <c r="L38" s="6">
        <v>0.96799999999999997</v>
      </c>
      <c r="M38">
        <v>124</v>
      </c>
      <c r="N38" s="7">
        <v>117.2</v>
      </c>
      <c r="O38">
        <v>3</v>
      </c>
      <c r="Q38">
        <f t="shared" si="0"/>
        <v>2</v>
      </c>
      <c r="R38">
        <f t="shared" si="1"/>
        <v>0</v>
      </c>
    </row>
    <row r="39" spans="1:18" x14ac:dyDescent="0.25">
      <c r="A39" s="1">
        <v>45302</v>
      </c>
      <c r="B39" t="s">
        <v>59</v>
      </c>
      <c r="C39" t="s">
        <v>3</v>
      </c>
      <c r="D39" t="b">
        <v>0</v>
      </c>
      <c r="E39">
        <v>102</v>
      </c>
      <c r="F39">
        <v>135</v>
      </c>
      <c r="G39">
        <v>34</v>
      </c>
      <c r="H39" s="6">
        <v>0.374</v>
      </c>
      <c r="I39">
        <v>9</v>
      </c>
      <c r="J39" s="6">
        <v>0.25700000000000001</v>
      </c>
      <c r="K39">
        <v>25</v>
      </c>
      <c r="L39" s="6">
        <v>0.83299999999999996</v>
      </c>
      <c r="M39">
        <v>104.7</v>
      </c>
      <c r="N39" s="7">
        <v>138.5</v>
      </c>
      <c r="O39">
        <v>0</v>
      </c>
      <c r="Q39">
        <f t="shared" si="0"/>
        <v>0</v>
      </c>
      <c r="R39">
        <f t="shared" si="1"/>
        <v>1</v>
      </c>
    </row>
    <row r="40" spans="1:18" x14ac:dyDescent="0.25">
      <c r="A40" s="1">
        <v>45304</v>
      </c>
      <c r="B40" t="s">
        <v>82</v>
      </c>
      <c r="C40" t="s">
        <v>50</v>
      </c>
      <c r="D40" t="b">
        <v>1</v>
      </c>
      <c r="E40">
        <v>145</v>
      </c>
      <c r="F40">
        <v>113</v>
      </c>
      <c r="G40">
        <v>51</v>
      </c>
      <c r="H40" s="6">
        <v>0.53700000000000003</v>
      </c>
      <c r="I40">
        <v>24</v>
      </c>
      <c r="J40" s="6">
        <v>0.51100000000000001</v>
      </c>
      <c r="K40">
        <v>19</v>
      </c>
      <c r="L40" s="6">
        <v>0.76</v>
      </c>
      <c r="M40">
        <v>137.19999999999999</v>
      </c>
      <c r="N40" s="7">
        <v>106.9</v>
      </c>
      <c r="O40">
        <v>0</v>
      </c>
      <c r="Q40">
        <f t="shared" si="0"/>
        <v>2</v>
      </c>
      <c r="R40">
        <f t="shared" si="1"/>
        <v>0</v>
      </c>
    </row>
    <row r="41" spans="1:18" x14ac:dyDescent="0.25">
      <c r="A41" s="1">
        <v>45306</v>
      </c>
      <c r="B41" t="s">
        <v>56</v>
      </c>
      <c r="C41" t="s">
        <v>3</v>
      </c>
      <c r="D41" t="b">
        <v>1</v>
      </c>
      <c r="E41">
        <v>105</v>
      </c>
      <c r="F41">
        <v>96</v>
      </c>
      <c r="G41">
        <v>33</v>
      </c>
      <c r="H41" s="6">
        <v>0.40200000000000002</v>
      </c>
      <c r="I41">
        <v>16</v>
      </c>
      <c r="J41" s="6">
        <v>0.41</v>
      </c>
      <c r="K41">
        <v>23</v>
      </c>
      <c r="L41" s="6">
        <v>0.92</v>
      </c>
      <c r="M41">
        <v>105.4</v>
      </c>
      <c r="N41" s="7">
        <v>96.3</v>
      </c>
      <c r="O41">
        <v>4</v>
      </c>
      <c r="Q41">
        <f t="shared" si="0"/>
        <v>0</v>
      </c>
      <c r="R41">
        <f t="shared" si="1"/>
        <v>2</v>
      </c>
    </row>
    <row r="42" spans="1:18" x14ac:dyDescent="0.25">
      <c r="A42" s="1">
        <v>45308</v>
      </c>
      <c r="B42" t="s">
        <v>69</v>
      </c>
      <c r="C42" t="s">
        <v>50</v>
      </c>
      <c r="D42" t="b">
        <v>1</v>
      </c>
      <c r="E42">
        <v>117</v>
      </c>
      <c r="F42">
        <v>98</v>
      </c>
      <c r="G42">
        <v>42</v>
      </c>
      <c r="H42" s="6">
        <v>0.46700000000000003</v>
      </c>
      <c r="I42">
        <v>18</v>
      </c>
      <c r="J42" s="6">
        <v>0.47399999999999998</v>
      </c>
      <c r="K42">
        <v>15</v>
      </c>
      <c r="L42" s="6">
        <v>0.78900000000000003</v>
      </c>
      <c r="M42">
        <v>121.7</v>
      </c>
      <c r="N42" s="7">
        <v>101.9</v>
      </c>
      <c r="O42">
        <v>5</v>
      </c>
      <c r="Q42">
        <f t="shared" si="0"/>
        <v>2</v>
      </c>
      <c r="R42">
        <f t="shared" si="1"/>
        <v>0</v>
      </c>
    </row>
    <row r="43" spans="1:18" x14ac:dyDescent="0.25">
      <c r="A43" s="1">
        <v>45310</v>
      </c>
      <c r="B43" t="s">
        <v>72</v>
      </c>
      <c r="C43" t="s">
        <v>50</v>
      </c>
      <c r="D43" t="b">
        <v>0</v>
      </c>
      <c r="E43">
        <v>100</v>
      </c>
      <c r="F43">
        <v>102</v>
      </c>
      <c r="G43">
        <v>68</v>
      </c>
      <c r="H43" s="6">
        <v>0.42699999999999999</v>
      </c>
      <c r="I43">
        <v>14</v>
      </c>
      <c r="J43" s="6">
        <v>0.318</v>
      </c>
      <c r="K43">
        <v>10</v>
      </c>
      <c r="L43" s="6">
        <v>0.71399999999999997</v>
      </c>
      <c r="M43">
        <v>119.9</v>
      </c>
      <c r="N43" s="7">
        <v>122.3</v>
      </c>
      <c r="O43">
        <v>0</v>
      </c>
      <c r="Q43">
        <f t="shared" si="0"/>
        <v>1</v>
      </c>
      <c r="R43">
        <f t="shared" si="1"/>
        <v>0</v>
      </c>
    </row>
    <row r="44" spans="1:18" x14ac:dyDescent="0.25">
      <c r="A44" s="1">
        <v>45312</v>
      </c>
      <c r="B44" t="s">
        <v>82</v>
      </c>
      <c r="C44" t="s">
        <v>3</v>
      </c>
      <c r="D44" t="b">
        <v>1</v>
      </c>
      <c r="E44">
        <v>116</v>
      </c>
      <c r="F44">
        <v>107</v>
      </c>
      <c r="G44">
        <v>43</v>
      </c>
      <c r="H44" s="6">
        <v>0.439</v>
      </c>
      <c r="I44">
        <v>17</v>
      </c>
      <c r="J44" s="6">
        <v>0.36199999999999999</v>
      </c>
      <c r="K44">
        <v>13</v>
      </c>
      <c r="L44" s="6">
        <v>0.72199999999999998</v>
      </c>
      <c r="M44">
        <v>111</v>
      </c>
      <c r="N44" s="7">
        <v>102.3</v>
      </c>
      <c r="O44">
        <v>1</v>
      </c>
      <c r="Q44">
        <f t="shared" si="0"/>
        <v>0</v>
      </c>
      <c r="R44">
        <f t="shared" si="1"/>
        <v>2</v>
      </c>
    </row>
    <row r="45" spans="1:18" x14ac:dyDescent="0.25">
      <c r="A45" s="1">
        <v>45313</v>
      </c>
      <c r="B45" t="s">
        <v>73</v>
      </c>
      <c r="C45" t="s">
        <v>3</v>
      </c>
      <c r="D45" t="b">
        <v>1</v>
      </c>
      <c r="E45">
        <v>119</v>
      </c>
      <c r="F45">
        <v>110</v>
      </c>
      <c r="G45">
        <v>41</v>
      </c>
      <c r="H45" s="6">
        <v>0.46600000000000003</v>
      </c>
      <c r="I45">
        <v>15</v>
      </c>
      <c r="J45" s="6">
        <v>0.32600000000000001</v>
      </c>
      <c r="K45">
        <v>22</v>
      </c>
      <c r="L45" s="6">
        <v>0.73299999999999998</v>
      </c>
      <c r="M45">
        <v>118.4</v>
      </c>
      <c r="N45" s="7">
        <v>109.5</v>
      </c>
      <c r="O45">
        <v>3</v>
      </c>
      <c r="Q45">
        <f t="shared" si="0"/>
        <v>0</v>
      </c>
      <c r="R45">
        <f t="shared" si="1"/>
        <v>2</v>
      </c>
    </row>
    <row r="46" spans="1:18" x14ac:dyDescent="0.25">
      <c r="A46" s="1">
        <v>45316</v>
      </c>
      <c r="B46" t="s">
        <v>49</v>
      </c>
      <c r="C46" t="s">
        <v>3</v>
      </c>
      <c r="D46" t="b">
        <v>1</v>
      </c>
      <c r="E46">
        <v>143</v>
      </c>
      <c r="F46">
        <v>110</v>
      </c>
      <c r="G46">
        <v>51</v>
      </c>
      <c r="H46" s="6">
        <v>0.63800000000000001</v>
      </c>
      <c r="I46">
        <v>22</v>
      </c>
      <c r="J46" s="6">
        <v>0.55000000000000004</v>
      </c>
      <c r="K46">
        <v>19</v>
      </c>
      <c r="L46" s="6">
        <v>0.95</v>
      </c>
      <c r="M46">
        <v>156.1</v>
      </c>
      <c r="N46" s="7">
        <v>120</v>
      </c>
      <c r="O46">
        <v>0</v>
      </c>
      <c r="Q46">
        <f t="shared" si="0"/>
        <v>0</v>
      </c>
      <c r="R46">
        <f t="shared" si="1"/>
        <v>2</v>
      </c>
    </row>
    <row r="47" spans="1:18" x14ac:dyDescent="0.25">
      <c r="A47" s="1">
        <v>45318</v>
      </c>
      <c r="B47" t="s">
        <v>66</v>
      </c>
      <c r="C47" t="s">
        <v>50</v>
      </c>
      <c r="D47" t="b">
        <v>0</v>
      </c>
      <c r="E47">
        <v>115</v>
      </c>
      <c r="F47">
        <v>96</v>
      </c>
      <c r="G47">
        <v>36</v>
      </c>
      <c r="H47" s="6">
        <v>0.36</v>
      </c>
      <c r="I47">
        <v>10</v>
      </c>
      <c r="J47" s="6">
        <v>0.25</v>
      </c>
      <c r="K47">
        <v>14</v>
      </c>
      <c r="L47" s="6">
        <v>0.875</v>
      </c>
      <c r="M47">
        <v>96.8</v>
      </c>
      <c r="N47" s="7">
        <v>118.1</v>
      </c>
      <c r="O47">
        <v>3</v>
      </c>
      <c r="Q47">
        <f t="shared" si="0"/>
        <v>1</v>
      </c>
      <c r="R47">
        <f t="shared" si="1"/>
        <v>0</v>
      </c>
    </row>
    <row r="48" spans="1:18" x14ac:dyDescent="0.25">
      <c r="A48" s="1">
        <v>45320</v>
      </c>
      <c r="B48" t="s">
        <v>74</v>
      </c>
      <c r="C48" t="s">
        <v>50</v>
      </c>
      <c r="D48" t="b">
        <v>1</v>
      </c>
      <c r="E48">
        <v>118</v>
      </c>
      <c r="F48">
        <v>112</v>
      </c>
      <c r="G48">
        <v>43</v>
      </c>
      <c r="H48" s="6">
        <v>0.50600000000000001</v>
      </c>
      <c r="I48">
        <v>17</v>
      </c>
      <c r="J48" s="6">
        <v>0.37</v>
      </c>
      <c r="K48">
        <v>15</v>
      </c>
      <c r="L48" s="6">
        <v>0.75</v>
      </c>
      <c r="M48">
        <v>121.1</v>
      </c>
      <c r="N48" s="7">
        <v>115</v>
      </c>
      <c r="O48">
        <v>3</v>
      </c>
      <c r="Q48">
        <f t="shared" si="0"/>
        <v>2</v>
      </c>
      <c r="R48">
        <f t="shared" si="1"/>
        <v>0</v>
      </c>
    </row>
    <row r="49" spans="1:18" x14ac:dyDescent="0.25">
      <c r="A49" s="1">
        <v>45321</v>
      </c>
      <c r="B49" t="s">
        <v>52</v>
      </c>
      <c r="C49" t="s">
        <v>50</v>
      </c>
      <c r="D49" t="b">
        <v>1</v>
      </c>
      <c r="E49">
        <v>129</v>
      </c>
      <c r="F49">
        <v>124</v>
      </c>
      <c r="G49">
        <v>47</v>
      </c>
      <c r="H49" s="6">
        <v>0.54</v>
      </c>
      <c r="I49">
        <v>17</v>
      </c>
      <c r="J49" s="6">
        <v>0.47199999999999998</v>
      </c>
      <c r="K49">
        <v>18</v>
      </c>
      <c r="L49" s="6">
        <v>0.81799999999999995</v>
      </c>
      <c r="M49">
        <v>131.5</v>
      </c>
      <c r="N49" s="7">
        <v>126.4</v>
      </c>
      <c r="O49">
        <v>0</v>
      </c>
      <c r="Q49">
        <f t="shared" si="0"/>
        <v>2</v>
      </c>
      <c r="R49">
        <f t="shared" si="1"/>
        <v>0</v>
      </c>
    </row>
    <row r="50" spans="1:18" x14ac:dyDescent="0.25">
      <c r="A50" s="1">
        <v>45323</v>
      </c>
      <c r="B50" t="s">
        <v>67</v>
      </c>
      <c r="C50" t="s">
        <v>50</v>
      </c>
      <c r="D50" t="b">
        <v>0</v>
      </c>
      <c r="E50">
        <v>105</v>
      </c>
      <c r="F50">
        <v>114</v>
      </c>
      <c r="G50">
        <v>41</v>
      </c>
      <c r="H50" s="6">
        <v>0.42299999999999999</v>
      </c>
      <c r="I50">
        <v>16</v>
      </c>
      <c r="J50" s="6">
        <v>0.33300000000000002</v>
      </c>
      <c r="K50">
        <v>7</v>
      </c>
      <c r="L50" s="6">
        <v>1</v>
      </c>
      <c r="M50">
        <v>108.6</v>
      </c>
      <c r="N50" s="7">
        <v>117.9</v>
      </c>
      <c r="O50">
        <v>0</v>
      </c>
      <c r="Q50">
        <f t="shared" si="0"/>
        <v>1</v>
      </c>
      <c r="R50">
        <f t="shared" si="1"/>
        <v>0</v>
      </c>
    </row>
    <row r="51" spans="1:18" x14ac:dyDescent="0.25">
      <c r="A51" s="1">
        <v>45326</v>
      </c>
      <c r="B51" t="s">
        <v>57</v>
      </c>
      <c r="C51" t="s">
        <v>50</v>
      </c>
      <c r="D51" t="b">
        <v>1</v>
      </c>
      <c r="E51">
        <v>131</v>
      </c>
      <c r="F51">
        <v>91</v>
      </c>
      <c r="G51">
        <v>48</v>
      </c>
      <c r="H51" s="6">
        <v>0.48499999999999999</v>
      </c>
      <c r="I51">
        <v>19</v>
      </c>
      <c r="J51" s="6">
        <v>0.373</v>
      </c>
      <c r="K51">
        <v>16</v>
      </c>
      <c r="L51" s="6">
        <v>0.88900000000000001</v>
      </c>
      <c r="M51">
        <v>133.80000000000001</v>
      </c>
      <c r="N51" s="7">
        <v>92.9</v>
      </c>
      <c r="O51">
        <v>4</v>
      </c>
      <c r="Q51">
        <f t="shared" si="0"/>
        <v>2</v>
      </c>
      <c r="R51">
        <f t="shared" si="1"/>
        <v>0</v>
      </c>
    </row>
    <row r="52" spans="1:18" x14ac:dyDescent="0.25">
      <c r="A52" s="1">
        <v>45329</v>
      </c>
      <c r="B52" t="s">
        <v>61</v>
      </c>
      <c r="C52" t="s">
        <v>50</v>
      </c>
      <c r="D52" t="b">
        <v>1</v>
      </c>
      <c r="E52">
        <v>125</v>
      </c>
      <c r="F52">
        <v>117</v>
      </c>
      <c r="G52">
        <v>43</v>
      </c>
      <c r="H52" s="6">
        <v>0.52700000000000002</v>
      </c>
      <c r="I52">
        <v>17</v>
      </c>
      <c r="J52" s="6">
        <v>0.34699999999999998</v>
      </c>
      <c r="K52">
        <v>10</v>
      </c>
      <c r="L52" s="6">
        <v>0.90900000000000003</v>
      </c>
      <c r="M52">
        <v>120.3</v>
      </c>
      <c r="N52" s="7">
        <v>112.6</v>
      </c>
      <c r="O52">
        <v>1</v>
      </c>
      <c r="Q52">
        <f t="shared" si="0"/>
        <v>2</v>
      </c>
      <c r="R52">
        <f t="shared" si="1"/>
        <v>0</v>
      </c>
    </row>
    <row r="53" spans="1:18" x14ac:dyDescent="0.25">
      <c r="A53" s="1">
        <v>45331</v>
      </c>
      <c r="B53" t="s">
        <v>51</v>
      </c>
      <c r="C53" t="s">
        <v>50</v>
      </c>
      <c r="D53" t="b">
        <v>1</v>
      </c>
      <c r="E53">
        <v>133</v>
      </c>
      <c r="F53">
        <v>129</v>
      </c>
      <c r="G53">
        <v>48</v>
      </c>
      <c r="H53" s="6">
        <v>0.52200000000000002</v>
      </c>
      <c r="I53">
        <v>11</v>
      </c>
      <c r="J53" s="6">
        <v>0.32400000000000001</v>
      </c>
      <c r="K53">
        <v>26</v>
      </c>
      <c r="L53" s="6">
        <v>0.92900000000000005</v>
      </c>
      <c r="M53">
        <v>123.3</v>
      </c>
      <c r="N53" s="7">
        <v>119.6</v>
      </c>
      <c r="O53">
        <v>0</v>
      </c>
      <c r="Q53">
        <f t="shared" si="0"/>
        <v>2</v>
      </c>
      <c r="R53">
        <f t="shared" si="1"/>
        <v>0</v>
      </c>
    </row>
    <row r="54" spans="1:18" x14ac:dyDescent="0.25">
      <c r="A54" s="1">
        <v>45333</v>
      </c>
      <c r="B54" t="s">
        <v>49</v>
      </c>
      <c r="C54" t="s">
        <v>3</v>
      </c>
      <c r="D54" t="b">
        <v>1</v>
      </c>
      <c r="E54">
        <v>110</v>
      </c>
      <c r="F54">
        <v>106</v>
      </c>
      <c r="G54">
        <v>41</v>
      </c>
      <c r="H54" s="6">
        <v>0.50600000000000001</v>
      </c>
      <c r="I54">
        <v>16</v>
      </c>
      <c r="J54" s="6">
        <v>0.41</v>
      </c>
      <c r="K54">
        <v>12</v>
      </c>
      <c r="L54" s="6">
        <v>0.70599999999999996</v>
      </c>
      <c r="M54">
        <v>120.4</v>
      </c>
      <c r="N54" s="7">
        <v>116</v>
      </c>
      <c r="O54">
        <v>0</v>
      </c>
      <c r="Q54">
        <f t="shared" si="0"/>
        <v>0</v>
      </c>
      <c r="R54">
        <f t="shared" si="1"/>
        <v>2</v>
      </c>
    </row>
    <row r="55" spans="1:18" x14ac:dyDescent="0.25">
      <c r="A55" s="1">
        <v>45335</v>
      </c>
      <c r="B55" t="s">
        <v>53</v>
      </c>
      <c r="C55" t="s">
        <v>3</v>
      </c>
      <c r="D55" t="b">
        <v>1</v>
      </c>
      <c r="E55">
        <v>118</v>
      </c>
      <c r="F55">
        <v>110</v>
      </c>
      <c r="G55">
        <v>43</v>
      </c>
      <c r="H55" s="6">
        <v>0.51800000000000002</v>
      </c>
      <c r="I55">
        <v>15</v>
      </c>
      <c r="J55" s="6">
        <v>0.40500000000000003</v>
      </c>
      <c r="K55">
        <v>17</v>
      </c>
      <c r="L55" s="6">
        <v>0.73899999999999999</v>
      </c>
      <c r="M55">
        <v>123.7</v>
      </c>
      <c r="N55" s="7">
        <v>115.3</v>
      </c>
      <c r="O55">
        <v>3</v>
      </c>
      <c r="Q55">
        <f t="shared" si="0"/>
        <v>0</v>
      </c>
      <c r="R55">
        <f t="shared" si="1"/>
        <v>2</v>
      </c>
    </row>
    <row r="56" spans="1:18" x14ac:dyDescent="0.25">
      <c r="A56" s="1">
        <v>45336</v>
      </c>
      <c r="B56" t="s">
        <v>53</v>
      </c>
      <c r="C56" t="s">
        <v>50</v>
      </c>
      <c r="D56" t="b">
        <v>1</v>
      </c>
      <c r="E56">
        <v>136</v>
      </c>
      <c r="F56">
        <v>86</v>
      </c>
      <c r="G56">
        <v>52</v>
      </c>
      <c r="H56" s="6">
        <v>0.57099999999999995</v>
      </c>
      <c r="I56">
        <v>22</v>
      </c>
      <c r="J56" s="6">
        <v>0.48899999999999999</v>
      </c>
      <c r="K56">
        <v>10</v>
      </c>
      <c r="L56" s="6">
        <v>0.83299999999999996</v>
      </c>
      <c r="M56">
        <v>148.6</v>
      </c>
      <c r="N56" s="7">
        <v>94</v>
      </c>
      <c r="O56">
        <v>4</v>
      </c>
      <c r="Q56">
        <f t="shared" si="0"/>
        <v>2</v>
      </c>
      <c r="R56">
        <f t="shared" si="1"/>
        <v>0</v>
      </c>
    </row>
    <row r="57" spans="1:18" x14ac:dyDescent="0.25">
      <c r="A57" s="1">
        <v>45344</v>
      </c>
      <c r="B57" t="s">
        <v>62</v>
      </c>
      <c r="C57" t="s">
        <v>3</v>
      </c>
      <c r="D57" t="b">
        <v>1</v>
      </c>
      <c r="E57">
        <v>129</v>
      </c>
      <c r="F57">
        <v>112</v>
      </c>
      <c r="G57">
        <v>45</v>
      </c>
      <c r="H57" s="6">
        <v>0.54200000000000004</v>
      </c>
      <c r="I57">
        <v>23</v>
      </c>
      <c r="J57" s="6">
        <v>0.48899999999999999</v>
      </c>
      <c r="K57">
        <v>16</v>
      </c>
      <c r="L57" s="6">
        <v>0.76200000000000001</v>
      </c>
      <c r="M57">
        <v>131.30000000000001</v>
      </c>
      <c r="N57" s="7">
        <v>114</v>
      </c>
      <c r="O57">
        <v>0</v>
      </c>
      <c r="Q57">
        <f t="shared" si="0"/>
        <v>0</v>
      </c>
      <c r="R57">
        <f t="shared" si="1"/>
        <v>2</v>
      </c>
    </row>
    <row r="58" spans="1:18" x14ac:dyDescent="0.25">
      <c r="A58" s="1">
        <v>45346</v>
      </c>
      <c r="B58" t="s">
        <v>2</v>
      </c>
      <c r="C58" t="s">
        <v>3</v>
      </c>
      <c r="D58" t="b">
        <v>1</v>
      </c>
      <c r="E58">
        <v>116</v>
      </c>
      <c r="F58">
        <v>102</v>
      </c>
      <c r="G58">
        <v>46</v>
      </c>
      <c r="H58" s="6">
        <v>0.56799999999999995</v>
      </c>
      <c r="I58">
        <v>15</v>
      </c>
      <c r="J58" s="6">
        <v>0.42899999999999999</v>
      </c>
      <c r="K58">
        <v>9</v>
      </c>
      <c r="L58" s="6">
        <v>0.75</v>
      </c>
      <c r="M58">
        <v>141.1</v>
      </c>
      <c r="N58" s="7">
        <v>124.1</v>
      </c>
      <c r="O58">
        <v>0</v>
      </c>
      <c r="Q58">
        <f t="shared" si="0"/>
        <v>0</v>
      </c>
      <c r="R58">
        <f t="shared" si="1"/>
        <v>2</v>
      </c>
    </row>
    <row r="59" spans="1:18" x14ac:dyDescent="0.25">
      <c r="A59" s="1">
        <v>45349</v>
      </c>
      <c r="B59" t="s">
        <v>55</v>
      </c>
      <c r="C59" t="s">
        <v>50</v>
      </c>
      <c r="D59" t="b">
        <v>1</v>
      </c>
      <c r="E59">
        <v>117</v>
      </c>
      <c r="F59">
        <v>99</v>
      </c>
      <c r="G59">
        <v>39</v>
      </c>
      <c r="H59" s="6">
        <v>0.52</v>
      </c>
      <c r="I59">
        <v>5</v>
      </c>
      <c r="J59" s="6">
        <v>0.22700000000000001</v>
      </c>
      <c r="K59">
        <v>34</v>
      </c>
      <c r="L59" s="6">
        <v>0.91900000000000004</v>
      </c>
      <c r="M59">
        <v>123.1</v>
      </c>
      <c r="N59" s="7">
        <v>104.2</v>
      </c>
      <c r="O59">
        <v>0</v>
      </c>
      <c r="Q59">
        <f t="shared" si="0"/>
        <v>2</v>
      </c>
      <c r="R59">
        <f t="shared" si="1"/>
        <v>0</v>
      </c>
    </row>
    <row r="60" spans="1:18" x14ac:dyDescent="0.25">
      <c r="A60" s="1">
        <v>45352</v>
      </c>
      <c r="B60" t="s">
        <v>73</v>
      </c>
      <c r="C60" t="s">
        <v>50</v>
      </c>
      <c r="D60" t="b">
        <v>1</v>
      </c>
      <c r="E60">
        <v>138</v>
      </c>
      <c r="F60">
        <v>110</v>
      </c>
      <c r="G60">
        <v>52</v>
      </c>
      <c r="H60" s="6">
        <v>0.55300000000000005</v>
      </c>
      <c r="I60">
        <v>21</v>
      </c>
      <c r="J60" s="6">
        <v>0.48799999999999999</v>
      </c>
      <c r="K60">
        <v>13</v>
      </c>
      <c r="L60" s="6">
        <v>1</v>
      </c>
      <c r="M60">
        <v>141.30000000000001</v>
      </c>
      <c r="N60" s="7">
        <v>112.6</v>
      </c>
      <c r="O60">
        <v>0</v>
      </c>
      <c r="Q60">
        <f t="shared" si="0"/>
        <v>2</v>
      </c>
      <c r="R60">
        <f t="shared" si="1"/>
        <v>0</v>
      </c>
    </row>
    <row r="61" spans="1:18" x14ac:dyDescent="0.25">
      <c r="A61" s="1">
        <v>45354</v>
      </c>
      <c r="B61" t="s">
        <v>64</v>
      </c>
      <c r="C61" t="s">
        <v>50</v>
      </c>
      <c r="D61" t="b">
        <v>1</v>
      </c>
      <c r="E61">
        <v>140</v>
      </c>
      <c r="F61">
        <v>88</v>
      </c>
      <c r="G61">
        <v>53</v>
      </c>
      <c r="H61" s="6">
        <v>0.55200000000000005</v>
      </c>
      <c r="I61">
        <v>25</v>
      </c>
      <c r="J61" s="6">
        <v>0.51</v>
      </c>
      <c r="K61">
        <v>9</v>
      </c>
      <c r="L61" s="6">
        <v>0.81799999999999995</v>
      </c>
      <c r="M61">
        <v>100</v>
      </c>
      <c r="N61" s="7">
        <v>139.4</v>
      </c>
      <c r="O61">
        <v>3</v>
      </c>
      <c r="Q61">
        <f t="shared" si="0"/>
        <v>2</v>
      </c>
      <c r="R61">
        <f t="shared" si="1"/>
        <v>0</v>
      </c>
    </row>
    <row r="62" spans="1:18" x14ac:dyDescent="0.25">
      <c r="A62" s="1">
        <v>45356</v>
      </c>
      <c r="B62" t="s">
        <v>63</v>
      </c>
      <c r="C62" t="s">
        <v>3</v>
      </c>
      <c r="D62" t="b">
        <v>0</v>
      </c>
      <c r="E62">
        <v>104</v>
      </c>
      <c r="F62">
        <v>105</v>
      </c>
      <c r="G62">
        <v>39</v>
      </c>
      <c r="H62" s="6">
        <v>0.41899999999999998</v>
      </c>
      <c r="I62">
        <v>15</v>
      </c>
      <c r="J62" s="6">
        <v>0.39500000000000002</v>
      </c>
      <c r="K62">
        <v>11</v>
      </c>
      <c r="L62" s="6">
        <v>0.91700000000000004</v>
      </c>
      <c r="M62">
        <v>111.2</v>
      </c>
      <c r="N62" s="7">
        <v>112.3</v>
      </c>
      <c r="O62">
        <v>0</v>
      </c>
      <c r="Q62">
        <f t="shared" si="0"/>
        <v>0</v>
      </c>
      <c r="R62">
        <f t="shared" si="1"/>
        <v>1</v>
      </c>
    </row>
    <row r="63" spans="1:18" x14ac:dyDescent="0.25">
      <c r="A63" s="1">
        <v>45358</v>
      </c>
      <c r="B63" t="s">
        <v>72</v>
      </c>
      <c r="C63" t="s">
        <v>3</v>
      </c>
      <c r="D63" t="b">
        <v>0</v>
      </c>
      <c r="E63">
        <v>109</v>
      </c>
      <c r="F63">
        <v>115</v>
      </c>
      <c r="G63">
        <v>41</v>
      </c>
      <c r="H63" s="6">
        <v>0.45100000000000001</v>
      </c>
      <c r="I63">
        <v>11</v>
      </c>
      <c r="J63" s="6">
        <v>0.28899999999999998</v>
      </c>
      <c r="K63">
        <v>16</v>
      </c>
      <c r="L63" s="6">
        <v>0.64</v>
      </c>
      <c r="M63">
        <v>114.4</v>
      </c>
      <c r="N63" s="7">
        <v>117.5</v>
      </c>
      <c r="O63">
        <v>0</v>
      </c>
      <c r="Q63">
        <f t="shared" si="0"/>
        <v>0</v>
      </c>
      <c r="R63">
        <f t="shared" si="1"/>
        <v>1</v>
      </c>
    </row>
    <row r="64" spans="1:18" x14ac:dyDescent="0.25">
      <c r="A64" s="1">
        <v>45360</v>
      </c>
      <c r="B64" t="s">
        <v>75</v>
      </c>
      <c r="C64" t="s">
        <v>3</v>
      </c>
      <c r="D64" t="b">
        <v>1</v>
      </c>
      <c r="E64">
        <v>117</v>
      </c>
      <c r="F64">
        <v>107</v>
      </c>
      <c r="G64">
        <v>46</v>
      </c>
      <c r="H64" s="6">
        <v>0.48899999999999999</v>
      </c>
      <c r="I64">
        <v>15</v>
      </c>
      <c r="J64" s="6">
        <v>0.38500000000000001</v>
      </c>
      <c r="K64">
        <v>10</v>
      </c>
      <c r="L64" s="6">
        <v>0.76900000000000002</v>
      </c>
      <c r="M64">
        <v>121.9</v>
      </c>
      <c r="N64" s="7">
        <v>111.5</v>
      </c>
      <c r="O64">
        <v>3</v>
      </c>
      <c r="Q64">
        <f t="shared" si="0"/>
        <v>0</v>
      </c>
      <c r="R64">
        <f t="shared" si="1"/>
        <v>2</v>
      </c>
    </row>
    <row r="65" spans="1:18" x14ac:dyDescent="0.25">
      <c r="A65" s="1">
        <v>45362</v>
      </c>
      <c r="B65" t="s">
        <v>76</v>
      </c>
      <c r="C65" t="s">
        <v>3</v>
      </c>
      <c r="D65" t="b">
        <v>1</v>
      </c>
      <c r="E65">
        <v>121</v>
      </c>
      <c r="F65">
        <v>99</v>
      </c>
      <c r="G65">
        <v>49</v>
      </c>
      <c r="H65" s="6">
        <v>0.49</v>
      </c>
      <c r="I65">
        <v>15</v>
      </c>
      <c r="J65" s="6">
        <v>0.375</v>
      </c>
      <c r="K65">
        <v>8</v>
      </c>
      <c r="L65" s="6">
        <v>0.66700000000000004</v>
      </c>
      <c r="M65">
        <v>133.80000000000001</v>
      </c>
      <c r="N65" s="7">
        <v>109.5</v>
      </c>
      <c r="O65">
        <v>4</v>
      </c>
      <c r="Q65">
        <f t="shared" si="0"/>
        <v>0</v>
      </c>
      <c r="R65">
        <f t="shared" si="1"/>
        <v>2</v>
      </c>
    </row>
    <row r="66" spans="1:18" x14ac:dyDescent="0.25">
      <c r="A66" s="1">
        <v>45363</v>
      </c>
      <c r="B66" t="s">
        <v>71</v>
      </c>
      <c r="C66" t="s">
        <v>3</v>
      </c>
      <c r="D66" t="b">
        <v>1</v>
      </c>
      <c r="E66">
        <v>123</v>
      </c>
      <c r="F66">
        <v>107</v>
      </c>
      <c r="G66">
        <v>43</v>
      </c>
      <c r="H66" s="6">
        <v>0.46700000000000003</v>
      </c>
      <c r="I66">
        <v>20</v>
      </c>
      <c r="J66" s="6">
        <v>0.40799999999999997</v>
      </c>
      <c r="K66">
        <v>17</v>
      </c>
      <c r="L66" s="6">
        <v>0.89500000000000002</v>
      </c>
      <c r="M66">
        <v>136.4</v>
      </c>
      <c r="N66" s="7">
        <v>118.7</v>
      </c>
      <c r="O66">
        <v>7</v>
      </c>
      <c r="Q66">
        <f t="shared" si="0"/>
        <v>0</v>
      </c>
      <c r="R66">
        <f t="shared" si="1"/>
        <v>2</v>
      </c>
    </row>
    <row r="67" spans="1:18" x14ac:dyDescent="0.25">
      <c r="A67" s="1">
        <v>45365</v>
      </c>
      <c r="B67" t="s">
        <v>75</v>
      </c>
      <c r="C67" t="s">
        <v>50</v>
      </c>
      <c r="D67" t="b">
        <v>1</v>
      </c>
      <c r="E67">
        <v>127</v>
      </c>
      <c r="F67">
        <v>112</v>
      </c>
      <c r="G67">
        <v>47</v>
      </c>
      <c r="H67" s="6">
        <v>0.52800000000000002</v>
      </c>
      <c r="I67">
        <v>25</v>
      </c>
      <c r="J67" s="6">
        <v>0.5</v>
      </c>
      <c r="K67">
        <v>8</v>
      </c>
      <c r="L67" s="6">
        <v>0.72699999999999998</v>
      </c>
      <c r="M67">
        <v>135.6</v>
      </c>
      <c r="N67" s="7">
        <v>119.6</v>
      </c>
      <c r="O67">
        <v>3</v>
      </c>
      <c r="Q67">
        <f t="shared" ref="Q67:Q83" si="2">IF(C67="Home",IF(D67=TRUE,2,1),0)</f>
        <v>2</v>
      </c>
      <c r="R67">
        <f t="shared" ref="R67:R83" si="3">IF(C67="Away",IF(D67=TRUE,2,1),0)</f>
        <v>0</v>
      </c>
    </row>
    <row r="68" spans="1:18" x14ac:dyDescent="0.25">
      <c r="A68" s="1">
        <v>45368</v>
      </c>
      <c r="B68" t="s">
        <v>51</v>
      </c>
      <c r="C68" t="s">
        <v>3</v>
      </c>
      <c r="D68" t="b">
        <v>1</v>
      </c>
      <c r="E68">
        <v>130</v>
      </c>
      <c r="F68">
        <v>104</v>
      </c>
      <c r="G68">
        <v>43</v>
      </c>
      <c r="H68" s="6">
        <v>0.49399999999999999</v>
      </c>
      <c r="I68">
        <v>24</v>
      </c>
      <c r="J68" s="6">
        <v>0.48</v>
      </c>
      <c r="K68">
        <v>20</v>
      </c>
      <c r="L68" s="6">
        <v>0.83299999999999996</v>
      </c>
      <c r="M68">
        <v>133.19999999999999</v>
      </c>
      <c r="N68" s="7">
        <v>106.5</v>
      </c>
      <c r="O68">
        <v>9</v>
      </c>
      <c r="Q68">
        <f t="shared" si="2"/>
        <v>0</v>
      </c>
      <c r="R68">
        <f t="shared" si="3"/>
        <v>2</v>
      </c>
    </row>
    <row r="69" spans="1:18" x14ac:dyDescent="0.25">
      <c r="A69" s="1">
        <v>45369</v>
      </c>
      <c r="B69" t="s">
        <v>68</v>
      </c>
      <c r="C69" t="s">
        <v>50</v>
      </c>
      <c r="D69" t="b">
        <v>1</v>
      </c>
      <c r="E69">
        <v>119</v>
      </c>
      <c r="F69">
        <v>94</v>
      </c>
      <c r="G69">
        <v>43</v>
      </c>
      <c r="H69" s="6">
        <v>0.45300000000000001</v>
      </c>
      <c r="I69">
        <v>22</v>
      </c>
      <c r="J69" s="6">
        <v>0.44900000000000001</v>
      </c>
      <c r="K69">
        <v>11</v>
      </c>
      <c r="L69" s="6">
        <v>0.84599999999999997</v>
      </c>
      <c r="M69">
        <v>128.19999999999999</v>
      </c>
      <c r="N69" s="7">
        <v>101.3</v>
      </c>
      <c r="O69">
        <f>5+1</f>
        <v>6</v>
      </c>
      <c r="Q69">
        <f t="shared" si="2"/>
        <v>2</v>
      </c>
      <c r="R69">
        <f t="shared" si="3"/>
        <v>0</v>
      </c>
    </row>
    <row r="70" spans="1:18" x14ac:dyDescent="0.25">
      <c r="A70" s="1">
        <v>45371</v>
      </c>
      <c r="B70" t="s">
        <v>59</v>
      </c>
      <c r="C70" t="s">
        <v>50</v>
      </c>
      <c r="D70" t="b">
        <v>1</v>
      </c>
      <c r="E70">
        <v>122</v>
      </c>
      <c r="F70">
        <v>119</v>
      </c>
      <c r="G70">
        <v>40</v>
      </c>
      <c r="H70" s="6">
        <v>0.47099999999999997</v>
      </c>
      <c r="I70">
        <v>18</v>
      </c>
      <c r="J70" s="6">
        <v>0.45</v>
      </c>
      <c r="K70">
        <v>24</v>
      </c>
      <c r="L70" s="6">
        <v>0.82799999999999996</v>
      </c>
      <c r="M70">
        <v>131.1</v>
      </c>
      <c r="N70" s="7">
        <v>127.9</v>
      </c>
      <c r="O70">
        <v>1</v>
      </c>
      <c r="Q70">
        <f t="shared" si="2"/>
        <v>2</v>
      </c>
      <c r="R70">
        <f t="shared" si="3"/>
        <v>0</v>
      </c>
    </row>
    <row r="71" spans="1:18" x14ac:dyDescent="0.25">
      <c r="A71" s="1">
        <v>45373</v>
      </c>
      <c r="B71" t="s">
        <v>68</v>
      </c>
      <c r="C71" t="s">
        <v>3</v>
      </c>
      <c r="D71" t="b">
        <v>1</v>
      </c>
      <c r="E71">
        <v>129</v>
      </c>
      <c r="F71">
        <v>102</v>
      </c>
      <c r="G71">
        <v>47</v>
      </c>
      <c r="H71" s="6">
        <v>0.52800000000000002</v>
      </c>
      <c r="I71">
        <v>16</v>
      </c>
      <c r="J71" s="6">
        <v>0.35599999999999998</v>
      </c>
      <c r="K71">
        <v>19</v>
      </c>
      <c r="L71" s="6">
        <v>0.70399999999999996</v>
      </c>
      <c r="M71">
        <v>132.69999999999999</v>
      </c>
      <c r="N71" s="7">
        <v>104.9</v>
      </c>
      <c r="O71">
        <v>6</v>
      </c>
      <c r="Q71">
        <f t="shared" si="2"/>
        <v>0</v>
      </c>
      <c r="R71">
        <f t="shared" si="3"/>
        <v>2</v>
      </c>
    </row>
    <row r="72" spans="1:18" x14ac:dyDescent="0.25">
      <c r="A72" s="1">
        <v>45374</v>
      </c>
      <c r="B72" t="s">
        <v>62</v>
      </c>
      <c r="C72" t="s">
        <v>3</v>
      </c>
      <c r="D72" t="b">
        <v>1</v>
      </c>
      <c r="E72">
        <v>124</v>
      </c>
      <c r="F72">
        <v>113</v>
      </c>
      <c r="G72">
        <v>44</v>
      </c>
      <c r="H72" s="6">
        <v>0.51200000000000001</v>
      </c>
      <c r="I72">
        <v>21</v>
      </c>
      <c r="J72" s="6">
        <v>0.438</v>
      </c>
      <c r="K72">
        <v>15</v>
      </c>
      <c r="L72" s="6">
        <v>0.88200000000000001</v>
      </c>
      <c r="M72">
        <v>137.4</v>
      </c>
      <c r="N72" s="7">
        <v>125.2</v>
      </c>
      <c r="O72">
        <v>9</v>
      </c>
      <c r="Q72">
        <f t="shared" si="2"/>
        <v>0</v>
      </c>
      <c r="R72">
        <f t="shared" si="3"/>
        <v>2</v>
      </c>
    </row>
    <row r="73" spans="1:18" x14ac:dyDescent="0.25">
      <c r="A73" s="1">
        <v>45376</v>
      </c>
      <c r="B73" t="s">
        <v>61</v>
      </c>
      <c r="C73" t="s">
        <v>3</v>
      </c>
      <c r="D73" t="b">
        <v>0</v>
      </c>
      <c r="E73">
        <v>118</v>
      </c>
      <c r="F73">
        <v>120</v>
      </c>
      <c r="G73">
        <v>47</v>
      </c>
      <c r="H73" s="6">
        <v>0.495</v>
      </c>
      <c r="I73">
        <v>11</v>
      </c>
      <c r="J73" s="6">
        <v>0.28899999999999998</v>
      </c>
      <c r="K73">
        <v>13</v>
      </c>
      <c r="L73" s="6">
        <v>0.68400000000000005</v>
      </c>
      <c r="M73">
        <v>127.3</v>
      </c>
      <c r="N73" s="7">
        <v>129.5</v>
      </c>
      <c r="O73">
        <v>3</v>
      </c>
      <c r="Q73">
        <f t="shared" si="2"/>
        <v>0</v>
      </c>
      <c r="R73">
        <f t="shared" si="3"/>
        <v>1</v>
      </c>
    </row>
    <row r="74" spans="1:18" x14ac:dyDescent="0.25">
      <c r="A74" s="1">
        <v>45379</v>
      </c>
      <c r="B74" t="s">
        <v>61</v>
      </c>
      <c r="C74" t="s">
        <v>3</v>
      </c>
      <c r="D74" t="b">
        <v>0</v>
      </c>
      <c r="E74">
        <v>122</v>
      </c>
      <c r="F74">
        <v>123</v>
      </c>
      <c r="G74">
        <v>45</v>
      </c>
      <c r="H74" s="6">
        <v>0.47899999999999998</v>
      </c>
      <c r="I74">
        <v>14</v>
      </c>
      <c r="J74" s="6">
        <v>0.38900000000000001</v>
      </c>
      <c r="K74">
        <v>18</v>
      </c>
      <c r="L74" s="6">
        <v>0.85699999999999998</v>
      </c>
      <c r="M74">
        <v>119.6</v>
      </c>
      <c r="N74" s="7">
        <v>120.6</v>
      </c>
      <c r="O74">
        <v>0</v>
      </c>
      <c r="Q74">
        <f t="shared" si="2"/>
        <v>0</v>
      </c>
      <c r="R74">
        <f t="shared" si="3"/>
        <v>1</v>
      </c>
    </row>
    <row r="75" spans="1:18" x14ac:dyDescent="0.25">
      <c r="A75" s="1">
        <v>45381</v>
      </c>
      <c r="B75" t="s">
        <v>74</v>
      </c>
      <c r="C75" t="s">
        <v>3</v>
      </c>
      <c r="D75" t="b">
        <v>1</v>
      </c>
      <c r="E75">
        <v>104</v>
      </c>
      <c r="F75">
        <v>92</v>
      </c>
      <c r="G75">
        <v>39</v>
      </c>
      <c r="H75" s="6">
        <v>0.47599999999999998</v>
      </c>
      <c r="I75">
        <v>15</v>
      </c>
      <c r="J75" s="6">
        <v>0.40500000000000003</v>
      </c>
      <c r="K75">
        <v>11</v>
      </c>
      <c r="L75" s="6">
        <v>0.91700000000000004</v>
      </c>
      <c r="M75">
        <v>114.9</v>
      </c>
      <c r="N75" s="7">
        <v>101.6</v>
      </c>
      <c r="O75">
        <v>0</v>
      </c>
      <c r="Q75">
        <f t="shared" si="2"/>
        <v>0</v>
      </c>
      <c r="R75">
        <f t="shared" si="3"/>
        <v>2</v>
      </c>
    </row>
    <row r="76" spans="1:18" x14ac:dyDescent="0.25">
      <c r="A76" s="1">
        <v>45383</v>
      </c>
      <c r="B76" t="s">
        <v>58</v>
      </c>
      <c r="C76" t="s">
        <v>3</v>
      </c>
      <c r="D76" t="b">
        <v>1</v>
      </c>
      <c r="E76">
        <v>118</v>
      </c>
      <c r="F76">
        <v>104</v>
      </c>
      <c r="G76">
        <v>43</v>
      </c>
      <c r="H76" s="6">
        <v>0.48299999999999998</v>
      </c>
      <c r="I76">
        <v>19</v>
      </c>
      <c r="J76" s="6">
        <v>0.35799999999999998</v>
      </c>
      <c r="K76">
        <v>13</v>
      </c>
      <c r="L76" s="6">
        <v>0.81299999999999994</v>
      </c>
      <c r="M76">
        <v>127.4</v>
      </c>
      <c r="N76" s="7">
        <v>112.3</v>
      </c>
      <c r="O76">
        <v>4</v>
      </c>
      <c r="Q76">
        <f t="shared" si="2"/>
        <v>0</v>
      </c>
      <c r="R76">
        <f t="shared" si="3"/>
        <v>2</v>
      </c>
    </row>
    <row r="77" spans="1:18" x14ac:dyDescent="0.25">
      <c r="A77" s="1">
        <v>45385</v>
      </c>
      <c r="B77" t="s">
        <v>70</v>
      </c>
      <c r="C77" t="s">
        <v>50</v>
      </c>
      <c r="D77" t="b">
        <v>1</v>
      </c>
      <c r="E77">
        <v>135</v>
      </c>
      <c r="F77">
        <v>100</v>
      </c>
      <c r="G77">
        <v>50</v>
      </c>
      <c r="H77" s="6">
        <v>0.54300000000000004</v>
      </c>
      <c r="I77">
        <v>17</v>
      </c>
      <c r="J77" s="6">
        <v>0.42499999999999999</v>
      </c>
      <c r="K77">
        <v>18</v>
      </c>
      <c r="L77" s="6">
        <v>0.94699999999999995</v>
      </c>
      <c r="M77">
        <v>138.30000000000001</v>
      </c>
      <c r="N77" s="7">
        <v>102.4</v>
      </c>
      <c r="O77">
        <v>0</v>
      </c>
      <c r="Q77">
        <f t="shared" si="2"/>
        <v>2</v>
      </c>
      <c r="R77">
        <f t="shared" si="3"/>
        <v>0</v>
      </c>
    </row>
    <row r="78" spans="1:18" x14ac:dyDescent="0.25">
      <c r="A78" s="1">
        <v>45387</v>
      </c>
      <c r="B78" t="s">
        <v>65</v>
      </c>
      <c r="C78" t="s">
        <v>50</v>
      </c>
      <c r="D78" t="b">
        <v>1</v>
      </c>
      <c r="E78">
        <v>101</v>
      </c>
      <c r="F78">
        <v>100</v>
      </c>
      <c r="G78">
        <v>38</v>
      </c>
      <c r="H78" s="6">
        <v>0.42699999999999999</v>
      </c>
      <c r="I78">
        <v>12</v>
      </c>
      <c r="J78" s="6">
        <v>0.27300000000000002</v>
      </c>
      <c r="K78">
        <v>13</v>
      </c>
      <c r="L78" s="6">
        <v>0.72199999999999998</v>
      </c>
      <c r="M78">
        <v>110.1</v>
      </c>
      <c r="N78" s="7">
        <v>109</v>
      </c>
      <c r="O78">
        <v>3</v>
      </c>
      <c r="Q78">
        <f t="shared" si="2"/>
        <v>2</v>
      </c>
      <c r="R78">
        <f t="shared" si="3"/>
        <v>0</v>
      </c>
    </row>
    <row r="79" spans="1:18" x14ac:dyDescent="0.25">
      <c r="A79" s="1">
        <v>45389</v>
      </c>
      <c r="B79" t="s">
        <v>76</v>
      </c>
      <c r="C79" t="s">
        <v>50</v>
      </c>
      <c r="D79" t="b">
        <v>1</v>
      </c>
      <c r="E79">
        <v>124</v>
      </c>
      <c r="F79">
        <v>107</v>
      </c>
      <c r="G79">
        <v>49</v>
      </c>
      <c r="H79" s="6">
        <v>0.56299999999999994</v>
      </c>
      <c r="I79">
        <v>16</v>
      </c>
      <c r="J79" s="6">
        <v>0.42099999999999999</v>
      </c>
      <c r="K79">
        <v>10</v>
      </c>
      <c r="L79" s="6">
        <v>0.76900000000000002</v>
      </c>
      <c r="M79">
        <v>127.7</v>
      </c>
      <c r="N79" s="7">
        <v>110.2</v>
      </c>
      <c r="O79">
        <v>5</v>
      </c>
      <c r="Q79">
        <f t="shared" si="2"/>
        <v>2</v>
      </c>
      <c r="R79">
        <f t="shared" si="3"/>
        <v>0</v>
      </c>
    </row>
    <row r="80" spans="1:18" x14ac:dyDescent="0.25">
      <c r="A80" s="1">
        <v>45391</v>
      </c>
      <c r="B80" t="s">
        <v>59</v>
      </c>
      <c r="C80" t="s">
        <v>3</v>
      </c>
      <c r="D80" t="b">
        <v>0</v>
      </c>
      <c r="E80">
        <v>91</v>
      </c>
      <c r="F80">
        <v>104</v>
      </c>
      <c r="G80">
        <v>37</v>
      </c>
      <c r="H80" s="6">
        <v>0.39800000000000002</v>
      </c>
      <c r="I80">
        <v>17</v>
      </c>
      <c r="J80" s="6">
        <v>0.32700000000000001</v>
      </c>
      <c r="K80">
        <v>0</v>
      </c>
      <c r="L80" s="6" t="s">
        <v>77</v>
      </c>
      <c r="M80">
        <v>102.6</v>
      </c>
      <c r="N80" s="7">
        <v>117.2</v>
      </c>
      <c r="O80">
        <v>3</v>
      </c>
      <c r="Q80">
        <f t="shared" si="2"/>
        <v>0</v>
      </c>
      <c r="R80">
        <f t="shared" si="3"/>
        <v>1</v>
      </c>
    </row>
    <row r="81" spans="1:18" x14ac:dyDescent="0.25">
      <c r="A81" s="1">
        <v>45393</v>
      </c>
      <c r="B81" t="s">
        <v>2</v>
      </c>
      <c r="C81" t="s">
        <v>50</v>
      </c>
      <c r="D81" t="b">
        <v>0</v>
      </c>
      <c r="E81">
        <v>109</v>
      </c>
      <c r="F81">
        <v>118</v>
      </c>
      <c r="G81">
        <v>40</v>
      </c>
      <c r="H81" s="6">
        <v>0.46500000000000002</v>
      </c>
      <c r="I81">
        <v>16</v>
      </c>
      <c r="J81" s="6">
        <v>0.38100000000000001</v>
      </c>
      <c r="K81">
        <v>13</v>
      </c>
      <c r="L81" s="6">
        <v>0.81299999999999994</v>
      </c>
      <c r="M81">
        <v>116.4</v>
      </c>
      <c r="N81" s="7">
        <v>126</v>
      </c>
      <c r="O81">
        <v>0</v>
      </c>
      <c r="Q81">
        <f t="shared" si="2"/>
        <v>1</v>
      </c>
      <c r="R81">
        <f t="shared" si="3"/>
        <v>0</v>
      </c>
    </row>
    <row r="82" spans="1:18" x14ac:dyDescent="0.25">
      <c r="A82" s="1">
        <v>45394</v>
      </c>
      <c r="B82" t="s">
        <v>58</v>
      </c>
      <c r="C82" t="s">
        <v>50</v>
      </c>
      <c r="D82" t="b">
        <v>1</v>
      </c>
      <c r="E82">
        <v>131</v>
      </c>
      <c r="F82">
        <v>98</v>
      </c>
      <c r="G82">
        <v>54</v>
      </c>
      <c r="H82" s="6">
        <v>0.51900000000000002</v>
      </c>
      <c r="I82">
        <v>14</v>
      </c>
      <c r="J82" s="6">
        <v>0.34100000000000003</v>
      </c>
      <c r="K82">
        <v>9</v>
      </c>
      <c r="L82" s="6">
        <v>0.69199999999999995</v>
      </c>
      <c r="M82">
        <v>134.1</v>
      </c>
      <c r="N82" s="7">
        <v>100.3</v>
      </c>
      <c r="O82">
        <v>15</v>
      </c>
      <c r="Q82">
        <f t="shared" si="2"/>
        <v>2</v>
      </c>
      <c r="R82">
        <f t="shared" si="3"/>
        <v>0</v>
      </c>
    </row>
    <row r="83" spans="1:18" x14ac:dyDescent="0.25">
      <c r="A83" s="1">
        <v>45396</v>
      </c>
      <c r="B83" t="s">
        <v>51</v>
      </c>
      <c r="C83" t="s">
        <v>50</v>
      </c>
      <c r="D83" t="b">
        <v>1</v>
      </c>
      <c r="E83">
        <v>132</v>
      </c>
      <c r="F83">
        <v>122</v>
      </c>
      <c r="G83">
        <v>51</v>
      </c>
      <c r="H83" s="6">
        <v>0.57299999999999995</v>
      </c>
      <c r="I83">
        <v>16</v>
      </c>
      <c r="J83" s="6">
        <v>0.5</v>
      </c>
      <c r="K83">
        <v>14</v>
      </c>
      <c r="L83" s="6">
        <v>0.66700000000000004</v>
      </c>
      <c r="M83">
        <v>126.5</v>
      </c>
      <c r="N83" s="7">
        <v>116.9</v>
      </c>
      <c r="O83">
        <v>15</v>
      </c>
      <c r="Q83">
        <f t="shared" si="2"/>
        <v>2</v>
      </c>
      <c r="R83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Celtics</vt:lpstr>
      <vt:lpstr>Celtics Game Data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Parker</dc:creator>
  <cp:lastModifiedBy>Michael Parker</cp:lastModifiedBy>
  <dcterms:created xsi:type="dcterms:W3CDTF">2024-04-29T19:06:24Z</dcterms:created>
  <dcterms:modified xsi:type="dcterms:W3CDTF">2024-04-30T20:02:50Z</dcterms:modified>
</cp:coreProperties>
</file>