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Escritorio\"/>
    </mc:Choice>
  </mc:AlternateContent>
  <xr:revisionPtr revIDLastSave="0" documentId="13_ncr:1_{FEB7950F-08F5-4962-90DE-BDF95CFEED15}" xr6:coauthVersionLast="46" xr6:coauthVersionMax="46" xr10:uidLastSave="{00000000-0000-0000-0000-000000000000}"/>
  <bookViews>
    <workbookView xWindow="-108" yWindow="-108" windowWidth="23256" windowHeight="12576" xr2:uid="{39B1C66A-C1EF-467F-BAC1-1E13116E60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1" l="1"/>
  <c r="A72" i="1"/>
  <c r="E18" i="1"/>
  <c r="F70" i="1"/>
  <c r="G66" i="1"/>
  <c r="E70" i="1" s="1"/>
  <c r="A66" i="1"/>
  <c r="B47" i="1"/>
  <c r="C47" i="1" s="1"/>
  <c r="B45" i="1"/>
  <c r="B44" i="1" s="1"/>
  <c r="C44" i="1" s="1"/>
  <c r="D44" i="1" s="1"/>
  <c r="J12" i="1"/>
  <c r="E16" i="1"/>
  <c r="D78" i="1" l="1"/>
  <c r="F78" i="1" s="1"/>
  <c r="C13" i="1"/>
  <c r="I5" i="1" s="1"/>
  <c r="I6" i="1" s="1"/>
  <c r="E19" i="1" s="1"/>
  <c r="D74" i="1" l="1"/>
  <c r="F74" i="1" s="1"/>
  <c r="G70" i="1"/>
  <c r="E72" i="1" s="1"/>
  <c r="F72" i="1" s="1"/>
  <c r="G72" i="1" s="1"/>
  <c r="D86" i="1"/>
  <c r="D82" i="1"/>
  <c r="B15" i="1"/>
  <c r="G74" i="1" l="1"/>
  <c r="G78" i="1" s="1"/>
  <c r="E82" i="1" s="1"/>
  <c r="F82" i="1" s="1"/>
  <c r="G82" i="1" s="1"/>
  <c r="B18" i="1"/>
  <c r="F22" i="1"/>
  <c r="E86" i="1" l="1"/>
  <c r="F86" i="1" s="1"/>
  <c r="G86" i="1" s="1"/>
  <c r="D90" i="1" s="1"/>
  <c r="D23" i="1"/>
  <c r="C23" i="1"/>
  <c r="E23" i="1" s="1"/>
  <c r="F23" i="1" s="1"/>
  <c r="C24" i="1"/>
  <c r="C26" i="1"/>
  <c r="C25" i="1"/>
  <c r="D24" i="1" l="1"/>
  <c r="E24" i="1" s="1"/>
  <c r="F24" i="1"/>
  <c r="D25" i="1" s="1"/>
  <c r="E25" i="1" s="1"/>
  <c r="F25" i="1" s="1"/>
  <c r="D26" i="1" l="1"/>
  <c r="E26" i="1" s="1"/>
  <c r="F26" i="1"/>
</calcChain>
</file>

<file path=xl/sharedStrings.xml><?xml version="1.0" encoding="utf-8"?>
<sst xmlns="http://schemas.openxmlformats.org/spreadsheetml/2006/main" count="47" uniqueCount="40">
  <si>
    <t xml:space="preserve">año 1. La Tasa de Oportunidad es de 12.5%. La Tasa de Impuesto es del 31%. </t>
  </si>
  <si>
    <t>Se pide:</t>
  </si>
  <si>
    <t>VPN</t>
  </si>
  <si>
    <t xml:space="preserve">TIR </t>
  </si>
  <si>
    <t>B/C Financiero</t>
  </si>
  <si>
    <t>2º Tasas Equivalentes</t>
  </si>
  <si>
    <t>b) Dada una Tasa del 29% S.V Cual es su tasa equivalente T. A. Comprobación $ 80.000.000.</t>
  </si>
  <si>
    <t>3º Periodo de Gracia Muerto</t>
  </si>
  <si>
    <t>1º PARCIAL 3º TERCIO - GRUPO 13</t>
  </si>
  <si>
    <t>a)  Dada una Tasa del 32% T.A. Cual es su tasa equivalente M.V. Comprobación $ 60.000.000.</t>
  </si>
  <si>
    <t>pagadero en cuotas trimestrales, a un plazo de 2 años, con los siguientes condiciones:</t>
  </si>
  <si>
    <t>a) Tiempo de Gracia muerto de 6 meses con el pago de intereses</t>
  </si>
  <si>
    <t>b) Tiempo de Gracia muerto de 6 meses sin el pago de intereses.</t>
  </si>
  <si>
    <t>d) Cuota Extrordinaria Pactada de $ 10.000.000 en el periodo 6.</t>
  </si>
  <si>
    <t>1º Un Proyecto de Inversión require recursos por valor de $ 700.000.000, el cual esta financiado</t>
  </si>
  <si>
    <t>Tabla de amortización del prestamo</t>
  </si>
  <si>
    <t>en el 65% a una tasa del 28% E.A. el cual se cancelara en 4 cuotas anuales iguales a partir del</t>
  </si>
  <si>
    <t>Se otorga una prestamo por la suma de $ 80.000.000, a una tasa del 22% Efectivo Anual</t>
  </si>
  <si>
    <t>El FLUJO DE CAJA,  es el siguiente:</t>
  </si>
  <si>
    <t>EVA</t>
  </si>
  <si>
    <t>VALOR A FINANCIAR</t>
  </si>
  <si>
    <t>VP</t>
  </si>
  <si>
    <t>i</t>
  </si>
  <si>
    <t>n</t>
  </si>
  <si>
    <t>C</t>
  </si>
  <si>
    <t>TIR</t>
  </si>
  <si>
    <t>Tasa de Impuesto</t>
  </si>
  <si>
    <t xml:space="preserve">Tasa de Captación </t>
  </si>
  <si>
    <t xml:space="preserve">Kd </t>
  </si>
  <si>
    <t>Beta Apalancado</t>
  </si>
  <si>
    <t>CO</t>
  </si>
  <si>
    <t>Ko</t>
  </si>
  <si>
    <t>Periodo</t>
  </si>
  <si>
    <t>Cuota</t>
  </si>
  <si>
    <t>Intereses</t>
  </si>
  <si>
    <t>Abono</t>
  </si>
  <si>
    <t>Saldo</t>
  </si>
  <si>
    <t>B/C</t>
  </si>
  <si>
    <t>PERIODO 0</t>
  </si>
  <si>
    <t>V.A.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</si>
</sst>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0000000_-;\-* #,##0.00000000_-;_-* &quot;-&quot;??_-;_-@_-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8C8C8C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 applyFont="1"/>
    <xf numFmtId="0" fontId="2" fillId="0" borderId="0" xfId="0" applyFont="1"/>
    <xf numFmtId="9" fontId="0" fillId="0" borderId="0" xfId="3" applyFont="1"/>
    <xf numFmtId="0" fontId="5" fillId="0" borderId="5" xfId="0" applyFont="1" applyBorder="1"/>
    <xf numFmtId="9" fontId="5" fillId="0" borderId="6" xfId="3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/>
    <xf numFmtId="10" fontId="0" fillId="0" borderId="0" xfId="3" applyNumberFormat="1" applyFont="1"/>
    <xf numFmtId="0" fontId="6" fillId="0" borderId="6" xfId="0" applyFont="1" applyBorder="1"/>
    <xf numFmtId="0" fontId="4" fillId="0" borderId="0" xfId="0" applyFont="1"/>
    <xf numFmtId="43" fontId="0" fillId="0" borderId="0" xfId="1" applyFont="1"/>
    <xf numFmtId="164" fontId="0" fillId="0" borderId="0" xfId="0" applyNumberFormat="1"/>
    <xf numFmtId="164" fontId="0" fillId="0" borderId="9" xfId="0" applyNumberFormat="1" applyBorder="1"/>
    <xf numFmtId="0" fontId="7" fillId="0" borderId="0" xfId="0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9" xfId="0" applyBorder="1"/>
    <xf numFmtId="167" fontId="0" fillId="0" borderId="0" xfId="3" applyNumberFormat="1" applyFont="1"/>
    <xf numFmtId="8" fontId="0" fillId="0" borderId="0" xfId="0" applyNumberFormat="1"/>
    <xf numFmtId="44" fontId="0" fillId="0" borderId="0" xfId="2" applyFont="1"/>
    <xf numFmtId="44" fontId="0" fillId="0" borderId="0" xfId="0" applyNumberFormat="1"/>
    <xf numFmtId="164" fontId="1" fillId="0" borderId="0" xfId="1" applyNumberFormat="1" applyFont="1"/>
    <xf numFmtId="43" fontId="1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0AFE-C3DB-4689-A80E-ADADC56E3EAA}">
  <dimension ref="A1:J90"/>
  <sheetViews>
    <sheetView tabSelected="1" topLeftCell="A56" workbookViewId="0">
      <selection activeCell="F91" sqref="F91"/>
    </sheetView>
  </sheetViews>
  <sheetFormatPr baseColWidth="10" defaultRowHeight="14.4" x14ac:dyDescent="0.3"/>
  <cols>
    <col min="1" max="2" width="14.109375" bestFit="1" customWidth="1"/>
    <col min="3" max="3" width="13.109375" bestFit="1" customWidth="1"/>
    <col min="4" max="4" width="18.88671875" customWidth="1"/>
    <col min="5" max="5" width="14.5546875" bestFit="1" customWidth="1"/>
    <col min="6" max="7" width="15.5546875" bestFit="1" customWidth="1"/>
    <col min="9" max="9" width="15.88671875" bestFit="1" customWidth="1"/>
  </cols>
  <sheetData>
    <row r="1" spans="1:10" ht="15" thickBot="1" x14ac:dyDescent="0.35"/>
    <row r="2" spans="1:10" ht="15" thickBot="1" x14ac:dyDescent="0.35">
      <c r="B2" s="28" t="s">
        <v>8</v>
      </c>
      <c r="C2" s="29"/>
      <c r="D2" s="29"/>
      <c r="E2" s="29"/>
      <c r="F2" s="30"/>
    </row>
    <row r="4" spans="1:10" x14ac:dyDescent="0.3">
      <c r="A4" t="s">
        <v>14</v>
      </c>
      <c r="I4" s="2">
        <v>-700000000</v>
      </c>
    </row>
    <row r="5" spans="1:10" x14ac:dyDescent="0.3">
      <c r="A5" t="s">
        <v>16</v>
      </c>
      <c r="I5" s="17">
        <f>+C13</f>
        <v>455000000</v>
      </c>
    </row>
    <row r="6" spans="1:10" x14ac:dyDescent="0.3">
      <c r="A6" t="s">
        <v>0</v>
      </c>
      <c r="H6" t="s">
        <v>38</v>
      </c>
      <c r="I6" s="16">
        <f>+I4+I5</f>
        <v>-245000000</v>
      </c>
    </row>
    <row r="7" spans="1:10" x14ac:dyDescent="0.3">
      <c r="A7" t="s">
        <v>18</v>
      </c>
    </row>
    <row r="8" spans="1:10" ht="15" thickBot="1" x14ac:dyDescent="0.35"/>
    <row r="9" spans="1:10" ht="15" thickBot="1" x14ac:dyDescent="0.35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I9" s="7" t="s">
        <v>26</v>
      </c>
      <c r="J9" s="8">
        <v>0.31</v>
      </c>
    </row>
    <row r="10" spans="1:10" x14ac:dyDescent="0.3">
      <c r="I10" s="9" t="s">
        <v>27</v>
      </c>
      <c r="J10" s="8">
        <v>0.28000000000000003</v>
      </c>
    </row>
    <row r="11" spans="1:10" x14ac:dyDescent="0.3">
      <c r="B11" s="2">
        <v>-45620100</v>
      </c>
      <c r="C11" s="2">
        <v>-36750600</v>
      </c>
      <c r="D11" s="2">
        <v>54185645</v>
      </c>
      <c r="E11" s="2">
        <v>102760800</v>
      </c>
      <c r="F11" s="2">
        <v>147672800</v>
      </c>
      <c r="G11" s="2">
        <v>530453200</v>
      </c>
    </row>
    <row r="12" spans="1:10" x14ac:dyDescent="0.3">
      <c r="B12" s="2"/>
      <c r="C12" s="2"/>
      <c r="D12" s="2"/>
      <c r="E12" s="2"/>
      <c r="F12" s="2"/>
      <c r="G12" s="2"/>
      <c r="I12" s="10" t="s">
        <v>28</v>
      </c>
      <c r="J12" s="12">
        <f>+J10*(1-J9)</f>
        <v>0.19320000000000001</v>
      </c>
    </row>
    <row r="13" spans="1:10" x14ac:dyDescent="0.3">
      <c r="A13" s="14" t="s">
        <v>20</v>
      </c>
      <c r="B13" s="2"/>
      <c r="C13" s="2">
        <f>700000000*0.65</f>
        <v>455000000</v>
      </c>
      <c r="D13" s="2"/>
      <c r="E13" s="2"/>
      <c r="F13" s="2"/>
      <c r="G13" s="2"/>
      <c r="I13" s="11"/>
    </row>
    <row r="14" spans="1:10" x14ac:dyDescent="0.3">
      <c r="B14" s="2"/>
      <c r="C14" s="2"/>
      <c r="D14" s="2"/>
      <c r="E14" s="2"/>
      <c r="F14" s="2"/>
      <c r="G14" s="2"/>
      <c r="I14" s="10" t="s">
        <v>29</v>
      </c>
    </row>
    <row r="15" spans="1:10" x14ac:dyDescent="0.3">
      <c r="A15" t="s">
        <v>21</v>
      </c>
      <c r="B15" s="2">
        <f>+C13</f>
        <v>455000000</v>
      </c>
      <c r="C15" s="2"/>
      <c r="D15" s="2"/>
      <c r="E15" s="2"/>
      <c r="F15" s="2"/>
      <c r="G15" s="2"/>
      <c r="I15" s="11"/>
    </row>
    <row r="16" spans="1:10" x14ac:dyDescent="0.3">
      <c r="A16" t="s">
        <v>22</v>
      </c>
      <c r="B16" s="6">
        <v>0.28000000000000003</v>
      </c>
      <c r="C16" s="2"/>
      <c r="D16" s="2" t="s">
        <v>25</v>
      </c>
      <c r="E16" s="6">
        <f>IRR(B11:G11)</f>
        <v>0.88031228167049891</v>
      </c>
      <c r="F16" s="2"/>
      <c r="G16" s="2"/>
      <c r="I16" s="10" t="s">
        <v>30</v>
      </c>
    </row>
    <row r="17" spans="1:9" x14ac:dyDescent="0.3">
      <c r="A17" t="s">
        <v>23</v>
      </c>
      <c r="B17" s="2">
        <v>4</v>
      </c>
      <c r="C17" s="2"/>
      <c r="D17" s="2" t="s">
        <v>19</v>
      </c>
      <c r="E17" s="2"/>
      <c r="F17" s="2"/>
      <c r="G17" s="2"/>
      <c r="I17" s="11"/>
    </row>
    <row r="18" spans="1:9" x14ac:dyDescent="0.3">
      <c r="A18" t="s">
        <v>24</v>
      </c>
      <c r="B18" s="2">
        <f>PMT(B16,B17,-B15)</f>
        <v>203037281.49968615</v>
      </c>
      <c r="C18" s="2"/>
      <c r="D18" s="2" t="s">
        <v>2</v>
      </c>
      <c r="E18" s="26">
        <f>(NPV(J18,B11:G11))+I6</f>
        <v>507701745</v>
      </c>
      <c r="F18" s="2"/>
      <c r="G18" s="2"/>
      <c r="I18" s="10" t="s">
        <v>31</v>
      </c>
    </row>
    <row r="19" spans="1:9" x14ac:dyDescent="0.3">
      <c r="B19" s="2"/>
      <c r="C19" s="2"/>
      <c r="D19" s="2" t="s">
        <v>37</v>
      </c>
      <c r="E19" s="27">
        <f>+E18/I6</f>
        <v>-2.0722520204081634</v>
      </c>
      <c r="F19" s="2"/>
      <c r="G19" s="2"/>
    </row>
    <row r="20" spans="1:9" x14ac:dyDescent="0.3">
      <c r="B20" s="2"/>
      <c r="C20" s="2"/>
      <c r="D20" s="2"/>
      <c r="E20" s="26"/>
      <c r="F20" s="2"/>
      <c r="G20" s="2"/>
    </row>
    <row r="21" spans="1:9" x14ac:dyDescent="0.3"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2"/>
    </row>
    <row r="22" spans="1:9" x14ac:dyDescent="0.3">
      <c r="B22" s="2">
        <v>0</v>
      </c>
      <c r="C22" s="2"/>
      <c r="D22" s="2"/>
      <c r="E22" s="2"/>
      <c r="F22" s="2">
        <f>+B15</f>
        <v>455000000</v>
      </c>
      <c r="G22" s="2"/>
    </row>
    <row r="23" spans="1:9" x14ac:dyDescent="0.3">
      <c r="B23" s="2">
        <v>1</v>
      </c>
      <c r="C23" s="2">
        <f>+$B$18</f>
        <v>203037281.49968615</v>
      </c>
      <c r="D23" s="2">
        <f>+F22*$B$16</f>
        <v>127400000.00000001</v>
      </c>
      <c r="E23" s="2">
        <f>+C23-D23</f>
        <v>75637281.499686137</v>
      </c>
      <c r="F23" s="2">
        <f>+F22-E23</f>
        <v>379362718.50031388</v>
      </c>
      <c r="G23" s="2"/>
    </row>
    <row r="24" spans="1:9" x14ac:dyDescent="0.3">
      <c r="B24" s="2">
        <v>2</v>
      </c>
      <c r="C24" s="2">
        <f t="shared" ref="C24:C26" si="0">+$B$18</f>
        <v>203037281.49968615</v>
      </c>
      <c r="D24" s="2">
        <f t="shared" ref="D24:D26" si="1">+F23*$B$16</f>
        <v>106221561.18008789</v>
      </c>
      <c r="E24" s="2">
        <f t="shared" ref="E24:E26" si="2">+C24-D24</f>
        <v>96815720.319598258</v>
      </c>
      <c r="F24" s="2">
        <f t="shared" ref="F24:F26" si="3">+F23-E24</f>
        <v>282546998.18071562</v>
      </c>
      <c r="G24" s="2"/>
    </row>
    <row r="25" spans="1:9" x14ac:dyDescent="0.3">
      <c r="B25" s="2">
        <v>3</v>
      </c>
      <c r="C25" s="2">
        <f t="shared" si="0"/>
        <v>203037281.49968615</v>
      </c>
      <c r="D25" s="2">
        <f t="shared" si="1"/>
        <v>79113159.490600377</v>
      </c>
      <c r="E25" s="2">
        <f t="shared" si="2"/>
        <v>123924122.00908577</v>
      </c>
      <c r="F25" s="2">
        <f t="shared" si="3"/>
        <v>158622876.17162985</v>
      </c>
      <c r="G25" s="2"/>
    </row>
    <row r="26" spans="1:9" x14ac:dyDescent="0.3">
      <c r="B26" s="2">
        <v>4</v>
      </c>
      <c r="C26" s="2">
        <f t="shared" si="0"/>
        <v>203037281.49968615</v>
      </c>
      <c r="D26" s="2">
        <f t="shared" si="1"/>
        <v>44414405.328056358</v>
      </c>
      <c r="E26" s="2">
        <f t="shared" si="2"/>
        <v>158622876.17162979</v>
      </c>
      <c r="F26" s="2">
        <f t="shared" si="3"/>
        <v>0</v>
      </c>
      <c r="G26" s="2"/>
    </row>
    <row r="27" spans="1:9" x14ac:dyDescent="0.3">
      <c r="B27" s="2"/>
      <c r="C27" s="2"/>
      <c r="D27" s="2"/>
      <c r="E27" s="2"/>
      <c r="F27" s="2"/>
      <c r="G27" s="2"/>
    </row>
    <row r="28" spans="1:9" x14ac:dyDescent="0.3">
      <c r="B28" s="2"/>
      <c r="C28" s="2"/>
      <c r="D28" s="2"/>
      <c r="E28" s="2"/>
      <c r="F28" s="2"/>
      <c r="G28" s="2"/>
    </row>
    <row r="29" spans="1:9" x14ac:dyDescent="0.3">
      <c r="B29" s="2"/>
      <c r="C29" s="2"/>
      <c r="D29" s="2"/>
      <c r="E29" s="2"/>
      <c r="F29" s="2"/>
      <c r="G29" s="2"/>
    </row>
    <row r="31" spans="1:9" x14ac:dyDescent="0.3">
      <c r="A31" t="s">
        <v>1</v>
      </c>
    </row>
    <row r="32" spans="1:9" x14ac:dyDescent="0.3">
      <c r="A32" s="5" t="s">
        <v>2</v>
      </c>
      <c r="B32" s="5"/>
      <c r="C32" s="5"/>
    </row>
    <row r="33" spans="1:8" x14ac:dyDescent="0.3">
      <c r="A33" s="5" t="s">
        <v>3</v>
      </c>
      <c r="B33" s="5"/>
      <c r="C33" s="5"/>
    </row>
    <row r="34" spans="1:8" x14ac:dyDescent="0.3">
      <c r="A34" s="5" t="s">
        <v>19</v>
      </c>
      <c r="B34" s="5"/>
      <c r="C34" s="5"/>
    </row>
    <row r="35" spans="1:8" x14ac:dyDescent="0.3">
      <c r="A35" s="5" t="s">
        <v>4</v>
      </c>
      <c r="B35" s="5"/>
      <c r="C35" s="5"/>
    </row>
    <row r="36" spans="1:8" x14ac:dyDescent="0.3">
      <c r="A36" s="5" t="s">
        <v>15</v>
      </c>
      <c r="B36" s="5"/>
      <c r="C36" s="5"/>
    </row>
    <row r="37" spans="1:8" x14ac:dyDescent="0.3">
      <c r="A37" s="5"/>
      <c r="B37" s="5"/>
      <c r="C37" s="5"/>
    </row>
    <row r="38" spans="1:8" x14ac:dyDescent="0.3">
      <c r="A38" s="5"/>
      <c r="B38" s="5"/>
      <c r="C38" s="5"/>
    </row>
    <row r="40" spans="1:8" x14ac:dyDescent="0.3">
      <c r="A40" s="5" t="s">
        <v>5</v>
      </c>
    </row>
    <row r="42" spans="1:8" ht="17.399999999999999" x14ac:dyDescent="0.3">
      <c r="A42" t="s">
        <v>9</v>
      </c>
      <c r="H42" s="18"/>
    </row>
    <row r="43" spans="1:8" ht="17.399999999999999" x14ac:dyDescent="0.3">
      <c r="H43" s="18"/>
    </row>
    <row r="44" spans="1:8" ht="17.399999999999999" x14ac:dyDescent="0.3">
      <c r="A44" t="s">
        <v>39</v>
      </c>
      <c r="B44" s="21">
        <f>1/B45</f>
        <v>1.3958819472486159</v>
      </c>
      <c r="C44">
        <f>+B44-1</f>
        <v>0.39588194724861592</v>
      </c>
      <c r="D44" s="20">
        <f>+C44*100</f>
        <v>39.588194724861594</v>
      </c>
      <c r="H44" s="18"/>
    </row>
    <row r="45" spans="1:8" ht="17.399999999999999" x14ac:dyDescent="0.3">
      <c r="B45" s="19">
        <f>(1-(0.32/4))^4</f>
        <v>0.71639296000000008</v>
      </c>
      <c r="H45" s="18"/>
    </row>
    <row r="46" spans="1:8" ht="17.399999999999999" x14ac:dyDescent="0.3">
      <c r="H46" s="18"/>
    </row>
    <row r="47" spans="1:8" ht="17.399999999999999" x14ac:dyDescent="0.3">
      <c r="B47">
        <f>+(1-((1.39)^(-1/12)))</f>
        <v>2.7068868577481586E-2</v>
      </c>
      <c r="C47" s="22">
        <f>+B47</f>
        <v>2.7068868577481586E-2</v>
      </c>
      <c r="H47" s="18"/>
    </row>
    <row r="48" spans="1:8" ht="17.399999999999999" x14ac:dyDescent="0.3">
      <c r="H48" s="18"/>
    </row>
    <row r="49" spans="1:8" ht="17.399999999999999" x14ac:dyDescent="0.3">
      <c r="H49" s="18"/>
    </row>
    <row r="51" spans="1:8" x14ac:dyDescent="0.3">
      <c r="A51" t="s">
        <v>6</v>
      </c>
    </row>
    <row r="55" spans="1:8" x14ac:dyDescent="0.3">
      <c r="A55" s="5" t="s">
        <v>7</v>
      </c>
    </row>
    <row r="57" spans="1:8" x14ac:dyDescent="0.3">
      <c r="A57" s="4" t="s">
        <v>17</v>
      </c>
      <c r="B57" s="4"/>
      <c r="C57" s="4"/>
      <c r="D57" s="4"/>
      <c r="E57" s="4"/>
      <c r="F57" s="4"/>
      <c r="G57" s="3"/>
      <c r="H57" s="3"/>
    </row>
    <row r="58" spans="1:8" x14ac:dyDescent="0.3">
      <c r="A58" s="4" t="s">
        <v>10</v>
      </c>
      <c r="B58" s="4"/>
      <c r="C58" s="4"/>
      <c r="D58" s="4"/>
      <c r="E58" s="4"/>
      <c r="F58" s="4"/>
      <c r="G58" s="3"/>
      <c r="H58" s="3"/>
    </row>
    <row r="59" spans="1:8" x14ac:dyDescent="0.3">
      <c r="A59" s="4"/>
      <c r="B59" s="4"/>
      <c r="C59" s="4"/>
      <c r="D59" s="4"/>
      <c r="E59" s="4"/>
      <c r="F59" s="4"/>
      <c r="G59" s="3"/>
      <c r="H59" s="3"/>
    </row>
    <row r="60" spans="1:8" x14ac:dyDescent="0.3">
      <c r="A60" s="4" t="s">
        <v>11</v>
      </c>
      <c r="B60" s="4"/>
      <c r="C60" s="4"/>
      <c r="D60" s="4"/>
      <c r="E60" s="4"/>
      <c r="F60" s="4"/>
      <c r="G60" s="3"/>
      <c r="H60" s="3"/>
    </row>
    <row r="61" spans="1:8" x14ac:dyDescent="0.3">
      <c r="A61" s="4" t="s">
        <v>12</v>
      </c>
      <c r="B61" s="4"/>
      <c r="C61" s="4"/>
      <c r="D61" s="4"/>
      <c r="E61" s="4"/>
      <c r="F61" s="4"/>
      <c r="G61" s="3"/>
      <c r="H61" s="3"/>
    </row>
    <row r="62" spans="1:8" x14ac:dyDescent="0.3">
      <c r="A62" s="4" t="s">
        <v>13</v>
      </c>
      <c r="B62" s="4"/>
      <c r="C62" s="4"/>
      <c r="D62" s="4"/>
      <c r="E62" s="4"/>
      <c r="G62" s="3"/>
      <c r="H62" s="3"/>
    </row>
    <row r="63" spans="1:8" x14ac:dyDescent="0.3">
      <c r="A63" s="3"/>
      <c r="B63" s="3"/>
      <c r="C63" s="3"/>
      <c r="D63" s="3"/>
      <c r="E63" s="3"/>
      <c r="G63" s="3"/>
      <c r="H63" s="3"/>
    </row>
    <row r="65" spans="1:7" x14ac:dyDescent="0.3">
      <c r="A65">
        <v>80000000</v>
      </c>
      <c r="C65" s="13" t="s">
        <v>32</v>
      </c>
      <c r="D65" s="13" t="s">
        <v>33</v>
      </c>
      <c r="E65" s="13" t="s">
        <v>34</v>
      </c>
      <c r="F65" s="13" t="s">
        <v>35</v>
      </c>
      <c r="G65" s="13" t="s">
        <v>36</v>
      </c>
    </row>
    <row r="66" spans="1:7" x14ac:dyDescent="0.3">
      <c r="A66" s="22">
        <f>0.22/4</f>
        <v>5.5E-2</v>
      </c>
      <c r="C66">
        <v>0</v>
      </c>
      <c r="G66" s="15">
        <f>+A65</f>
        <v>80000000</v>
      </c>
    </row>
    <row r="67" spans="1:7" hidden="1" x14ac:dyDescent="0.3">
      <c r="C67">
        <v>1</v>
      </c>
    </row>
    <row r="68" spans="1:7" hidden="1" x14ac:dyDescent="0.3">
      <c r="C68">
        <v>2</v>
      </c>
    </row>
    <row r="69" spans="1:7" hidden="1" x14ac:dyDescent="0.3">
      <c r="C69">
        <v>3</v>
      </c>
    </row>
    <row r="70" spans="1:7" x14ac:dyDescent="0.3">
      <c r="A70">
        <v>6</v>
      </c>
      <c r="C70">
        <v>4</v>
      </c>
      <c r="D70" s="23"/>
      <c r="E70" s="24">
        <f>+G66*$A$66</f>
        <v>4400000</v>
      </c>
      <c r="F70" s="24">
        <f>+E70</f>
        <v>4400000</v>
      </c>
      <c r="G70" s="24">
        <f>+G66-F70</f>
        <v>75600000</v>
      </c>
    </row>
    <row r="71" spans="1:7" hidden="1" x14ac:dyDescent="0.3">
      <c r="C71">
        <v>5</v>
      </c>
      <c r="E71" s="24"/>
      <c r="F71" s="24"/>
      <c r="G71" s="24"/>
    </row>
    <row r="72" spans="1:7" x14ac:dyDescent="0.3">
      <c r="A72" s="23">
        <f>PMT(A66,A70,-A65)</f>
        <v>16014315.809790408</v>
      </c>
      <c r="C72">
        <v>6</v>
      </c>
      <c r="D72" s="24">
        <v>10000000</v>
      </c>
      <c r="E72" s="24">
        <f>+A66*G70</f>
        <v>4158000</v>
      </c>
      <c r="F72" s="24">
        <f t="shared" ref="F72" si="4">+D72-E72</f>
        <v>5842000</v>
      </c>
      <c r="G72" s="24">
        <f>+G70-F72</f>
        <v>69758000</v>
      </c>
    </row>
    <row r="73" spans="1:7" hidden="1" x14ac:dyDescent="0.3">
      <c r="C73">
        <v>7</v>
      </c>
      <c r="E73" s="24"/>
      <c r="F73" s="24"/>
      <c r="G73" s="24"/>
    </row>
    <row r="74" spans="1:7" x14ac:dyDescent="0.3">
      <c r="C74">
        <v>8</v>
      </c>
      <c r="D74" s="23">
        <f>+A72</f>
        <v>16014315.809790408</v>
      </c>
      <c r="E74" s="24"/>
      <c r="F74" s="24">
        <f>+D74-E74</f>
        <v>16014315.809790408</v>
      </c>
      <c r="G74" s="24">
        <f>+G72-F74</f>
        <v>53743684.19020959</v>
      </c>
    </row>
    <row r="75" spans="1:7" hidden="1" x14ac:dyDescent="0.3">
      <c r="C75">
        <v>9</v>
      </c>
      <c r="E75" s="24"/>
      <c r="F75" s="24"/>
      <c r="G75" s="24"/>
    </row>
    <row r="76" spans="1:7" hidden="1" x14ac:dyDescent="0.3">
      <c r="C76">
        <v>10</v>
      </c>
      <c r="E76" s="24"/>
      <c r="F76" s="24"/>
      <c r="G76" s="24"/>
    </row>
    <row r="77" spans="1:7" hidden="1" x14ac:dyDescent="0.3">
      <c r="C77">
        <v>11</v>
      </c>
      <c r="E77" s="24"/>
      <c r="F77" s="24"/>
      <c r="G77" s="24"/>
    </row>
    <row r="78" spans="1:7" x14ac:dyDescent="0.3">
      <c r="C78">
        <v>12</v>
      </c>
      <c r="D78" s="23">
        <f>+A72</f>
        <v>16014315.809790408</v>
      </c>
      <c r="E78" s="24"/>
      <c r="F78" s="24">
        <f t="shared" ref="F78" si="5">+D78-E78</f>
        <v>16014315.809790408</v>
      </c>
      <c r="G78" s="24">
        <f>G74-F78</f>
        <v>37729368.38041918</v>
      </c>
    </row>
    <row r="79" spans="1:7" hidden="1" x14ac:dyDescent="0.3">
      <c r="C79">
        <v>13</v>
      </c>
      <c r="E79" s="24"/>
      <c r="F79" s="24"/>
      <c r="G79" s="24"/>
    </row>
    <row r="80" spans="1:7" hidden="1" x14ac:dyDescent="0.3">
      <c r="C80">
        <v>14</v>
      </c>
      <c r="E80" s="24"/>
      <c r="F80" s="24"/>
      <c r="G80" s="24"/>
    </row>
    <row r="81" spans="3:7" hidden="1" x14ac:dyDescent="0.3">
      <c r="C81">
        <v>15</v>
      </c>
      <c r="E81" s="24"/>
      <c r="F81" s="24"/>
      <c r="G81" s="24"/>
    </row>
    <row r="82" spans="3:7" x14ac:dyDescent="0.3">
      <c r="C82">
        <v>16</v>
      </c>
      <c r="D82" s="23">
        <f>+A72</f>
        <v>16014315.809790408</v>
      </c>
      <c r="E82" s="24">
        <f>+A66*G78</f>
        <v>2075115.260923055</v>
      </c>
      <c r="F82" s="24">
        <f>+D82-E82</f>
        <v>13939200.548867352</v>
      </c>
      <c r="G82" s="24">
        <f>+G78-F82</f>
        <v>23790167.831551827</v>
      </c>
    </row>
    <row r="83" spans="3:7" hidden="1" x14ac:dyDescent="0.3">
      <c r="C83">
        <v>17</v>
      </c>
      <c r="E83" s="24"/>
      <c r="F83" s="24"/>
      <c r="G83" s="24"/>
    </row>
    <row r="84" spans="3:7" hidden="1" x14ac:dyDescent="0.3">
      <c r="C84">
        <v>18</v>
      </c>
      <c r="E84" s="24"/>
      <c r="F84" s="24"/>
      <c r="G84" s="24"/>
    </row>
    <row r="85" spans="3:7" hidden="1" x14ac:dyDescent="0.3">
      <c r="C85">
        <v>19</v>
      </c>
    </row>
    <row r="86" spans="3:7" x14ac:dyDescent="0.3">
      <c r="C86">
        <v>20</v>
      </c>
      <c r="D86" s="23">
        <f>+A72</f>
        <v>16014315.809790408</v>
      </c>
      <c r="E86" s="24">
        <f>+A66*G82</f>
        <v>1308459.2307353506</v>
      </c>
      <c r="F86" s="24">
        <f>+D86-E86</f>
        <v>14705856.579055058</v>
      </c>
      <c r="G86" s="25">
        <f>+G82-F86</f>
        <v>9084311.2524967697</v>
      </c>
    </row>
    <row r="87" spans="3:7" hidden="1" x14ac:dyDescent="0.3">
      <c r="C87">
        <v>21</v>
      </c>
    </row>
    <row r="88" spans="3:7" hidden="1" x14ac:dyDescent="0.3">
      <c r="C88">
        <v>22</v>
      </c>
    </row>
    <row r="89" spans="3:7" hidden="1" x14ac:dyDescent="0.3">
      <c r="C89">
        <v>23</v>
      </c>
    </row>
    <row r="90" spans="3:7" x14ac:dyDescent="0.3">
      <c r="C90">
        <v>24</v>
      </c>
      <c r="D90" s="25">
        <f>+G86</f>
        <v>9084311.2524967697</v>
      </c>
      <c r="F90" s="25">
        <f>SUM(F70:F86)</f>
        <v>70915688.747503236</v>
      </c>
    </row>
  </sheetData>
  <mergeCells count="1">
    <mergeCell ref="B2:F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7072cd7-624f-4990-9d73-51f390d8b0e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B1F34074740D4DBED2B55B390CA01D" ma:contentTypeVersion="3" ma:contentTypeDescription="Create a new document." ma:contentTypeScope="" ma:versionID="6229d97f8d6ef3f7c2b1883311ef5568">
  <xsd:schema xmlns:xsd="http://www.w3.org/2001/XMLSchema" xmlns:xs="http://www.w3.org/2001/XMLSchema" xmlns:p="http://schemas.microsoft.com/office/2006/metadata/properties" xmlns:ns2="37072cd7-624f-4990-9d73-51f390d8b0e8" targetNamespace="http://schemas.microsoft.com/office/2006/metadata/properties" ma:root="true" ma:fieldsID="d59cf4c2e98797cb3a6e1e186c0dd6ea" ns2:_="">
    <xsd:import namespace="37072cd7-624f-4990-9d73-51f390d8b0e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72cd7-624f-4990-9d73-51f390d8b0e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8C0A44-BA67-4A90-8B6E-73261FAD07EB}">
  <ds:schemaRefs>
    <ds:schemaRef ds:uri="http://schemas.microsoft.com/office/2006/metadata/properties"/>
    <ds:schemaRef ds:uri="http://schemas.microsoft.com/office/infopath/2007/PartnerControls"/>
    <ds:schemaRef ds:uri="37072cd7-624f-4990-9d73-51f390d8b0e8"/>
  </ds:schemaRefs>
</ds:datastoreItem>
</file>

<file path=customXml/itemProps2.xml><?xml version="1.0" encoding="utf-8"?>
<ds:datastoreItem xmlns:ds="http://schemas.openxmlformats.org/officeDocument/2006/customXml" ds:itemID="{2E2257BD-DBEA-48B9-A22B-7AC515D19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72cd7-624f-4990-9d73-51f390d8b0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B82A6B-0A17-4A91-A12B-FDE18D8647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michael</cp:lastModifiedBy>
  <dcterms:created xsi:type="dcterms:W3CDTF">2021-04-27T16:10:47Z</dcterms:created>
  <dcterms:modified xsi:type="dcterms:W3CDTF">2021-05-08T13:43:24Z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0x0101009AB1F34074740D4DBED2B55B390CA01D</vt:lpwstr>
  </property>
</Properties>
</file>