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Escritorio\"/>
    </mc:Choice>
  </mc:AlternateContent>
  <xr:revisionPtr revIDLastSave="0" documentId="13_ncr:1_{E9CA6EC7-4B44-4CBF-B51C-6590D2825BBC}" xr6:coauthVersionLast="46" xr6:coauthVersionMax="46" xr10:uidLastSave="{00000000-0000-0000-0000-000000000000}"/>
  <bookViews>
    <workbookView minimized="1" xWindow="1920" yWindow="1920" windowWidth="17280" windowHeight="8964" firstSheet="3" activeTab="6" xr2:uid="{6A64CF37-57AA-4556-95BF-702849D3A8AC}"/>
  </bookViews>
  <sheets>
    <sheet name="Ejercicio" sheetId="1" r:id="rId1"/>
    <sheet name="Variables del Proyecto" sheetId="5" r:id="rId2"/>
    <sheet name="Flujo de Caja Neto" sheetId="2" r:id="rId3"/>
    <sheet name="VPN - TIR - BC - EVA - Ko" sheetId="3" r:id="rId4"/>
    <sheet name="Balances Proyectados" sheetId="4" r:id="rId5"/>
    <sheet name="Flujo de Caja Económico" sheetId="6" r:id="rId6"/>
    <sheet name="Flujo de Caja Financier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G16" i="5"/>
  <c r="B34" i="7"/>
  <c r="B30" i="7"/>
  <c r="B28" i="7"/>
  <c r="I25" i="7"/>
  <c r="D25" i="7"/>
  <c r="H25" i="7"/>
  <c r="G25" i="7"/>
  <c r="F25" i="7"/>
  <c r="E25" i="7"/>
  <c r="F22" i="7"/>
  <c r="G22" i="7"/>
  <c r="H22" i="7"/>
  <c r="I22" i="7"/>
  <c r="F21" i="7"/>
  <c r="G21" i="7"/>
  <c r="H21" i="7"/>
  <c r="I21" i="7"/>
  <c r="I24" i="7"/>
  <c r="I23" i="7"/>
  <c r="H23" i="7"/>
  <c r="G23" i="7"/>
  <c r="F23" i="7"/>
  <c r="E23" i="7"/>
  <c r="E22" i="7"/>
  <c r="E21" i="7"/>
  <c r="F20" i="7"/>
  <c r="G20" i="7"/>
  <c r="H20" i="7"/>
  <c r="I20" i="7"/>
  <c r="E20" i="7"/>
  <c r="F19" i="7"/>
  <c r="G19" i="7"/>
  <c r="H19" i="7"/>
  <c r="I19" i="7"/>
  <c r="E19" i="7"/>
  <c r="F18" i="7"/>
  <c r="G18" i="7"/>
  <c r="H18" i="7"/>
  <c r="I18" i="7"/>
  <c r="E18" i="7"/>
  <c r="H17" i="7"/>
  <c r="G17" i="7"/>
  <c r="F17" i="7"/>
  <c r="I17" i="7"/>
  <c r="E17" i="7"/>
  <c r="F16" i="7"/>
  <c r="G16" i="7"/>
  <c r="H16" i="7"/>
  <c r="I16" i="7"/>
  <c r="E16" i="7"/>
  <c r="F15" i="7"/>
  <c r="G15" i="7"/>
  <c r="H15" i="7"/>
  <c r="I15" i="7"/>
  <c r="E15" i="7"/>
  <c r="I14" i="7"/>
  <c r="H14" i="7"/>
  <c r="G14" i="7"/>
  <c r="F14" i="7"/>
  <c r="E14" i="7"/>
  <c r="I13" i="7"/>
  <c r="H13" i="7"/>
  <c r="G13" i="7"/>
  <c r="F13" i="7"/>
  <c r="E13" i="7"/>
  <c r="I12" i="7"/>
  <c r="H12" i="7"/>
  <c r="G12" i="7"/>
  <c r="F12" i="7"/>
  <c r="E12" i="7"/>
  <c r="F10" i="7"/>
  <c r="G10" i="7"/>
  <c r="H10" i="7"/>
  <c r="I10" i="7"/>
  <c r="E10" i="7"/>
  <c r="F9" i="7"/>
  <c r="G9" i="7"/>
  <c r="H9" i="7"/>
  <c r="I9" i="7"/>
  <c r="E9" i="7"/>
  <c r="F8" i="7"/>
  <c r="G8" i="7"/>
  <c r="H8" i="7"/>
  <c r="I8" i="7"/>
  <c r="E8" i="7"/>
  <c r="F7" i="7"/>
  <c r="G7" i="7"/>
  <c r="H7" i="7"/>
  <c r="I7" i="7"/>
  <c r="E7" i="7"/>
  <c r="F6" i="7"/>
  <c r="G6" i="7"/>
  <c r="H6" i="7"/>
  <c r="I6" i="7"/>
  <c r="E6" i="7"/>
  <c r="B26" i="6"/>
  <c r="B24" i="6"/>
  <c r="I22" i="6"/>
  <c r="I21" i="6"/>
  <c r="H22" i="6"/>
  <c r="G22" i="6"/>
  <c r="F22" i="6"/>
  <c r="E22" i="6"/>
  <c r="D22" i="6"/>
  <c r="F20" i="6"/>
  <c r="G20" i="6"/>
  <c r="H20" i="6"/>
  <c r="I20" i="6"/>
  <c r="F19" i="6"/>
  <c r="G19" i="6"/>
  <c r="H19" i="6"/>
  <c r="I19" i="6"/>
  <c r="E20" i="6"/>
  <c r="E19" i="6"/>
  <c r="I18" i="6"/>
  <c r="F18" i="6"/>
  <c r="G18" i="6"/>
  <c r="H18" i="6"/>
  <c r="E18" i="6"/>
  <c r="F17" i="6"/>
  <c r="G17" i="6"/>
  <c r="H17" i="6"/>
  <c r="I17" i="6"/>
  <c r="E17" i="6"/>
  <c r="F16" i="6"/>
  <c r="G16" i="6"/>
  <c r="H16" i="6"/>
  <c r="I16" i="6"/>
  <c r="E16" i="6"/>
  <c r="F15" i="6"/>
  <c r="G15" i="6"/>
  <c r="H15" i="6"/>
  <c r="I15" i="6"/>
  <c r="E15" i="6"/>
  <c r="I14" i="6"/>
  <c r="H14" i="6"/>
  <c r="G14" i="6"/>
  <c r="F14" i="6"/>
  <c r="E14" i="6"/>
  <c r="I13" i="6"/>
  <c r="H13" i="6"/>
  <c r="G13" i="6"/>
  <c r="F13" i="6"/>
  <c r="E13" i="6"/>
  <c r="F12" i="6"/>
  <c r="G12" i="6"/>
  <c r="H12" i="6"/>
  <c r="I12" i="6"/>
  <c r="E12" i="6"/>
  <c r="F10" i="6"/>
  <c r="G10" i="6"/>
  <c r="H10" i="6"/>
  <c r="I10" i="6"/>
  <c r="E10" i="6"/>
  <c r="F9" i="6"/>
  <c r="G9" i="6"/>
  <c r="H9" i="6"/>
  <c r="I9" i="6"/>
  <c r="E9" i="6"/>
  <c r="F8" i="6"/>
  <c r="G8" i="6"/>
  <c r="H8" i="6"/>
  <c r="I8" i="6"/>
  <c r="E8" i="6"/>
  <c r="F6" i="6"/>
  <c r="G6" i="6"/>
  <c r="H6" i="6"/>
  <c r="I6" i="6"/>
  <c r="F7" i="6"/>
  <c r="G7" i="6"/>
  <c r="H7" i="6"/>
  <c r="I7" i="6"/>
  <c r="E7" i="6"/>
  <c r="E6" i="6"/>
  <c r="H62" i="3"/>
  <c r="G62" i="3"/>
  <c r="F62" i="3"/>
  <c r="E62" i="3"/>
  <c r="E57" i="3"/>
  <c r="F57" i="3"/>
  <c r="G57" i="3"/>
  <c r="H57" i="3"/>
  <c r="H58" i="3"/>
  <c r="G58" i="3"/>
  <c r="F58" i="3"/>
  <c r="E58" i="3"/>
  <c r="D58" i="3"/>
  <c r="E60" i="3"/>
  <c r="F60" i="3"/>
  <c r="G60" i="3"/>
  <c r="H60" i="3"/>
  <c r="E54" i="3"/>
  <c r="F54" i="3"/>
  <c r="G54" i="3"/>
  <c r="H54" i="3"/>
  <c r="C54" i="3"/>
  <c r="I27" i="4"/>
  <c r="I16" i="4"/>
  <c r="I18" i="4" s="1"/>
  <c r="I24" i="4" s="1"/>
  <c r="I29" i="4"/>
  <c r="I28" i="4"/>
  <c r="I23" i="4"/>
  <c r="I22" i="4"/>
  <c r="I21" i="4"/>
  <c r="I20" i="4"/>
  <c r="I17" i="4"/>
  <c r="G17" i="4"/>
  <c r="H17" i="4"/>
  <c r="F17" i="4"/>
  <c r="F18" i="4" s="1"/>
  <c r="I12" i="4"/>
  <c r="I13" i="4"/>
  <c r="I14" i="4"/>
  <c r="I15" i="4"/>
  <c r="I11" i="4"/>
  <c r="I9" i="4"/>
  <c r="I8" i="4"/>
  <c r="I7" i="4"/>
  <c r="H29" i="4"/>
  <c r="H28" i="4"/>
  <c r="H27" i="4"/>
  <c r="H23" i="4"/>
  <c r="H22" i="4"/>
  <c r="H21" i="4"/>
  <c r="H20" i="4"/>
  <c r="H18" i="4"/>
  <c r="H24" i="4" s="1"/>
  <c r="H12" i="4"/>
  <c r="H13" i="4"/>
  <c r="H14" i="4"/>
  <c r="H15" i="4"/>
  <c r="H16" i="4"/>
  <c r="H11" i="4"/>
  <c r="H9" i="4"/>
  <c r="H8" i="4"/>
  <c r="H7" i="4"/>
  <c r="G29" i="4"/>
  <c r="G28" i="4"/>
  <c r="G27" i="4"/>
  <c r="G26" i="4"/>
  <c r="G23" i="4"/>
  <c r="G22" i="4"/>
  <c r="G21" i="4"/>
  <c r="F21" i="4"/>
  <c r="G20" i="4"/>
  <c r="G18" i="4"/>
  <c r="G24" i="4" s="1"/>
  <c r="G12" i="4"/>
  <c r="G13" i="4"/>
  <c r="G14" i="4"/>
  <c r="G15" i="4"/>
  <c r="G16" i="4"/>
  <c r="G11" i="4"/>
  <c r="G9" i="4"/>
  <c r="G8" i="4"/>
  <c r="G7" i="4"/>
  <c r="F29" i="4"/>
  <c r="F28" i="4"/>
  <c r="F27" i="4"/>
  <c r="F26" i="4"/>
  <c r="F23" i="4"/>
  <c r="F22" i="4"/>
  <c r="F20" i="4"/>
  <c r="E20" i="4"/>
  <c r="F12" i="4"/>
  <c r="F13" i="4"/>
  <c r="F14" i="4"/>
  <c r="F15" i="4"/>
  <c r="F16" i="4"/>
  <c r="F11" i="4"/>
  <c r="F9" i="4"/>
  <c r="F8" i="4"/>
  <c r="F7" i="4"/>
  <c r="E27" i="4"/>
  <c r="E26" i="4"/>
  <c r="E23" i="4"/>
  <c r="E22" i="4"/>
  <c r="E21" i="4"/>
  <c r="D29" i="4"/>
  <c r="E18" i="4"/>
  <c r="E17" i="4"/>
  <c r="E12" i="4"/>
  <c r="E13" i="4"/>
  <c r="E14" i="4"/>
  <c r="E15" i="4"/>
  <c r="E16" i="4"/>
  <c r="E11" i="4"/>
  <c r="E8" i="4"/>
  <c r="D27" i="4"/>
  <c r="D26" i="4"/>
  <c r="D24" i="4"/>
  <c r="D23" i="4"/>
  <c r="D21" i="4"/>
  <c r="D22" i="4"/>
  <c r="D20" i="4"/>
  <c r="D18" i="4"/>
  <c r="D12" i="4"/>
  <c r="D13" i="4"/>
  <c r="D14" i="4"/>
  <c r="D15" i="4"/>
  <c r="D16" i="4"/>
  <c r="D11" i="4"/>
  <c r="D9" i="4"/>
  <c r="D8" i="4"/>
  <c r="D7" i="4"/>
  <c r="K37" i="2"/>
  <c r="F20" i="5"/>
  <c r="G38" i="2"/>
  <c r="H38" i="2"/>
  <c r="I38" i="2"/>
  <c r="J38" i="2"/>
  <c r="G37" i="2"/>
  <c r="H37" i="2"/>
  <c r="I37" i="2"/>
  <c r="J37" i="2"/>
  <c r="G36" i="2"/>
  <c r="H36" i="2"/>
  <c r="I36" i="2"/>
  <c r="J36" i="2"/>
  <c r="G34" i="2"/>
  <c r="H34" i="2"/>
  <c r="I34" i="2"/>
  <c r="J34" i="2"/>
  <c r="G33" i="2"/>
  <c r="H33" i="2"/>
  <c r="I33" i="2"/>
  <c r="J33" i="2"/>
  <c r="J32" i="2"/>
  <c r="I32" i="2"/>
  <c r="H32" i="2"/>
  <c r="G32" i="2"/>
  <c r="C45" i="3"/>
  <c r="D41" i="3" a="1"/>
  <c r="D41" i="3" s="1"/>
  <c r="D43" i="3" s="1"/>
  <c r="E43" i="3"/>
  <c r="F43" i="3"/>
  <c r="G43" i="3"/>
  <c r="H43" i="3"/>
  <c r="H42" i="3"/>
  <c r="G42" i="3"/>
  <c r="F42" i="3"/>
  <c r="E42" i="3"/>
  <c r="D42" i="3"/>
  <c r="H40" i="3"/>
  <c r="G40" i="3"/>
  <c r="F40" i="3"/>
  <c r="E40" i="3"/>
  <c r="D40" i="3"/>
  <c r="H35" i="3"/>
  <c r="G35" i="3"/>
  <c r="F35" i="3"/>
  <c r="E35" i="3"/>
  <c r="H34" i="3"/>
  <c r="G34" i="3"/>
  <c r="F34" i="3"/>
  <c r="E34" i="3"/>
  <c r="D34" i="3"/>
  <c r="D35" i="3" s="1"/>
  <c r="B38" i="3" s="1"/>
  <c r="C47" i="3" s="1"/>
  <c r="H33" i="3"/>
  <c r="G33" i="3"/>
  <c r="F33" i="3"/>
  <c r="E33" i="3"/>
  <c r="D33" i="3"/>
  <c r="J30" i="2"/>
  <c r="I30" i="2"/>
  <c r="H30" i="2"/>
  <c r="G30" i="2"/>
  <c r="J29" i="2"/>
  <c r="I29" i="2"/>
  <c r="H29" i="2"/>
  <c r="G29" i="2"/>
  <c r="A23" i="3"/>
  <c r="I20" i="3"/>
  <c r="J26" i="2"/>
  <c r="H20" i="3"/>
  <c r="G20" i="3"/>
  <c r="F20" i="3"/>
  <c r="D20" i="3"/>
  <c r="D16" i="3"/>
  <c r="D13" i="3"/>
  <c r="D12" i="3"/>
  <c r="D11" i="3"/>
  <c r="J15" i="2"/>
  <c r="J23" i="2" s="1"/>
  <c r="J14" i="2"/>
  <c r="J22" i="2" s="1"/>
  <c r="I15" i="2"/>
  <c r="I14" i="2"/>
  <c r="I22" i="2" s="1"/>
  <c r="H15" i="2"/>
  <c r="H23" i="2" s="1"/>
  <c r="H14" i="2"/>
  <c r="H22" i="2" s="1"/>
  <c r="G15" i="2"/>
  <c r="G23" i="2" s="1"/>
  <c r="G14" i="2"/>
  <c r="J25" i="2"/>
  <c r="I16" i="2"/>
  <c r="I17" i="2" s="1"/>
  <c r="I19" i="2" s="1"/>
  <c r="J13" i="2"/>
  <c r="J11" i="2"/>
  <c r="J10" i="2"/>
  <c r="J9" i="2"/>
  <c r="J8" i="2"/>
  <c r="J7" i="2"/>
  <c r="I24" i="2"/>
  <c r="I23" i="2"/>
  <c r="I18" i="2"/>
  <c r="I13" i="2"/>
  <c r="I11" i="2"/>
  <c r="I10" i="2"/>
  <c r="I9" i="2"/>
  <c r="I8" i="2"/>
  <c r="I7" i="2"/>
  <c r="H24" i="2"/>
  <c r="H18" i="2"/>
  <c r="H13" i="2"/>
  <c r="H11" i="2"/>
  <c r="H10" i="2"/>
  <c r="H9" i="2"/>
  <c r="H8" i="2"/>
  <c r="H7" i="2"/>
  <c r="G24" i="2"/>
  <c r="G22" i="2"/>
  <c r="G18" i="2"/>
  <c r="G13" i="2"/>
  <c r="G11" i="2"/>
  <c r="G10" i="2"/>
  <c r="G9" i="2"/>
  <c r="G8" i="2"/>
  <c r="G7" i="2"/>
  <c r="E26" i="2"/>
  <c r="F24" i="2"/>
  <c r="F23" i="2"/>
  <c r="F22" i="2"/>
  <c r="F18" i="2"/>
  <c r="F16" i="2"/>
  <c r="F15" i="2"/>
  <c r="H37" i="5"/>
  <c r="H36" i="5"/>
  <c r="H35" i="5"/>
  <c r="H34" i="5"/>
  <c r="F37" i="5"/>
  <c r="F36" i="5"/>
  <c r="F35" i="5"/>
  <c r="F34" i="5"/>
  <c r="E37" i="5"/>
  <c r="E36" i="5"/>
  <c r="E35" i="5"/>
  <c r="E34" i="5"/>
  <c r="F14" i="2"/>
  <c r="F13" i="2"/>
  <c r="F11" i="2"/>
  <c r="F17" i="2" s="1"/>
  <c r="F29" i="2" s="1"/>
  <c r="F30" i="2" s="1"/>
  <c r="F9" i="2"/>
  <c r="F8" i="2"/>
  <c r="F7" i="2"/>
  <c r="J31" i="5"/>
  <c r="I31" i="5"/>
  <c r="G31" i="5"/>
  <c r="I30" i="5"/>
  <c r="G30" i="5"/>
  <c r="J29" i="5"/>
  <c r="I29" i="5"/>
  <c r="G29" i="5"/>
  <c r="J28" i="5"/>
  <c r="I28" i="5"/>
  <c r="G28" i="5"/>
  <c r="J27" i="5"/>
  <c r="I27" i="5"/>
  <c r="G27" i="5"/>
  <c r="J26" i="5"/>
  <c r="I26" i="5"/>
  <c r="J25" i="5"/>
  <c r="J24" i="5"/>
  <c r="J23" i="5"/>
  <c r="G26" i="5"/>
  <c r="F31" i="5"/>
  <c r="F30" i="5"/>
  <c r="F29" i="5"/>
  <c r="F28" i="5"/>
  <c r="F27" i="5"/>
  <c r="F26" i="5"/>
  <c r="F25" i="5"/>
  <c r="F24" i="5"/>
  <c r="F23" i="5"/>
  <c r="G19" i="5"/>
  <c r="G18" i="5"/>
  <c r="G17" i="5"/>
  <c r="F19" i="5"/>
  <c r="F18" i="5"/>
  <c r="F17" i="5"/>
  <c r="H16" i="5"/>
  <c r="F16" i="5"/>
  <c r="E19" i="5"/>
  <c r="E18" i="5"/>
  <c r="E17" i="5"/>
  <c r="E16" i="5"/>
  <c r="H15" i="5"/>
  <c r="B14" i="5"/>
  <c r="B17" i="5" s="1"/>
  <c r="H10" i="5"/>
  <c r="I10" i="5" s="1"/>
  <c r="J10" i="5" s="1"/>
  <c r="G10" i="5"/>
  <c r="J9" i="5"/>
  <c r="I9" i="5"/>
  <c r="H9" i="5"/>
  <c r="G9" i="5"/>
  <c r="F9" i="5"/>
  <c r="J8" i="5"/>
  <c r="I8" i="5"/>
  <c r="H8" i="5"/>
  <c r="G8" i="5"/>
  <c r="F8" i="5"/>
  <c r="J7" i="5"/>
  <c r="I7" i="5"/>
  <c r="H7" i="5"/>
  <c r="G7" i="5"/>
  <c r="F7" i="5"/>
  <c r="H6" i="5"/>
  <c r="I6" i="5" s="1"/>
  <c r="J6" i="5" s="1"/>
  <c r="G6" i="5"/>
  <c r="D20" i="1"/>
  <c r="F19" i="2" l="1"/>
  <c r="F24" i="4"/>
  <c r="G16" i="2"/>
  <c r="G17" i="2" s="1"/>
  <c r="G19" i="2" s="1"/>
  <c r="G20" i="2" s="1"/>
  <c r="G21" i="2" s="1"/>
  <c r="G26" i="2" s="1"/>
  <c r="J16" i="2"/>
  <c r="J17" i="2" s="1"/>
  <c r="J19" i="2" s="1"/>
  <c r="I20" i="2"/>
  <c r="I21" i="2" s="1"/>
  <c r="I26" i="2" s="1"/>
  <c r="H16" i="2"/>
  <c r="H17" i="2" s="1"/>
  <c r="H19" i="2" s="1"/>
  <c r="H20" i="2" s="1"/>
  <c r="H21" i="2" s="1"/>
  <c r="H26" i="2" s="1"/>
  <c r="H17" i="5"/>
  <c r="F32" i="2" l="1"/>
  <c r="F20" i="2"/>
  <c r="F37" i="2" s="1"/>
  <c r="J20" i="2"/>
  <c r="J21" i="2" s="1"/>
  <c r="H18" i="5"/>
  <c r="F21" i="2" l="1"/>
  <c r="F33" i="2"/>
  <c r="F36" i="2" s="1"/>
  <c r="F38" i="2" s="1"/>
  <c r="K38" i="2" s="1"/>
  <c r="K39" i="2" s="1"/>
  <c r="H19" i="5"/>
  <c r="E28" i="4" l="1"/>
  <c r="E29" i="4" s="1"/>
  <c r="E7" i="4"/>
  <c r="E9" i="4" s="1"/>
  <c r="E24" i="4" s="1"/>
  <c r="F26" i="2"/>
  <c r="E20" i="3" s="1"/>
  <c r="F34" i="2"/>
  <c r="D54" i="3" l="1"/>
  <c r="D60" i="3" s="1"/>
  <c r="D57" i="3" s="1"/>
  <c r="A24" i="3"/>
  <c r="B27" i="3"/>
  <c r="B28" i="3" s="1"/>
  <c r="D63" i="3" l="1"/>
  <c r="E63" i="3"/>
  <c r="E64" i="3" s="1"/>
  <c r="F63" i="3" s="1"/>
  <c r="F64" i="3" s="1"/>
  <c r="G63" i="3" s="1"/>
  <c r="G64" i="3" s="1"/>
  <c r="H63" i="3" s="1"/>
  <c r="H64" i="3" s="1"/>
  <c r="B27" i="6"/>
  <c r="A25" i="3"/>
  <c r="C48" i="3"/>
  <c r="B28" i="6" l="1"/>
  <c r="B31" i="7"/>
  <c r="B36" i="7" l="1"/>
  <c r="B3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<sst xmlns="http://schemas.openxmlformats.org/spreadsheetml/2006/main" count="212" uniqueCount="126">
  <si>
    <t>La Cía XYZ, desea invertir en un proyecto comercial, cuya Inversión total es de $ 800.000.000, finan-</t>
  </si>
  <si>
    <t>do en un 60%, a una tasa del 25% E. A. pagadero en 4 cuotas anuales a partir del año 1. El horizonte</t>
  </si>
  <si>
    <t>del Proyecto es a 5 años. La Inversión se discrimina así:</t>
  </si>
  <si>
    <t xml:space="preserve"> </t>
  </si>
  <si>
    <t>Efectivo y Equivalente del Efectivo</t>
  </si>
  <si>
    <t>Inventarios</t>
  </si>
  <si>
    <t>Terrenos</t>
  </si>
  <si>
    <t>Edificios</t>
  </si>
  <si>
    <t>Maquinaria y Equipo</t>
  </si>
  <si>
    <t>Muebles y Enseres</t>
  </si>
  <si>
    <t>Equipos de Computo y Comunicación</t>
  </si>
  <si>
    <t>Equipos de Transporte</t>
  </si>
  <si>
    <t>Vr. Comercial del Equipo de Transporte al final del Proyecto es de $ 10.000.000. Es el valor que se considera tienen los Equipos de Transporte al final del proyecto.</t>
  </si>
  <si>
    <t>Gastos de Publicidad</t>
  </si>
  <si>
    <t>Gastos de Mercadeo</t>
  </si>
  <si>
    <t>Gastos Legales</t>
  </si>
  <si>
    <t>Se deben tener en cuenta lo siguiente:</t>
  </si>
  <si>
    <t>Tasa de Mercado</t>
  </si>
  <si>
    <t>Tasa Libre de Riesgo</t>
  </si>
  <si>
    <t>Beta desapalancada</t>
  </si>
  <si>
    <t>0.92</t>
  </si>
  <si>
    <t>Tasa de Impuesto</t>
  </si>
  <si>
    <t xml:space="preserve">Precio Unitario de Venta </t>
  </si>
  <si>
    <t>Incremento anual del 10% a partir del Segundo año</t>
  </si>
  <si>
    <t>Costo de Ventas el 45% del Precio de Venta.</t>
  </si>
  <si>
    <t>Otros Ingresos de Comercialización 2% del valor de las ventas.</t>
  </si>
  <si>
    <t>Gastos de Administración</t>
  </si>
  <si>
    <t>Incremento anual del 5% a partir del Segundo año</t>
  </si>
  <si>
    <t xml:space="preserve">Capacidad Instalada de la Planta </t>
  </si>
  <si>
    <t>unidades</t>
  </si>
  <si>
    <t>1 Año</t>
  </si>
  <si>
    <t>2 Año</t>
  </si>
  <si>
    <t>A Partir 3 año</t>
  </si>
  <si>
    <t>Con los datos anteriores se pide:</t>
  </si>
  <si>
    <t>Valor Residual del Proyecto</t>
  </si>
  <si>
    <t>Cuadro de Amortización del Préstamo</t>
  </si>
  <si>
    <t>Costo Ponderado de Capital.</t>
  </si>
  <si>
    <t>Tasa de descuento relacionada del Proyecto.</t>
  </si>
  <si>
    <t>Flujo de Caja Neto</t>
  </si>
  <si>
    <t>Valor Presente Neto</t>
  </si>
  <si>
    <t>Tasa Interna de Retorno</t>
  </si>
  <si>
    <t>Relación Beneficio/ Costo</t>
  </si>
  <si>
    <t>Estado de Situación Financiera.</t>
  </si>
  <si>
    <t>EVA del Proyecto</t>
  </si>
  <si>
    <t>EJERCICIO DE EVALUACIÓN DE PROYECTOS - Grupo 11</t>
  </si>
  <si>
    <t>Variables del Proyecto</t>
  </si>
  <si>
    <t>Utilización Planta (Unidades)</t>
  </si>
  <si>
    <t>Precio de Venta Unitario</t>
  </si>
  <si>
    <t>Ingresos Operacionales Ventas</t>
  </si>
  <si>
    <t>Costo de Ventas</t>
  </si>
  <si>
    <t>Otros Ingresos de Comercialización y de Ventas</t>
  </si>
  <si>
    <t>Tabla de Amortización del Préstamo Captado</t>
  </si>
  <si>
    <t>VP</t>
  </si>
  <si>
    <t>i</t>
  </si>
  <si>
    <t>n</t>
  </si>
  <si>
    <t>C</t>
  </si>
  <si>
    <t>Periodo</t>
  </si>
  <si>
    <t>Cuota</t>
  </si>
  <si>
    <t>Intereses</t>
  </si>
  <si>
    <t>Abono</t>
  </si>
  <si>
    <t>Saldo</t>
  </si>
  <si>
    <t>Equipos de Cómputo y Comunicación</t>
  </si>
  <si>
    <t>TOTAL</t>
  </si>
  <si>
    <t>(VALOR RESIDUAL)</t>
  </si>
  <si>
    <t>Flujo de Caja Neto del Proyecto</t>
  </si>
  <si>
    <t>Inversión</t>
  </si>
  <si>
    <t>Financiación</t>
  </si>
  <si>
    <t>Margen Bruto</t>
  </si>
  <si>
    <t>Utilidad Bruta en Ventas</t>
  </si>
  <si>
    <t>Gastos de Administración y de Ventas</t>
  </si>
  <si>
    <t>Depreciación</t>
  </si>
  <si>
    <t>Amortización</t>
  </si>
  <si>
    <t>Gastos Diferidos</t>
  </si>
  <si>
    <t>TOTAL Gastos de Administración</t>
  </si>
  <si>
    <t>Utilidad Operacional</t>
  </si>
  <si>
    <t>Gastos Financieros</t>
  </si>
  <si>
    <t>Utilidad antes del impuesto a ganancias</t>
  </si>
  <si>
    <t>Impuesto a las ganancias</t>
  </si>
  <si>
    <t>Utilidad del ejercicio</t>
  </si>
  <si>
    <t>Abono a Capital</t>
  </si>
  <si>
    <t>FLUJO DE CAJA NETO</t>
  </si>
  <si>
    <t>Evaluación Financiera del Proyecto</t>
  </si>
  <si>
    <t>Tasa de Capatación</t>
  </si>
  <si>
    <t>Kd =</t>
  </si>
  <si>
    <t>TC(1-T)</t>
  </si>
  <si>
    <t>Beta Apalancado</t>
  </si>
  <si>
    <t>CO</t>
  </si>
  <si>
    <t>Tasa Relacionada del Proyecto</t>
  </si>
  <si>
    <t>Ko</t>
  </si>
  <si>
    <t>Valor presente Neto</t>
  </si>
  <si>
    <t>TIR</t>
  </si>
  <si>
    <t>EVA</t>
  </si>
  <si>
    <t>EBITDA</t>
  </si>
  <si>
    <t>Margen EBITDA</t>
  </si>
  <si>
    <t>Valor Presente Neto de los Ingresos</t>
  </si>
  <si>
    <t>Otros Ingresos de Comercialización de Ventas</t>
  </si>
  <si>
    <t>Gastos Administración</t>
  </si>
  <si>
    <t>Valor Presente Neto de los Costos y Gastos</t>
  </si>
  <si>
    <t>Beneficio/Costo</t>
  </si>
  <si>
    <t>Beneficio/Costo Financiero</t>
  </si>
  <si>
    <t>Utilidad Sin Deuda</t>
  </si>
  <si>
    <t>Impuesto a las Ganancias</t>
  </si>
  <si>
    <t>Utilidad del Ejercicio sin Deuda</t>
  </si>
  <si>
    <t>Impuesto de Renta sin Deuda</t>
  </si>
  <si>
    <t>Impuesto de Renta con Deuda</t>
  </si>
  <si>
    <t>ESCUDO FISCAL</t>
  </si>
  <si>
    <t>BALANCES PROYECTADOS</t>
  </si>
  <si>
    <t>Inversión Corriente</t>
  </si>
  <si>
    <t>TOTAL INVERSIÓN CORRIENTE</t>
  </si>
  <si>
    <t>Inversión Fija</t>
  </si>
  <si>
    <t>Depreciación Acumulada</t>
  </si>
  <si>
    <t>TOTAL INVERSIÓN FIJA</t>
  </si>
  <si>
    <t>Inversión Diferida</t>
  </si>
  <si>
    <t>TOTAL INVERSIÓN DIFERIDA</t>
  </si>
  <si>
    <t>TOTAL INVERSIÓN</t>
  </si>
  <si>
    <t>Recursos Propios</t>
  </si>
  <si>
    <t>Utilidad del Ejercicio</t>
  </si>
  <si>
    <t>Valor Residual</t>
  </si>
  <si>
    <t>PAY BACK</t>
  </si>
  <si>
    <t>VF</t>
  </si>
  <si>
    <t>FLUJO DE CAJA ECONÓMICO</t>
  </si>
  <si>
    <t>VPN</t>
  </si>
  <si>
    <t>FLUJO DE CAJA FINANCIERO</t>
  </si>
  <si>
    <t>Prestamo</t>
  </si>
  <si>
    <t>Utilidad después de impuestos</t>
  </si>
  <si>
    <t>B/C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</si>
</sst>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&quot;$&quot;#,##0;[Red]\-&quot;$&quot;#,##0"/>
    <numFmt numFmtId="165" formatCode="_-* #,##0_-;\-* #,##0_-;_-* &quot;-&quot;??_-;_-@_-"/>
    <numFmt numFmtId="166" formatCode="_-* #,##0\ _€_-;\-* #,##0\ _€_-;_-* &quot;-&quot;??\ _€_-;_-@_-"/>
    <numFmt numFmtId="167" formatCode="0E+00"/>
    <numFmt numFmtId="168" formatCode="_-* #,##0.00_-;\-* #,##0.00_-;_-* &quot;-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10" xfId="0" applyFont="1" applyBorder="1"/>
    <xf numFmtId="0" fontId="3" fillId="0" borderId="11" xfId="0" applyFont="1" applyBorder="1"/>
    <xf numFmtId="0" fontId="3" fillId="0" borderId="8" xfId="0" applyFont="1" applyBorder="1"/>
    <xf numFmtId="166" fontId="0" fillId="0" borderId="5" xfId="1" applyNumberFormat="1" applyFont="1" applyBorder="1"/>
    <xf numFmtId="0" fontId="3" fillId="0" borderId="12" xfId="0" applyFont="1" applyBorder="1"/>
    <xf numFmtId="0" fontId="3" fillId="0" borderId="9" xfId="0" applyFont="1" applyBorder="1"/>
    <xf numFmtId="166" fontId="0" fillId="0" borderId="6" xfId="1" applyNumberFormat="1" applyFont="1" applyBorder="1"/>
    <xf numFmtId="166" fontId="0" fillId="0" borderId="7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6" fontId="3" fillId="0" borderId="1" xfId="1" applyNumberFormat="1" applyFont="1" applyBorder="1"/>
    <xf numFmtId="166" fontId="6" fillId="0" borderId="0" xfId="1" applyNumberFormat="1" applyFont="1"/>
    <xf numFmtId="166" fontId="3" fillId="0" borderId="0" xfId="1" applyNumberFormat="1" applyFont="1"/>
    <xf numFmtId="43" fontId="0" fillId="0" borderId="0" xfId="1" applyFont="1"/>
    <xf numFmtId="0" fontId="7" fillId="0" borderId="0" xfId="0" applyFont="1"/>
    <xf numFmtId="0" fontId="8" fillId="0" borderId="0" xfId="0" applyFont="1"/>
    <xf numFmtId="0" fontId="9" fillId="2" borderId="2" xfId="0" applyFont="1" applyFill="1" applyBorder="1"/>
    <xf numFmtId="0" fontId="9" fillId="2" borderId="3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165" fontId="6" fillId="0" borderId="0" xfId="1" applyNumberFormat="1" applyFont="1"/>
    <xf numFmtId="10" fontId="6" fillId="0" borderId="0" xfId="2" applyNumberFormat="1" applyFont="1" applyAlignment="1">
      <alignment horizontal="center"/>
    </xf>
    <xf numFmtId="10" fontId="6" fillId="0" borderId="0" xfId="0" applyNumberFormat="1" applyFont="1"/>
    <xf numFmtId="10" fontId="6" fillId="0" borderId="0" xfId="2" applyNumberFormat="1" applyFont="1"/>
    <xf numFmtId="10" fontId="4" fillId="0" borderId="0" xfId="0" applyNumberFormat="1" applyFont="1"/>
    <xf numFmtId="10" fontId="0" fillId="0" borderId="0" xfId="0" applyNumberFormat="1"/>
    <xf numFmtId="165" fontId="6" fillId="0" borderId="0" xfId="1" applyNumberFormat="1" applyFont="1" applyBorder="1"/>
    <xf numFmtId="165" fontId="9" fillId="0" borderId="0" xfId="0" applyNumberFormat="1" applyFont="1" applyBorder="1"/>
    <xf numFmtId="10" fontId="0" fillId="0" borderId="0" xfId="0" applyNumberFormat="1" applyBorder="1"/>
    <xf numFmtId="10" fontId="3" fillId="0" borderId="0" xfId="0" applyNumberFormat="1" applyFont="1" applyBorder="1"/>
    <xf numFmtId="0" fontId="10" fillId="0" borderId="0" xfId="0" applyFont="1"/>
    <xf numFmtId="10" fontId="8" fillId="0" borderId="0" xfId="0" applyNumberFormat="1" applyFont="1"/>
    <xf numFmtId="0" fontId="11" fillId="0" borderId="0" xfId="0" applyFont="1"/>
    <xf numFmtId="0" fontId="8" fillId="0" borderId="0" xfId="0" applyFont="1" applyAlignment="1">
      <alignment horizontal="right"/>
    </xf>
    <xf numFmtId="43" fontId="8" fillId="0" borderId="0" xfId="1" applyFont="1"/>
    <xf numFmtId="166" fontId="8" fillId="0" borderId="0" xfId="1" applyNumberFormat="1" applyFont="1"/>
    <xf numFmtId="9" fontId="8" fillId="0" borderId="0" xfId="0" applyNumberFormat="1" applyFont="1"/>
    <xf numFmtId="0" fontId="3" fillId="0" borderId="13" xfId="0" applyFont="1" applyBorder="1"/>
    <xf numFmtId="41" fontId="0" fillId="0" borderId="0" xfId="3" applyFont="1"/>
    <xf numFmtId="41" fontId="0" fillId="0" borderId="0" xfId="0" applyNumberFormat="1"/>
    <xf numFmtId="0" fontId="0" fillId="0" borderId="0" xfId="0" applyFont="1"/>
    <xf numFmtId="9" fontId="0" fillId="0" borderId="0" xfId="0" applyNumberFormat="1"/>
    <xf numFmtId="41" fontId="0" fillId="2" borderId="0" xfId="3" applyFont="1" applyFill="1"/>
    <xf numFmtId="0" fontId="0" fillId="0" borderId="13" xfId="3" applyNumberFormat="1" applyFont="1" applyBorder="1"/>
    <xf numFmtId="41" fontId="0" fillId="0" borderId="13" xfId="3" applyFont="1" applyBorder="1"/>
    <xf numFmtId="41" fontId="0" fillId="0" borderId="17" xfId="3" applyFont="1" applyBorder="1"/>
    <xf numFmtId="41" fontId="3" fillId="0" borderId="0" xfId="0" applyNumberFormat="1" applyFont="1"/>
    <xf numFmtId="41" fontId="0" fillId="0" borderId="0" xfId="3" applyFont="1" applyBorder="1"/>
    <xf numFmtId="41" fontId="3" fillId="0" borderId="15" xfId="0" applyNumberFormat="1" applyFont="1" applyBorder="1"/>
    <xf numFmtId="0" fontId="0" fillId="0" borderId="15" xfId="0" applyBorder="1"/>
    <xf numFmtId="41" fontId="3" fillId="2" borderId="15" xfId="0" applyNumberFormat="1" applyFont="1" applyFill="1" applyBorder="1"/>
    <xf numFmtId="0" fontId="0" fillId="2" borderId="0" xfId="0" applyFill="1"/>
    <xf numFmtId="0" fontId="12" fillId="0" borderId="13" xfId="0" applyFont="1" applyBorder="1"/>
    <xf numFmtId="41" fontId="2" fillId="0" borderId="0" xfId="3" applyFont="1"/>
    <xf numFmtId="41" fontId="2" fillId="0" borderId="17" xfId="3" applyFont="1" applyBorder="1"/>
    <xf numFmtId="0" fontId="12" fillId="0" borderId="0" xfId="0" applyFont="1"/>
    <xf numFmtId="41" fontId="12" fillId="0" borderId="0" xfId="3" applyFont="1"/>
    <xf numFmtId="41" fontId="12" fillId="0" borderId="18" xfId="3" applyFont="1" applyBorder="1"/>
    <xf numFmtId="41" fontId="0" fillId="0" borderId="17" xfId="0" applyNumberFormat="1" applyBorder="1"/>
    <xf numFmtId="41" fontId="12" fillId="0" borderId="19" xfId="3" applyFont="1" applyBorder="1"/>
    <xf numFmtId="41" fontId="2" fillId="0" borderId="15" xfId="3" applyFont="1" applyBorder="1"/>
    <xf numFmtId="41" fontId="2" fillId="0" borderId="0" xfId="0" applyNumberFormat="1" applyFont="1"/>
    <xf numFmtId="0" fontId="2" fillId="0" borderId="20" xfId="0" applyFont="1" applyBorder="1"/>
    <xf numFmtId="41" fontId="2" fillId="0" borderId="20" xfId="0" applyNumberFormat="1" applyFont="1" applyBorder="1"/>
    <xf numFmtId="41" fontId="12" fillId="0" borderId="20" xfId="0" applyNumberFormat="1" applyFont="1" applyBorder="1"/>
    <xf numFmtId="41" fontId="12" fillId="0" borderId="0" xfId="0" applyNumberFormat="1" applyFont="1"/>
    <xf numFmtId="43" fontId="0" fillId="0" borderId="0" xfId="0" applyNumberFormat="1"/>
    <xf numFmtId="10" fontId="0" fillId="2" borderId="0" xfId="0" applyNumberFormat="1" applyFill="1"/>
    <xf numFmtId="43" fontId="0" fillId="2" borderId="0" xfId="0" applyNumberFormat="1" applyFill="1"/>
    <xf numFmtId="10" fontId="0" fillId="2" borderId="0" xfId="2" applyNumberFormat="1" applyFont="1" applyFill="1"/>
    <xf numFmtId="0" fontId="0" fillId="0" borderId="13" xfId="0" applyBorder="1"/>
    <xf numFmtId="164" fontId="0" fillId="0" borderId="17" xfId="0" applyNumberFormat="1" applyBorder="1"/>
    <xf numFmtId="167" fontId="0" fillId="0" borderId="0" xfId="3" applyNumberFormat="1" applyFont="1"/>
    <xf numFmtId="10" fontId="2" fillId="0" borderId="0" xfId="2" applyNumberFormat="1" applyFont="1"/>
    <xf numFmtId="41" fontId="3" fillId="0" borderId="0" xfId="3" applyFont="1"/>
    <xf numFmtId="41" fontId="3" fillId="0" borderId="13" xfId="3" applyFont="1" applyBorder="1"/>
    <xf numFmtId="41" fontId="3" fillId="2" borderId="0" xfId="3" applyFont="1" applyFill="1"/>
    <xf numFmtId="2" fontId="0" fillId="2" borderId="0" xfId="0" applyNumberFormat="1" applyFill="1"/>
    <xf numFmtId="168" fontId="3" fillId="2" borderId="0" xfId="3" applyNumberFormat="1" applyFont="1" applyFill="1"/>
    <xf numFmtId="41" fontId="2" fillId="0" borderId="17" xfId="0" applyNumberFormat="1" applyFont="1" applyBorder="1"/>
    <xf numFmtId="41" fontId="3" fillId="2" borderId="0" xfId="0" applyNumberFormat="1" applyFont="1" applyFill="1"/>
    <xf numFmtId="41" fontId="3" fillId="0" borderId="15" xfId="3" applyFont="1" applyBorder="1"/>
    <xf numFmtId="164" fontId="0" fillId="0" borderId="0" xfId="0" applyNumberFormat="1"/>
    <xf numFmtId="164" fontId="3" fillId="2" borderId="0" xfId="0" applyNumberFormat="1" applyFont="1" applyFill="1"/>
    <xf numFmtId="0" fontId="2" fillId="0" borderId="0" xfId="0" applyFont="1" applyBorder="1"/>
    <xf numFmtId="41" fontId="0" fillId="0" borderId="20" xfId="0" applyNumberFormat="1" applyBorder="1"/>
    <xf numFmtId="0" fontId="0" fillId="0" borderId="20" xfId="0" applyBorder="1"/>
    <xf numFmtId="0" fontId="0" fillId="0" borderId="0" xfId="0" applyBorder="1"/>
    <xf numFmtId="0" fontId="12" fillId="0" borderId="0" xfId="0" applyFont="1" applyFill="1" applyBorder="1"/>
    <xf numFmtId="41" fontId="0" fillId="2" borderId="0" xfId="0" applyNumberFormat="1" applyFill="1"/>
    <xf numFmtId="164" fontId="0" fillId="0" borderId="0" xfId="0" applyNumberFormat="1" applyBorder="1"/>
    <xf numFmtId="41" fontId="12" fillId="0" borderId="0" xfId="0" applyNumberFormat="1" applyFont="1" applyBorder="1"/>
    <xf numFmtId="10" fontId="2" fillId="2" borderId="0" xfId="0" applyNumberFormat="1" applyFont="1" applyFill="1"/>
    <xf numFmtId="164" fontId="2" fillId="0" borderId="17" xfId="0" applyNumberFormat="1" applyFont="1" applyBorder="1"/>
    <xf numFmtId="41" fontId="2" fillId="2" borderId="0" xfId="0" applyNumberFormat="1" applyFont="1" applyFill="1"/>
    <xf numFmtId="168" fontId="2" fillId="2" borderId="0" xfId="0" applyNumberFormat="1" applyFont="1" applyFill="1"/>
    <xf numFmtId="0" fontId="2" fillId="2" borderId="0" xfId="0" applyFont="1" applyFill="1"/>
    <xf numFmtId="41" fontId="2" fillId="0" borderId="17" xfId="3" quotePrefix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4">
    <cellStyle name="Millares" xfId="1" builtinId="3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59F5-EA85-4A00-AB32-B157D4DF7183}">
  <dimension ref="A1:O55"/>
  <sheetViews>
    <sheetView topLeftCell="A14" zoomScale="125" workbookViewId="0">
      <selection activeCell="D20" sqref="D20"/>
    </sheetView>
  </sheetViews>
  <sheetFormatPr baseColWidth="10" defaultRowHeight="14.4" x14ac:dyDescent="0.3"/>
  <cols>
    <col min="1" max="1" width="13.33203125" customWidth="1"/>
    <col min="4" max="4" width="15.109375" customWidth="1"/>
    <col min="10" max="10" width="12.77734375" bestFit="1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" thickBot="1" x14ac:dyDescent="0.35">
      <c r="A3" s="2"/>
      <c r="B3" s="105" t="s">
        <v>44</v>
      </c>
      <c r="C3" s="106"/>
      <c r="D3" s="106"/>
      <c r="E3" s="106"/>
      <c r="F3" s="107"/>
      <c r="G3" s="2"/>
      <c r="H3" s="2"/>
      <c r="I3" s="2"/>
      <c r="J3" s="2"/>
      <c r="K3" s="2"/>
      <c r="L3" s="2"/>
      <c r="M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3">
      <c r="A5" s="3" t="s">
        <v>0</v>
      </c>
      <c r="B5" s="3"/>
      <c r="C5" s="3"/>
      <c r="D5" s="3"/>
      <c r="E5" s="3"/>
      <c r="F5" s="3"/>
      <c r="G5" s="3"/>
      <c r="H5" s="4"/>
      <c r="I5" s="2"/>
      <c r="J5" s="2"/>
      <c r="K5" s="2"/>
      <c r="L5" s="2"/>
      <c r="M5" s="2"/>
    </row>
    <row r="6" spans="1:14" x14ac:dyDescent="0.3">
      <c r="A6" s="3" t="s">
        <v>1</v>
      </c>
      <c r="B6" s="3"/>
      <c r="C6" s="3"/>
      <c r="D6" s="3"/>
      <c r="E6" s="3"/>
      <c r="F6" s="3"/>
      <c r="G6" s="3"/>
      <c r="H6" s="4"/>
      <c r="I6" s="2"/>
      <c r="J6" s="2"/>
      <c r="K6" s="2"/>
      <c r="L6" s="2"/>
      <c r="M6" s="2"/>
    </row>
    <row r="7" spans="1:14" x14ac:dyDescent="0.3">
      <c r="A7" s="3" t="s">
        <v>2</v>
      </c>
      <c r="B7" s="3"/>
      <c r="C7" s="3"/>
      <c r="D7" s="3"/>
      <c r="E7" s="3"/>
      <c r="F7" s="3"/>
      <c r="G7" s="3"/>
      <c r="H7" s="4"/>
      <c r="I7" s="2"/>
      <c r="J7" s="2"/>
      <c r="K7" s="2"/>
      <c r="L7" s="2"/>
      <c r="M7" s="2"/>
    </row>
    <row r="8" spans="1:14" ht="15" thickBot="1" x14ac:dyDescent="0.35">
      <c r="E8" s="5"/>
      <c r="F8" s="5"/>
      <c r="G8" s="5" t="s">
        <v>3</v>
      </c>
      <c r="H8" s="2"/>
      <c r="I8" s="2"/>
      <c r="J8" s="2"/>
      <c r="K8" s="2"/>
      <c r="L8" s="2"/>
      <c r="M8" s="2"/>
    </row>
    <row r="9" spans="1:14" x14ac:dyDescent="0.3">
      <c r="A9" s="6" t="s">
        <v>4</v>
      </c>
      <c r="B9" s="7"/>
      <c r="C9" s="8"/>
      <c r="D9" s="9">
        <v>20000000</v>
      </c>
      <c r="E9" s="5"/>
      <c r="F9" s="5"/>
      <c r="G9" s="5"/>
      <c r="H9" s="2"/>
      <c r="I9" s="2"/>
      <c r="J9" s="2"/>
      <c r="K9" s="2"/>
      <c r="L9" s="2"/>
      <c r="M9" s="2"/>
    </row>
    <row r="10" spans="1:14" x14ac:dyDescent="0.3">
      <c r="A10" s="10" t="s">
        <v>5</v>
      </c>
      <c r="B10" s="3"/>
      <c r="C10" s="11"/>
      <c r="D10" s="12">
        <v>20000000</v>
      </c>
      <c r="E10" s="5"/>
      <c r="F10" s="5"/>
      <c r="G10" s="5"/>
      <c r="H10" s="2"/>
      <c r="I10" s="2"/>
      <c r="J10" s="2"/>
      <c r="K10" s="2"/>
      <c r="L10" s="2"/>
      <c r="M10" s="2"/>
    </row>
    <row r="11" spans="1:14" x14ac:dyDescent="0.3">
      <c r="A11" s="10" t="s">
        <v>6</v>
      </c>
      <c r="B11" s="3"/>
      <c r="C11" s="11"/>
      <c r="D11" s="12">
        <v>120000000</v>
      </c>
      <c r="E11" s="5"/>
      <c r="F11" s="5"/>
      <c r="G11" s="5"/>
      <c r="H11" s="2"/>
      <c r="I11" s="2"/>
      <c r="J11" s="2"/>
      <c r="K11" s="2"/>
      <c r="L11" s="2"/>
      <c r="M11" s="2"/>
    </row>
    <row r="12" spans="1:14" x14ac:dyDescent="0.3">
      <c r="A12" s="10" t="s">
        <v>7</v>
      </c>
      <c r="B12" s="3"/>
      <c r="C12" s="11"/>
      <c r="D12" s="12">
        <v>350000000</v>
      </c>
      <c r="E12" s="5"/>
      <c r="F12" s="5"/>
      <c r="G12" s="5"/>
      <c r="H12" s="2"/>
      <c r="I12" s="2"/>
      <c r="J12" s="2"/>
      <c r="K12" s="2"/>
      <c r="L12" s="2"/>
      <c r="M12" s="2"/>
    </row>
    <row r="13" spans="1:14" x14ac:dyDescent="0.3">
      <c r="A13" s="10" t="s">
        <v>8</v>
      </c>
      <c r="B13" s="3"/>
      <c r="C13" s="11"/>
      <c r="D13" s="12">
        <v>70000000</v>
      </c>
      <c r="E13" s="5"/>
      <c r="F13" s="5"/>
      <c r="G13" s="5"/>
      <c r="H13" s="2"/>
      <c r="I13" s="2"/>
      <c r="J13" s="2"/>
      <c r="K13" s="2"/>
      <c r="L13" s="2"/>
      <c r="M13" s="2"/>
    </row>
    <row r="14" spans="1:14" x14ac:dyDescent="0.3">
      <c r="A14" s="10" t="s">
        <v>9</v>
      </c>
      <c r="B14" s="3"/>
      <c r="C14" s="11"/>
      <c r="D14" s="12">
        <v>60000000</v>
      </c>
      <c r="E14" s="5"/>
      <c r="F14" s="5"/>
      <c r="G14" s="5"/>
      <c r="H14" s="2"/>
      <c r="I14" s="2"/>
      <c r="J14" s="2"/>
      <c r="K14" s="2"/>
      <c r="L14" s="2"/>
      <c r="M14" s="2"/>
    </row>
    <row r="15" spans="1:14" ht="15" thickBot="1" x14ac:dyDescent="0.35">
      <c r="A15" s="10" t="s">
        <v>10</v>
      </c>
      <c r="B15" s="3"/>
      <c r="C15" s="11"/>
      <c r="D15" s="12">
        <v>70000000</v>
      </c>
      <c r="E15" s="5"/>
      <c r="F15" s="5"/>
      <c r="G15" s="5"/>
      <c r="H15" s="2"/>
      <c r="I15" s="2"/>
      <c r="J15" s="2"/>
      <c r="K15" s="2"/>
      <c r="L15" s="2"/>
      <c r="M15" s="2"/>
    </row>
    <row r="16" spans="1:14" ht="15" thickBot="1" x14ac:dyDescent="0.35">
      <c r="A16" s="10" t="s">
        <v>11</v>
      </c>
      <c r="B16" s="3"/>
      <c r="C16" s="11"/>
      <c r="D16" s="12">
        <v>60000000</v>
      </c>
      <c r="E16" s="23" t="s">
        <v>12</v>
      </c>
      <c r="F16" s="24"/>
      <c r="G16" s="24"/>
      <c r="H16" s="24"/>
      <c r="I16" s="24"/>
      <c r="J16" s="25"/>
      <c r="K16" s="25"/>
      <c r="L16" s="25"/>
      <c r="M16" s="26"/>
      <c r="N16" s="26"/>
    </row>
    <row r="17" spans="1:15" x14ac:dyDescent="0.3">
      <c r="A17" s="10" t="s">
        <v>13</v>
      </c>
      <c r="B17" s="3"/>
      <c r="C17" s="11"/>
      <c r="D17" s="12">
        <v>10000000</v>
      </c>
      <c r="E17" s="5"/>
      <c r="F17" s="5"/>
      <c r="G17" s="5"/>
      <c r="H17" s="2"/>
      <c r="I17" s="2"/>
      <c r="J17" s="2"/>
      <c r="K17" s="2"/>
      <c r="L17" s="2"/>
      <c r="M17" s="2"/>
    </row>
    <row r="18" spans="1:15" x14ac:dyDescent="0.3">
      <c r="A18" s="10" t="s">
        <v>14</v>
      </c>
      <c r="B18" s="3"/>
      <c r="C18" s="11"/>
      <c r="D18" s="12">
        <v>10000000</v>
      </c>
      <c r="E18" s="5"/>
      <c r="F18" s="5"/>
      <c r="G18" s="5"/>
      <c r="H18" s="2"/>
      <c r="I18" s="2"/>
      <c r="J18" s="2"/>
      <c r="K18" s="2"/>
      <c r="L18" s="2"/>
      <c r="M18" s="2"/>
    </row>
    <row r="19" spans="1:15" ht="15" thickBot="1" x14ac:dyDescent="0.35">
      <c r="A19" s="10" t="s">
        <v>15</v>
      </c>
      <c r="B19" s="3"/>
      <c r="C19" s="11"/>
      <c r="D19" s="13">
        <v>10000000</v>
      </c>
      <c r="E19" s="5"/>
      <c r="F19" s="5"/>
      <c r="G19" s="5"/>
      <c r="H19" s="2"/>
      <c r="I19" s="2"/>
      <c r="J19" s="2"/>
      <c r="K19" s="2"/>
      <c r="L19" s="2"/>
      <c r="M19" s="2"/>
    </row>
    <row r="20" spans="1:15" ht="15" thickBot="1" x14ac:dyDescent="0.35">
      <c r="A20" s="14"/>
      <c r="B20" s="15"/>
      <c r="C20" s="16"/>
      <c r="D20" s="17">
        <f>SUM(D9:D19)</f>
        <v>800000000</v>
      </c>
      <c r="E20" s="5"/>
      <c r="F20" s="5"/>
      <c r="G20" s="5"/>
      <c r="H20" s="2"/>
      <c r="I20" s="2"/>
      <c r="J20" s="2"/>
      <c r="K20" s="2"/>
      <c r="L20" s="2"/>
      <c r="M20" s="2"/>
    </row>
    <row r="21" spans="1:15" x14ac:dyDescent="0.3">
      <c r="A21" s="5"/>
      <c r="B21" s="5"/>
      <c r="C21" s="5"/>
      <c r="D21" s="18"/>
      <c r="E21" s="5"/>
      <c r="F21" s="5"/>
      <c r="G21" s="5"/>
      <c r="H21" s="2"/>
      <c r="I21" s="2"/>
      <c r="J21" s="2"/>
      <c r="K21" s="2"/>
      <c r="L21" s="31"/>
      <c r="M21" s="2"/>
    </row>
    <row r="22" spans="1:15" ht="15.6" x14ac:dyDescent="0.3">
      <c r="A22" s="37" t="s">
        <v>16</v>
      </c>
      <c r="B22" s="3"/>
      <c r="C22" s="3"/>
      <c r="D22" s="19"/>
      <c r="E22" s="3"/>
      <c r="F22" s="3"/>
      <c r="I22" s="2"/>
      <c r="J22" s="2"/>
      <c r="K22" s="2"/>
      <c r="L22" s="2"/>
      <c r="M22" s="2"/>
    </row>
    <row r="23" spans="1:15" x14ac:dyDescent="0.3">
      <c r="A23" s="22" t="s">
        <v>17</v>
      </c>
      <c r="B23" s="22"/>
      <c r="C23" s="22"/>
      <c r="D23" s="38">
        <v>0.12</v>
      </c>
      <c r="E23" s="22"/>
      <c r="F23" s="22"/>
      <c r="G23" s="39"/>
      <c r="H23" s="39"/>
      <c r="I23" s="2"/>
      <c r="J23" s="2"/>
      <c r="K23" s="2"/>
      <c r="L23" s="2"/>
      <c r="M23" s="2"/>
    </row>
    <row r="24" spans="1:15" x14ac:dyDescent="0.3">
      <c r="A24" s="22" t="s">
        <v>18</v>
      </c>
      <c r="B24" s="22"/>
      <c r="C24" s="22"/>
      <c r="D24" s="38">
        <v>6.1400000000000003E-2</v>
      </c>
      <c r="E24" s="22"/>
      <c r="F24" s="22"/>
      <c r="G24" s="39"/>
      <c r="H24" s="39"/>
      <c r="I24" s="2"/>
      <c r="J24" s="2"/>
      <c r="K24" s="2"/>
      <c r="L24" s="2"/>
      <c r="M24" s="2"/>
    </row>
    <row r="25" spans="1:15" x14ac:dyDescent="0.3">
      <c r="A25" s="22" t="s">
        <v>19</v>
      </c>
      <c r="B25" s="22"/>
      <c r="C25" s="22"/>
      <c r="D25" s="40" t="s">
        <v>20</v>
      </c>
      <c r="E25" s="22"/>
      <c r="F25" s="22"/>
      <c r="G25" s="39"/>
      <c r="H25" s="39"/>
      <c r="I25" s="2"/>
      <c r="J25" s="27"/>
      <c r="K25" s="28"/>
      <c r="L25" s="29"/>
      <c r="M25" s="5"/>
      <c r="N25" s="30"/>
      <c r="O25" s="32"/>
    </row>
    <row r="26" spans="1:15" x14ac:dyDescent="0.3">
      <c r="A26" s="22" t="s">
        <v>21</v>
      </c>
      <c r="B26" s="22"/>
      <c r="C26" s="22"/>
      <c r="D26" s="38">
        <v>0.31</v>
      </c>
      <c r="E26" s="22"/>
      <c r="F26" s="22"/>
      <c r="G26" s="39"/>
      <c r="H26" s="39"/>
      <c r="I26" s="2"/>
      <c r="J26" s="33"/>
      <c r="K26" s="28"/>
      <c r="L26" s="29"/>
      <c r="M26" s="5"/>
      <c r="N26" s="5"/>
      <c r="O26" s="35"/>
    </row>
    <row r="27" spans="1:15" x14ac:dyDescent="0.3">
      <c r="A27" s="22" t="s">
        <v>22</v>
      </c>
      <c r="B27" s="22"/>
      <c r="C27" s="22"/>
      <c r="D27" s="41">
        <v>5000</v>
      </c>
      <c r="E27" s="22" t="s">
        <v>23</v>
      </c>
      <c r="F27" s="22"/>
      <c r="G27" s="22"/>
      <c r="H27" s="22"/>
      <c r="I27" s="2"/>
      <c r="J27" s="34"/>
      <c r="K27" s="28"/>
      <c r="L27" s="5"/>
      <c r="M27" s="5"/>
      <c r="N27" s="5"/>
      <c r="O27" s="36"/>
    </row>
    <row r="28" spans="1:15" x14ac:dyDescent="0.3">
      <c r="A28" s="22" t="s">
        <v>24</v>
      </c>
      <c r="B28" s="22"/>
      <c r="C28" s="22"/>
      <c r="D28" s="22"/>
      <c r="E28" s="39"/>
      <c r="F28" s="39"/>
      <c r="G28" s="39"/>
      <c r="H28" s="39"/>
      <c r="I28" s="2"/>
      <c r="J28" s="5"/>
      <c r="K28" s="5"/>
      <c r="L28" s="5"/>
      <c r="M28" s="5"/>
      <c r="N28" s="5"/>
    </row>
    <row r="29" spans="1:15" x14ac:dyDescent="0.3">
      <c r="A29" s="22" t="s">
        <v>25</v>
      </c>
      <c r="B29" s="22"/>
      <c r="C29" s="22"/>
      <c r="D29" s="22"/>
      <c r="E29" s="22"/>
      <c r="F29" s="39"/>
      <c r="G29" s="39"/>
      <c r="H29" s="39"/>
      <c r="I29" s="2"/>
      <c r="J29" s="2"/>
      <c r="K29" s="2"/>
      <c r="L29" s="2"/>
      <c r="M29" s="2"/>
    </row>
    <row r="30" spans="1:15" x14ac:dyDescent="0.3">
      <c r="A30" s="22" t="s">
        <v>26</v>
      </c>
      <c r="B30" s="22"/>
      <c r="C30" s="22"/>
      <c r="D30" s="42">
        <v>10000000</v>
      </c>
      <c r="E30" s="22" t="s">
        <v>27</v>
      </c>
      <c r="F30" s="22"/>
      <c r="G30" s="22"/>
      <c r="H30" s="22"/>
      <c r="I30" s="2"/>
      <c r="J30" s="2"/>
      <c r="K30" s="2"/>
      <c r="L30" s="2"/>
      <c r="M30" s="2"/>
      <c r="O30" s="32"/>
    </row>
    <row r="31" spans="1:15" x14ac:dyDescent="0.3">
      <c r="A31" s="22" t="s">
        <v>28</v>
      </c>
      <c r="B31" s="22"/>
      <c r="C31" s="22"/>
      <c r="D31" s="42">
        <v>100000</v>
      </c>
      <c r="E31" s="22" t="s">
        <v>29</v>
      </c>
      <c r="F31" s="39"/>
      <c r="G31" s="39"/>
      <c r="H31" s="39"/>
      <c r="I31" s="2"/>
      <c r="J31" s="2"/>
      <c r="K31" s="2"/>
      <c r="L31" s="2"/>
      <c r="M31" s="2"/>
    </row>
    <row r="32" spans="1:15" x14ac:dyDescent="0.3">
      <c r="A32" s="22" t="s">
        <v>30</v>
      </c>
      <c r="B32" s="43">
        <v>0.7</v>
      </c>
      <c r="C32" s="22"/>
      <c r="D32" s="41"/>
      <c r="E32" s="39"/>
      <c r="F32" s="39"/>
      <c r="G32" s="39"/>
      <c r="H32" s="39"/>
      <c r="I32" s="2"/>
      <c r="J32" s="2"/>
      <c r="K32" s="2"/>
      <c r="L32" s="2"/>
      <c r="M32" s="2"/>
    </row>
    <row r="33" spans="1:13" x14ac:dyDescent="0.3">
      <c r="A33" s="22" t="s">
        <v>31</v>
      </c>
      <c r="B33" s="43">
        <v>0.8</v>
      </c>
      <c r="C33" s="22"/>
      <c r="D33" s="41"/>
      <c r="E33" s="39"/>
      <c r="F33" s="39"/>
      <c r="G33" s="39"/>
      <c r="H33" s="39"/>
      <c r="I33" s="2"/>
      <c r="J33" s="2"/>
      <c r="K33" s="2"/>
      <c r="L33" s="2"/>
      <c r="M33" s="2"/>
    </row>
    <row r="34" spans="1:13" x14ac:dyDescent="0.3">
      <c r="A34" s="22" t="s">
        <v>32</v>
      </c>
      <c r="B34" s="43">
        <v>1</v>
      </c>
      <c r="C34" s="22"/>
      <c r="D34" s="41"/>
      <c r="E34" s="39"/>
      <c r="F34" s="39"/>
      <c r="G34" s="39"/>
      <c r="H34" s="39"/>
      <c r="I34" s="2"/>
      <c r="J34" s="2"/>
      <c r="K34" s="2"/>
      <c r="L34" s="2"/>
      <c r="M34" s="2"/>
    </row>
    <row r="35" spans="1:13" x14ac:dyDescent="0.3">
      <c r="D35" s="20"/>
      <c r="I35" s="2"/>
      <c r="J35" s="2"/>
      <c r="K35" s="2"/>
      <c r="L35" s="2"/>
      <c r="M35" s="2"/>
    </row>
    <row r="36" spans="1:13" ht="15.6" x14ac:dyDescent="0.3">
      <c r="A36" s="37" t="s">
        <v>33</v>
      </c>
      <c r="B36" s="21"/>
      <c r="C36" s="21"/>
      <c r="D36" s="3"/>
      <c r="I36" s="2"/>
      <c r="J36" s="2"/>
      <c r="K36" s="2"/>
      <c r="L36" s="2"/>
      <c r="M36" s="2"/>
    </row>
    <row r="37" spans="1:13" x14ac:dyDescent="0.3">
      <c r="A37" s="22" t="s">
        <v>34</v>
      </c>
      <c r="B37" s="22"/>
      <c r="C37" s="22"/>
      <c r="D37" s="22"/>
      <c r="I37" s="2"/>
      <c r="J37" s="2"/>
      <c r="K37" s="2"/>
      <c r="L37" s="2"/>
      <c r="M37" s="2"/>
    </row>
    <row r="38" spans="1:13" x14ac:dyDescent="0.3">
      <c r="A38" s="22" t="s">
        <v>35</v>
      </c>
      <c r="B38" s="22"/>
      <c r="C38" s="22"/>
      <c r="D38" s="22"/>
      <c r="I38" s="2"/>
      <c r="J38" s="2"/>
      <c r="K38" s="2"/>
      <c r="L38" s="2"/>
      <c r="M38" s="2"/>
    </row>
    <row r="39" spans="1:13" x14ac:dyDescent="0.3">
      <c r="A39" s="22" t="s">
        <v>36</v>
      </c>
      <c r="B39" s="22"/>
      <c r="C39" s="22"/>
      <c r="D39" s="22"/>
      <c r="I39" s="2"/>
      <c r="J39" s="2"/>
      <c r="K39" s="2"/>
      <c r="L39" s="2"/>
      <c r="M39" s="2"/>
    </row>
    <row r="40" spans="1:13" x14ac:dyDescent="0.3">
      <c r="A40" s="22" t="s">
        <v>37</v>
      </c>
      <c r="B40" s="22"/>
      <c r="C40" s="22"/>
      <c r="D40" s="22"/>
      <c r="I40" s="2"/>
      <c r="J40" s="2"/>
      <c r="K40" s="2"/>
      <c r="L40" s="2"/>
      <c r="M40" s="2"/>
    </row>
    <row r="41" spans="1:13" x14ac:dyDescent="0.3">
      <c r="A41" s="22" t="s">
        <v>38</v>
      </c>
      <c r="B41" s="22"/>
      <c r="C41" s="22"/>
      <c r="D41" s="22"/>
      <c r="I41" s="2"/>
      <c r="J41" s="2"/>
      <c r="K41" s="2"/>
      <c r="L41" s="2"/>
      <c r="M41" s="2"/>
    </row>
    <row r="42" spans="1:13" x14ac:dyDescent="0.3">
      <c r="A42" s="22" t="s">
        <v>39</v>
      </c>
      <c r="B42" s="22"/>
      <c r="C42" s="22"/>
      <c r="D42" s="22"/>
      <c r="I42" s="2"/>
      <c r="J42" s="2"/>
      <c r="K42" s="2"/>
      <c r="L42" s="2"/>
      <c r="M42" s="2"/>
    </row>
    <row r="43" spans="1:13" x14ac:dyDescent="0.3">
      <c r="A43" s="22" t="s">
        <v>40</v>
      </c>
      <c r="B43" s="22"/>
      <c r="C43" s="22"/>
      <c r="D43" s="22"/>
      <c r="I43" s="2"/>
      <c r="J43" s="2"/>
      <c r="K43" s="2"/>
      <c r="L43" s="2"/>
      <c r="M43" s="2"/>
    </row>
    <row r="44" spans="1:13" x14ac:dyDescent="0.3">
      <c r="A44" s="22" t="s">
        <v>41</v>
      </c>
      <c r="B44" s="22"/>
      <c r="C44" s="22"/>
      <c r="D44" s="22"/>
      <c r="I44" s="2"/>
      <c r="J44" s="2"/>
      <c r="K44" s="2"/>
      <c r="L44" s="2"/>
      <c r="M44" s="2"/>
    </row>
    <row r="45" spans="1:13" x14ac:dyDescent="0.3">
      <c r="A45" s="22" t="s">
        <v>43</v>
      </c>
      <c r="I45" s="2"/>
      <c r="J45" s="2"/>
      <c r="K45" s="2"/>
      <c r="L45" s="2"/>
      <c r="M45" s="2"/>
    </row>
    <row r="46" spans="1:13" x14ac:dyDescent="0.3">
      <c r="A46" s="22" t="s">
        <v>42</v>
      </c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mergeCells count="1">
    <mergeCell ref="B3:F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1C4E-D65D-4DE7-A5F4-E3C17A7B5B0E}">
  <dimension ref="A2:L37"/>
  <sheetViews>
    <sheetView topLeftCell="A4" zoomScale="125" workbookViewId="0">
      <selection activeCell="G16" sqref="G16"/>
    </sheetView>
  </sheetViews>
  <sheetFormatPr baseColWidth="10" defaultRowHeight="14.4" x14ac:dyDescent="0.3"/>
  <cols>
    <col min="2" max="2" width="15.109375" bestFit="1" customWidth="1"/>
    <col min="5" max="10" width="12.109375" bestFit="1" customWidth="1"/>
  </cols>
  <sheetData>
    <row r="2" spans="1:10" x14ac:dyDescent="0.3">
      <c r="B2" s="108" t="s">
        <v>45</v>
      </c>
      <c r="C2" s="109"/>
      <c r="D2" s="109"/>
      <c r="E2" s="109"/>
      <c r="F2" s="109"/>
      <c r="G2" s="109"/>
      <c r="H2" s="109"/>
      <c r="I2" s="109"/>
      <c r="J2" s="110"/>
    </row>
    <row r="4" spans="1:10" x14ac:dyDescent="0.3">
      <c r="F4" s="44">
        <v>1</v>
      </c>
      <c r="G4" s="44">
        <v>2</v>
      </c>
      <c r="H4" s="44">
        <v>3</v>
      </c>
      <c r="I4" s="44">
        <v>4</v>
      </c>
      <c r="J4" s="44">
        <v>5</v>
      </c>
    </row>
    <row r="5" spans="1:10" x14ac:dyDescent="0.3">
      <c r="A5" t="s">
        <v>46</v>
      </c>
      <c r="F5" s="45">
        <v>70000</v>
      </c>
      <c r="G5" s="45">
        <v>80000</v>
      </c>
      <c r="H5" s="45">
        <v>100000</v>
      </c>
      <c r="I5" s="45">
        <v>100000</v>
      </c>
      <c r="J5" s="45">
        <v>100000</v>
      </c>
    </row>
    <row r="6" spans="1:10" x14ac:dyDescent="0.3">
      <c r="A6" t="s">
        <v>47</v>
      </c>
      <c r="F6" s="45">
        <v>5000</v>
      </c>
      <c r="G6" s="45">
        <f>F6*0.1+F6</f>
        <v>5500</v>
      </c>
      <c r="H6" s="45">
        <f t="shared" ref="H6:J6" si="0">G6*0.1+G6</f>
        <v>6050</v>
      </c>
      <c r="I6" s="45">
        <f t="shared" si="0"/>
        <v>6655</v>
      </c>
      <c r="J6" s="45">
        <f t="shared" si="0"/>
        <v>7320.5</v>
      </c>
    </row>
    <row r="7" spans="1:10" x14ac:dyDescent="0.3">
      <c r="A7" s="3" t="s">
        <v>48</v>
      </c>
      <c r="F7" s="45">
        <f>F5*F6</f>
        <v>350000000</v>
      </c>
      <c r="G7" s="45">
        <f>G5*G6</f>
        <v>440000000</v>
      </c>
      <c r="H7" s="45">
        <f>H5*H6</f>
        <v>605000000</v>
      </c>
      <c r="I7" s="45">
        <f>I5*I6</f>
        <v>665500000</v>
      </c>
      <c r="J7" s="45">
        <f>J5*J6</f>
        <v>732050000</v>
      </c>
    </row>
    <row r="8" spans="1:10" x14ac:dyDescent="0.3">
      <c r="A8" s="3" t="s">
        <v>49</v>
      </c>
      <c r="F8" s="46">
        <f>F7*0.45</f>
        <v>157500000</v>
      </c>
      <c r="G8" s="46">
        <f t="shared" ref="G8:J8" si="1">G7*0.45</f>
        <v>198000000</v>
      </c>
      <c r="H8" s="46">
        <f t="shared" si="1"/>
        <v>272250000</v>
      </c>
      <c r="I8" s="46">
        <f t="shared" si="1"/>
        <v>299475000</v>
      </c>
      <c r="J8" s="46">
        <f t="shared" si="1"/>
        <v>329422500</v>
      </c>
    </row>
    <row r="9" spans="1:10" x14ac:dyDescent="0.3">
      <c r="A9" s="3" t="s">
        <v>50</v>
      </c>
      <c r="F9" s="46">
        <f>F7*0.02</f>
        <v>7000000</v>
      </c>
      <c r="G9" s="46">
        <f t="shared" ref="G9:J9" si="2">G7*0.02</f>
        <v>8800000</v>
      </c>
      <c r="H9" s="46">
        <f t="shared" si="2"/>
        <v>12100000</v>
      </c>
      <c r="I9" s="46">
        <f t="shared" si="2"/>
        <v>13310000</v>
      </c>
      <c r="J9" s="46">
        <f t="shared" si="2"/>
        <v>14641000</v>
      </c>
    </row>
    <row r="10" spans="1:10" x14ac:dyDescent="0.3">
      <c r="A10" s="3" t="s">
        <v>26</v>
      </c>
      <c r="F10" s="45">
        <v>10000000</v>
      </c>
      <c r="G10" s="46">
        <f>F10*0.05+F10</f>
        <v>10500000</v>
      </c>
      <c r="H10" s="46">
        <f t="shared" ref="H10:J10" si="3">G10*0.05+G10</f>
        <v>11025000</v>
      </c>
      <c r="I10" s="46">
        <f t="shared" si="3"/>
        <v>11576250</v>
      </c>
      <c r="J10" s="46">
        <f t="shared" si="3"/>
        <v>12155062.5</v>
      </c>
    </row>
    <row r="12" spans="1:10" x14ac:dyDescent="0.3">
      <c r="A12" s="3" t="s">
        <v>51</v>
      </c>
    </row>
    <row r="14" spans="1:10" x14ac:dyDescent="0.3">
      <c r="A14" s="47" t="s">
        <v>52</v>
      </c>
      <c r="B14" s="45">
        <f>-Ejercicio!D20*0.6</f>
        <v>-480000000</v>
      </c>
      <c r="D14" s="44" t="s">
        <v>56</v>
      </c>
      <c r="E14" s="44" t="s">
        <v>57</v>
      </c>
      <c r="F14" s="44" t="s">
        <v>58</v>
      </c>
      <c r="G14" s="44" t="s">
        <v>59</v>
      </c>
      <c r="H14" s="44" t="s">
        <v>60</v>
      </c>
    </row>
    <row r="15" spans="1:10" x14ac:dyDescent="0.3">
      <c r="A15" t="s">
        <v>53</v>
      </c>
      <c r="B15" s="48">
        <v>0.25</v>
      </c>
      <c r="D15" s="50">
        <v>0</v>
      </c>
      <c r="E15" s="51"/>
      <c r="F15" s="51"/>
      <c r="G15" s="51"/>
      <c r="H15" s="51">
        <f>-B14</f>
        <v>480000000</v>
      </c>
    </row>
    <row r="16" spans="1:10" x14ac:dyDescent="0.3">
      <c r="A16" s="47" t="s">
        <v>54</v>
      </c>
      <c r="B16">
        <v>4</v>
      </c>
      <c r="D16" s="51">
        <v>1</v>
      </c>
      <c r="E16" s="51">
        <f>B17</f>
        <v>203252032.52032518</v>
      </c>
      <c r="F16" s="51">
        <f>H15*B15</f>
        <v>120000000</v>
      </c>
      <c r="G16" s="51">
        <f>E16-F16</f>
        <v>83252032.520325184</v>
      </c>
      <c r="H16" s="51">
        <f>H15-G16</f>
        <v>396747967.47967482</v>
      </c>
    </row>
    <row r="17" spans="1:12" x14ac:dyDescent="0.3">
      <c r="A17" t="s">
        <v>55</v>
      </c>
      <c r="B17" s="49">
        <f>PMT(B15,B16,B14)</f>
        <v>203252032.52032518</v>
      </c>
      <c r="D17" s="51">
        <v>2</v>
      </c>
      <c r="E17" s="51">
        <f>B17</f>
        <v>203252032.52032518</v>
      </c>
      <c r="F17" s="51">
        <f>H16*B15</f>
        <v>99186991.869918704</v>
      </c>
      <c r="G17" s="51">
        <f>E17-F17</f>
        <v>104065040.65040648</v>
      </c>
      <c r="H17" s="51">
        <f t="shared" ref="H17:H19" si="4">H16-G17</f>
        <v>292682926.82926834</v>
      </c>
    </row>
    <row r="18" spans="1:12" x14ac:dyDescent="0.3">
      <c r="D18" s="51">
        <v>3</v>
      </c>
      <c r="E18" s="51">
        <f>B17</f>
        <v>203252032.52032518</v>
      </c>
      <c r="F18" s="51">
        <f>H17*B15</f>
        <v>73170731.707317084</v>
      </c>
      <c r="G18" s="51">
        <f>E18-F18</f>
        <v>130081300.8130081</v>
      </c>
      <c r="H18" s="51">
        <f t="shared" si="4"/>
        <v>162601626.01626024</v>
      </c>
    </row>
    <row r="19" spans="1:12" x14ac:dyDescent="0.3">
      <c r="D19" s="51">
        <v>4</v>
      </c>
      <c r="E19" s="51">
        <f>B17</f>
        <v>203252032.52032518</v>
      </c>
      <c r="F19" s="51">
        <f>H18*B15</f>
        <v>40650406.504065059</v>
      </c>
      <c r="G19" s="51">
        <f>E19-F19</f>
        <v>162601626.01626012</v>
      </c>
      <c r="H19" s="51">
        <f t="shared" si="4"/>
        <v>0</v>
      </c>
    </row>
    <row r="20" spans="1:12" x14ac:dyDescent="0.3">
      <c r="F20" s="87">
        <f>SUM(F16:F19)</f>
        <v>333008130.08130085</v>
      </c>
    </row>
    <row r="21" spans="1:12" x14ac:dyDescent="0.3">
      <c r="A21" s="3" t="s">
        <v>34</v>
      </c>
      <c r="B21" s="3"/>
    </row>
    <row r="23" spans="1:12" x14ac:dyDescent="0.3">
      <c r="C23" t="s">
        <v>4</v>
      </c>
      <c r="F23" s="45">
        <f>Ejercicio!D9</f>
        <v>20000000</v>
      </c>
      <c r="I23" s="46"/>
      <c r="J23" s="46">
        <f>F23</f>
        <v>20000000</v>
      </c>
    </row>
    <row r="24" spans="1:12" x14ac:dyDescent="0.3">
      <c r="C24" t="s">
        <v>5</v>
      </c>
      <c r="F24" s="45">
        <f>Ejercicio!D10</f>
        <v>20000000</v>
      </c>
      <c r="I24" s="46"/>
      <c r="J24" s="46">
        <f>F24</f>
        <v>20000000</v>
      </c>
    </row>
    <row r="25" spans="1:12" x14ac:dyDescent="0.3">
      <c r="C25" t="s">
        <v>6</v>
      </c>
      <c r="F25" s="45">
        <f>Ejercicio!D11</f>
        <v>120000000</v>
      </c>
      <c r="I25" s="46"/>
      <c r="J25" s="46">
        <f>F25</f>
        <v>120000000</v>
      </c>
    </row>
    <row r="26" spans="1:12" x14ac:dyDescent="0.3">
      <c r="C26" t="s">
        <v>7</v>
      </c>
      <c r="F26" s="45">
        <f>Ejercicio!D12</f>
        <v>350000000</v>
      </c>
      <c r="G26" s="46">
        <f>F26*0.05</f>
        <v>17500000</v>
      </c>
      <c r="I26" s="46">
        <f>G26*5</f>
        <v>87500000</v>
      </c>
      <c r="J26" s="46">
        <f>F26-I26</f>
        <v>262500000</v>
      </c>
    </row>
    <row r="27" spans="1:12" x14ac:dyDescent="0.3">
      <c r="C27" t="s">
        <v>8</v>
      </c>
      <c r="F27" s="45">
        <f>Ejercicio!D13</f>
        <v>70000000</v>
      </c>
      <c r="G27" s="46">
        <f>F27*0.1</f>
        <v>7000000</v>
      </c>
      <c r="I27" s="46">
        <f>G27*5</f>
        <v>35000000</v>
      </c>
      <c r="J27" s="46">
        <f>F27-I27</f>
        <v>35000000</v>
      </c>
    </row>
    <row r="28" spans="1:12" x14ac:dyDescent="0.3">
      <c r="C28" t="s">
        <v>9</v>
      </c>
      <c r="F28" s="45">
        <f>Ejercicio!D14</f>
        <v>60000000</v>
      </c>
      <c r="G28" s="46">
        <f>F28*0.1</f>
        <v>6000000</v>
      </c>
      <c r="I28" s="46">
        <f>G28*5</f>
        <v>30000000</v>
      </c>
      <c r="J28" s="46">
        <f>F28-I28</f>
        <v>30000000</v>
      </c>
    </row>
    <row r="29" spans="1:12" x14ac:dyDescent="0.3">
      <c r="C29" t="s">
        <v>61</v>
      </c>
      <c r="F29" s="45">
        <f>Ejercicio!D15</f>
        <v>70000000</v>
      </c>
      <c r="G29" s="46">
        <f>F29*0.2</f>
        <v>14000000</v>
      </c>
      <c r="I29" s="46">
        <f>G29*5</f>
        <v>70000000</v>
      </c>
      <c r="J29" s="46">
        <f>F29-I29</f>
        <v>0</v>
      </c>
    </row>
    <row r="30" spans="1:12" x14ac:dyDescent="0.3">
      <c r="C30" t="s">
        <v>11</v>
      </c>
      <c r="F30" s="54">
        <f>Ejercicio!D16</f>
        <v>60000000</v>
      </c>
      <c r="G30" s="46">
        <f>F30*0.2</f>
        <v>12000000</v>
      </c>
      <c r="I30" s="46">
        <f>G30*5</f>
        <v>60000000</v>
      </c>
      <c r="J30" s="46">
        <v>10000000</v>
      </c>
    </row>
    <row r="31" spans="1:12" x14ac:dyDescent="0.3">
      <c r="C31" s="3" t="s">
        <v>62</v>
      </c>
      <c r="F31" s="55">
        <f>SUM(F23:F30)</f>
        <v>770000000</v>
      </c>
      <c r="G31" s="55">
        <f>SUM(G26:G30)</f>
        <v>56500000</v>
      </c>
      <c r="H31" s="56"/>
      <c r="I31" s="55">
        <f>SUM(I26:I30)</f>
        <v>282500000</v>
      </c>
      <c r="J31" s="57">
        <f>SUM(J23:J30)</f>
        <v>497500000</v>
      </c>
      <c r="K31" s="58" t="s">
        <v>63</v>
      </c>
      <c r="L31" s="58"/>
    </row>
    <row r="33" spans="3:8" x14ac:dyDescent="0.3">
      <c r="C33" s="3" t="s">
        <v>72</v>
      </c>
      <c r="D33" s="3"/>
    </row>
    <row r="34" spans="3:8" x14ac:dyDescent="0.3">
      <c r="C34" t="s">
        <v>13</v>
      </c>
      <c r="E34" s="45">
        <f>Ejercicio!D17</f>
        <v>10000000</v>
      </c>
      <c r="F34" s="46">
        <f>E34/5</f>
        <v>2000000</v>
      </c>
      <c r="H34" s="46">
        <f>F34*5</f>
        <v>10000000</v>
      </c>
    </row>
    <row r="35" spans="3:8" x14ac:dyDescent="0.3">
      <c r="C35" s="47" t="s">
        <v>14</v>
      </c>
      <c r="E35" s="45">
        <f>Ejercicio!D18</f>
        <v>10000000</v>
      </c>
      <c r="F35" s="46">
        <f t="shared" ref="F35:F36" si="5">E35/5</f>
        <v>2000000</v>
      </c>
      <c r="H35" s="46">
        <f t="shared" ref="H35:H36" si="6">F35*5</f>
        <v>10000000</v>
      </c>
    </row>
    <row r="36" spans="3:8" x14ac:dyDescent="0.3">
      <c r="C36" t="s">
        <v>15</v>
      </c>
      <c r="E36" s="52">
        <f>Ejercicio!D19</f>
        <v>10000000</v>
      </c>
      <c r="F36" s="65">
        <f t="shared" si="5"/>
        <v>2000000</v>
      </c>
      <c r="H36" s="65">
        <f t="shared" si="6"/>
        <v>10000000</v>
      </c>
    </row>
    <row r="37" spans="3:8" x14ac:dyDescent="0.3">
      <c r="C37" s="3" t="s">
        <v>62</v>
      </c>
      <c r="E37" s="53">
        <f>SUM(E34:E36)</f>
        <v>30000000</v>
      </c>
      <c r="F37" s="53">
        <f>SUM(F34:F36)</f>
        <v>6000000</v>
      </c>
      <c r="G37" s="3"/>
      <c r="H37" s="53">
        <f>SUM(H34:H36)</f>
        <v>30000000</v>
      </c>
    </row>
  </sheetData>
  <mergeCells count="1"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C750-5A74-4687-8EE1-44495AFA1199}">
  <dimension ref="A1:K39"/>
  <sheetViews>
    <sheetView topLeftCell="A6" zoomScale="134" workbookViewId="0">
      <selection activeCell="K39" sqref="K39"/>
    </sheetView>
  </sheetViews>
  <sheetFormatPr baseColWidth="10" defaultRowHeight="14.4" x14ac:dyDescent="0.3"/>
  <cols>
    <col min="6" max="6" width="12.109375" bestFit="1" customWidth="1"/>
    <col min="7" max="7" width="12.6640625" customWidth="1"/>
    <col min="8" max="8" width="12.33203125" customWidth="1"/>
    <col min="9" max="9" width="12.44140625" customWidth="1"/>
    <col min="10" max="10" width="12" customWidth="1"/>
    <col min="11" max="11" width="12.10937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11" t="s">
        <v>64</v>
      </c>
      <c r="C2" s="111"/>
      <c r="D2" s="111"/>
      <c r="E2" s="111"/>
      <c r="F2" s="111"/>
      <c r="G2" s="111"/>
      <c r="H2" s="111"/>
      <c r="I2" s="111"/>
      <c r="J2" s="11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59">
        <v>0</v>
      </c>
      <c r="F4" s="59">
        <v>1</v>
      </c>
      <c r="G4" s="59">
        <v>2</v>
      </c>
      <c r="H4" s="59">
        <v>3</v>
      </c>
      <c r="I4" s="59">
        <v>4</v>
      </c>
      <c r="J4" s="59">
        <v>5</v>
      </c>
      <c r="K4" s="1"/>
    </row>
    <row r="5" spans="1:11" x14ac:dyDescent="0.3">
      <c r="A5" s="1" t="s">
        <v>65</v>
      </c>
      <c r="B5" s="1"/>
      <c r="C5" s="1"/>
      <c r="D5" s="1"/>
      <c r="E5" s="60">
        <v>-800000000</v>
      </c>
      <c r="F5" s="60"/>
      <c r="G5" s="60"/>
      <c r="H5" s="60"/>
      <c r="I5" s="60"/>
      <c r="J5" s="60"/>
      <c r="K5" s="1"/>
    </row>
    <row r="6" spans="1:11" x14ac:dyDescent="0.3">
      <c r="A6" s="1" t="s">
        <v>66</v>
      </c>
      <c r="B6" s="1"/>
      <c r="C6" s="1"/>
      <c r="D6" s="1"/>
      <c r="E6" s="60">
        <v>480000000</v>
      </c>
      <c r="F6" s="60"/>
      <c r="G6" s="60"/>
      <c r="H6" s="60"/>
      <c r="I6" s="60"/>
      <c r="J6" s="60"/>
      <c r="K6" s="1"/>
    </row>
    <row r="7" spans="1:11" x14ac:dyDescent="0.3">
      <c r="A7" s="1" t="s">
        <v>48</v>
      </c>
      <c r="B7" s="1"/>
      <c r="C7" s="1"/>
      <c r="D7" s="1"/>
      <c r="E7" s="60"/>
      <c r="F7" s="60">
        <f>'Variables del Proyecto'!F7</f>
        <v>350000000</v>
      </c>
      <c r="G7" s="60">
        <f>'Variables del Proyecto'!G7</f>
        <v>440000000</v>
      </c>
      <c r="H7" s="60">
        <f>'Variables del Proyecto'!H7</f>
        <v>605000000</v>
      </c>
      <c r="I7" s="60">
        <f>'Variables del Proyecto'!I7</f>
        <v>665500000</v>
      </c>
      <c r="J7" s="60">
        <f>'Variables del Proyecto'!J7</f>
        <v>732050000</v>
      </c>
      <c r="K7" s="1"/>
    </row>
    <row r="8" spans="1:11" x14ac:dyDescent="0.3">
      <c r="A8" s="1" t="s">
        <v>49</v>
      </c>
      <c r="B8" s="1"/>
      <c r="C8" s="1"/>
      <c r="D8" s="1"/>
      <c r="E8" s="60"/>
      <c r="F8" s="61">
        <f>-'Variables del Proyecto'!F8</f>
        <v>-157500000</v>
      </c>
      <c r="G8" s="61">
        <f>-'Variables del Proyecto'!G8</f>
        <v>-198000000</v>
      </c>
      <c r="H8" s="61">
        <f>-'Variables del Proyecto'!H8</f>
        <v>-272250000</v>
      </c>
      <c r="I8" s="61">
        <f>-'Variables del Proyecto'!I8</f>
        <v>-299475000</v>
      </c>
      <c r="J8" s="61">
        <f>-'Variables del Proyecto'!J8</f>
        <v>-329422500</v>
      </c>
      <c r="K8" s="1"/>
    </row>
    <row r="9" spans="1:11" x14ac:dyDescent="0.3">
      <c r="A9" s="62" t="s">
        <v>67</v>
      </c>
      <c r="B9" s="1"/>
      <c r="C9" s="1"/>
      <c r="D9" s="1"/>
      <c r="E9" s="60"/>
      <c r="F9" s="63">
        <f>SUM(F7:F8)</f>
        <v>192500000</v>
      </c>
      <c r="G9" s="63">
        <f>SUM(G7:G8)</f>
        <v>242000000</v>
      </c>
      <c r="H9" s="63">
        <f>SUM(H7:H8)</f>
        <v>332750000</v>
      </c>
      <c r="I9" s="63">
        <f>SUM(I7:I8)</f>
        <v>366025000</v>
      </c>
      <c r="J9" s="63">
        <f>SUM(J7:J8)</f>
        <v>402627500</v>
      </c>
      <c r="K9" s="1"/>
    </row>
    <row r="10" spans="1:11" x14ac:dyDescent="0.3">
      <c r="A10" s="1" t="s">
        <v>50</v>
      </c>
      <c r="B10" s="1"/>
      <c r="C10" s="1"/>
      <c r="D10" s="1"/>
      <c r="E10" s="60"/>
      <c r="F10" s="104">
        <f>'Variables del Proyecto'!F9</f>
        <v>7000000</v>
      </c>
      <c r="G10" s="61">
        <f>'Variables del Proyecto'!G9</f>
        <v>8800000</v>
      </c>
      <c r="H10" s="61">
        <f>'Variables del Proyecto'!H9</f>
        <v>12100000</v>
      </c>
      <c r="I10" s="61">
        <f>'Variables del Proyecto'!I9</f>
        <v>13310000</v>
      </c>
      <c r="J10" s="61">
        <f>'Variables del Proyecto'!J9</f>
        <v>14641000</v>
      </c>
      <c r="K10" s="1"/>
    </row>
    <row r="11" spans="1:11" ht="15" thickBot="1" x14ac:dyDescent="0.35">
      <c r="A11" s="62" t="s">
        <v>68</v>
      </c>
      <c r="B11" s="1"/>
      <c r="C11" s="1"/>
      <c r="D11" s="1"/>
      <c r="E11" s="60"/>
      <c r="F11" s="64">
        <f>SUM(F9:F10)</f>
        <v>199500000</v>
      </c>
      <c r="G11" s="64">
        <f>SUM(G9:G10)</f>
        <v>250800000</v>
      </c>
      <c r="H11" s="64">
        <f>SUM(H9:H10)</f>
        <v>344850000</v>
      </c>
      <c r="I11" s="64">
        <f>SUM(I9:I10)</f>
        <v>379335000</v>
      </c>
      <c r="J11" s="64">
        <f>SUM(J9:J10)</f>
        <v>417268500</v>
      </c>
      <c r="K11" s="1"/>
    </row>
    <row r="12" spans="1:11" x14ac:dyDescent="0.3">
      <c r="A12" s="62" t="s">
        <v>69</v>
      </c>
      <c r="B12" s="62"/>
      <c r="C12" s="62"/>
      <c r="D12" s="1"/>
      <c r="E12" s="60"/>
      <c r="F12" s="60"/>
      <c r="G12" s="60"/>
      <c r="H12" s="60"/>
      <c r="I12" s="60"/>
      <c r="J12" s="60"/>
      <c r="K12" s="1"/>
    </row>
    <row r="13" spans="1:11" x14ac:dyDescent="0.3">
      <c r="A13" s="1" t="s">
        <v>69</v>
      </c>
      <c r="B13" s="1"/>
      <c r="C13" s="1"/>
      <c r="D13" s="1"/>
      <c r="E13" s="60"/>
      <c r="F13" s="60">
        <f>-'Variables del Proyecto'!F10</f>
        <v>-10000000</v>
      </c>
      <c r="G13" s="60">
        <f>-'Variables del Proyecto'!G10</f>
        <v>-10500000</v>
      </c>
      <c r="H13" s="60">
        <f>-'Variables del Proyecto'!H10</f>
        <v>-11025000</v>
      </c>
      <c r="I13" s="60">
        <f>-'Variables del Proyecto'!I10</f>
        <v>-11576250</v>
      </c>
      <c r="J13" s="60">
        <f>-'Variables del Proyecto'!J10</f>
        <v>-12155062.5</v>
      </c>
      <c r="K13" s="1"/>
    </row>
    <row r="14" spans="1:11" x14ac:dyDescent="0.3">
      <c r="A14" s="1" t="s">
        <v>70</v>
      </c>
      <c r="B14" s="1"/>
      <c r="C14" s="1"/>
      <c r="D14" s="1"/>
      <c r="E14" s="60"/>
      <c r="F14" s="60">
        <f>-'Variables del Proyecto'!G31</f>
        <v>-56500000</v>
      </c>
      <c r="G14" s="60">
        <f>-'Variables del Proyecto'!G31</f>
        <v>-56500000</v>
      </c>
      <c r="H14" s="60">
        <f>-'Variables del Proyecto'!G31</f>
        <v>-56500000</v>
      </c>
      <c r="I14" s="60">
        <f>-'Variables del Proyecto'!G31</f>
        <v>-56500000</v>
      </c>
      <c r="J14" s="60">
        <f>-'Variables del Proyecto'!G31</f>
        <v>-56500000</v>
      </c>
      <c r="K14" s="1"/>
    </row>
    <row r="15" spans="1:11" x14ac:dyDescent="0.3">
      <c r="A15" s="1" t="s">
        <v>71</v>
      </c>
      <c r="B15" s="1"/>
      <c r="C15" s="1"/>
      <c r="D15" s="1"/>
      <c r="E15" s="60"/>
      <c r="F15" s="61">
        <f>-'Variables del Proyecto'!F37</f>
        <v>-6000000</v>
      </c>
      <c r="G15" s="61">
        <f>-'Variables del Proyecto'!F37</f>
        <v>-6000000</v>
      </c>
      <c r="H15" s="61">
        <f>-'Variables del Proyecto'!F37</f>
        <v>-6000000</v>
      </c>
      <c r="I15" s="61">
        <f>-'Variables del Proyecto'!F37</f>
        <v>-6000000</v>
      </c>
      <c r="J15" s="61">
        <f>-'Variables del Proyecto'!F37</f>
        <v>-6000000</v>
      </c>
      <c r="K15" s="1"/>
    </row>
    <row r="16" spans="1:11" ht="15" thickBot="1" x14ac:dyDescent="0.35">
      <c r="A16" s="62" t="s">
        <v>73</v>
      </c>
      <c r="B16" s="1"/>
      <c r="C16" s="1"/>
      <c r="D16" s="1"/>
      <c r="E16" s="60"/>
      <c r="F16" s="64">
        <f>SUM(F13:F15)</f>
        <v>-72500000</v>
      </c>
      <c r="G16" s="64">
        <f>SUM(G13:G15)</f>
        <v>-73000000</v>
      </c>
      <c r="H16" s="64">
        <f>SUM(H13:H15)</f>
        <v>-73525000</v>
      </c>
      <c r="I16" s="64">
        <f>SUM(I13:I15)</f>
        <v>-74076250</v>
      </c>
      <c r="J16" s="64">
        <f>SUM(J13:J15)</f>
        <v>-74655062.5</v>
      </c>
      <c r="K16" s="1"/>
    </row>
    <row r="17" spans="1:11" x14ac:dyDescent="0.3">
      <c r="A17" s="62" t="s">
        <v>74</v>
      </c>
      <c r="B17" s="1"/>
      <c r="C17" s="1"/>
      <c r="D17" s="1"/>
      <c r="E17" s="60"/>
      <c r="F17" s="66">
        <f>F11+F16</f>
        <v>127000000</v>
      </c>
      <c r="G17" s="66">
        <f>G11+G16</f>
        <v>177800000</v>
      </c>
      <c r="H17" s="66">
        <f>H11+H16</f>
        <v>271325000</v>
      </c>
      <c r="I17" s="66">
        <f>I11+I16</f>
        <v>305258750</v>
      </c>
      <c r="J17" s="66">
        <f>J11+J16</f>
        <v>342613437.5</v>
      </c>
      <c r="K17" s="1"/>
    </row>
    <row r="18" spans="1:11" x14ac:dyDescent="0.3">
      <c r="A18" s="1" t="s">
        <v>75</v>
      </c>
      <c r="B18" s="1"/>
      <c r="C18" s="1"/>
      <c r="D18" s="1"/>
      <c r="E18" s="60"/>
      <c r="F18" s="67">
        <f>-'Variables del Proyecto'!F16</f>
        <v>-120000000</v>
      </c>
      <c r="G18" s="67">
        <f>-'Variables del Proyecto'!F17</f>
        <v>-99186991.869918704</v>
      </c>
      <c r="H18" s="67">
        <f>-'Variables del Proyecto'!F18</f>
        <v>-73170731.707317084</v>
      </c>
      <c r="I18" s="67">
        <f>-'Variables del Proyecto'!F19</f>
        <v>-40650406.504065059</v>
      </c>
      <c r="J18" s="67">
        <v>0</v>
      </c>
      <c r="K18" s="1"/>
    </row>
    <row r="19" spans="1:11" x14ac:dyDescent="0.3">
      <c r="A19" s="62" t="s">
        <v>76</v>
      </c>
      <c r="B19" s="1"/>
      <c r="C19" s="1"/>
      <c r="D19" s="1"/>
      <c r="E19" s="60"/>
      <c r="F19" s="63">
        <f>SUM(F17:F18)</f>
        <v>7000000</v>
      </c>
      <c r="G19" s="63">
        <f>SUM(G17:G18)</f>
        <v>78613008.130081296</v>
      </c>
      <c r="H19" s="63">
        <f>SUM(H17:H18)</f>
        <v>198154268.29268292</v>
      </c>
      <c r="I19" s="63">
        <f>SUM(I17:I18)</f>
        <v>264608343.49593493</v>
      </c>
      <c r="J19" s="63">
        <f>SUM(J17:J18)</f>
        <v>342613437.5</v>
      </c>
      <c r="K19" s="1"/>
    </row>
    <row r="20" spans="1:11" x14ac:dyDescent="0.3">
      <c r="A20" s="1" t="s">
        <v>77</v>
      </c>
      <c r="B20" s="1"/>
      <c r="C20" s="1"/>
      <c r="D20" s="1"/>
      <c r="E20" s="60"/>
      <c r="F20" s="61">
        <f>-F19*0.31</f>
        <v>-2170000</v>
      </c>
      <c r="G20" s="61">
        <f>-G19*0.31</f>
        <v>-24370032.520325202</v>
      </c>
      <c r="H20" s="61">
        <f>-H19*0.31</f>
        <v>-61427823.170731701</v>
      </c>
      <c r="I20" s="61">
        <f>-I19*0.31</f>
        <v>-82028586.483739823</v>
      </c>
      <c r="J20" s="61">
        <f>-J19*0.31</f>
        <v>-106210165.625</v>
      </c>
      <c r="K20" s="1"/>
    </row>
    <row r="21" spans="1:11" x14ac:dyDescent="0.3">
      <c r="A21" s="62" t="s">
        <v>78</v>
      </c>
      <c r="B21" s="1"/>
      <c r="C21" s="1"/>
      <c r="D21" s="1"/>
      <c r="E21" s="60"/>
      <c r="F21" s="63">
        <f>SUM(F19:F20)</f>
        <v>4830000</v>
      </c>
      <c r="G21" s="63">
        <f>SUM(G19:G20)</f>
        <v>54242975.609756097</v>
      </c>
      <c r="H21" s="63">
        <f>SUM(H19:H20)</f>
        <v>136726445.12195122</v>
      </c>
      <c r="I21" s="63">
        <f>SUM(I19:I20)</f>
        <v>182579757.01219511</v>
      </c>
      <c r="J21" s="63">
        <f>SUM(J19:J20)</f>
        <v>236403271.875</v>
      </c>
      <c r="K21" s="1"/>
    </row>
    <row r="22" spans="1:11" x14ac:dyDescent="0.3">
      <c r="A22" s="1" t="s">
        <v>70</v>
      </c>
      <c r="B22" s="1"/>
      <c r="C22" s="1"/>
      <c r="D22" s="1"/>
      <c r="E22" s="1"/>
      <c r="F22" s="68">
        <f t="shared" ref="F22:J23" si="0">-F14</f>
        <v>56500000</v>
      </c>
      <c r="G22" s="68">
        <f t="shared" si="0"/>
        <v>56500000</v>
      </c>
      <c r="H22" s="68">
        <f t="shared" si="0"/>
        <v>56500000</v>
      </c>
      <c r="I22" s="68">
        <f t="shared" si="0"/>
        <v>56500000</v>
      </c>
      <c r="J22" s="68">
        <f t="shared" si="0"/>
        <v>56500000</v>
      </c>
      <c r="K22" s="1"/>
    </row>
    <row r="23" spans="1:11" x14ac:dyDescent="0.3">
      <c r="A23" s="1" t="s">
        <v>71</v>
      </c>
      <c r="B23" s="1"/>
      <c r="C23" s="1"/>
      <c r="D23" s="1"/>
      <c r="E23" s="1"/>
      <c r="F23" s="68">
        <f t="shared" si="0"/>
        <v>6000000</v>
      </c>
      <c r="G23" s="68">
        <f t="shared" si="0"/>
        <v>6000000</v>
      </c>
      <c r="H23" s="68">
        <f t="shared" si="0"/>
        <v>6000000</v>
      </c>
      <c r="I23" s="68">
        <f t="shared" si="0"/>
        <v>6000000</v>
      </c>
      <c r="J23" s="68">
        <f t="shared" si="0"/>
        <v>6000000</v>
      </c>
      <c r="K23" s="1"/>
    </row>
    <row r="24" spans="1:11" x14ac:dyDescent="0.3">
      <c r="A24" s="1" t="s">
        <v>79</v>
      </c>
      <c r="B24" s="1"/>
      <c r="C24" s="1"/>
      <c r="D24" s="1"/>
      <c r="E24" s="1"/>
      <c r="F24" s="68">
        <f>-'Variables del Proyecto'!G16</f>
        <v>-83252032.520325184</v>
      </c>
      <c r="G24" s="68">
        <f>-'Variables del Proyecto'!G17</f>
        <v>-104065040.65040648</v>
      </c>
      <c r="H24" s="68">
        <f>-'Variables del Proyecto'!G18</f>
        <v>-130081300.8130081</v>
      </c>
      <c r="I24" s="68">
        <f>-'Variables del Proyecto'!G19</f>
        <v>-162601626.01626012</v>
      </c>
      <c r="J24" s="60">
        <v>0</v>
      </c>
      <c r="K24" s="1"/>
    </row>
    <row r="25" spans="1:11" ht="15" thickBot="1" x14ac:dyDescent="0.35">
      <c r="A25" s="69" t="s">
        <v>34</v>
      </c>
      <c r="B25" s="69"/>
      <c r="C25" s="69"/>
      <c r="D25" s="69"/>
      <c r="E25" s="69"/>
      <c r="F25" s="70"/>
      <c r="G25" s="69"/>
      <c r="H25" s="69"/>
      <c r="I25" s="69"/>
      <c r="J25" s="71">
        <f>'Variables del Proyecto'!J31</f>
        <v>497500000</v>
      </c>
      <c r="K25" s="1"/>
    </row>
    <row r="26" spans="1:11" x14ac:dyDescent="0.3">
      <c r="A26" s="62" t="s">
        <v>80</v>
      </c>
      <c r="B26" s="1"/>
      <c r="C26" s="1"/>
      <c r="D26" s="1"/>
      <c r="E26" s="72">
        <f>SUM(E5:E25)</f>
        <v>-320000000</v>
      </c>
      <c r="F26" s="72">
        <f>SUM(F21:F25)</f>
        <v>-15922032.520325184</v>
      </c>
      <c r="G26" s="72">
        <f>SUM(G21:G25)</f>
        <v>12677934.959349617</v>
      </c>
      <c r="H26" s="72">
        <f>SUM(H21:H25)</f>
        <v>69145144.308943123</v>
      </c>
      <c r="I26" s="72">
        <f>SUM(I21:I25)</f>
        <v>82478130.995934993</v>
      </c>
      <c r="J26" s="72">
        <f>SUM(J21:J25)</f>
        <v>796403271.875</v>
      </c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 t="s">
        <v>92</v>
      </c>
      <c r="C29" s="1"/>
      <c r="D29" s="1"/>
      <c r="E29" s="68"/>
      <c r="F29" s="68">
        <f>F17-F14-F15</f>
        <v>189500000</v>
      </c>
      <c r="G29" s="68">
        <f t="shared" ref="G29:J29" si="1">G17-G14-G15</f>
        <v>240300000</v>
      </c>
      <c r="H29" s="68">
        <f t="shared" si="1"/>
        <v>333825000</v>
      </c>
      <c r="I29" s="68">
        <f t="shared" si="1"/>
        <v>367758750</v>
      </c>
      <c r="J29" s="68">
        <f t="shared" si="1"/>
        <v>405113437.5</v>
      </c>
      <c r="K29" s="1"/>
    </row>
    <row r="30" spans="1:11" x14ac:dyDescent="0.3">
      <c r="B30" s="1" t="s">
        <v>93</v>
      </c>
      <c r="C30" s="1"/>
      <c r="D30" s="1"/>
      <c r="E30" s="1"/>
      <c r="F30" s="80">
        <f>F29/F7</f>
        <v>0.54142857142857148</v>
      </c>
      <c r="G30" s="80">
        <f t="shared" ref="G30:J30" si="2">G29/G7</f>
        <v>0.54613636363636364</v>
      </c>
      <c r="H30" s="80">
        <f t="shared" si="2"/>
        <v>0.55177685950413224</v>
      </c>
      <c r="I30" s="80">
        <f t="shared" si="2"/>
        <v>0.55260518407212622</v>
      </c>
      <c r="J30" s="80">
        <f t="shared" si="2"/>
        <v>0.55339585752339326</v>
      </c>
      <c r="K30" s="1"/>
    </row>
    <row r="32" spans="1:11" x14ac:dyDescent="0.3">
      <c r="B32" s="1" t="s">
        <v>100</v>
      </c>
      <c r="F32" s="68">
        <f>F19-F18</f>
        <v>127000000</v>
      </c>
      <c r="G32" s="68">
        <f t="shared" ref="G32:J32" si="3">G19-G18</f>
        <v>177800000</v>
      </c>
      <c r="H32" s="68">
        <f t="shared" si="3"/>
        <v>271325000</v>
      </c>
      <c r="I32" s="68">
        <f t="shared" si="3"/>
        <v>305258750</v>
      </c>
      <c r="J32" s="68">
        <f t="shared" si="3"/>
        <v>342613437.5</v>
      </c>
    </row>
    <row r="33" spans="2:11" x14ac:dyDescent="0.3">
      <c r="B33" s="1" t="s">
        <v>101</v>
      </c>
      <c r="F33" s="61">
        <f>-F32*0.31</f>
        <v>-39370000</v>
      </c>
      <c r="G33" s="61">
        <f t="shared" ref="G33:J33" si="4">-G32*0.31</f>
        <v>-55118000</v>
      </c>
      <c r="H33" s="61">
        <f t="shared" si="4"/>
        <v>-84110750</v>
      </c>
      <c r="I33" s="61">
        <f t="shared" si="4"/>
        <v>-94630212.5</v>
      </c>
      <c r="J33" s="61">
        <f t="shared" si="4"/>
        <v>-106210165.625</v>
      </c>
    </row>
    <row r="34" spans="2:11" x14ac:dyDescent="0.3">
      <c r="B34" s="1" t="s">
        <v>102</v>
      </c>
      <c r="F34" s="72">
        <f t="shared" ref="F34:J34" si="5">SUM(F32:F33)</f>
        <v>87630000</v>
      </c>
      <c r="G34" s="72">
        <f t="shared" si="5"/>
        <v>122682000</v>
      </c>
      <c r="H34" s="72">
        <f t="shared" si="5"/>
        <v>187214250</v>
      </c>
      <c r="I34" s="72">
        <f t="shared" si="5"/>
        <v>210628537.5</v>
      </c>
      <c r="J34" s="72">
        <f t="shared" si="5"/>
        <v>236403271.875</v>
      </c>
    </row>
    <row r="36" spans="2:11" x14ac:dyDescent="0.3">
      <c r="B36" s="1" t="s">
        <v>103</v>
      </c>
      <c r="F36" s="68">
        <f>-F33</f>
        <v>39370000</v>
      </c>
      <c r="G36" s="68">
        <f t="shared" ref="G36:J36" si="6">-G33</f>
        <v>55118000</v>
      </c>
      <c r="H36" s="68">
        <f t="shared" si="6"/>
        <v>84110750</v>
      </c>
      <c r="I36" s="68">
        <f t="shared" si="6"/>
        <v>94630212.5</v>
      </c>
      <c r="J36" s="68">
        <f t="shared" si="6"/>
        <v>106210165.625</v>
      </c>
    </row>
    <row r="37" spans="2:11" x14ac:dyDescent="0.3">
      <c r="B37" s="1" t="s">
        <v>104</v>
      </c>
      <c r="F37" s="86">
        <f>-F20</f>
        <v>2170000</v>
      </c>
      <c r="G37" s="86">
        <f t="shared" ref="G37:J37" si="7">-G20</f>
        <v>24370032.520325202</v>
      </c>
      <c r="H37" s="86">
        <f t="shared" si="7"/>
        <v>61427823.170731701</v>
      </c>
      <c r="I37" s="86">
        <f t="shared" si="7"/>
        <v>82028586.483739823</v>
      </c>
      <c r="J37" s="86">
        <f t="shared" si="7"/>
        <v>106210165.625</v>
      </c>
      <c r="K37" s="68">
        <f>'Variables del Proyecto'!F20</f>
        <v>333008130.08130085</v>
      </c>
    </row>
    <row r="38" spans="2:11" x14ac:dyDescent="0.3">
      <c r="B38" s="62" t="s">
        <v>105</v>
      </c>
      <c r="F38" s="72">
        <f>F36-F37</f>
        <v>37200000</v>
      </c>
      <c r="G38" s="72">
        <f t="shared" ref="G38:J38" si="8">G36-G37</f>
        <v>30747967.479674798</v>
      </c>
      <c r="H38" s="72">
        <f t="shared" si="8"/>
        <v>22682926.829268299</v>
      </c>
      <c r="I38" s="72">
        <f t="shared" si="8"/>
        <v>12601626.016260177</v>
      </c>
      <c r="J38" s="72">
        <f t="shared" si="8"/>
        <v>0</v>
      </c>
      <c r="K38" s="68">
        <f>SUM(F38:J38)</f>
        <v>103232520.32520327</v>
      </c>
    </row>
    <row r="39" spans="2:11" x14ac:dyDescent="0.3">
      <c r="K39" s="68">
        <f>K37-K38</f>
        <v>229775609.75609758</v>
      </c>
    </row>
  </sheetData>
  <mergeCells count="1">
    <mergeCell ref="B2:J2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G20:J20 G10:J10" formula="1"/>
    <ignoredError sqref="E2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E072-6DFB-4651-894C-681CC8BE87C7}">
  <dimension ref="A2:I68"/>
  <sheetViews>
    <sheetView topLeftCell="A40" zoomScale="88" workbookViewId="0">
      <selection activeCell="E57" sqref="E57"/>
    </sheetView>
  </sheetViews>
  <sheetFormatPr baseColWidth="10" defaultRowHeight="14.4" x14ac:dyDescent="0.3"/>
  <cols>
    <col min="1" max="1" width="18.77734375" bestFit="1" customWidth="1"/>
    <col min="2" max="4" width="16.33203125" bestFit="1" customWidth="1"/>
    <col min="5" max="7" width="12.44140625" customWidth="1"/>
    <col min="8" max="8" width="16.5546875" customWidth="1"/>
    <col min="9" max="9" width="13.109375" customWidth="1"/>
  </cols>
  <sheetData>
    <row r="2" spans="1:8" x14ac:dyDescent="0.3">
      <c r="B2" s="112" t="s">
        <v>81</v>
      </c>
      <c r="C2" s="112"/>
      <c r="D2" s="112"/>
      <c r="E2" s="112"/>
      <c r="F2" s="112"/>
      <c r="G2" s="112"/>
      <c r="H2" s="112"/>
    </row>
    <row r="5" spans="1:8" x14ac:dyDescent="0.3">
      <c r="A5" s="22" t="s">
        <v>17</v>
      </c>
      <c r="B5" s="22"/>
      <c r="C5" s="22"/>
      <c r="D5" s="38">
        <v>0.12</v>
      </c>
    </row>
    <row r="6" spans="1:8" x14ac:dyDescent="0.3">
      <c r="A6" s="22" t="s">
        <v>18</v>
      </c>
      <c r="B6" s="22"/>
      <c r="C6" s="22"/>
      <c r="D6" s="38">
        <v>6.1400000000000003E-2</v>
      </c>
    </row>
    <row r="7" spans="1:8" x14ac:dyDescent="0.3">
      <c r="A7" s="22" t="s">
        <v>19</v>
      </c>
      <c r="B7" s="22"/>
      <c r="C7" s="22"/>
      <c r="D7" s="40">
        <v>0.92</v>
      </c>
    </row>
    <row r="8" spans="1:8" x14ac:dyDescent="0.3">
      <c r="A8" s="22" t="s">
        <v>21</v>
      </c>
      <c r="B8" s="22"/>
      <c r="C8" s="22"/>
      <c r="D8" s="38">
        <v>0.31</v>
      </c>
    </row>
    <row r="9" spans="1:8" x14ac:dyDescent="0.3">
      <c r="A9" s="22" t="s">
        <v>82</v>
      </c>
      <c r="D9" s="38">
        <v>0.25</v>
      </c>
    </row>
    <row r="11" spans="1:8" x14ac:dyDescent="0.3">
      <c r="A11" s="22" t="s">
        <v>83</v>
      </c>
      <c r="B11" t="s">
        <v>84</v>
      </c>
      <c r="D11" s="74">
        <f>D9*(1-D8)</f>
        <v>0.17249999999999999</v>
      </c>
    </row>
    <row r="12" spans="1:8" x14ac:dyDescent="0.3">
      <c r="A12" s="22" t="s">
        <v>85</v>
      </c>
      <c r="C12" s="73"/>
      <c r="D12" s="75">
        <f>D7*(1+(1-D8)*(480000000/320000000))</f>
        <v>1.8722000000000003</v>
      </c>
    </row>
    <row r="13" spans="1:8" x14ac:dyDescent="0.3">
      <c r="A13" s="22" t="s">
        <v>86</v>
      </c>
      <c r="D13" s="76">
        <f>D6+D12*(D5-D6)</f>
        <v>0.17111092</v>
      </c>
    </row>
    <row r="14" spans="1:8" x14ac:dyDescent="0.3">
      <c r="A14" s="22" t="s">
        <v>87</v>
      </c>
    </row>
    <row r="16" spans="1:8" x14ac:dyDescent="0.3">
      <c r="A16" s="22" t="s">
        <v>88</v>
      </c>
      <c r="D16" s="76">
        <f>((D11*(480000000/800000000)+D13*(320000000/800000000)))</f>
        <v>0.17194436800000001</v>
      </c>
    </row>
    <row r="18" spans="1:9" x14ac:dyDescent="0.3">
      <c r="D18" s="77">
        <v>0</v>
      </c>
      <c r="E18" s="77">
        <v>1</v>
      </c>
      <c r="F18" s="77">
        <v>2</v>
      </c>
      <c r="G18" s="77">
        <v>3</v>
      </c>
      <c r="H18" s="77">
        <v>4</v>
      </c>
      <c r="I18" s="77">
        <v>5</v>
      </c>
    </row>
    <row r="20" spans="1:9" x14ac:dyDescent="0.3">
      <c r="A20" s="22" t="s">
        <v>38</v>
      </c>
      <c r="D20" s="72">
        <f>'Flujo de Caja Neto'!E26</f>
        <v>-320000000</v>
      </c>
      <c r="E20" s="72">
        <f>'Flujo de Caja Neto'!F26</f>
        <v>-15922032.520325184</v>
      </c>
      <c r="F20" s="72">
        <f>'Flujo de Caja Neto'!G26</f>
        <v>12677934.959349617</v>
      </c>
      <c r="G20" s="72">
        <f>'Flujo de Caja Neto'!H26</f>
        <v>69145144.308943123</v>
      </c>
      <c r="H20" s="72">
        <f>'Flujo de Caja Neto'!I26</f>
        <v>82478130.995934993</v>
      </c>
      <c r="I20" s="72">
        <f>'Flujo de Caja Neto'!J26</f>
        <v>796403271.875</v>
      </c>
    </row>
    <row r="21" spans="1:9" x14ac:dyDescent="0.3">
      <c r="D21" s="45"/>
      <c r="E21" s="79"/>
      <c r="F21" s="45"/>
      <c r="G21" s="45"/>
      <c r="H21" s="45"/>
      <c r="I21" s="45"/>
    </row>
    <row r="22" spans="1:9" x14ac:dyDescent="0.3">
      <c r="D22" s="45"/>
      <c r="E22" s="45"/>
      <c r="F22" s="45"/>
      <c r="G22" s="45"/>
      <c r="H22" s="45"/>
      <c r="I22" s="45"/>
    </row>
    <row r="23" spans="1:9" x14ac:dyDescent="0.3">
      <c r="A23" s="46">
        <f>D20</f>
        <v>-320000000</v>
      </c>
      <c r="D23" s="45"/>
      <c r="E23" s="45"/>
      <c r="F23" s="45"/>
      <c r="G23" s="45"/>
      <c r="H23" s="45"/>
      <c r="I23" s="45"/>
    </row>
    <row r="24" spans="1:9" x14ac:dyDescent="0.3">
      <c r="A24" s="78">
        <f>NPV(0.1719,E20:I20)</f>
        <v>442650418.47042668</v>
      </c>
      <c r="D24" s="45"/>
      <c r="E24" s="45"/>
      <c r="F24" s="45"/>
      <c r="G24" s="45"/>
      <c r="H24" s="45"/>
      <c r="I24" s="45"/>
    </row>
    <row r="25" spans="1:9" x14ac:dyDescent="0.3">
      <c r="A25" s="46">
        <f>SUM(A23:A24)</f>
        <v>122650418.47042668</v>
      </c>
      <c r="B25" s="58" t="s">
        <v>89</v>
      </c>
      <c r="C25" s="58"/>
      <c r="D25" s="45"/>
      <c r="E25" s="45"/>
      <c r="F25" s="45"/>
      <c r="G25" s="45"/>
      <c r="H25" s="45"/>
      <c r="I25" s="45"/>
    </row>
    <row r="26" spans="1:9" x14ac:dyDescent="0.3">
      <c r="D26" s="45"/>
      <c r="E26" s="45"/>
      <c r="F26" s="45"/>
      <c r="G26" s="45"/>
      <c r="H26" s="45"/>
      <c r="I26" s="45"/>
    </row>
    <row r="27" spans="1:9" x14ac:dyDescent="0.3">
      <c r="A27" s="22" t="s">
        <v>90</v>
      </c>
      <c r="B27" s="74">
        <f>IRR(D20:I20)</f>
        <v>0.25450478602073257</v>
      </c>
      <c r="D27" s="45"/>
      <c r="E27" s="45"/>
      <c r="F27" s="45"/>
      <c r="G27" s="45"/>
      <c r="H27" s="45"/>
      <c r="I27" s="45"/>
    </row>
    <row r="28" spans="1:9" x14ac:dyDescent="0.3">
      <c r="A28" s="22" t="s">
        <v>91</v>
      </c>
      <c r="B28" s="74">
        <f>B27-D16</f>
        <v>8.2560418020732551E-2</v>
      </c>
      <c r="D28" s="45"/>
      <c r="E28" s="45"/>
      <c r="F28" s="45"/>
      <c r="G28" s="45"/>
      <c r="H28" s="45"/>
      <c r="I28" s="45"/>
    </row>
    <row r="29" spans="1:9" x14ac:dyDescent="0.3">
      <c r="D29" s="45"/>
      <c r="E29" s="45"/>
      <c r="F29" s="45"/>
      <c r="G29" s="45"/>
      <c r="H29" s="45"/>
      <c r="I29" s="45"/>
    </row>
    <row r="30" spans="1:9" x14ac:dyDescent="0.3">
      <c r="B30" s="3"/>
      <c r="D30" s="45"/>
      <c r="E30" s="45"/>
      <c r="F30" s="45"/>
      <c r="G30" s="45"/>
      <c r="H30" s="45"/>
      <c r="I30" s="45"/>
    </row>
    <row r="31" spans="1:9" x14ac:dyDescent="0.3"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45"/>
    </row>
    <row r="32" spans="1:9" x14ac:dyDescent="0.3">
      <c r="D32" s="45"/>
      <c r="E32" s="45"/>
      <c r="F32" s="45"/>
      <c r="G32" s="45"/>
      <c r="H32" s="45"/>
      <c r="I32" s="45"/>
    </row>
    <row r="33" spans="1:9" x14ac:dyDescent="0.3">
      <c r="A33" t="s">
        <v>48</v>
      </c>
      <c r="D33" s="45">
        <f>'Flujo de Caja Neto'!F7</f>
        <v>350000000</v>
      </c>
      <c r="E33" s="45">
        <f>'Flujo de Caja Neto'!G7</f>
        <v>440000000</v>
      </c>
      <c r="F33" s="45">
        <f>'Flujo de Caja Neto'!H7</f>
        <v>605000000</v>
      </c>
      <c r="G33" s="45">
        <f>'Flujo de Caja Neto'!I7</f>
        <v>665500000</v>
      </c>
      <c r="H33" s="45">
        <f>'Flujo de Caja Neto'!J7</f>
        <v>732050000</v>
      </c>
      <c r="I33" s="45"/>
    </row>
    <row r="34" spans="1:9" x14ac:dyDescent="0.3">
      <c r="A34" t="s">
        <v>95</v>
      </c>
      <c r="D34" s="52">
        <f>'Flujo de Caja Neto'!F10</f>
        <v>7000000</v>
      </c>
      <c r="E34" s="52">
        <f>'Flujo de Caja Neto'!G10</f>
        <v>8800000</v>
      </c>
      <c r="F34" s="52">
        <f>'Flujo de Caja Neto'!H10</f>
        <v>12100000</v>
      </c>
      <c r="G34" s="52">
        <f>'Flujo de Caja Neto'!I10</f>
        <v>13310000</v>
      </c>
      <c r="H34" s="52">
        <f>'Flujo de Caja Neto'!J10</f>
        <v>14641000</v>
      </c>
      <c r="I34" s="45"/>
    </row>
    <row r="35" spans="1:9" x14ac:dyDescent="0.3">
      <c r="D35" s="81">
        <f>SUM(D33:D34)</f>
        <v>357000000</v>
      </c>
      <c r="E35" s="81">
        <f t="shared" ref="E35:H35" si="0">SUM(E33:E34)</f>
        <v>448800000</v>
      </c>
      <c r="F35" s="81">
        <f t="shared" si="0"/>
        <v>617100000</v>
      </c>
      <c r="G35" s="81">
        <f t="shared" si="0"/>
        <v>678810000</v>
      </c>
      <c r="H35" s="81">
        <f t="shared" si="0"/>
        <v>746691000</v>
      </c>
      <c r="I35" s="45"/>
    </row>
    <row r="36" spans="1:9" x14ac:dyDescent="0.3">
      <c r="A36" s="3" t="s">
        <v>94</v>
      </c>
      <c r="D36" s="45"/>
      <c r="E36" s="45"/>
      <c r="F36" s="45"/>
      <c r="G36" s="45"/>
      <c r="H36" s="45"/>
      <c r="I36" s="45"/>
    </row>
    <row r="37" spans="1:9" x14ac:dyDescent="0.3">
      <c r="D37" s="45"/>
      <c r="E37" s="45"/>
      <c r="F37" s="45"/>
      <c r="G37" s="45"/>
      <c r="H37" s="45"/>
      <c r="I37" s="45"/>
    </row>
    <row r="38" spans="1:9" x14ac:dyDescent="0.3">
      <c r="B38" s="83">
        <f>NPV(0.1719,D35:H35)</f>
        <v>1712579419.4829903</v>
      </c>
      <c r="D38" s="45"/>
      <c r="E38" s="45"/>
      <c r="F38" s="45"/>
      <c r="G38" s="45"/>
      <c r="H38" s="45"/>
      <c r="I38" s="45"/>
    </row>
    <row r="39" spans="1:9" x14ac:dyDescent="0.3">
      <c r="D39" s="45"/>
      <c r="E39" s="45"/>
      <c r="F39" s="45"/>
      <c r="G39" s="45"/>
      <c r="H39" s="45"/>
      <c r="I39" s="45"/>
    </row>
    <row r="40" spans="1:9" x14ac:dyDescent="0.3">
      <c r="A40" t="s">
        <v>49</v>
      </c>
      <c r="D40" s="45">
        <f>-'Flujo de Caja Neto'!F8</f>
        <v>157500000</v>
      </c>
      <c r="E40" s="45">
        <f>-'Flujo de Caja Neto'!G8</f>
        <v>198000000</v>
      </c>
      <c r="F40" s="45">
        <f>-'Flujo de Caja Neto'!H8</f>
        <v>272250000</v>
      </c>
      <c r="G40" s="45">
        <f>-'Flujo de Caja Neto'!I8</f>
        <v>299475000</v>
      </c>
      <c r="H40" s="45">
        <f>-'Flujo de Caja Neto'!J8</f>
        <v>329422500</v>
      </c>
      <c r="I40" s="45"/>
    </row>
    <row r="41" spans="1:9" x14ac:dyDescent="0.3">
      <c r="A41" t="s">
        <v>96</v>
      </c>
      <c r="D41" s="45" cm="1">
        <f t="array" ref="D41:H41">-'Flujo de Caja Neto'!F16:J16</f>
        <v>72500000</v>
      </c>
      <c r="E41" s="45">
        <v>73000000</v>
      </c>
      <c r="F41" s="45">
        <v>73525000</v>
      </c>
      <c r="G41" s="45">
        <v>74076250</v>
      </c>
      <c r="H41" s="45">
        <v>74655062.5</v>
      </c>
      <c r="I41" s="45"/>
    </row>
    <row r="42" spans="1:9" x14ac:dyDescent="0.3">
      <c r="A42" t="s">
        <v>75</v>
      </c>
      <c r="D42" s="52">
        <f>-'Flujo de Caja Neto'!F18</f>
        <v>120000000</v>
      </c>
      <c r="E42" s="52">
        <f>-'Flujo de Caja Neto'!G18</f>
        <v>99186991.869918704</v>
      </c>
      <c r="F42" s="52">
        <f>-'Flujo de Caja Neto'!H18</f>
        <v>73170731.707317084</v>
      </c>
      <c r="G42" s="52">
        <f>-'Flujo de Caja Neto'!I18</f>
        <v>40650406.504065059</v>
      </c>
      <c r="H42" s="52">
        <f>-'Flujo de Caja Neto'!J18</f>
        <v>0</v>
      </c>
      <c r="I42" s="45"/>
    </row>
    <row r="43" spans="1:9" x14ac:dyDescent="0.3">
      <c r="D43" s="81">
        <f t="shared" ref="D43:H43" si="1">SUM(D40:D42)</f>
        <v>350000000</v>
      </c>
      <c r="E43" s="81">
        <f t="shared" si="1"/>
        <v>370186991.8699187</v>
      </c>
      <c r="F43" s="81">
        <f t="shared" si="1"/>
        <v>418945731.70731711</v>
      </c>
      <c r="G43" s="81">
        <f t="shared" si="1"/>
        <v>414201656.50406504</v>
      </c>
      <c r="H43" s="81">
        <f t="shared" si="1"/>
        <v>404077562.5</v>
      </c>
      <c r="I43" s="45"/>
    </row>
    <row r="44" spans="1:9" x14ac:dyDescent="0.3">
      <c r="D44" s="45"/>
      <c r="E44" s="45"/>
      <c r="F44" s="45"/>
      <c r="G44" s="45"/>
      <c r="H44" s="45"/>
      <c r="I44" s="45"/>
    </row>
    <row r="45" spans="1:9" x14ac:dyDescent="0.3">
      <c r="A45" s="3" t="s">
        <v>97</v>
      </c>
      <c r="C45" s="83">
        <f>NPV(0.1719,D43:H43)</f>
        <v>1230941686.445446</v>
      </c>
      <c r="D45" s="45"/>
      <c r="E45" s="45"/>
      <c r="F45" s="45"/>
      <c r="G45" s="45"/>
      <c r="H45" s="45"/>
      <c r="I45" s="45"/>
    </row>
    <row r="46" spans="1:9" x14ac:dyDescent="0.3">
      <c r="D46" s="45"/>
      <c r="E46" s="45"/>
      <c r="F46" s="45"/>
      <c r="G46" s="45"/>
      <c r="H46" s="45"/>
      <c r="I46" s="45"/>
    </row>
    <row r="47" spans="1:9" x14ac:dyDescent="0.3">
      <c r="A47" s="3" t="s">
        <v>98</v>
      </c>
      <c r="C47" s="84">
        <f>B38/C45</f>
        <v>1.3912758324306616</v>
      </c>
      <c r="D47" s="45"/>
      <c r="E47" s="45"/>
      <c r="F47" s="45"/>
      <c r="G47" s="45"/>
      <c r="H47" s="45"/>
      <c r="I47" s="45"/>
    </row>
    <row r="48" spans="1:9" x14ac:dyDescent="0.3">
      <c r="A48" s="3" t="s">
        <v>99</v>
      </c>
      <c r="C48" s="85">
        <f>A24/-A23</f>
        <v>1.3832825577200834</v>
      </c>
      <c r="D48" s="45"/>
      <c r="E48" s="45"/>
      <c r="F48" s="45"/>
      <c r="G48" s="45"/>
      <c r="H48" s="45"/>
      <c r="I48" s="45"/>
    </row>
    <row r="49" spans="1:9" x14ac:dyDescent="0.3">
      <c r="D49" s="45"/>
      <c r="E49" s="45"/>
      <c r="F49" s="45"/>
      <c r="G49" s="45"/>
      <c r="H49" s="45"/>
      <c r="I49" s="45"/>
    </row>
    <row r="50" spans="1:9" x14ac:dyDescent="0.3">
      <c r="D50" s="45"/>
      <c r="E50" s="45"/>
      <c r="F50" s="45"/>
      <c r="G50" s="45"/>
      <c r="H50" s="45"/>
      <c r="I50" s="45"/>
    </row>
    <row r="51" spans="1:9" x14ac:dyDescent="0.3">
      <c r="A51" s="22" t="s">
        <v>118</v>
      </c>
    </row>
    <row r="53" spans="1:9" x14ac:dyDescent="0.3">
      <c r="C53" s="77">
        <v>0</v>
      </c>
      <c r="D53" s="77">
        <v>1</v>
      </c>
      <c r="E53" s="77">
        <v>2</v>
      </c>
      <c r="F53" s="77">
        <v>3</v>
      </c>
      <c r="G53" s="77">
        <v>4</v>
      </c>
      <c r="H53" s="77">
        <v>5</v>
      </c>
    </row>
    <row r="54" spans="1:9" x14ac:dyDescent="0.3">
      <c r="A54" t="s">
        <v>80</v>
      </c>
      <c r="C54" s="46">
        <f>D20</f>
        <v>-320000000</v>
      </c>
      <c r="D54" s="46">
        <f t="shared" ref="D54:H54" si="2">E20</f>
        <v>-15922032.520325184</v>
      </c>
      <c r="E54" s="46">
        <f t="shared" si="2"/>
        <v>12677934.959349617</v>
      </c>
      <c r="F54" s="46">
        <f t="shared" si="2"/>
        <v>69145144.308943123</v>
      </c>
      <c r="G54" s="46">
        <f t="shared" si="2"/>
        <v>82478130.995934993</v>
      </c>
      <c r="H54" s="46">
        <f t="shared" si="2"/>
        <v>796403271.875</v>
      </c>
    </row>
    <row r="57" spans="1:9" x14ac:dyDescent="0.3">
      <c r="C57" t="s">
        <v>52</v>
      </c>
      <c r="D57" s="89">
        <f>PV(0.1719,D59,,D60)</f>
        <v>-13586511.238437738</v>
      </c>
      <c r="E57" s="89">
        <f t="shared" ref="E57:H57" si="3">PV(0.1719,E59,,E60)</f>
        <v>9231396.6283862852</v>
      </c>
      <c r="F57" s="89">
        <f t="shared" si="3"/>
        <v>42962547.42802117</v>
      </c>
      <c r="G57" s="89">
        <f t="shared" si="3"/>
        <v>43729709.669157602</v>
      </c>
      <c r="H57" s="89">
        <f t="shared" si="3"/>
        <v>360313275.98329931</v>
      </c>
    </row>
    <row r="58" spans="1:9" x14ac:dyDescent="0.3">
      <c r="C58" t="s">
        <v>53</v>
      </c>
      <c r="D58" s="32">
        <f>D16</f>
        <v>0.17194436800000001</v>
      </c>
      <c r="E58" s="32">
        <f>D16</f>
        <v>0.17194436800000001</v>
      </c>
      <c r="F58" s="32">
        <f>D16</f>
        <v>0.17194436800000001</v>
      </c>
      <c r="G58" s="32">
        <f>D16</f>
        <v>0.17194436800000001</v>
      </c>
      <c r="H58" s="32">
        <f>D16</f>
        <v>0.17194436800000001</v>
      </c>
    </row>
    <row r="59" spans="1:9" x14ac:dyDescent="0.3">
      <c r="C59" t="s">
        <v>54</v>
      </c>
      <c r="D59">
        <v>1</v>
      </c>
      <c r="E59">
        <v>2</v>
      </c>
      <c r="F59">
        <v>3</v>
      </c>
      <c r="G59">
        <v>4</v>
      </c>
      <c r="H59">
        <v>5</v>
      </c>
    </row>
    <row r="60" spans="1:9" x14ac:dyDescent="0.3">
      <c r="C60" t="s">
        <v>119</v>
      </c>
      <c r="D60" s="46">
        <f>-D54</f>
        <v>15922032.520325184</v>
      </c>
      <c r="E60" s="46">
        <f t="shared" ref="E60:H60" si="4">-E54</f>
        <v>-12677934.959349617</v>
      </c>
      <c r="F60" s="46">
        <f t="shared" si="4"/>
        <v>-69145144.308943123</v>
      </c>
      <c r="G60" s="46">
        <f t="shared" si="4"/>
        <v>-82478130.995934993</v>
      </c>
      <c r="H60" s="46">
        <f t="shared" si="4"/>
        <v>-796403271.875</v>
      </c>
    </row>
    <row r="62" spans="1:9" x14ac:dyDescent="0.3">
      <c r="D62" s="89"/>
      <c r="E62" s="89">
        <f>E57</f>
        <v>9231396.6283862852</v>
      </c>
      <c r="F62" s="89">
        <f>F57</f>
        <v>42962547.42802117</v>
      </c>
      <c r="G62" s="89">
        <f>G57</f>
        <v>43729709.669157602</v>
      </c>
      <c r="H62" s="89">
        <f>H57</f>
        <v>360313275.98329931</v>
      </c>
    </row>
    <row r="63" spans="1:9" x14ac:dyDescent="0.3">
      <c r="B63" t="s">
        <v>118</v>
      </c>
      <c r="D63" s="89">
        <f>D57</f>
        <v>-13586511.238437738</v>
      </c>
      <c r="E63" s="78">
        <f>D57</f>
        <v>-13586511.238437738</v>
      </c>
      <c r="F63" s="78">
        <f>E64</f>
        <v>-4355114.6100514531</v>
      </c>
      <c r="G63" s="78">
        <f>F64</f>
        <v>38607432.817969717</v>
      </c>
      <c r="H63" s="78">
        <f>G64</f>
        <v>82337142.487127319</v>
      </c>
    </row>
    <row r="64" spans="1:9" x14ac:dyDescent="0.3">
      <c r="E64" s="89">
        <f>SUM(E62:E63)</f>
        <v>-4355114.6100514531</v>
      </c>
      <c r="F64" s="89">
        <f>SUM(F62:F63)</f>
        <v>38607432.817969717</v>
      </c>
      <c r="G64" s="89">
        <f>SUM(G62:G63)</f>
        <v>82337142.487127319</v>
      </c>
      <c r="H64" s="90">
        <f>SUM(H62:H63)</f>
        <v>442650418.47042662</v>
      </c>
    </row>
    <row r="66" spans="1:1" x14ac:dyDescent="0.3">
      <c r="A66" s="46"/>
    </row>
    <row r="67" spans="1:1" x14ac:dyDescent="0.3">
      <c r="A67" s="97"/>
    </row>
    <row r="68" spans="1:1" x14ac:dyDescent="0.3">
      <c r="A68" s="46"/>
    </row>
  </sheetData>
  <mergeCells count="1"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CA2A-2EED-49B8-8106-8C58D394BB67}">
  <dimension ref="A2:J29"/>
  <sheetViews>
    <sheetView zoomScale="110" workbookViewId="0">
      <selection activeCell="D7" sqref="D7"/>
    </sheetView>
  </sheetViews>
  <sheetFormatPr baseColWidth="10" defaultRowHeight="14.4" x14ac:dyDescent="0.3"/>
  <cols>
    <col min="4" max="9" width="12.109375" bestFit="1" customWidth="1"/>
  </cols>
  <sheetData>
    <row r="2" spans="1:10" x14ac:dyDescent="0.3">
      <c r="B2" s="113" t="s">
        <v>106</v>
      </c>
      <c r="C2" s="113"/>
      <c r="D2" s="113"/>
      <c r="E2" s="113"/>
      <c r="F2" s="113"/>
      <c r="G2" s="113"/>
      <c r="H2" s="113"/>
      <c r="I2" s="113"/>
      <c r="J2" s="113"/>
    </row>
    <row r="4" spans="1:10" x14ac:dyDescent="0.3">
      <c r="D4" s="77">
        <v>0</v>
      </c>
      <c r="E4" s="77">
        <v>1</v>
      </c>
      <c r="F4" s="77">
        <v>2</v>
      </c>
      <c r="G4" s="77">
        <v>3</v>
      </c>
      <c r="H4" s="77">
        <v>4</v>
      </c>
      <c r="I4" s="77">
        <v>5</v>
      </c>
    </row>
    <row r="5" spans="1:10" x14ac:dyDescent="0.3">
      <c r="D5" s="45"/>
      <c r="E5" s="45"/>
      <c r="F5" s="45"/>
      <c r="G5" s="45"/>
      <c r="H5" s="45"/>
      <c r="I5" s="45"/>
    </row>
    <row r="6" spans="1:10" x14ac:dyDescent="0.3">
      <c r="A6" s="3" t="s">
        <v>107</v>
      </c>
      <c r="D6" s="45"/>
      <c r="E6" s="45"/>
      <c r="F6" s="45"/>
      <c r="G6" s="45"/>
      <c r="H6" s="45"/>
      <c r="I6" s="45"/>
    </row>
    <row r="7" spans="1:10" x14ac:dyDescent="0.3">
      <c r="A7" t="s">
        <v>4</v>
      </c>
      <c r="D7" s="45">
        <f>Ejercicio!D9</f>
        <v>20000000</v>
      </c>
      <c r="E7" s="45">
        <f>D7+'Flujo de Caja Neto'!F21</f>
        <v>24830000</v>
      </c>
      <c r="F7" s="45">
        <f>D7+'Flujo de Caja Neto'!G21</f>
        <v>74242975.609756097</v>
      </c>
      <c r="G7" s="45">
        <f>D7+'Flujo de Caja Neto'!H21</f>
        <v>156726445.12195122</v>
      </c>
      <c r="H7" s="45">
        <f>D7+'Flujo de Caja Neto'!I21</f>
        <v>202579757.01219511</v>
      </c>
      <c r="I7" s="45">
        <f>D7+'Flujo de Caja Neto'!J21</f>
        <v>256403271.875</v>
      </c>
    </row>
    <row r="8" spans="1:10" x14ac:dyDescent="0.3">
      <c r="A8" t="s">
        <v>5</v>
      </c>
      <c r="D8" s="45">
        <f>Ejercicio!D10</f>
        <v>20000000</v>
      </c>
      <c r="E8" s="45">
        <f>Ejercicio!D10</f>
        <v>20000000</v>
      </c>
      <c r="F8" s="45">
        <f>Ejercicio!D10</f>
        <v>20000000</v>
      </c>
      <c r="G8" s="45">
        <f>Ejercicio!D10</f>
        <v>20000000</v>
      </c>
      <c r="H8" s="45">
        <f>Ejercicio!D10</f>
        <v>20000000</v>
      </c>
      <c r="I8" s="45">
        <f>H8</f>
        <v>20000000</v>
      </c>
    </row>
    <row r="9" spans="1:10" x14ac:dyDescent="0.3">
      <c r="A9" s="3" t="s">
        <v>108</v>
      </c>
      <c r="D9" s="88">
        <f t="shared" ref="D9:I9" si="0">SUM(D7:D8)</f>
        <v>40000000</v>
      </c>
      <c r="E9" s="88">
        <f t="shared" si="0"/>
        <v>44830000</v>
      </c>
      <c r="F9" s="88">
        <f t="shared" si="0"/>
        <v>94242975.609756097</v>
      </c>
      <c r="G9" s="88">
        <f t="shared" si="0"/>
        <v>176726445.12195122</v>
      </c>
      <c r="H9" s="88">
        <f t="shared" si="0"/>
        <v>222579757.01219511</v>
      </c>
      <c r="I9" s="88">
        <f t="shared" si="0"/>
        <v>276403271.875</v>
      </c>
    </row>
    <row r="10" spans="1:10" x14ac:dyDescent="0.3">
      <c r="A10" s="3" t="s">
        <v>109</v>
      </c>
      <c r="D10" s="45"/>
      <c r="E10" s="45"/>
      <c r="F10" s="45"/>
      <c r="G10" s="45"/>
      <c r="H10" s="45"/>
      <c r="I10" s="45"/>
    </row>
    <row r="11" spans="1:10" x14ac:dyDescent="0.3">
      <c r="A11" t="s">
        <v>6</v>
      </c>
      <c r="D11" s="45">
        <f>Ejercicio!D11</f>
        <v>120000000</v>
      </c>
      <c r="E11" s="45">
        <f>Ejercicio!D11</f>
        <v>120000000</v>
      </c>
      <c r="F11" s="45">
        <f>Ejercicio!D11</f>
        <v>120000000</v>
      </c>
      <c r="G11" s="45">
        <f>Ejercicio!D11</f>
        <v>120000000</v>
      </c>
      <c r="H11" s="45">
        <f>Ejercicio!D11</f>
        <v>120000000</v>
      </c>
      <c r="I11" s="45">
        <f>Ejercicio!D11</f>
        <v>120000000</v>
      </c>
    </row>
    <row r="12" spans="1:10" x14ac:dyDescent="0.3">
      <c r="A12" t="s">
        <v>7</v>
      </c>
      <c r="D12" s="45">
        <f>Ejercicio!D12</f>
        <v>350000000</v>
      </c>
      <c r="E12" s="45">
        <f>Ejercicio!D12</f>
        <v>350000000</v>
      </c>
      <c r="F12" s="45">
        <f>Ejercicio!D12</f>
        <v>350000000</v>
      </c>
      <c r="G12" s="45">
        <f>Ejercicio!D12</f>
        <v>350000000</v>
      </c>
      <c r="H12" s="45">
        <f>Ejercicio!D12</f>
        <v>350000000</v>
      </c>
      <c r="I12" s="45">
        <f>Ejercicio!D12</f>
        <v>350000000</v>
      </c>
    </row>
    <row r="13" spans="1:10" x14ac:dyDescent="0.3">
      <c r="A13" t="s">
        <v>8</v>
      </c>
      <c r="D13" s="45">
        <f>Ejercicio!D13</f>
        <v>70000000</v>
      </c>
      <c r="E13" s="45">
        <f>Ejercicio!D13</f>
        <v>70000000</v>
      </c>
      <c r="F13" s="45">
        <f>Ejercicio!D13</f>
        <v>70000000</v>
      </c>
      <c r="G13" s="45">
        <f>Ejercicio!D13</f>
        <v>70000000</v>
      </c>
      <c r="H13" s="45">
        <f>Ejercicio!D13</f>
        <v>70000000</v>
      </c>
      <c r="I13" s="45">
        <f>Ejercicio!D13</f>
        <v>70000000</v>
      </c>
    </row>
    <row r="14" spans="1:10" x14ac:dyDescent="0.3">
      <c r="A14" t="s">
        <v>9</v>
      </c>
      <c r="D14" s="45">
        <f>Ejercicio!D14</f>
        <v>60000000</v>
      </c>
      <c r="E14" s="45">
        <f>Ejercicio!D14</f>
        <v>60000000</v>
      </c>
      <c r="F14" s="45">
        <f>Ejercicio!D14</f>
        <v>60000000</v>
      </c>
      <c r="G14" s="45">
        <f>Ejercicio!D14</f>
        <v>60000000</v>
      </c>
      <c r="H14" s="45">
        <f>Ejercicio!D14</f>
        <v>60000000</v>
      </c>
      <c r="I14" s="45">
        <f>Ejercicio!D14</f>
        <v>60000000</v>
      </c>
    </row>
    <row r="15" spans="1:10" x14ac:dyDescent="0.3">
      <c r="A15" t="s">
        <v>61</v>
      </c>
      <c r="D15" s="45">
        <f>Ejercicio!D15</f>
        <v>70000000</v>
      </c>
      <c r="E15" s="45">
        <f>Ejercicio!D15</f>
        <v>70000000</v>
      </c>
      <c r="F15" s="45">
        <f>Ejercicio!D15</f>
        <v>70000000</v>
      </c>
      <c r="G15" s="45">
        <f>Ejercicio!D15</f>
        <v>70000000</v>
      </c>
      <c r="H15" s="45">
        <f>Ejercicio!D15</f>
        <v>70000000</v>
      </c>
      <c r="I15" s="45">
        <f>Ejercicio!D15</f>
        <v>70000000</v>
      </c>
    </row>
    <row r="16" spans="1:10" x14ac:dyDescent="0.3">
      <c r="A16" t="s">
        <v>11</v>
      </c>
      <c r="D16" s="45">
        <f>Ejercicio!D16</f>
        <v>60000000</v>
      </c>
      <c r="E16" s="45">
        <f>Ejercicio!D16</f>
        <v>60000000</v>
      </c>
      <c r="F16" s="45">
        <f>Ejercicio!D16</f>
        <v>60000000</v>
      </c>
      <c r="G16" s="45">
        <f>Ejercicio!D16</f>
        <v>60000000</v>
      </c>
      <c r="H16" s="45">
        <f>Ejercicio!D16</f>
        <v>60000000</v>
      </c>
      <c r="I16" s="45">
        <f>Ejercicio!D16+10000000</f>
        <v>70000000</v>
      </c>
    </row>
    <row r="17" spans="1:10" x14ac:dyDescent="0.3">
      <c r="A17" t="s">
        <v>110</v>
      </c>
      <c r="D17" s="45"/>
      <c r="E17" s="45">
        <f>'Flujo de Caja Neto'!G14</f>
        <v>-56500000</v>
      </c>
      <c r="F17" s="45">
        <f>'Flujo de Caja Neto'!H14 *2</f>
        <v>-113000000</v>
      </c>
      <c r="G17" s="45">
        <f>'Flujo de Caja Neto'!I14 *3</f>
        <v>-169500000</v>
      </c>
      <c r="H17" s="45">
        <f>'Flujo de Caja Neto'!J14 *4</f>
        <v>-226000000</v>
      </c>
      <c r="I17" s="45">
        <f>E17*5</f>
        <v>-282500000</v>
      </c>
    </row>
    <row r="18" spans="1:10" x14ac:dyDescent="0.3">
      <c r="A18" s="3" t="s">
        <v>111</v>
      </c>
      <c r="D18" s="88">
        <f t="shared" ref="D18:I18" si="1">SUM(D11:D17)</f>
        <v>730000000</v>
      </c>
      <c r="E18" s="88">
        <f t="shared" si="1"/>
        <v>673500000</v>
      </c>
      <c r="F18" s="88">
        <f t="shared" si="1"/>
        <v>617000000</v>
      </c>
      <c r="G18" s="88">
        <f t="shared" si="1"/>
        <v>560500000</v>
      </c>
      <c r="H18" s="88">
        <f t="shared" si="1"/>
        <v>504000000</v>
      </c>
      <c r="I18" s="88">
        <f t="shared" si="1"/>
        <v>457500000</v>
      </c>
    </row>
    <row r="19" spans="1:10" x14ac:dyDescent="0.3">
      <c r="A19" s="3" t="s">
        <v>112</v>
      </c>
      <c r="D19" s="45"/>
      <c r="E19" s="45"/>
      <c r="F19" s="45"/>
      <c r="G19" s="45"/>
      <c r="H19" s="45"/>
      <c r="I19" s="45"/>
    </row>
    <row r="20" spans="1:10" x14ac:dyDescent="0.3">
      <c r="A20" t="s">
        <v>13</v>
      </c>
      <c r="D20" s="45">
        <f>Ejercicio!D17</f>
        <v>10000000</v>
      </c>
      <c r="E20" s="45">
        <f>'Balances Proyectados'!D20-(-'Flujo de Caja Neto'!F15/3)</f>
        <v>8000000</v>
      </c>
      <c r="F20" s="45">
        <f>'Balances Proyectados'!E20-(-'Flujo de Caja Neto'!G15/3)</f>
        <v>6000000</v>
      </c>
      <c r="G20" s="45">
        <f>'Balances Proyectados'!F20-(-'Flujo de Caja Neto'!H15/3)</f>
        <v>4000000</v>
      </c>
      <c r="H20" s="45">
        <f>'Balances Proyectados'!G20-(-'Flujo de Caja Neto'!I15/3)</f>
        <v>2000000</v>
      </c>
      <c r="I20" s="45">
        <f>'Balances Proyectados'!H20-(-'Flujo de Caja Neto'!J15/3)</f>
        <v>0</v>
      </c>
    </row>
    <row r="21" spans="1:10" x14ac:dyDescent="0.3">
      <c r="A21" t="s">
        <v>14</v>
      </c>
      <c r="D21" s="45">
        <f>Ejercicio!D18</f>
        <v>10000000</v>
      </c>
      <c r="E21" s="45">
        <f>'Balances Proyectados'!D21-(-'Flujo de Caja Neto'!F15/3)</f>
        <v>8000000</v>
      </c>
      <c r="F21" s="45">
        <f>'Balances Proyectados'!E21-(-'Flujo de Caja Neto'!G15/3)</f>
        <v>6000000</v>
      </c>
      <c r="G21" s="45">
        <f>'Balances Proyectados'!F21-(-'Flujo de Caja Neto'!G15/3)</f>
        <v>4000000</v>
      </c>
      <c r="H21" s="45">
        <f>'Balances Proyectados'!G21-(-'Flujo de Caja Neto'!H15/3)</f>
        <v>2000000</v>
      </c>
      <c r="I21" s="45">
        <f>'Balances Proyectados'!H21-(-'Flujo de Caja Neto'!I15/3)</f>
        <v>0</v>
      </c>
    </row>
    <row r="22" spans="1:10" x14ac:dyDescent="0.3">
      <c r="A22" t="s">
        <v>15</v>
      </c>
      <c r="D22" s="45">
        <f>Ejercicio!D19</f>
        <v>10000000</v>
      </c>
      <c r="E22" s="45">
        <f>'Balances Proyectados'!D22-(-'Flujo de Caja Neto'!F15/3)</f>
        <v>8000000</v>
      </c>
      <c r="F22" s="45">
        <f>'Balances Proyectados'!E22-(-'Flujo de Caja Neto'!G15/3)</f>
        <v>6000000</v>
      </c>
      <c r="G22" s="45">
        <f>'Balances Proyectados'!F22-(-'Flujo de Caja Neto'!G15/3)</f>
        <v>4000000</v>
      </c>
      <c r="H22" s="45">
        <f>'Balances Proyectados'!G22-(-'Flujo de Caja Neto'!H15/3)</f>
        <v>2000000</v>
      </c>
      <c r="I22" s="45">
        <f>'Balances Proyectados'!H22-(-'Flujo de Caja Neto'!I15/3)</f>
        <v>0</v>
      </c>
    </row>
    <row r="23" spans="1:10" x14ac:dyDescent="0.3">
      <c r="A23" s="3" t="s">
        <v>113</v>
      </c>
      <c r="D23" s="88">
        <f t="shared" ref="D23:I23" si="2">SUM(D20:D22)</f>
        <v>30000000</v>
      </c>
      <c r="E23" s="88">
        <f t="shared" si="2"/>
        <v>24000000</v>
      </c>
      <c r="F23" s="88">
        <f t="shared" si="2"/>
        <v>18000000</v>
      </c>
      <c r="G23" s="88">
        <f t="shared" si="2"/>
        <v>12000000</v>
      </c>
      <c r="H23" s="88">
        <f t="shared" si="2"/>
        <v>6000000</v>
      </c>
      <c r="I23" s="88">
        <f t="shared" si="2"/>
        <v>0</v>
      </c>
    </row>
    <row r="24" spans="1:10" x14ac:dyDescent="0.3">
      <c r="A24" s="3" t="s">
        <v>114</v>
      </c>
      <c r="D24" s="88">
        <f t="shared" ref="D24:I24" si="3">D9+D18+D23</f>
        <v>800000000</v>
      </c>
      <c r="E24" s="88">
        <f t="shared" si="3"/>
        <v>742330000</v>
      </c>
      <c r="F24" s="88">
        <f t="shared" si="3"/>
        <v>729242975.60975611</v>
      </c>
      <c r="G24" s="88">
        <f t="shared" si="3"/>
        <v>749226445.12195122</v>
      </c>
      <c r="H24" s="88">
        <f t="shared" si="3"/>
        <v>732579757.01219511</v>
      </c>
      <c r="I24" s="88">
        <f t="shared" si="3"/>
        <v>733903271.875</v>
      </c>
    </row>
    <row r="25" spans="1:10" x14ac:dyDescent="0.3">
      <c r="D25" s="45"/>
      <c r="E25" s="45"/>
      <c r="F25" s="45"/>
      <c r="G25" s="45"/>
      <c r="H25" s="45"/>
      <c r="I25" s="45"/>
    </row>
    <row r="26" spans="1:10" x14ac:dyDescent="0.3">
      <c r="A26" t="s">
        <v>66</v>
      </c>
      <c r="D26" s="45">
        <f>D24*0.6</f>
        <v>480000000</v>
      </c>
      <c r="E26" s="45">
        <f>'Variables del Proyecto'!H16</f>
        <v>396747967.47967482</v>
      </c>
      <c r="F26" s="45">
        <f>'Variables del Proyecto'!H17</f>
        <v>292682926.82926834</v>
      </c>
      <c r="G26" s="45">
        <f>'Variables del Proyecto'!H18</f>
        <v>162601626.01626024</v>
      </c>
      <c r="H26" s="45">
        <v>0</v>
      </c>
      <c r="I26" s="45">
        <v>0</v>
      </c>
    </row>
    <row r="27" spans="1:10" x14ac:dyDescent="0.3">
      <c r="A27" t="s">
        <v>115</v>
      </c>
      <c r="D27" s="45">
        <f>-'Flujo de Caja Neto'!E26</f>
        <v>320000000</v>
      </c>
      <c r="E27" s="45">
        <f>D27+E17+'Flujo de Caja Neto'!F15-'Flujo de Caja Neto'!F24</f>
        <v>340752032.52032518</v>
      </c>
      <c r="F27" s="45">
        <f>E27+E17+'Flujo de Caja Neto'!G15-'Flujo de Caja Neto'!G24</f>
        <v>382317073.17073166</v>
      </c>
      <c r="G27" s="45">
        <f>F27+E17+'Flujo de Caja Neto'!H15-'Flujo de Caja Neto'!H24</f>
        <v>449898373.98373973</v>
      </c>
      <c r="H27" s="45">
        <f>G27+E17+'Flujo de Caja Neto'!I15-'Flujo de Caja Neto'!I24</f>
        <v>549999999.99999988</v>
      </c>
      <c r="I27" s="49">
        <f>H27+E17+'Flujo de Caja Neto'!J15-'Flujo de Caja Neto'!J24+10000000</f>
        <v>497499999.99999988</v>
      </c>
      <c r="J27" s="58" t="s">
        <v>117</v>
      </c>
    </row>
    <row r="28" spans="1:10" x14ac:dyDescent="0.3">
      <c r="A28" t="s">
        <v>116</v>
      </c>
      <c r="D28" s="52"/>
      <c r="E28" s="52">
        <f>'Flujo de Caja Neto'!F21</f>
        <v>4830000</v>
      </c>
      <c r="F28" s="52">
        <f>'Flujo de Caja Neto'!G21</f>
        <v>54242975.609756097</v>
      </c>
      <c r="G28" s="52">
        <f>'Flujo de Caja Neto'!H21</f>
        <v>136726445.12195122</v>
      </c>
      <c r="H28" s="52">
        <f>'Flujo de Caja Neto'!I21</f>
        <v>182579757.01219511</v>
      </c>
      <c r="I28" s="52">
        <f>'Flujo de Caja Neto'!J21</f>
        <v>236403271.875</v>
      </c>
    </row>
    <row r="29" spans="1:10" x14ac:dyDescent="0.3">
      <c r="A29" s="3" t="s">
        <v>62</v>
      </c>
      <c r="D29" s="88">
        <f>SUM(D26:D28)</f>
        <v>800000000</v>
      </c>
      <c r="E29" s="88">
        <f>SUM(E26:E28)</f>
        <v>742330000</v>
      </c>
      <c r="F29" s="88">
        <f>SUM(F26:F28)</f>
        <v>729242975.60975611</v>
      </c>
      <c r="G29" s="88">
        <f>SUM(G26:G28)</f>
        <v>749226445.12195122</v>
      </c>
      <c r="H29" s="88">
        <f>SUM(H26:H28)</f>
        <v>732579757.01219499</v>
      </c>
      <c r="I29" s="88">
        <f>SUM(I27:I28)</f>
        <v>733903271.87499988</v>
      </c>
    </row>
  </sheetData>
  <mergeCells count="1">
    <mergeCell ref="B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979B-3F41-624B-B0DE-B902BA02AAD7}">
  <dimension ref="A2:J28"/>
  <sheetViews>
    <sheetView topLeftCell="A9" zoomScale="130" workbookViewId="0">
      <selection activeCell="B27" sqref="B27"/>
    </sheetView>
  </sheetViews>
  <sheetFormatPr baseColWidth="10" defaultRowHeight="14.4" x14ac:dyDescent="0.3"/>
  <cols>
    <col min="2" max="2" width="12.109375" bestFit="1" customWidth="1"/>
    <col min="4" max="4" width="12.109375" bestFit="1" customWidth="1"/>
    <col min="5" max="5" width="15.109375" customWidth="1"/>
    <col min="6" max="6" width="13.88671875" customWidth="1"/>
    <col min="7" max="7" width="13.6640625" customWidth="1"/>
    <col min="8" max="8" width="14.21875" customWidth="1"/>
    <col min="9" max="9" width="12.109375" bestFit="1" customWidth="1"/>
  </cols>
  <sheetData>
    <row r="2" spans="1:10" x14ac:dyDescent="0.3">
      <c r="B2" s="113" t="s">
        <v>120</v>
      </c>
      <c r="C2" s="113"/>
      <c r="D2" s="113"/>
      <c r="E2" s="113"/>
      <c r="F2" s="113"/>
      <c r="G2" s="113"/>
      <c r="H2" s="113"/>
      <c r="I2" s="113"/>
      <c r="J2" s="113"/>
    </row>
    <row r="4" spans="1:10" x14ac:dyDescent="0.3">
      <c r="D4" s="77">
        <v>0</v>
      </c>
      <c r="E4" s="77">
        <v>1</v>
      </c>
      <c r="F4" s="77">
        <v>2</v>
      </c>
      <c r="G4" s="77">
        <v>3</v>
      </c>
      <c r="H4" s="77">
        <v>4</v>
      </c>
      <c r="I4" s="77">
        <v>5</v>
      </c>
    </row>
    <row r="5" spans="1:10" x14ac:dyDescent="0.3">
      <c r="A5" s="1" t="s">
        <v>65</v>
      </c>
      <c r="D5" s="45">
        <v>-800000000</v>
      </c>
    </row>
    <row r="6" spans="1:10" x14ac:dyDescent="0.3">
      <c r="A6" s="1" t="s">
        <v>48</v>
      </c>
      <c r="E6" s="46">
        <f>'Variables del Proyecto'!F7</f>
        <v>350000000</v>
      </c>
      <c r="F6" s="46">
        <f>'Variables del Proyecto'!G7</f>
        <v>440000000</v>
      </c>
      <c r="G6" s="46">
        <f>'Variables del Proyecto'!H7</f>
        <v>605000000</v>
      </c>
      <c r="H6" s="46">
        <f>'Variables del Proyecto'!I7</f>
        <v>665500000</v>
      </c>
      <c r="I6" s="46">
        <f>'Variables del Proyecto'!J7</f>
        <v>732050000</v>
      </c>
    </row>
    <row r="7" spans="1:10" x14ac:dyDescent="0.3">
      <c r="A7" s="1" t="s">
        <v>49</v>
      </c>
      <c r="E7" s="65">
        <f>-'Variables del Proyecto'!F8</f>
        <v>-157500000</v>
      </c>
      <c r="F7" s="65">
        <f>-'Variables del Proyecto'!G8</f>
        <v>-198000000</v>
      </c>
      <c r="G7" s="65">
        <f>-'Variables del Proyecto'!H8</f>
        <v>-272250000</v>
      </c>
      <c r="H7" s="65">
        <f>-'Variables del Proyecto'!I8</f>
        <v>-299475000</v>
      </c>
      <c r="I7" s="65">
        <f>-'Variables del Proyecto'!J8</f>
        <v>-329422500</v>
      </c>
    </row>
    <row r="8" spans="1:10" x14ac:dyDescent="0.3">
      <c r="A8" s="62" t="s">
        <v>67</v>
      </c>
      <c r="E8" s="53">
        <f>SUM(E6:E7)</f>
        <v>192500000</v>
      </c>
      <c r="F8" s="53">
        <f t="shared" ref="F8:I8" si="0">SUM(F6:F7)</f>
        <v>242000000</v>
      </c>
      <c r="G8" s="53">
        <f t="shared" si="0"/>
        <v>332750000</v>
      </c>
      <c r="H8" s="53">
        <f t="shared" si="0"/>
        <v>366025000</v>
      </c>
      <c r="I8" s="53">
        <f t="shared" si="0"/>
        <v>402627500</v>
      </c>
    </row>
    <row r="9" spans="1:10" x14ac:dyDescent="0.3">
      <c r="A9" s="1" t="s">
        <v>50</v>
      </c>
      <c r="E9" s="65">
        <f>'Variables del Proyecto'!F9</f>
        <v>7000000</v>
      </c>
      <c r="F9" s="65">
        <f>'Variables del Proyecto'!G9</f>
        <v>8800000</v>
      </c>
      <c r="G9" s="65">
        <f>'Variables del Proyecto'!H9</f>
        <v>12100000</v>
      </c>
      <c r="H9" s="65">
        <f>'Variables del Proyecto'!I9</f>
        <v>13310000</v>
      </c>
      <c r="I9" s="65">
        <f>'Variables del Proyecto'!J9</f>
        <v>14641000</v>
      </c>
    </row>
    <row r="10" spans="1:10" x14ac:dyDescent="0.3">
      <c r="A10" s="62" t="s">
        <v>68</v>
      </c>
      <c r="E10" s="53">
        <f>SUM(E8:E9)</f>
        <v>199500000</v>
      </c>
      <c r="F10" s="53">
        <f t="shared" ref="F10:I10" si="1">SUM(F8:F9)</f>
        <v>250800000</v>
      </c>
      <c r="G10" s="53">
        <f t="shared" si="1"/>
        <v>344850000</v>
      </c>
      <c r="H10" s="53">
        <f t="shared" si="1"/>
        <v>379335000</v>
      </c>
      <c r="I10" s="53">
        <f t="shared" si="1"/>
        <v>417268500</v>
      </c>
    </row>
    <row r="11" spans="1:10" x14ac:dyDescent="0.3">
      <c r="A11" s="62" t="s">
        <v>69</v>
      </c>
    </row>
    <row r="12" spans="1:10" x14ac:dyDescent="0.3">
      <c r="A12" s="1" t="s">
        <v>69</v>
      </c>
      <c r="E12" s="46">
        <f>-'Variables del Proyecto'!F10</f>
        <v>-10000000</v>
      </c>
      <c r="F12" s="46">
        <f>-'Variables del Proyecto'!G10</f>
        <v>-10500000</v>
      </c>
      <c r="G12" s="46">
        <f>-'Variables del Proyecto'!H10</f>
        <v>-11025000</v>
      </c>
      <c r="H12" s="46">
        <f>-'Variables del Proyecto'!I10</f>
        <v>-11576250</v>
      </c>
      <c r="I12" s="46">
        <f>-'Variables del Proyecto'!J10</f>
        <v>-12155062.5</v>
      </c>
    </row>
    <row r="13" spans="1:10" x14ac:dyDescent="0.3">
      <c r="A13" s="1" t="s">
        <v>70</v>
      </c>
      <c r="E13" s="46">
        <f>-'Variables del Proyecto'!G31</f>
        <v>-56500000</v>
      </c>
      <c r="F13" s="46">
        <f>-'Variables del Proyecto'!G31</f>
        <v>-56500000</v>
      </c>
      <c r="G13" s="46">
        <f>-'Variables del Proyecto'!G31</f>
        <v>-56500000</v>
      </c>
      <c r="H13" s="46">
        <f>-'Variables del Proyecto'!G31</f>
        <v>-56500000</v>
      </c>
      <c r="I13" s="46">
        <f>-'Variables del Proyecto'!G31</f>
        <v>-56500000</v>
      </c>
    </row>
    <row r="14" spans="1:10" x14ac:dyDescent="0.3">
      <c r="A14" s="1" t="s">
        <v>71</v>
      </c>
      <c r="E14" s="65">
        <f>-'Variables del Proyecto'!F37</f>
        <v>-6000000</v>
      </c>
      <c r="F14" s="65">
        <f>-'Variables del Proyecto'!F37</f>
        <v>-6000000</v>
      </c>
      <c r="G14" s="65">
        <f>-'Variables del Proyecto'!F37</f>
        <v>-6000000</v>
      </c>
      <c r="H14" s="65">
        <f>-'Variables del Proyecto'!F37</f>
        <v>-6000000</v>
      </c>
      <c r="I14" s="65">
        <f>-'Variables del Proyecto'!F37</f>
        <v>-6000000</v>
      </c>
    </row>
    <row r="15" spans="1:10" x14ac:dyDescent="0.3">
      <c r="A15" s="62" t="s">
        <v>73</v>
      </c>
      <c r="E15" s="53">
        <f>SUM(E12:E14)</f>
        <v>-72500000</v>
      </c>
      <c r="F15" s="53">
        <f t="shared" ref="F15:I15" si="2">SUM(F12:F14)</f>
        <v>-73000000</v>
      </c>
      <c r="G15" s="53">
        <f t="shared" si="2"/>
        <v>-73525000</v>
      </c>
      <c r="H15" s="53">
        <f t="shared" si="2"/>
        <v>-74076250</v>
      </c>
      <c r="I15" s="53">
        <f t="shared" si="2"/>
        <v>-74655062.5</v>
      </c>
    </row>
    <row r="16" spans="1:10" x14ac:dyDescent="0.3">
      <c r="A16" s="62" t="s">
        <v>76</v>
      </c>
      <c r="E16" s="53">
        <f>E10+E15</f>
        <v>127000000</v>
      </c>
      <c r="F16" s="53">
        <f t="shared" ref="F16:I16" si="3">F10+F15</f>
        <v>177800000</v>
      </c>
      <c r="G16" s="53">
        <f t="shared" si="3"/>
        <v>271325000</v>
      </c>
      <c r="H16" s="53">
        <f t="shared" si="3"/>
        <v>305258750</v>
      </c>
      <c r="I16" s="53">
        <f t="shared" si="3"/>
        <v>342613437.5</v>
      </c>
    </row>
    <row r="17" spans="1:9" x14ac:dyDescent="0.3">
      <c r="A17" s="1" t="s">
        <v>77</v>
      </c>
      <c r="E17" s="65">
        <f>-E16*0.31</f>
        <v>-39370000</v>
      </c>
      <c r="F17" s="65">
        <f t="shared" ref="F17:I17" si="4">-F16*0.31</f>
        <v>-55118000</v>
      </c>
      <c r="G17" s="65">
        <f t="shared" si="4"/>
        <v>-84110750</v>
      </c>
      <c r="H17" s="65">
        <f t="shared" si="4"/>
        <v>-94630212.5</v>
      </c>
      <c r="I17" s="65">
        <f t="shared" si="4"/>
        <v>-106210165.625</v>
      </c>
    </row>
    <row r="18" spans="1:9" x14ac:dyDescent="0.3">
      <c r="A18" s="62" t="s">
        <v>78</v>
      </c>
      <c r="E18" s="46">
        <f>SUM(E16:E17)</f>
        <v>87630000</v>
      </c>
      <c r="F18" s="46">
        <f t="shared" ref="F18:H18" si="5">SUM(F16:F17)</f>
        <v>122682000</v>
      </c>
      <c r="G18" s="46">
        <f t="shared" si="5"/>
        <v>187214250</v>
      </c>
      <c r="H18" s="46">
        <f t="shared" si="5"/>
        <v>210628537.5</v>
      </c>
      <c r="I18" s="46">
        <f>SUM(I16:I17)</f>
        <v>236403271.875</v>
      </c>
    </row>
    <row r="19" spans="1:9" x14ac:dyDescent="0.3">
      <c r="A19" s="1" t="s">
        <v>70</v>
      </c>
      <c r="E19" s="46">
        <f>-E13</f>
        <v>56500000</v>
      </c>
      <c r="F19" s="46">
        <f t="shared" ref="F19:I19" si="6">-F13</f>
        <v>56500000</v>
      </c>
      <c r="G19" s="46">
        <f t="shared" si="6"/>
        <v>56500000</v>
      </c>
      <c r="H19" s="46">
        <f t="shared" si="6"/>
        <v>56500000</v>
      </c>
      <c r="I19" s="46">
        <f t="shared" si="6"/>
        <v>56500000</v>
      </c>
    </row>
    <row r="20" spans="1:9" x14ac:dyDescent="0.3">
      <c r="A20" s="1" t="s">
        <v>71</v>
      </c>
      <c r="E20" s="46">
        <f>-E14</f>
        <v>6000000</v>
      </c>
      <c r="F20" s="46">
        <f t="shared" ref="F20:I20" si="7">-F14</f>
        <v>6000000</v>
      </c>
      <c r="G20" s="46">
        <f t="shared" si="7"/>
        <v>6000000</v>
      </c>
      <c r="H20" s="46">
        <f t="shared" si="7"/>
        <v>6000000</v>
      </c>
      <c r="I20" s="46">
        <f t="shared" si="7"/>
        <v>6000000</v>
      </c>
    </row>
    <row r="21" spans="1:9" ht="15" thickBot="1" x14ac:dyDescent="0.35">
      <c r="A21" s="91" t="s">
        <v>34</v>
      </c>
      <c r="B21" s="94"/>
      <c r="C21" s="94"/>
      <c r="D21" s="93"/>
      <c r="E21" s="93"/>
      <c r="F21" s="93"/>
      <c r="G21" s="93"/>
      <c r="H21" s="93"/>
      <c r="I21" s="92">
        <f>'Variables del Proyecto'!J31</f>
        <v>497500000</v>
      </c>
    </row>
    <row r="22" spans="1:9" x14ac:dyDescent="0.3">
      <c r="A22" s="95" t="s">
        <v>80</v>
      </c>
      <c r="D22" s="53">
        <f>SUM(D5:D21)</f>
        <v>-800000000</v>
      </c>
      <c r="E22" s="53">
        <f>SUM(E18:E21)</f>
        <v>150130000</v>
      </c>
      <c r="F22" s="53">
        <f>SUM(F18:F21)</f>
        <v>185182000</v>
      </c>
      <c r="G22" s="53">
        <f>SUM(G18:G21)</f>
        <v>249714250</v>
      </c>
      <c r="H22" s="53">
        <f>SUM(H18:H21)</f>
        <v>273128537.5</v>
      </c>
      <c r="I22" s="53">
        <f>SUM(I18:I21)</f>
        <v>796403271.875</v>
      </c>
    </row>
    <row r="24" spans="1:9" x14ac:dyDescent="0.3">
      <c r="A24" s="91" t="s">
        <v>88</v>
      </c>
      <c r="B24" s="74">
        <f>'VPN - TIR - BC - EVA - Ko'!D16</f>
        <v>0.17194436800000001</v>
      </c>
    </row>
    <row r="26" spans="1:9" x14ac:dyDescent="0.3">
      <c r="B26" s="46">
        <f>D5</f>
        <v>-800000000</v>
      </c>
    </row>
    <row r="27" spans="1:9" x14ac:dyDescent="0.3">
      <c r="B27" s="89">
        <f>'VPN - TIR - BC - EVA - Ko'!A24</f>
        <v>442650418.47042668</v>
      </c>
    </row>
    <row r="28" spans="1:9" x14ac:dyDescent="0.3">
      <c r="B28" s="96">
        <f>SUM(B26:B27)</f>
        <v>-357349581.52957332</v>
      </c>
      <c r="C28" s="58" t="s">
        <v>121</v>
      </c>
    </row>
  </sheetData>
  <mergeCells count="1">
    <mergeCell ref="B2:J2"/>
  </mergeCells>
  <pageMargins left="0.7" right="0.7" top="0.75" bottom="0.75" header="0.3" footer="0.3"/>
  <ignoredErrors>
    <ignoredError sqref="E9:I9" formula="1"/>
    <ignoredError sqref="D22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E4AB-D2E5-4C48-958E-B593ADDC7275}">
  <dimension ref="A2:J36"/>
  <sheetViews>
    <sheetView tabSelected="1" zoomScale="133" workbookViewId="0">
      <selection activeCell="B36" sqref="B36:C36"/>
    </sheetView>
  </sheetViews>
  <sheetFormatPr baseColWidth="10" defaultRowHeight="14.4" x14ac:dyDescent="0.3"/>
  <cols>
    <col min="2" max="2" width="12.109375" customWidth="1"/>
    <col min="4" max="4" width="12.109375" bestFit="1" customWidth="1"/>
    <col min="5" max="5" width="13.109375" customWidth="1"/>
    <col min="6" max="6" width="13.33203125" customWidth="1"/>
    <col min="7" max="7" width="12.33203125" customWidth="1"/>
    <col min="8" max="8" width="12" customWidth="1"/>
    <col min="9" max="9" width="13.44140625" customWidth="1"/>
  </cols>
  <sheetData>
    <row r="2" spans="1:10" x14ac:dyDescent="0.3">
      <c r="B2" s="113" t="s">
        <v>122</v>
      </c>
      <c r="C2" s="113"/>
      <c r="D2" s="113"/>
      <c r="E2" s="113"/>
      <c r="F2" s="113"/>
      <c r="G2" s="113"/>
      <c r="H2" s="113"/>
      <c r="I2" s="113"/>
      <c r="J2" s="113"/>
    </row>
    <row r="4" spans="1:10" x14ac:dyDescent="0.3">
      <c r="D4" s="59">
        <v>0</v>
      </c>
      <c r="E4" s="59">
        <v>1</v>
      </c>
      <c r="F4" s="59">
        <v>2</v>
      </c>
      <c r="G4" s="59">
        <v>3</v>
      </c>
      <c r="H4" s="59">
        <v>4</v>
      </c>
      <c r="I4" s="59">
        <v>5</v>
      </c>
    </row>
    <row r="5" spans="1:10" x14ac:dyDescent="0.3">
      <c r="A5" s="1" t="s">
        <v>123</v>
      </c>
      <c r="D5" s="60">
        <v>-480000000</v>
      </c>
      <c r="E5" s="1"/>
      <c r="F5" s="1"/>
      <c r="G5" s="1"/>
      <c r="H5" s="1"/>
      <c r="I5" s="1"/>
    </row>
    <row r="6" spans="1:10" x14ac:dyDescent="0.3">
      <c r="A6" s="1" t="s">
        <v>48</v>
      </c>
      <c r="D6" s="1"/>
      <c r="E6" s="68">
        <f>'Variables del Proyecto'!F7</f>
        <v>350000000</v>
      </c>
      <c r="F6" s="68">
        <f>'Variables del Proyecto'!G7</f>
        <v>440000000</v>
      </c>
      <c r="G6" s="68">
        <f>'Variables del Proyecto'!H7</f>
        <v>605000000</v>
      </c>
      <c r="H6" s="68">
        <f>'Variables del Proyecto'!I7</f>
        <v>665500000</v>
      </c>
      <c r="I6" s="68">
        <f>'Variables del Proyecto'!J7</f>
        <v>732050000</v>
      </c>
    </row>
    <row r="7" spans="1:10" x14ac:dyDescent="0.3">
      <c r="A7" s="1" t="s">
        <v>49</v>
      </c>
      <c r="D7" s="1"/>
      <c r="E7" s="86">
        <f>-'Variables del Proyecto'!F8</f>
        <v>-157500000</v>
      </c>
      <c r="F7" s="86">
        <f>-'Variables del Proyecto'!G8</f>
        <v>-198000000</v>
      </c>
      <c r="G7" s="86">
        <f>-'Variables del Proyecto'!H8</f>
        <v>-272250000</v>
      </c>
      <c r="H7" s="86">
        <f>-'Variables del Proyecto'!I8</f>
        <v>-299475000</v>
      </c>
      <c r="I7" s="86">
        <f>-'Variables del Proyecto'!J8</f>
        <v>-329422500</v>
      </c>
    </row>
    <row r="8" spans="1:10" x14ac:dyDescent="0.3">
      <c r="A8" s="62" t="s">
        <v>67</v>
      </c>
      <c r="D8" s="1"/>
      <c r="E8" s="72">
        <f>SUM(E6:E7)</f>
        <v>192500000</v>
      </c>
      <c r="F8" s="72">
        <f t="shared" ref="F8:I8" si="0">SUM(F6:F7)</f>
        <v>242000000</v>
      </c>
      <c r="G8" s="72">
        <f t="shared" si="0"/>
        <v>332750000</v>
      </c>
      <c r="H8" s="72">
        <f t="shared" si="0"/>
        <v>366025000</v>
      </c>
      <c r="I8" s="72">
        <f t="shared" si="0"/>
        <v>402627500</v>
      </c>
    </row>
    <row r="9" spans="1:10" x14ac:dyDescent="0.3">
      <c r="A9" s="1" t="s">
        <v>50</v>
      </c>
      <c r="D9" s="1"/>
      <c r="E9" s="86">
        <f>'Variables del Proyecto'!F9</f>
        <v>7000000</v>
      </c>
      <c r="F9" s="86">
        <f>'Variables del Proyecto'!G9</f>
        <v>8800000</v>
      </c>
      <c r="G9" s="86">
        <f>'Variables del Proyecto'!H9</f>
        <v>12100000</v>
      </c>
      <c r="H9" s="86">
        <f>'Variables del Proyecto'!I9</f>
        <v>13310000</v>
      </c>
      <c r="I9" s="86">
        <f>'Variables del Proyecto'!J9</f>
        <v>14641000</v>
      </c>
    </row>
    <row r="10" spans="1:10" x14ac:dyDescent="0.3">
      <c r="A10" s="62" t="s">
        <v>68</v>
      </c>
      <c r="D10" s="1"/>
      <c r="E10" s="72">
        <f>SUM(E8:E9)</f>
        <v>199500000</v>
      </c>
      <c r="F10" s="72">
        <f t="shared" ref="F10:I10" si="1">SUM(F8:F9)</f>
        <v>250800000</v>
      </c>
      <c r="G10" s="72">
        <f t="shared" si="1"/>
        <v>344850000</v>
      </c>
      <c r="H10" s="72">
        <f t="shared" si="1"/>
        <v>379335000</v>
      </c>
      <c r="I10" s="72">
        <f t="shared" si="1"/>
        <v>417268500</v>
      </c>
    </row>
    <row r="11" spans="1:10" x14ac:dyDescent="0.3">
      <c r="A11" s="62" t="s">
        <v>69</v>
      </c>
      <c r="D11" s="1"/>
      <c r="E11" s="1"/>
      <c r="F11" s="1"/>
      <c r="G11" s="1"/>
      <c r="H11" s="1"/>
      <c r="I11" s="1"/>
    </row>
    <row r="12" spans="1:10" x14ac:dyDescent="0.3">
      <c r="A12" s="1" t="s">
        <v>69</v>
      </c>
      <c r="D12" s="1"/>
      <c r="E12" s="68">
        <f>-'Variables del Proyecto'!F10</f>
        <v>-10000000</v>
      </c>
      <c r="F12" s="68">
        <f>-'Variables del Proyecto'!G10</f>
        <v>-10500000</v>
      </c>
      <c r="G12" s="68">
        <f>-'Variables del Proyecto'!H10</f>
        <v>-11025000</v>
      </c>
      <c r="H12" s="68">
        <f>-'Variables del Proyecto'!I10</f>
        <v>-11576250</v>
      </c>
      <c r="I12" s="68">
        <f>-'Variables del Proyecto'!J10</f>
        <v>-12155062.5</v>
      </c>
    </row>
    <row r="13" spans="1:10" x14ac:dyDescent="0.3">
      <c r="A13" s="1" t="s">
        <v>70</v>
      </c>
      <c r="D13" s="1"/>
      <c r="E13" s="68">
        <f>-'Variables del Proyecto'!G31</f>
        <v>-56500000</v>
      </c>
      <c r="F13" s="68">
        <f>-'Variables del Proyecto'!G31</f>
        <v>-56500000</v>
      </c>
      <c r="G13" s="68">
        <f>-'Variables del Proyecto'!G31</f>
        <v>-56500000</v>
      </c>
      <c r="H13" s="68">
        <f>-'Variables del Proyecto'!G31</f>
        <v>-56500000</v>
      </c>
      <c r="I13" s="68">
        <f>-'Variables del Proyecto'!G31</f>
        <v>-56500000</v>
      </c>
    </row>
    <row r="14" spans="1:10" x14ac:dyDescent="0.3">
      <c r="A14" s="1" t="s">
        <v>71</v>
      </c>
      <c r="D14" s="1"/>
      <c r="E14" s="86">
        <f>-'Variables del Proyecto'!F37</f>
        <v>-6000000</v>
      </c>
      <c r="F14" s="86">
        <f>-'Variables del Proyecto'!F37</f>
        <v>-6000000</v>
      </c>
      <c r="G14" s="86">
        <f>-'Variables del Proyecto'!F37</f>
        <v>-6000000</v>
      </c>
      <c r="H14" s="86">
        <f>-'Variables del Proyecto'!F37</f>
        <v>-6000000</v>
      </c>
      <c r="I14" s="86">
        <f>-'Variables del Proyecto'!F37</f>
        <v>-6000000</v>
      </c>
    </row>
    <row r="15" spans="1:10" x14ac:dyDescent="0.3">
      <c r="A15" s="62" t="s">
        <v>73</v>
      </c>
      <c r="D15" s="1"/>
      <c r="E15" s="72">
        <f>SUM(E12:E14)</f>
        <v>-72500000</v>
      </c>
      <c r="F15" s="72">
        <f t="shared" ref="F15:I15" si="2">SUM(F12:F14)</f>
        <v>-73000000</v>
      </c>
      <c r="G15" s="72">
        <f t="shared" si="2"/>
        <v>-73525000</v>
      </c>
      <c r="H15" s="72">
        <f t="shared" si="2"/>
        <v>-74076250</v>
      </c>
      <c r="I15" s="72">
        <f t="shared" si="2"/>
        <v>-74655062.5</v>
      </c>
    </row>
    <row r="16" spans="1:10" x14ac:dyDescent="0.3">
      <c r="A16" s="62" t="s">
        <v>74</v>
      </c>
      <c r="D16" s="1"/>
      <c r="E16" s="98">
        <f>E10+E15</f>
        <v>127000000</v>
      </c>
      <c r="F16" s="72">
        <f t="shared" ref="F16:I16" si="3">F10+F15</f>
        <v>177800000</v>
      </c>
      <c r="G16" s="72">
        <f t="shared" si="3"/>
        <v>271325000</v>
      </c>
      <c r="H16" s="72">
        <f t="shared" si="3"/>
        <v>305258750</v>
      </c>
      <c r="I16" s="72">
        <f t="shared" si="3"/>
        <v>342613437.5</v>
      </c>
    </row>
    <row r="17" spans="1:9" x14ac:dyDescent="0.3">
      <c r="A17" s="1" t="s">
        <v>75</v>
      </c>
      <c r="D17" s="1"/>
      <c r="E17" s="61">
        <f>-'Variables del Proyecto'!F16</f>
        <v>-120000000</v>
      </c>
      <c r="F17" s="61">
        <f>-'Variables del Proyecto'!F17</f>
        <v>-99186991.869918704</v>
      </c>
      <c r="G17" s="61">
        <f>-'Variables del Proyecto'!F18</f>
        <v>-73170731.707317084</v>
      </c>
      <c r="H17" s="61">
        <f>-'Variables del Proyecto'!F19</f>
        <v>-40650406.504065059</v>
      </c>
      <c r="I17" s="61">
        <f>-'Variables del Proyecto'!J16</f>
        <v>0</v>
      </c>
    </row>
    <row r="18" spans="1:9" x14ac:dyDescent="0.3">
      <c r="A18" s="62" t="s">
        <v>76</v>
      </c>
      <c r="D18" s="1"/>
      <c r="E18" s="72">
        <f>SUM(E16:E17)</f>
        <v>7000000</v>
      </c>
      <c r="F18" s="72">
        <f t="shared" ref="F18:I18" si="4">SUM(F16:F17)</f>
        <v>78613008.130081296</v>
      </c>
      <c r="G18" s="72">
        <f t="shared" si="4"/>
        <v>198154268.29268292</v>
      </c>
      <c r="H18" s="72">
        <f t="shared" si="4"/>
        <v>264608343.49593493</v>
      </c>
      <c r="I18" s="72">
        <f t="shared" si="4"/>
        <v>342613437.5</v>
      </c>
    </row>
    <row r="19" spans="1:9" x14ac:dyDescent="0.3">
      <c r="A19" s="1" t="s">
        <v>77</v>
      </c>
      <c r="D19" s="1"/>
      <c r="E19" s="61">
        <f>-E18*0.31</f>
        <v>-2170000</v>
      </c>
      <c r="F19" s="61">
        <f t="shared" ref="F19:I19" si="5">-F18*0.31</f>
        <v>-24370032.520325202</v>
      </c>
      <c r="G19" s="61">
        <f t="shared" si="5"/>
        <v>-61427823.170731701</v>
      </c>
      <c r="H19" s="61">
        <f t="shared" si="5"/>
        <v>-82028586.483739823</v>
      </c>
      <c r="I19" s="61">
        <f t="shared" si="5"/>
        <v>-106210165.625</v>
      </c>
    </row>
    <row r="20" spans="1:9" x14ac:dyDescent="0.3">
      <c r="A20" s="62" t="s">
        <v>124</v>
      </c>
      <c r="D20" s="1"/>
      <c r="E20" s="72">
        <f>SUM(E18:E19)</f>
        <v>4830000</v>
      </c>
      <c r="F20" s="72">
        <f t="shared" ref="F20:I20" si="6">SUM(F18:F19)</f>
        <v>54242975.609756097</v>
      </c>
      <c r="G20" s="72">
        <f t="shared" si="6"/>
        <v>136726445.12195122</v>
      </c>
      <c r="H20" s="72">
        <f t="shared" si="6"/>
        <v>182579757.01219511</v>
      </c>
      <c r="I20" s="72">
        <f t="shared" si="6"/>
        <v>236403271.875</v>
      </c>
    </row>
    <row r="21" spans="1:9" x14ac:dyDescent="0.3">
      <c r="A21" s="1" t="s">
        <v>70</v>
      </c>
      <c r="D21" s="1"/>
      <c r="E21" s="68">
        <f>-E13</f>
        <v>56500000</v>
      </c>
      <c r="F21" s="68">
        <f t="shared" ref="F21:I21" si="7">-F13</f>
        <v>56500000</v>
      </c>
      <c r="G21" s="68">
        <f t="shared" si="7"/>
        <v>56500000</v>
      </c>
      <c r="H21" s="68">
        <f t="shared" si="7"/>
        <v>56500000</v>
      </c>
      <c r="I21" s="68">
        <f t="shared" si="7"/>
        <v>56500000</v>
      </c>
    </row>
    <row r="22" spans="1:9" x14ac:dyDescent="0.3">
      <c r="A22" s="1" t="s">
        <v>71</v>
      </c>
      <c r="D22" s="1"/>
      <c r="E22" s="68">
        <f>-E14</f>
        <v>6000000</v>
      </c>
      <c r="F22" s="68">
        <f t="shared" ref="F22:I22" si="8">-F14</f>
        <v>6000000</v>
      </c>
      <c r="G22" s="68">
        <f t="shared" si="8"/>
        <v>6000000</v>
      </c>
      <c r="H22" s="68">
        <f t="shared" si="8"/>
        <v>6000000</v>
      </c>
      <c r="I22" s="68">
        <f t="shared" si="8"/>
        <v>6000000</v>
      </c>
    </row>
    <row r="23" spans="1:9" x14ac:dyDescent="0.3">
      <c r="A23" s="1" t="s">
        <v>79</v>
      </c>
      <c r="D23" s="1"/>
      <c r="E23" s="68">
        <f>-'Variables del Proyecto'!G16</f>
        <v>-83252032.520325184</v>
      </c>
      <c r="F23" s="68">
        <f>-'Variables del Proyecto'!G17</f>
        <v>-104065040.65040648</v>
      </c>
      <c r="G23" s="68">
        <f>-'Variables del Proyecto'!G18</f>
        <v>-130081300.8130081</v>
      </c>
      <c r="H23" s="68">
        <f>-'Variables del Proyecto'!G19</f>
        <v>-162601626.01626012</v>
      </c>
      <c r="I23" s="68">
        <f>-'Variables del Proyecto'!G20</f>
        <v>0</v>
      </c>
    </row>
    <row r="24" spans="1:9" ht="15" thickBot="1" x14ac:dyDescent="0.35">
      <c r="A24" s="91" t="s">
        <v>34</v>
      </c>
      <c r="D24" s="69"/>
      <c r="E24" s="69"/>
      <c r="F24" s="69"/>
      <c r="G24" s="69"/>
      <c r="H24" s="69"/>
      <c r="I24" s="71">
        <f>'Variables del Proyecto'!J31</f>
        <v>497500000</v>
      </c>
    </row>
    <row r="25" spans="1:9" x14ac:dyDescent="0.3">
      <c r="A25" s="91"/>
      <c r="D25" s="72">
        <f>SUM(D5:D24)</f>
        <v>-480000000</v>
      </c>
      <c r="E25" s="72">
        <f>SUM(E20:E24)</f>
        <v>-15922032.520325184</v>
      </c>
      <c r="F25" s="72">
        <f>SUM(F20:F24)</f>
        <v>12677934.959349617</v>
      </c>
      <c r="G25" s="72">
        <f>SUM(G20:G24)</f>
        <v>69145144.308943123</v>
      </c>
      <c r="H25" s="72">
        <f>SUM(H20:H24)</f>
        <v>82478130.995934993</v>
      </c>
      <c r="I25" s="72">
        <f>SUM(I20:I24)</f>
        <v>796403271.875</v>
      </c>
    </row>
    <row r="28" spans="1:9" x14ac:dyDescent="0.3">
      <c r="A28" t="s">
        <v>88</v>
      </c>
      <c r="B28" s="74">
        <f>'VPN - TIR - BC - EVA - Ko'!D16</f>
        <v>0.17194436800000001</v>
      </c>
    </row>
    <row r="30" spans="1:9" x14ac:dyDescent="0.3">
      <c r="B30" s="68">
        <f>D25</f>
        <v>-480000000</v>
      </c>
    </row>
    <row r="31" spans="1:9" x14ac:dyDescent="0.3">
      <c r="B31" s="100">
        <f>'Flujo de Caja Económico'!B27</f>
        <v>442650418.47042668</v>
      </c>
    </row>
    <row r="32" spans="1:9" x14ac:dyDescent="0.3">
      <c r="B32" s="101">
        <f>SUM(B30:B31)</f>
        <v>-37349581.529573321</v>
      </c>
      <c r="C32" s="58" t="s">
        <v>121</v>
      </c>
    </row>
    <row r="34" spans="2:3" x14ac:dyDescent="0.3">
      <c r="B34" s="99">
        <f>IRR(D25:I25,0.1719)</f>
        <v>0.15216000052884748</v>
      </c>
      <c r="C34" s="58" t="s">
        <v>90</v>
      </c>
    </row>
    <row r="36" spans="2:3" x14ac:dyDescent="0.3">
      <c r="B36" s="102">
        <f>B31/-B30</f>
        <v>0.92218837181338886</v>
      </c>
      <c r="C36" s="103" t="s">
        <v>125</v>
      </c>
    </row>
  </sheetData>
  <mergeCells count="1">
    <mergeCell ref="B2:J2"/>
  </mergeCells>
  <pageMargins left="0.7" right="0.7" top="0.75" bottom="0.75" header="0.3" footer="0.3"/>
  <ignoredErrors>
    <ignoredError sqref="E9:I9 E19:I19" formula="1"/>
    <ignoredError sqref="D25:I25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9091c84-6c27-46e1-a35c-e525d096f9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1571C45F91345BD0F2C0E9CDDB74E" ma:contentTypeVersion="3" ma:contentTypeDescription="Create a new document." ma:contentTypeScope="" ma:versionID="b12d4a6504a294e21a61d4b0861a38ee">
  <xsd:schema xmlns:xsd="http://www.w3.org/2001/XMLSchema" xmlns:xs="http://www.w3.org/2001/XMLSchema" xmlns:p="http://schemas.microsoft.com/office/2006/metadata/properties" xmlns:ns2="09091c84-6c27-46e1-a35c-e525d096f948" targetNamespace="http://schemas.microsoft.com/office/2006/metadata/properties" ma:root="true" ma:fieldsID="55cafa9875443adb40450728029d9d45" ns2:_="">
    <xsd:import namespace="09091c84-6c27-46e1-a35c-e525d096f94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91c84-6c27-46e1-a35c-e525d096f94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9A02A-B2B7-4BB3-AB47-4FEBF4CFFB00}">
  <ds:schemaRefs>
    <ds:schemaRef ds:uri="http://schemas.microsoft.com/office/2006/metadata/properties"/>
    <ds:schemaRef ds:uri="http://schemas.microsoft.com/office/infopath/2007/PartnerControls"/>
    <ds:schemaRef ds:uri="09091c84-6c27-46e1-a35c-e525d096f948"/>
  </ds:schemaRefs>
</ds:datastoreItem>
</file>

<file path=customXml/itemProps2.xml><?xml version="1.0" encoding="utf-8"?>
<ds:datastoreItem xmlns:ds="http://schemas.openxmlformats.org/officeDocument/2006/customXml" ds:itemID="{8BE6AB59-41BF-47A3-80FE-CBEA36058A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2ABB34-396F-4746-A976-C3F610B87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91c84-6c27-46e1-a35c-e525d096f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Ejercicio</vt:lpstr>
      <vt:lpstr>Variables del Proyecto</vt:lpstr>
      <vt:lpstr>Flujo de Caja Neto</vt:lpstr>
      <vt:lpstr>VPN - TIR - BC - EVA - Ko</vt:lpstr>
      <vt:lpstr>Balances Proyectados</vt:lpstr>
      <vt:lpstr>Flujo de Caja Económico</vt:lpstr>
      <vt:lpstr>Flujo de Caja Financiero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</cp:lastModifiedBy>
  <dcterms:created xsi:type="dcterms:W3CDTF">2021-04-14T21:42:04Z</dcterms:created>
  <dcterms:modified xsi:type="dcterms:W3CDTF">2021-04-29T19:39:52Z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0x0101002B01571C45F91345BD0F2C0E9CDDB74E</vt:lpwstr>
  </property>
</Properties>
</file>