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Grupo 13\Parcial - Solución - Asistencia\"/>
    </mc:Choice>
  </mc:AlternateContent>
  <xr:revisionPtr revIDLastSave="0" documentId="13_ncr:1_{9BE862C7-85D9-4EC8-A151-BAB7E00EDF7E}" xr6:coauthVersionLast="46" xr6:coauthVersionMax="46" xr10:uidLastSave="{00000000-0000-0000-0000-000000000000}"/>
  <bookViews>
    <workbookView xWindow="-120" yWindow="-120" windowWidth="20730" windowHeight="11160" firstSheet="2" activeTab="5" xr2:uid="{AC17461F-A3AF-4EFA-9BCD-227C69E50E8A}"/>
  </bookViews>
  <sheets>
    <sheet name="Estado de Situación Financiera" sheetId="2" r:id="rId1"/>
    <sheet name="Estado de Resultados" sheetId="1" r:id="rId2"/>
    <sheet name="Palanca de Crecimiento" sheetId="3" r:id="rId3"/>
    <sheet name="Rentabilidad Accionaria" sheetId="4" r:id="rId4"/>
    <sheet name="Flujo de Caja del Accionista" sheetId="5" r:id="rId5"/>
    <sheet name="EV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1" i="6" l="1"/>
  <c r="I61" i="6"/>
  <c r="H61" i="6"/>
  <c r="G61" i="6"/>
  <c r="K48" i="6"/>
  <c r="K47" i="6"/>
  <c r="H47" i="6"/>
  <c r="J44" i="6"/>
  <c r="H45" i="6"/>
  <c r="J45" i="6" s="1"/>
  <c r="H46" i="6"/>
  <c r="J46" i="6" s="1"/>
  <c r="H44" i="6"/>
  <c r="F47" i="6"/>
  <c r="F45" i="6"/>
  <c r="F46" i="6"/>
  <c r="F44" i="6"/>
  <c r="F40" i="6"/>
  <c r="F39" i="6"/>
  <c r="F38" i="6"/>
  <c r="F41" i="6" s="1"/>
  <c r="H25" i="6"/>
  <c r="J23" i="6"/>
  <c r="J24" i="6"/>
  <c r="J22" i="6"/>
  <c r="H24" i="6"/>
  <c r="H23" i="6"/>
  <c r="H22" i="6"/>
  <c r="F25" i="6"/>
  <c r="F24" i="6"/>
  <c r="F23" i="6"/>
  <c r="F22" i="6"/>
  <c r="F26" i="6" s="1"/>
  <c r="F18" i="6"/>
  <c r="F17" i="6"/>
  <c r="F19" i="6" s="1"/>
  <c r="F16" i="6"/>
  <c r="E34" i="5"/>
  <c r="G30" i="5"/>
  <c r="F44" i="5"/>
  <c r="G42" i="5"/>
  <c r="G41" i="5"/>
  <c r="G40" i="5"/>
  <c r="G39" i="5"/>
  <c r="G44" i="5" s="1"/>
  <c r="F38" i="5"/>
  <c r="G25" i="5"/>
  <c r="F28" i="5"/>
  <c r="F27" i="5"/>
  <c r="F26" i="5"/>
  <c r="F24" i="5"/>
  <c r="F23" i="5"/>
  <c r="G22" i="5" s="1"/>
  <c r="G14" i="5"/>
  <c r="F20" i="5"/>
  <c r="F19" i="5"/>
  <c r="F18" i="5"/>
  <c r="F17" i="5"/>
  <c r="F16" i="5"/>
  <c r="F15" i="5"/>
  <c r="F13" i="5"/>
  <c r="F12" i="5"/>
  <c r="F11" i="5"/>
  <c r="G10" i="5" s="1"/>
  <c r="G8" i="5"/>
  <c r="G6" i="5"/>
  <c r="G5" i="5"/>
  <c r="G4" i="5"/>
  <c r="G7" i="5" s="1"/>
  <c r="G9" i="5" s="1"/>
  <c r="E39" i="4"/>
  <c r="E30" i="4"/>
  <c r="G26" i="4"/>
  <c r="G21" i="4"/>
  <c r="G23" i="4" s="1"/>
  <c r="F21" i="4"/>
  <c r="F23" i="4" s="1"/>
  <c r="F8" i="4"/>
  <c r="F10" i="4" s="1"/>
  <c r="E8" i="4"/>
  <c r="E10" i="4" s="1"/>
  <c r="H24" i="3"/>
  <c r="E25" i="3"/>
  <c r="E24" i="3"/>
  <c r="H21" i="3"/>
  <c r="E22" i="3"/>
  <c r="E21" i="3"/>
  <c r="C19" i="3"/>
  <c r="C18" i="3"/>
  <c r="C17" i="3"/>
  <c r="C16" i="3"/>
  <c r="H12" i="3"/>
  <c r="E13" i="3"/>
  <c r="E12" i="3"/>
  <c r="D10" i="3"/>
  <c r="D8" i="3"/>
  <c r="I9" i="2"/>
  <c r="D28" i="1"/>
  <c r="D30" i="1" s="1"/>
  <c r="E28" i="1"/>
  <c r="E30" i="1" s="1"/>
  <c r="H53" i="2"/>
  <c r="H51" i="2"/>
  <c r="H50" i="2"/>
  <c r="H49" i="2"/>
  <c r="H48" i="2"/>
  <c r="H47" i="2"/>
  <c r="I42" i="2"/>
  <c r="I41" i="2"/>
  <c r="H40" i="2"/>
  <c r="H36" i="2"/>
  <c r="H35" i="2"/>
  <c r="H34" i="2"/>
  <c r="H33" i="2"/>
  <c r="H32" i="2"/>
  <c r="H26" i="2"/>
  <c r="I24" i="2"/>
  <c r="H21" i="2"/>
  <c r="I20" i="2"/>
  <c r="I19" i="2"/>
  <c r="H17" i="2"/>
  <c r="I16" i="2"/>
  <c r="I15" i="2"/>
  <c r="I11" i="2"/>
  <c r="I10" i="2"/>
  <c r="H8" i="2"/>
  <c r="I7" i="2"/>
  <c r="I6" i="2"/>
  <c r="G53" i="2"/>
  <c r="G51" i="2"/>
  <c r="G50" i="2"/>
  <c r="G49" i="2"/>
  <c r="G48" i="2"/>
  <c r="G47" i="2"/>
  <c r="G45" i="2"/>
  <c r="G44" i="2"/>
  <c r="G43" i="2"/>
  <c r="G42" i="2"/>
  <c r="G41" i="2"/>
  <c r="G40" i="2"/>
  <c r="G37" i="2"/>
  <c r="G36" i="2"/>
  <c r="G35" i="2"/>
  <c r="G34" i="2"/>
  <c r="G33" i="2"/>
  <c r="G32" i="2"/>
  <c r="G26" i="2"/>
  <c r="G25" i="2"/>
  <c r="I25" i="2" s="1"/>
  <c r="G24" i="2"/>
  <c r="G21" i="2"/>
  <c r="G20" i="2"/>
  <c r="G19" i="2"/>
  <c r="G18" i="2"/>
  <c r="H18" i="2" s="1"/>
  <c r="G17" i="2"/>
  <c r="G16" i="2"/>
  <c r="G15" i="2"/>
  <c r="G12" i="2"/>
  <c r="G11" i="2"/>
  <c r="G10" i="2"/>
  <c r="G9" i="2"/>
  <c r="G8" i="2"/>
  <c r="G7" i="2"/>
  <c r="G6" i="2"/>
  <c r="F45" i="2"/>
  <c r="E45" i="2"/>
  <c r="E44" i="2"/>
  <c r="F44" i="2"/>
  <c r="E43" i="2"/>
  <c r="F43" i="2"/>
  <c r="E37" i="2"/>
  <c r="F37" i="2"/>
  <c r="E27" i="2"/>
  <c r="G27" i="2" s="1"/>
  <c r="F27" i="2"/>
  <c r="E22" i="2"/>
  <c r="G22" i="2" s="1"/>
  <c r="F22" i="2"/>
  <c r="F28" i="2" s="1"/>
  <c r="E12" i="2"/>
  <c r="F12" i="2"/>
  <c r="H13" i="1"/>
  <c r="H7" i="1"/>
  <c r="H8" i="1" s="1"/>
  <c r="H10" i="1" s="1"/>
  <c r="F13" i="1"/>
  <c r="F7" i="1"/>
  <c r="F8" i="1" s="1"/>
  <c r="F10" i="1" s="1"/>
  <c r="G25" i="6" l="1"/>
  <c r="K25" i="6" s="1"/>
  <c r="G24" i="6"/>
  <c r="K24" i="6" s="1"/>
  <c r="G23" i="6"/>
  <c r="K23" i="6" s="1"/>
  <c r="G22" i="6"/>
  <c r="K22" i="6" s="1"/>
  <c r="K26" i="6" s="1"/>
  <c r="G26" i="6"/>
  <c r="F48" i="6"/>
  <c r="G21" i="5"/>
  <c r="G29" i="5" s="1"/>
  <c r="D39" i="4"/>
  <c r="G39" i="4" s="1"/>
  <c r="D43" i="4" s="1"/>
  <c r="D30" i="4"/>
  <c r="G30" i="4" s="1"/>
  <c r="D34" i="4" s="1"/>
  <c r="I55" i="2"/>
  <c r="E28" i="2"/>
  <c r="G28" i="2" s="1"/>
  <c r="H11" i="1"/>
  <c r="H12" i="1" s="1"/>
  <c r="H16" i="1" s="1"/>
  <c r="F29" i="2"/>
  <c r="F11" i="1"/>
  <c r="F12" i="1" s="1"/>
  <c r="F16" i="1" s="1"/>
  <c r="G46" i="6" l="1"/>
  <c r="K46" i="6" s="1"/>
  <c r="G45" i="6"/>
  <c r="K45" i="6" s="1"/>
  <c r="G44" i="6"/>
  <c r="K44" i="6" s="1"/>
  <c r="G48" i="6"/>
  <c r="G47" i="6"/>
  <c r="E33" i="5"/>
  <c r="E35" i="5" s="1"/>
  <c r="G31" i="5"/>
  <c r="D42" i="4"/>
  <c r="D44" i="4" s="1"/>
  <c r="G47" i="4" s="1"/>
  <c r="D33" i="4"/>
  <c r="D35" i="4" s="1"/>
  <c r="F47" i="4" s="1"/>
  <c r="H47" i="4" s="1"/>
  <c r="I47" i="4" s="1"/>
  <c r="E29" i="2"/>
  <c r="G29" i="2"/>
  <c r="H17" i="1"/>
  <c r="H18" i="1" s="1"/>
  <c r="F52" i="2" s="1"/>
  <c r="F54" i="2" s="1"/>
  <c r="F55" i="2" s="1"/>
  <c r="F17" i="1"/>
  <c r="F18" i="1" s="1"/>
  <c r="E52" i="2" s="1"/>
  <c r="G52" i="2" l="1"/>
  <c r="H52" i="2" s="1"/>
  <c r="H55" i="2" s="1"/>
  <c r="E54" i="2"/>
  <c r="G54" i="2" l="1"/>
  <c r="E55" i="2"/>
  <c r="G55" i="2" l="1"/>
</calcChain>
</file>

<file path=xl/sharedStrings.xml><?xml version="1.0" encoding="utf-8"?>
<sst xmlns="http://schemas.openxmlformats.org/spreadsheetml/2006/main" count="235" uniqueCount="137">
  <si>
    <t>ESTADO DE RESULTADOS INTEGRAL</t>
  </si>
  <si>
    <t>Ingresos Operacionales Ventas</t>
  </si>
  <si>
    <t>Costo de Ventas</t>
  </si>
  <si>
    <t>MARGEN BRUTO</t>
  </si>
  <si>
    <t>Otros Ingresos de Comercialización y de Ventas</t>
  </si>
  <si>
    <t>UTILIDAD BRUTA EN VENTAS</t>
  </si>
  <si>
    <t>Resultado Financiero</t>
  </si>
  <si>
    <t>Ingresos Financieros</t>
  </si>
  <si>
    <t>Gastos Financieros</t>
  </si>
  <si>
    <t>UTILIDAD ANTES DE IMPUESTOS</t>
  </si>
  <si>
    <t>Impuesto a las Ganancías</t>
  </si>
  <si>
    <t>UTILIDAD DEL EJERCICIO</t>
  </si>
  <si>
    <t>Gastos de Administración y de Ventas</t>
  </si>
  <si>
    <t>UTILIDAD OPERACIONAL</t>
  </si>
  <si>
    <t>Parciales</t>
  </si>
  <si>
    <t>Variación</t>
  </si>
  <si>
    <t>Fuentes</t>
  </si>
  <si>
    <t>Usos</t>
  </si>
  <si>
    <t>ACTIVO</t>
  </si>
  <si>
    <t>Corriente</t>
  </si>
  <si>
    <t>Efectivo y Equivalente del Efectivo</t>
  </si>
  <si>
    <t>Inversiones</t>
  </si>
  <si>
    <t>Cuentas por Cobrar Comerciales</t>
  </si>
  <si>
    <t>Otras Cuentas por Cobrar</t>
  </si>
  <si>
    <t xml:space="preserve">Inventarios </t>
  </si>
  <si>
    <t>Gastos Pagados por Anticipado</t>
  </si>
  <si>
    <t>TOTAL ACTIVO CORRIENTE</t>
  </si>
  <si>
    <t>Inmovilizado Material</t>
  </si>
  <si>
    <t>Terrenos</t>
  </si>
  <si>
    <t>Edificios</t>
  </si>
  <si>
    <t xml:space="preserve">Maquinaria y Equipo </t>
  </si>
  <si>
    <t>Muebles y Enseres</t>
  </si>
  <si>
    <t>Equipos de Computo y Comunicación</t>
  </si>
  <si>
    <t>Equipo de Transporte</t>
  </si>
  <si>
    <t>Depreciación Acumulada</t>
  </si>
  <si>
    <t>TOTAL INMOVILIZADO MATERIAL</t>
  </si>
  <si>
    <t>Inmovilizado Inmaterial</t>
  </si>
  <si>
    <t>Marcas y Patentes</t>
  </si>
  <si>
    <t>Crédito Mercantil</t>
  </si>
  <si>
    <t>Amortización Acumulada</t>
  </si>
  <si>
    <t>TOTAL INMOVILIZADO INMATERIAL</t>
  </si>
  <si>
    <t>TOTAL ACTIVO LARGO PLAZO</t>
  </si>
  <si>
    <t>TOTAL ACTIVO</t>
  </si>
  <si>
    <t>PASIVO</t>
  </si>
  <si>
    <t>Obligaciones Financieras C.P.</t>
  </si>
  <si>
    <t>Cuentas por Pagar Comerciales</t>
  </si>
  <si>
    <t>Otras Cuentas por Pagar</t>
  </si>
  <si>
    <t>Obligaciones Laborales</t>
  </si>
  <si>
    <t>Impuestos por Pagar</t>
  </si>
  <si>
    <t>TOTAL PASIVO CORRIENTE</t>
  </si>
  <si>
    <t>Largo Plazo</t>
  </si>
  <si>
    <t>Pasivo Financiero</t>
  </si>
  <si>
    <t>Obligaciones Financieras L.P.</t>
  </si>
  <si>
    <t>Bonos por Pagar</t>
  </si>
  <si>
    <t>Hipotecas por Pagar</t>
  </si>
  <si>
    <t>TOTAL PASIVO FINANCIERO</t>
  </si>
  <si>
    <t>TOTAL PASIVO LARGO PLAZO</t>
  </si>
  <si>
    <t>TOTAL PASIVO</t>
  </si>
  <si>
    <t>PATRIMONIO</t>
  </si>
  <si>
    <t>Capital Suscrito y Pagado</t>
  </si>
  <si>
    <t>Prima en Colocación de Acciones</t>
  </si>
  <si>
    <t>Reserva Legal</t>
  </si>
  <si>
    <t>Reserva para Compra de Propiedad Planta y Equipo</t>
  </si>
  <si>
    <t>Otras Reservas</t>
  </si>
  <si>
    <t>Utilidad del Ejercicio</t>
  </si>
  <si>
    <t>Utilidades Retenidas</t>
  </si>
  <si>
    <t>TOTAL PATRIMONIO</t>
  </si>
  <si>
    <t>TOTAL PASIVO Y PATRIMONIO</t>
  </si>
  <si>
    <t xml:space="preserve"> </t>
  </si>
  <si>
    <t>Con los presentes Estados Financieros calcule lo siguiente:</t>
  </si>
  <si>
    <t>1) La Palanca de Crecimiento.</t>
  </si>
  <si>
    <t>Capital Suscrito</t>
  </si>
  <si>
    <t>Capital Autorizado</t>
  </si>
  <si>
    <t>Capital por Suscribir</t>
  </si>
  <si>
    <t>Capital Suscrito por Cobrar</t>
  </si>
  <si>
    <t>3) Elaboración del Flujo de Caja del Accionista</t>
  </si>
  <si>
    <t>Tasa de Mercado</t>
  </si>
  <si>
    <t>Tasa Libre de Riesgo</t>
  </si>
  <si>
    <t>Beta desapalancado</t>
  </si>
  <si>
    <t>0.92</t>
  </si>
  <si>
    <t>0.94</t>
  </si>
  <si>
    <t>Tasa de Impuestos</t>
  </si>
  <si>
    <t>Se debe entregar un concepto sobre el resultado de la empresa.</t>
  </si>
  <si>
    <t>4) Calcular el EVA para los dos años. Debe tener en cuenta lo siguiente:</t>
  </si>
  <si>
    <t>2) Rentabilidad Accionaria: Valor Nominal de la Acción $ 6.000</t>
  </si>
  <si>
    <t>1º PARCIAL - GRUPO 13 2º TERCIO</t>
  </si>
  <si>
    <t>PALANCA DE CRECIMIENTO</t>
  </si>
  <si>
    <t>Capital de Trabajo Neto Operativo</t>
  </si>
  <si>
    <t>Inventarios</t>
  </si>
  <si>
    <t>K.T.O.</t>
  </si>
  <si>
    <t>K.T.N.O.</t>
  </si>
  <si>
    <t>Productividad del K.T.N.O.</t>
  </si>
  <si>
    <t>EBITDA</t>
  </si>
  <si>
    <t>Utilidad Operacional</t>
  </si>
  <si>
    <t>Depreciación</t>
  </si>
  <si>
    <t>Amortización</t>
  </si>
  <si>
    <t>Margen EBITDA</t>
  </si>
  <si>
    <t>Palanca de Crecimiento</t>
  </si>
  <si>
    <t>La Empresa genera caja por 3.40 veces frente a la demanda de Caja.</t>
  </si>
  <si>
    <t>RENTABILIDAD ACCIONARIA</t>
  </si>
  <si>
    <t>Nº de Acciones que conforman el Capital Autorizado</t>
  </si>
  <si>
    <t>Año 2021</t>
  </si>
  <si>
    <t>Captal Suscrito</t>
  </si>
  <si>
    <t>Nº de Acciones en Circulación</t>
  </si>
  <si>
    <t>Valor Intrinseco</t>
  </si>
  <si>
    <t>Utilidad por Acciòn</t>
  </si>
  <si>
    <t>Rentabilidad por Acción</t>
  </si>
  <si>
    <t>Utilidad por Acción</t>
  </si>
  <si>
    <t>FLUJO DE CAJA DEL ACCIONISTA</t>
  </si>
  <si>
    <t>U.O.D.I.</t>
  </si>
  <si>
    <t>Reposición del K.T.N.O.</t>
  </si>
  <si>
    <t>INVERSIÓN EN PROPIEDAD PLANTA Y EQUIPO</t>
  </si>
  <si>
    <t>Maquinaria y Equipo</t>
  </si>
  <si>
    <t>Equipos de Transporte</t>
  </si>
  <si>
    <t>FLUJO DE CAJA LIBRE</t>
  </si>
  <si>
    <t>Prestamos Nuevos</t>
  </si>
  <si>
    <t>Servicio a la Deuda</t>
  </si>
  <si>
    <t xml:space="preserve">Bonos por Pagar </t>
  </si>
  <si>
    <t>FLUJO DE CAJA A DISPOSICIÓN DEL ACCIONISTA</t>
  </si>
  <si>
    <t>Dividendos Decretados</t>
  </si>
  <si>
    <t>Otras  Reservas</t>
  </si>
  <si>
    <t>FLUJO DE CAJA DESPUES DEL PAGO DE DIVIDENDOS</t>
  </si>
  <si>
    <t>FLUJO DE CAJA POR ACCIÓN</t>
  </si>
  <si>
    <t>VALOR ECONÓMICO AGREGADO - EVA</t>
  </si>
  <si>
    <t>AÑO 2021</t>
  </si>
  <si>
    <t>Patrimonio</t>
  </si>
  <si>
    <t>TOTAL ACTIVO FINANCIADO</t>
  </si>
  <si>
    <t>BA = (0.92 ( 1 + (0.69) ( 527.140.000/898.174.554)) =</t>
  </si>
  <si>
    <t>1.29</t>
  </si>
  <si>
    <t>CO = 6% + 1.29 ( 13% - 6% ) =</t>
  </si>
  <si>
    <t>WACC</t>
  </si>
  <si>
    <t>EVA = 440.131.132 - (1.425.314.554 * 14.83% = 211.374.148) 228.756.984</t>
  </si>
  <si>
    <t>AÑO 2020</t>
  </si>
  <si>
    <t>BA =( 0.94 ( 1 + (0.68 ) (601.597.000/651.837.996)) =</t>
  </si>
  <si>
    <t>1.53</t>
  </si>
  <si>
    <t>CO = 8% + 1.53 ( 15.% - 8% ) =</t>
  </si>
  <si>
    <t>EVA = 289.423.192 - (1.253.434.996 * 16.64% = 208.571.583) 80.851.609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</si>
</sst>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2" fillId="0" borderId="9" xfId="0" applyFont="1" applyBorder="1"/>
    <xf numFmtId="0" fontId="4" fillId="0" borderId="6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/>
    <xf numFmtId="0" fontId="2" fillId="0" borderId="0" xfId="0" applyFont="1" applyBorder="1"/>
    <xf numFmtId="0" fontId="2" fillId="0" borderId="10" xfId="0" applyFont="1" applyBorder="1"/>
    <xf numFmtId="164" fontId="3" fillId="0" borderId="7" xfId="1" applyNumberFormat="1" applyFont="1" applyBorder="1"/>
    <xf numFmtId="164" fontId="2" fillId="0" borderId="0" xfId="1" applyNumberFormat="1" applyFont="1" applyBorder="1"/>
    <xf numFmtId="0" fontId="2" fillId="0" borderId="13" xfId="0" applyFont="1" applyBorder="1"/>
    <xf numFmtId="164" fontId="2" fillId="0" borderId="8" xfId="1" applyNumberFormat="1" applyFont="1" applyBorder="1"/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3" fillId="0" borderId="0" xfId="1" applyNumberFormat="1" applyFont="1" applyBorder="1"/>
    <xf numFmtId="0" fontId="4" fillId="0" borderId="13" xfId="0" applyFont="1" applyBorder="1"/>
    <xf numFmtId="164" fontId="2" fillId="0" borderId="7" xfId="1" applyNumberFormat="1" applyFont="1" applyBorder="1"/>
    <xf numFmtId="164" fontId="2" fillId="0" borderId="5" xfId="1" applyNumberFormat="1" applyFont="1" applyBorder="1"/>
    <xf numFmtId="0" fontId="2" fillId="0" borderId="5" xfId="0" applyFont="1" applyBorder="1"/>
    <xf numFmtId="164" fontId="3" fillId="0" borderId="1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/>
    <xf numFmtId="164" fontId="2" fillId="0" borderId="0" xfId="0" applyNumberFormat="1" applyFont="1"/>
    <xf numFmtId="0" fontId="4" fillId="0" borderId="11" xfId="0" applyFont="1" applyBorder="1"/>
    <xf numFmtId="0" fontId="4" fillId="0" borderId="14" xfId="0" applyFont="1" applyBorder="1"/>
    <xf numFmtId="0" fontId="2" fillId="0" borderId="15" xfId="0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9" xfId="1" applyNumberFormat="1" applyFont="1" applyBorder="1"/>
    <xf numFmtId="164" fontId="2" fillId="0" borderId="15" xfId="1" applyNumberFormat="1" applyFont="1" applyBorder="1"/>
    <xf numFmtId="164" fontId="3" fillId="0" borderId="10" xfId="0" applyNumberFormat="1" applyFont="1" applyBorder="1"/>
    <xf numFmtId="164" fontId="3" fillId="0" borderId="4" xfId="0" applyNumberFormat="1" applyFont="1" applyBorder="1"/>
    <xf numFmtId="164" fontId="2" fillId="0" borderId="6" xfId="1" applyNumberFormat="1" applyFont="1" applyBorder="1"/>
    <xf numFmtId="164" fontId="3" fillId="0" borderId="7" xfId="0" applyNumberFormat="1" applyFont="1" applyBorder="1"/>
    <xf numFmtId="164" fontId="3" fillId="0" borderId="1" xfId="0" applyNumberFormat="1" applyFont="1" applyBorder="1"/>
    <xf numFmtId="0" fontId="4" fillId="0" borderId="12" xfId="0" applyFont="1" applyBorder="1"/>
    <xf numFmtId="0" fontId="4" fillId="0" borderId="9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5" xfId="0" applyFont="1" applyBorder="1"/>
    <xf numFmtId="0" fontId="4" fillId="0" borderId="15" xfId="0" applyFont="1" applyBorder="1"/>
    <xf numFmtId="10" fontId="3" fillId="0" borderId="6" xfId="0" applyNumberFormat="1" applyFont="1" applyBorder="1" applyAlignment="1">
      <alignment horizontal="center"/>
    </xf>
    <xf numFmtId="10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0" fontId="5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/>
    <xf numFmtId="164" fontId="2" fillId="0" borderId="0" xfId="1" applyNumberFormat="1" applyFont="1"/>
    <xf numFmtId="164" fontId="2" fillId="0" borderId="10" xfId="1" applyNumberFormat="1" applyFont="1" applyBorder="1"/>
    <xf numFmtId="0" fontId="2" fillId="0" borderId="14" xfId="0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5" xfId="0" applyNumberFormat="1" applyFont="1" applyBorder="1"/>
    <xf numFmtId="10" fontId="2" fillId="0" borderId="0" xfId="2" applyNumberFormat="1" applyFont="1" applyAlignment="1">
      <alignment horizontal="center"/>
    </xf>
    <xf numFmtId="10" fontId="3" fillId="0" borderId="1" xfId="2" applyNumberFormat="1" applyFont="1" applyBorder="1" applyAlignment="1">
      <alignment horizontal="center"/>
    </xf>
    <xf numFmtId="10" fontId="4" fillId="0" borderId="1" xfId="2" applyNumberFormat="1" applyFont="1" applyBorder="1" applyAlignment="1">
      <alignment horizontal="center"/>
    </xf>
    <xf numFmtId="164" fontId="3" fillId="0" borderId="3" xfId="1" applyNumberFormat="1" applyFont="1" applyBorder="1"/>
    <xf numFmtId="10" fontId="2" fillId="0" borderId="5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0" xfId="1" applyNumberFormat="1" applyFont="1"/>
    <xf numFmtId="0" fontId="4" fillId="0" borderId="0" xfId="0" applyFont="1" applyBorder="1" applyAlignment="1">
      <alignment horizontal="center"/>
    </xf>
    <xf numFmtId="43" fontId="2" fillId="0" borderId="9" xfId="1" applyNumberFormat="1" applyFont="1" applyBorder="1"/>
    <xf numFmtId="43" fontId="2" fillId="0" borderId="10" xfId="1" applyNumberFormat="1" applyFont="1" applyBorder="1"/>
    <xf numFmtId="43" fontId="2" fillId="0" borderId="9" xfId="1" applyFont="1" applyBorder="1"/>
    <xf numFmtId="43" fontId="2" fillId="0" borderId="10" xfId="1" applyFont="1" applyBorder="1"/>
    <xf numFmtId="10" fontId="4" fillId="0" borderId="0" xfId="0" applyNumberFormat="1" applyFont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11" xfId="0" applyFont="1" applyBorder="1"/>
    <xf numFmtId="164" fontId="3" fillId="0" borderId="6" xfId="1" applyNumberFormat="1" applyFont="1" applyBorder="1"/>
    <xf numFmtId="43" fontId="3" fillId="0" borderId="1" xfId="1" applyFont="1" applyBorder="1"/>
    <xf numFmtId="10" fontId="2" fillId="0" borderId="5" xfId="2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10" fontId="3" fillId="0" borderId="0" xfId="2" applyNumberFormat="1" applyFont="1" applyBorder="1" applyAlignment="1">
      <alignment horizontal="center"/>
    </xf>
    <xf numFmtId="164" fontId="3" fillId="0" borderId="6" xfId="0" applyNumberFormat="1" applyFont="1" applyBorder="1"/>
    <xf numFmtId="164" fontId="3" fillId="0" borderId="8" xfId="1" applyNumberFormat="1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3" fillId="0" borderId="0" xfId="0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2E85-1128-4F49-9A2B-3C70A2EAF20A}">
  <dimension ref="A1:M102"/>
  <sheetViews>
    <sheetView topLeftCell="A37" workbookViewId="0">
      <selection activeCell="E60" sqref="E60"/>
    </sheetView>
  </sheetViews>
  <sheetFormatPr baseColWidth="10" defaultRowHeight="15" x14ac:dyDescent="0.25"/>
  <cols>
    <col min="5" max="5" width="12" bestFit="1" customWidth="1"/>
    <col min="6" max="6" width="12.855468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Bot="1" x14ac:dyDescent="0.3">
      <c r="A3" s="85"/>
      <c r="B3" s="86"/>
      <c r="C3" s="86"/>
      <c r="D3" s="87"/>
      <c r="E3" s="25">
        <v>2021</v>
      </c>
      <c r="F3" s="2">
        <v>2020</v>
      </c>
      <c r="G3" s="2" t="s">
        <v>15</v>
      </c>
      <c r="H3" s="2" t="s">
        <v>16</v>
      </c>
      <c r="I3" s="3" t="s">
        <v>17</v>
      </c>
      <c r="J3" s="1"/>
      <c r="K3" s="1"/>
      <c r="L3" s="1"/>
      <c r="M3" s="1"/>
    </row>
    <row r="4" spans="1:13" x14ac:dyDescent="0.25">
      <c r="A4" s="28" t="s">
        <v>18</v>
      </c>
      <c r="B4" s="5"/>
      <c r="C4" s="5"/>
      <c r="D4" s="6"/>
      <c r="E4" s="31"/>
      <c r="F4" s="31"/>
      <c r="G4" s="31"/>
      <c r="H4" s="31"/>
      <c r="I4" s="31"/>
      <c r="J4" s="1"/>
      <c r="K4" s="1"/>
      <c r="L4" s="1"/>
      <c r="M4" s="1"/>
    </row>
    <row r="5" spans="1:13" x14ac:dyDescent="0.25">
      <c r="A5" s="20" t="s">
        <v>19</v>
      </c>
      <c r="B5" s="10"/>
      <c r="C5" s="10"/>
      <c r="D5" s="11"/>
      <c r="E5" s="32"/>
      <c r="F5" s="32"/>
      <c r="G5" s="32"/>
      <c r="H5" s="32"/>
      <c r="I5" s="32"/>
      <c r="J5" s="1"/>
      <c r="K5" s="1"/>
      <c r="L5" s="1"/>
      <c r="M5" s="1"/>
    </row>
    <row r="6" spans="1:13" x14ac:dyDescent="0.25">
      <c r="A6" s="14" t="s">
        <v>20</v>
      </c>
      <c r="B6" s="10"/>
      <c r="C6" s="10"/>
      <c r="D6" s="11"/>
      <c r="E6" s="21">
        <v>53029490</v>
      </c>
      <c r="F6" s="21">
        <v>33409324</v>
      </c>
      <c r="G6" s="21">
        <f>E6-F6</f>
        <v>19620166</v>
      </c>
      <c r="H6" s="21"/>
      <c r="I6" s="21">
        <f>G6</f>
        <v>19620166</v>
      </c>
      <c r="J6" s="1"/>
      <c r="K6" s="1"/>
      <c r="L6" s="1"/>
      <c r="M6" s="1"/>
    </row>
    <row r="7" spans="1:13" x14ac:dyDescent="0.25">
      <c r="A7" s="14" t="s">
        <v>21</v>
      </c>
      <c r="B7" s="10"/>
      <c r="C7" s="10"/>
      <c r="D7" s="11"/>
      <c r="E7" s="21">
        <v>200000000</v>
      </c>
      <c r="F7" s="21">
        <v>160000000</v>
      </c>
      <c r="G7" s="21">
        <f t="shared" ref="G7:G55" si="0">E7-F7</f>
        <v>40000000</v>
      </c>
      <c r="H7" s="21"/>
      <c r="I7" s="21">
        <f>G7</f>
        <v>40000000</v>
      </c>
      <c r="J7" s="1"/>
      <c r="K7" s="1"/>
      <c r="L7" s="1"/>
      <c r="M7" s="1"/>
    </row>
    <row r="8" spans="1:13" x14ac:dyDescent="0.25">
      <c r="A8" s="14" t="s">
        <v>22</v>
      </c>
      <c r="B8" s="10"/>
      <c r="C8" s="10"/>
      <c r="D8" s="11"/>
      <c r="E8" s="21">
        <v>93765000</v>
      </c>
      <c r="F8" s="21">
        <v>135760000</v>
      </c>
      <c r="G8" s="21">
        <f t="shared" si="0"/>
        <v>-41995000</v>
      </c>
      <c r="H8" s="21">
        <f>-G8</f>
        <v>41995000</v>
      </c>
      <c r="I8" s="21"/>
      <c r="J8" s="1"/>
      <c r="K8" s="1"/>
      <c r="L8" s="1"/>
      <c r="M8" s="1"/>
    </row>
    <row r="9" spans="1:13" x14ac:dyDescent="0.25">
      <c r="A9" s="14" t="s">
        <v>23</v>
      </c>
      <c r="B9" s="10"/>
      <c r="C9" s="10"/>
      <c r="D9" s="11"/>
      <c r="E9" s="21">
        <v>15275200</v>
      </c>
      <c r="F9" s="21">
        <v>14987654</v>
      </c>
      <c r="G9" s="21">
        <f t="shared" si="0"/>
        <v>287546</v>
      </c>
      <c r="H9" s="21" t="s">
        <v>68</v>
      </c>
      <c r="I9" s="21">
        <f>G9</f>
        <v>287546</v>
      </c>
      <c r="J9" s="1"/>
      <c r="K9" s="1"/>
      <c r="L9" s="1"/>
      <c r="M9" s="1"/>
    </row>
    <row r="10" spans="1:13" x14ac:dyDescent="0.25">
      <c r="A10" s="14" t="s">
        <v>24</v>
      </c>
      <c r="B10" s="10"/>
      <c r="C10" s="10"/>
      <c r="D10" s="11"/>
      <c r="E10" s="21">
        <v>150300000</v>
      </c>
      <c r="F10" s="21">
        <v>75600000</v>
      </c>
      <c r="G10" s="21">
        <f t="shared" si="0"/>
        <v>74700000</v>
      </c>
      <c r="H10" s="21"/>
      <c r="I10" s="21">
        <f>G10</f>
        <v>74700000</v>
      </c>
      <c r="J10" s="1"/>
      <c r="K10" s="1"/>
      <c r="L10" s="1"/>
      <c r="M10" s="1"/>
    </row>
    <row r="11" spans="1:13" ht="15.75" thickBot="1" x14ac:dyDescent="0.3">
      <c r="A11" s="14" t="s">
        <v>25</v>
      </c>
      <c r="B11" s="10"/>
      <c r="C11" s="10"/>
      <c r="D11" s="11"/>
      <c r="E11" s="15">
        <v>12400000</v>
      </c>
      <c r="F11" s="15">
        <v>5550000</v>
      </c>
      <c r="G11" s="21">
        <f t="shared" si="0"/>
        <v>6850000</v>
      </c>
      <c r="H11" s="21"/>
      <c r="I11" s="21">
        <f>G11</f>
        <v>6850000</v>
      </c>
      <c r="J11" s="1"/>
      <c r="K11" s="1"/>
      <c r="L11" s="1"/>
      <c r="M11" s="1"/>
    </row>
    <row r="12" spans="1:13" ht="15.75" thickBot="1" x14ac:dyDescent="0.3">
      <c r="A12" s="16" t="s">
        <v>26</v>
      </c>
      <c r="B12" s="17"/>
      <c r="C12" s="17"/>
      <c r="D12" s="18"/>
      <c r="E12" s="24">
        <f t="shared" ref="E12:F12" si="1">SUM(E6:E11)</f>
        <v>524769690</v>
      </c>
      <c r="F12" s="24">
        <f t="shared" si="1"/>
        <v>425306978</v>
      </c>
      <c r="G12" s="24">
        <f t="shared" si="0"/>
        <v>99462712</v>
      </c>
      <c r="H12" s="21"/>
      <c r="I12" s="21"/>
      <c r="J12" s="1"/>
      <c r="K12" s="1"/>
      <c r="L12" s="1"/>
      <c r="M12" s="1"/>
    </row>
    <row r="13" spans="1:13" x14ac:dyDescent="0.25">
      <c r="A13" s="20" t="s">
        <v>50</v>
      </c>
      <c r="B13" s="10"/>
      <c r="C13" s="10"/>
      <c r="D13" s="11"/>
      <c r="E13" s="21"/>
      <c r="F13" s="21"/>
      <c r="G13" s="21" t="s">
        <v>68</v>
      </c>
      <c r="H13" s="21"/>
      <c r="I13" s="21"/>
      <c r="J13" s="1"/>
      <c r="K13" s="1"/>
      <c r="L13" s="1"/>
      <c r="M13" s="1"/>
    </row>
    <row r="14" spans="1:13" x14ac:dyDescent="0.25">
      <c r="A14" s="20" t="s">
        <v>27</v>
      </c>
      <c r="B14" s="10"/>
      <c r="C14" s="10"/>
      <c r="D14" s="11"/>
      <c r="E14" s="21"/>
      <c r="F14" s="21"/>
      <c r="G14" s="21" t="s">
        <v>68</v>
      </c>
      <c r="H14" s="21"/>
      <c r="I14" s="21"/>
      <c r="J14" s="1"/>
      <c r="K14" s="1"/>
      <c r="L14" s="1"/>
      <c r="M14" s="1"/>
    </row>
    <row r="15" spans="1:13" x14ac:dyDescent="0.25">
      <c r="A15" s="14" t="s">
        <v>28</v>
      </c>
      <c r="B15" s="10"/>
      <c r="C15" s="10"/>
      <c r="D15" s="11"/>
      <c r="E15" s="21">
        <v>200000000</v>
      </c>
      <c r="F15" s="21">
        <v>150000000</v>
      </c>
      <c r="G15" s="21">
        <f t="shared" si="0"/>
        <v>50000000</v>
      </c>
      <c r="H15" s="21"/>
      <c r="I15" s="21">
        <f>G15</f>
        <v>50000000</v>
      </c>
      <c r="J15" s="1"/>
      <c r="K15" s="1"/>
      <c r="L15" s="1"/>
      <c r="M15" s="1"/>
    </row>
    <row r="16" spans="1:13" x14ac:dyDescent="0.25">
      <c r="A16" s="14" t="s">
        <v>29</v>
      </c>
      <c r="B16" s="10"/>
      <c r="C16" s="10"/>
      <c r="D16" s="11"/>
      <c r="E16" s="21">
        <v>420000000</v>
      </c>
      <c r="F16" s="21">
        <v>370000000</v>
      </c>
      <c r="G16" s="21">
        <f t="shared" si="0"/>
        <v>50000000</v>
      </c>
      <c r="H16" s="21"/>
      <c r="I16" s="21">
        <f>G16</f>
        <v>50000000</v>
      </c>
      <c r="J16" s="1"/>
      <c r="K16" s="1"/>
      <c r="L16" s="1"/>
      <c r="M16" s="1"/>
    </row>
    <row r="17" spans="1:13" x14ac:dyDescent="0.25">
      <c r="A17" s="14" t="s">
        <v>30</v>
      </c>
      <c r="B17" s="10"/>
      <c r="C17" s="10"/>
      <c r="D17" s="11"/>
      <c r="E17" s="21">
        <v>98700000</v>
      </c>
      <c r="F17" s="21">
        <v>135000000</v>
      </c>
      <c r="G17" s="21">
        <f t="shared" si="0"/>
        <v>-36300000</v>
      </c>
      <c r="H17" s="21">
        <f>-G17</f>
        <v>36300000</v>
      </c>
      <c r="I17" s="21"/>
      <c r="J17" s="1"/>
      <c r="K17" s="1"/>
      <c r="L17" s="1"/>
      <c r="M17" s="1"/>
    </row>
    <row r="18" spans="1:13" x14ac:dyDescent="0.25">
      <c r="A18" s="14" t="s">
        <v>31</v>
      </c>
      <c r="B18" s="10"/>
      <c r="C18" s="10"/>
      <c r="D18" s="11"/>
      <c r="E18" s="21">
        <v>65780000</v>
      </c>
      <c r="F18" s="21">
        <v>73456000</v>
      </c>
      <c r="G18" s="21">
        <f t="shared" si="0"/>
        <v>-7676000</v>
      </c>
      <c r="H18" s="21">
        <f>-G18</f>
        <v>7676000</v>
      </c>
      <c r="I18" s="21"/>
      <c r="J18" s="1"/>
      <c r="K18" s="1"/>
      <c r="L18" s="1"/>
      <c r="M18" s="1"/>
    </row>
    <row r="19" spans="1:13" x14ac:dyDescent="0.25">
      <c r="A19" s="14" t="s">
        <v>32</v>
      </c>
      <c r="B19" s="10"/>
      <c r="C19" s="10"/>
      <c r="D19" s="11"/>
      <c r="E19" s="21">
        <v>92300000</v>
      </c>
      <c r="F19" s="21">
        <v>68750000</v>
      </c>
      <c r="G19" s="21">
        <f t="shared" si="0"/>
        <v>23550000</v>
      </c>
      <c r="H19" s="21"/>
      <c r="I19" s="21">
        <f>G19</f>
        <v>23550000</v>
      </c>
      <c r="J19" s="1"/>
      <c r="K19" s="1"/>
      <c r="L19" s="1"/>
      <c r="M19" s="1"/>
    </row>
    <row r="20" spans="1:13" x14ac:dyDescent="0.25">
      <c r="A20" s="14" t="s">
        <v>33</v>
      </c>
      <c r="B20" s="10"/>
      <c r="C20" s="10"/>
      <c r="D20" s="11"/>
      <c r="E20" s="21">
        <v>165000000</v>
      </c>
      <c r="F20" s="21">
        <v>130000000</v>
      </c>
      <c r="G20" s="21">
        <f t="shared" si="0"/>
        <v>35000000</v>
      </c>
      <c r="H20" s="21"/>
      <c r="I20" s="21">
        <f>G20</f>
        <v>35000000</v>
      </c>
      <c r="J20" s="1"/>
      <c r="K20" s="1"/>
      <c r="L20" s="1"/>
      <c r="M20" s="1"/>
    </row>
    <row r="21" spans="1:13" ht="15.75" thickBot="1" x14ac:dyDescent="0.3">
      <c r="A21" s="14" t="s">
        <v>34</v>
      </c>
      <c r="B21" s="10"/>
      <c r="C21" s="10"/>
      <c r="D21" s="11"/>
      <c r="E21" s="15">
        <v>-29765430</v>
      </c>
      <c r="F21" s="15">
        <v>-21786563</v>
      </c>
      <c r="G21" s="21">
        <f t="shared" si="0"/>
        <v>-7978867</v>
      </c>
      <c r="H21" s="21">
        <f>-G21</f>
        <v>7978867</v>
      </c>
      <c r="I21" s="21"/>
      <c r="J21" s="1"/>
      <c r="K21" s="1"/>
      <c r="L21" s="1"/>
      <c r="M21" s="1"/>
    </row>
    <row r="22" spans="1:13" ht="15.75" thickBot="1" x14ac:dyDescent="0.3">
      <c r="A22" s="16" t="s">
        <v>35</v>
      </c>
      <c r="B22" s="17"/>
      <c r="C22" s="17"/>
      <c r="D22" s="18"/>
      <c r="E22" s="24">
        <f t="shared" ref="E22:F22" si="2">SUM(E15:E21)</f>
        <v>1012014570</v>
      </c>
      <c r="F22" s="24">
        <f t="shared" si="2"/>
        <v>905419437</v>
      </c>
      <c r="G22" s="24">
        <f t="shared" si="0"/>
        <v>106595133</v>
      </c>
      <c r="H22" s="21"/>
      <c r="I22" s="21"/>
      <c r="J22" s="1"/>
      <c r="K22" s="1"/>
      <c r="L22" s="1"/>
      <c r="M22" s="1"/>
    </row>
    <row r="23" spans="1:13" x14ac:dyDescent="0.25">
      <c r="A23" s="20" t="s">
        <v>36</v>
      </c>
      <c r="B23" s="10"/>
      <c r="C23" s="10"/>
      <c r="D23" s="11"/>
      <c r="E23" s="21"/>
      <c r="F23" s="21"/>
      <c r="G23" s="21" t="s">
        <v>68</v>
      </c>
      <c r="H23" s="21"/>
      <c r="I23" s="21"/>
      <c r="J23" s="1"/>
      <c r="K23" s="1"/>
      <c r="L23" s="1"/>
      <c r="M23" s="1"/>
    </row>
    <row r="24" spans="1:13" x14ac:dyDescent="0.25">
      <c r="A24" s="14" t="s">
        <v>37</v>
      </c>
      <c r="B24" s="10"/>
      <c r="C24" s="10"/>
      <c r="D24" s="11"/>
      <c r="E24" s="21">
        <v>65000000</v>
      </c>
      <c r="F24" s="21">
        <v>35000000</v>
      </c>
      <c r="G24" s="21">
        <f t="shared" si="0"/>
        <v>30000000</v>
      </c>
      <c r="H24" s="21"/>
      <c r="I24" s="21">
        <f>G24</f>
        <v>30000000</v>
      </c>
      <c r="J24" s="1"/>
      <c r="K24" s="1"/>
      <c r="L24" s="1"/>
      <c r="M24" s="1"/>
    </row>
    <row r="25" spans="1:13" x14ac:dyDescent="0.25">
      <c r="A25" s="14" t="s">
        <v>38</v>
      </c>
      <c r="B25" s="10"/>
      <c r="C25" s="10"/>
      <c r="D25" s="11"/>
      <c r="E25" s="21">
        <v>35000000</v>
      </c>
      <c r="F25" s="21">
        <v>18700000</v>
      </c>
      <c r="G25" s="21">
        <f t="shared" si="0"/>
        <v>16300000</v>
      </c>
      <c r="H25" s="21"/>
      <c r="I25" s="21">
        <f>G25</f>
        <v>16300000</v>
      </c>
      <c r="J25" s="1"/>
      <c r="K25" s="1"/>
      <c r="L25" s="1"/>
      <c r="M25" s="1"/>
    </row>
    <row r="26" spans="1:13" ht="15.75" thickBot="1" x14ac:dyDescent="0.3">
      <c r="A26" s="14" t="s">
        <v>39</v>
      </c>
      <c r="B26" s="10"/>
      <c r="C26" s="10"/>
      <c r="D26" s="11"/>
      <c r="E26" s="15">
        <v>-7675432</v>
      </c>
      <c r="F26" s="15">
        <v>-4875690</v>
      </c>
      <c r="G26" s="21">
        <f t="shared" si="0"/>
        <v>-2799742</v>
      </c>
      <c r="H26" s="21">
        <f>-G26</f>
        <v>2799742</v>
      </c>
      <c r="I26" s="21"/>
      <c r="J26" s="1"/>
      <c r="K26" s="1"/>
      <c r="L26" s="1"/>
      <c r="M26" s="1"/>
    </row>
    <row r="27" spans="1:13" ht="15.75" thickBot="1" x14ac:dyDescent="0.3">
      <c r="A27" s="16" t="s">
        <v>40</v>
      </c>
      <c r="B27" s="17"/>
      <c r="C27" s="17"/>
      <c r="D27" s="18"/>
      <c r="E27" s="24">
        <f t="shared" ref="E27:F27" si="3">SUM(E24:E26)</f>
        <v>92324568</v>
      </c>
      <c r="F27" s="24">
        <f t="shared" si="3"/>
        <v>48824310</v>
      </c>
      <c r="G27" s="24">
        <f t="shared" si="0"/>
        <v>43500258</v>
      </c>
      <c r="H27" s="21"/>
      <c r="I27" s="21"/>
      <c r="J27" s="1"/>
      <c r="K27" s="1"/>
      <c r="L27" s="1"/>
      <c r="M27" s="1"/>
    </row>
    <row r="28" spans="1:13" ht="15.75" thickBot="1" x14ac:dyDescent="0.3">
      <c r="A28" s="16" t="s">
        <v>41</v>
      </c>
      <c r="B28" s="17"/>
      <c r="C28" s="17"/>
      <c r="D28" s="18"/>
      <c r="E28" s="24">
        <f>E22+E27</f>
        <v>1104339138</v>
      </c>
      <c r="F28" s="24">
        <f t="shared" ref="F28" si="4">F22+F27</f>
        <v>954243747</v>
      </c>
      <c r="G28" s="24">
        <f t="shared" si="0"/>
        <v>150095391</v>
      </c>
      <c r="H28" s="21"/>
      <c r="I28" s="21"/>
      <c r="J28" s="1"/>
      <c r="K28" s="1"/>
      <c r="L28" s="1"/>
      <c r="M28" s="1"/>
    </row>
    <row r="29" spans="1:13" ht="15.75" thickBot="1" x14ac:dyDescent="0.3">
      <c r="A29" s="16" t="s">
        <v>42</v>
      </c>
      <c r="B29" s="17"/>
      <c r="C29" s="17"/>
      <c r="D29" s="18"/>
      <c r="E29" s="24">
        <f>E12+E28</f>
        <v>1629108828</v>
      </c>
      <c r="F29" s="24">
        <f t="shared" ref="F29" si="5">F12+F28</f>
        <v>1379550725</v>
      </c>
      <c r="G29" s="24">
        <f t="shared" si="0"/>
        <v>249558103</v>
      </c>
      <c r="H29" s="21"/>
      <c r="I29" s="21"/>
      <c r="J29" s="1"/>
      <c r="K29" s="1"/>
      <c r="L29" s="1"/>
      <c r="M29" s="1"/>
    </row>
    <row r="30" spans="1:13" x14ac:dyDescent="0.25">
      <c r="A30" s="20" t="s">
        <v>43</v>
      </c>
      <c r="B30" s="10"/>
      <c r="C30" s="10"/>
      <c r="D30" s="11"/>
      <c r="E30" s="21"/>
      <c r="F30" s="21"/>
      <c r="G30" s="21" t="s">
        <v>68</v>
      </c>
      <c r="H30" s="21"/>
      <c r="I30" s="21"/>
      <c r="J30" s="1"/>
      <c r="K30" s="1"/>
      <c r="L30" s="1"/>
      <c r="M30" s="1"/>
    </row>
    <row r="31" spans="1:13" x14ac:dyDescent="0.25">
      <c r="A31" s="20" t="s">
        <v>19</v>
      </c>
      <c r="B31" s="10"/>
      <c r="C31" s="10"/>
      <c r="D31" s="11"/>
      <c r="E31" s="21"/>
      <c r="F31" s="21"/>
      <c r="G31" s="21" t="s">
        <v>68</v>
      </c>
      <c r="H31" s="21"/>
      <c r="I31" s="21"/>
      <c r="J31" s="1"/>
      <c r="K31" s="1"/>
      <c r="L31" s="1"/>
      <c r="M31" s="1"/>
    </row>
    <row r="32" spans="1:13" x14ac:dyDescent="0.25">
      <c r="A32" s="14" t="s">
        <v>44</v>
      </c>
      <c r="B32" s="10"/>
      <c r="C32" s="10"/>
      <c r="D32" s="11"/>
      <c r="E32" s="21">
        <v>75000000</v>
      </c>
      <c r="F32" s="21">
        <v>35000000</v>
      </c>
      <c r="G32" s="21">
        <f t="shared" si="0"/>
        <v>40000000</v>
      </c>
      <c r="H32" s="21">
        <f>G32</f>
        <v>40000000</v>
      </c>
      <c r="I32" s="21"/>
      <c r="J32" s="1"/>
      <c r="K32" s="1"/>
      <c r="L32" s="1"/>
      <c r="M32" s="1"/>
    </row>
    <row r="33" spans="1:13" x14ac:dyDescent="0.25">
      <c r="A33" s="14" t="s">
        <v>45</v>
      </c>
      <c r="B33" s="10"/>
      <c r="C33" s="10"/>
      <c r="D33" s="11"/>
      <c r="E33" s="21">
        <v>52340000</v>
      </c>
      <c r="F33" s="21">
        <v>40125000</v>
      </c>
      <c r="G33" s="21">
        <f t="shared" si="0"/>
        <v>12215000</v>
      </c>
      <c r="H33" s="21">
        <f>G33</f>
        <v>12215000</v>
      </c>
      <c r="I33" s="21"/>
      <c r="J33" s="1"/>
      <c r="K33" s="1"/>
      <c r="L33" s="1"/>
      <c r="M33" s="1"/>
    </row>
    <row r="34" spans="1:13" x14ac:dyDescent="0.25">
      <c r="A34" s="14" t="s">
        <v>46</v>
      </c>
      <c r="B34" s="10"/>
      <c r="C34" s="10"/>
      <c r="D34" s="11"/>
      <c r="E34" s="21">
        <v>19876544</v>
      </c>
      <c r="F34" s="21">
        <v>12046500</v>
      </c>
      <c r="G34" s="21">
        <f t="shared" si="0"/>
        <v>7830044</v>
      </c>
      <c r="H34" s="21">
        <f>G34</f>
        <v>7830044</v>
      </c>
      <c r="I34" s="21"/>
      <c r="J34" s="1"/>
      <c r="K34" s="1"/>
      <c r="L34" s="1"/>
      <c r="M34" s="1"/>
    </row>
    <row r="35" spans="1:13" x14ac:dyDescent="0.25">
      <c r="A35" s="14" t="s">
        <v>47</v>
      </c>
      <c r="B35" s="10"/>
      <c r="C35" s="10"/>
      <c r="D35" s="11"/>
      <c r="E35" s="21">
        <v>20898765</v>
      </c>
      <c r="F35" s="21">
        <v>12035464</v>
      </c>
      <c r="G35" s="21">
        <f t="shared" si="0"/>
        <v>8863301</v>
      </c>
      <c r="H35" s="21">
        <f>G35</f>
        <v>8863301</v>
      </c>
      <c r="I35" s="21"/>
      <c r="J35" s="1"/>
      <c r="K35" s="1"/>
      <c r="L35" s="1"/>
      <c r="M35" s="1"/>
    </row>
    <row r="36" spans="1:13" ht="15.75" thickBot="1" x14ac:dyDescent="0.3">
      <c r="A36" s="14" t="s">
        <v>48</v>
      </c>
      <c r="B36" s="10"/>
      <c r="C36" s="10"/>
      <c r="D36" s="11"/>
      <c r="E36" s="15">
        <v>35678965</v>
      </c>
      <c r="F36" s="15">
        <v>26908765</v>
      </c>
      <c r="G36" s="21">
        <f t="shared" si="0"/>
        <v>8770200</v>
      </c>
      <c r="H36" s="21">
        <f>G36</f>
        <v>8770200</v>
      </c>
      <c r="I36" s="21"/>
      <c r="J36" s="1"/>
      <c r="K36" s="1"/>
      <c r="L36" s="1"/>
      <c r="M36" s="1"/>
    </row>
    <row r="37" spans="1:13" ht="15.75" thickBot="1" x14ac:dyDescent="0.3">
      <c r="A37" s="16" t="s">
        <v>49</v>
      </c>
      <c r="B37" s="17"/>
      <c r="C37" s="17"/>
      <c r="D37" s="18"/>
      <c r="E37" s="24">
        <f t="shared" ref="E37:F37" si="6">SUM(E32:E36)</f>
        <v>203794274</v>
      </c>
      <c r="F37" s="24">
        <f t="shared" si="6"/>
        <v>126115729</v>
      </c>
      <c r="G37" s="24">
        <f t="shared" si="0"/>
        <v>77678545</v>
      </c>
      <c r="H37" s="21"/>
      <c r="I37" s="21"/>
      <c r="J37" s="1"/>
      <c r="K37" s="1"/>
      <c r="L37" s="1"/>
      <c r="M37" s="1"/>
    </row>
    <row r="38" spans="1:13" x14ac:dyDescent="0.25">
      <c r="A38" s="20" t="s">
        <v>50</v>
      </c>
      <c r="B38" s="10"/>
      <c r="C38" s="10"/>
      <c r="D38" s="11"/>
      <c r="E38" s="21"/>
      <c r="F38" s="21"/>
      <c r="G38" s="21" t="s">
        <v>68</v>
      </c>
      <c r="H38" s="21"/>
      <c r="I38" s="21"/>
      <c r="J38" s="1"/>
      <c r="K38" s="1"/>
      <c r="L38" s="1"/>
      <c r="M38" s="1"/>
    </row>
    <row r="39" spans="1:13" x14ac:dyDescent="0.25">
      <c r="A39" s="20" t="s">
        <v>51</v>
      </c>
      <c r="B39" s="10"/>
      <c r="C39" s="10"/>
      <c r="D39" s="11"/>
      <c r="E39" s="21"/>
      <c r="F39" s="21"/>
      <c r="G39" s="21" t="s">
        <v>68</v>
      </c>
      <c r="H39" s="21"/>
      <c r="I39" s="21"/>
      <c r="J39" s="1"/>
      <c r="K39" s="1"/>
      <c r="L39" s="1"/>
      <c r="M39" s="1"/>
    </row>
    <row r="40" spans="1:13" x14ac:dyDescent="0.25">
      <c r="A40" s="14" t="s">
        <v>52</v>
      </c>
      <c r="B40" s="10"/>
      <c r="C40" s="10"/>
      <c r="D40" s="11"/>
      <c r="E40" s="21">
        <v>245600000</v>
      </c>
      <c r="F40" s="21">
        <v>190000000</v>
      </c>
      <c r="G40" s="21">
        <f t="shared" si="0"/>
        <v>55600000</v>
      </c>
      <c r="H40" s="21">
        <f>G40</f>
        <v>55600000</v>
      </c>
      <c r="I40" s="21"/>
      <c r="J40" s="1"/>
      <c r="K40" s="1"/>
      <c r="L40" s="1"/>
      <c r="M40" s="1"/>
    </row>
    <row r="41" spans="1:13" x14ac:dyDescent="0.25">
      <c r="A41" s="14" t="s">
        <v>53</v>
      </c>
      <c r="B41" s="10"/>
      <c r="C41" s="10"/>
      <c r="D41" s="11"/>
      <c r="E41" s="21">
        <v>112640000</v>
      </c>
      <c r="F41" s="21">
        <v>165700000</v>
      </c>
      <c r="G41" s="21">
        <f t="shared" si="0"/>
        <v>-53060000</v>
      </c>
      <c r="H41" s="21"/>
      <c r="I41" s="21">
        <f>-G41</f>
        <v>53060000</v>
      </c>
      <c r="J41" s="1"/>
      <c r="K41" s="1"/>
      <c r="L41" s="1"/>
      <c r="M41" s="1"/>
    </row>
    <row r="42" spans="1:13" ht="15.75" thickBot="1" x14ac:dyDescent="0.3">
      <c r="A42" s="14" t="s">
        <v>54</v>
      </c>
      <c r="B42" s="10"/>
      <c r="C42" s="10"/>
      <c r="D42" s="11"/>
      <c r="E42" s="15">
        <v>168900000</v>
      </c>
      <c r="F42" s="15">
        <v>245897000</v>
      </c>
      <c r="G42" s="21">
        <f t="shared" si="0"/>
        <v>-76997000</v>
      </c>
      <c r="H42" s="21"/>
      <c r="I42" s="21">
        <f>-G42</f>
        <v>76997000</v>
      </c>
      <c r="J42" s="1"/>
      <c r="K42" s="1"/>
      <c r="L42" s="1"/>
      <c r="M42" s="1"/>
    </row>
    <row r="43" spans="1:13" ht="15.75" thickBot="1" x14ac:dyDescent="0.3">
      <c r="A43" s="16" t="s">
        <v>55</v>
      </c>
      <c r="B43" s="17"/>
      <c r="C43" s="17"/>
      <c r="D43" s="18"/>
      <c r="E43" s="24">
        <f t="shared" ref="E43:F43" si="7">SUM(E40:E42)</f>
        <v>527140000</v>
      </c>
      <c r="F43" s="24">
        <f t="shared" si="7"/>
        <v>601597000</v>
      </c>
      <c r="G43" s="24">
        <f t="shared" si="0"/>
        <v>-74457000</v>
      </c>
      <c r="H43" s="21"/>
      <c r="I43" s="21"/>
      <c r="J43" s="1"/>
      <c r="K43" s="1"/>
      <c r="L43" s="1"/>
      <c r="M43" s="1"/>
    </row>
    <row r="44" spans="1:13" ht="15.75" thickBot="1" x14ac:dyDescent="0.3">
      <c r="A44" s="16" t="s">
        <v>56</v>
      </c>
      <c r="B44" s="17"/>
      <c r="C44" s="17"/>
      <c r="D44" s="18"/>
      <c r="E44" s="24">
        <f t="shared" ref="E44:F44" si="8">SUM(E43)</f>
        <v>527140000</v>
      </c>
      <c r="F44" s="24">
        <f t="shared" si="8"/>
        <v>601597000</v>
      </c>
      <c r="G44" s="24">
        <f t="shared" si="0"/>
        <v>-74457000</v>
      </c>
      <c r="H44" s="21"/>
      <c r="I44" s="21"/>
      <c r="J44" s="1"/>
      <c r="K44" s="1"/>
      <c r="L44" s="1"/>
      <c r="M44" s="1"/>
    </row>
    <row r="45" spans="1:13" ht="15.75" thickBot="1" x14ac:dyDescent="0.3">
      <c r="A45" s="16" t="s">
        <v>57</v>
      </c>
      <c r="B45" s="17"/>
      <c r="C45" s="17"/>
      <c r="D45" s="18"/>
      <c r="E45" s="24">
        <f>E37+E44</f>
        <v>730934274</v>
      </c>
      <c r="F45" s="24">
        <f t="shared" ref="F45" si="9">F37+F44</f>
        <v>727712729</v>
      </c>
      <c r="G45" s="24">
        <f t="shared" si="0"/>
        <v>3221545</v>
      </c>
      <c r="H45" s="21"/>
      <c r="I45" s="21"/>
      <c r="J45" s="1"/>
      <c r="K45" s="1"/>
      <c r="L45" s="1"/>
      <c r="M45" s="1"/>
    </row>
    <row r="46" spans="1:13" x14ac:dyDescent="0.25">
      <c r="A46" s="20" t="s">
        <v>58</v>
      </c>
      <c r="B46" s="10"/>
      <c r="C46" s="10"/>
      <c r="D46" s="11"/>
      <c r="E46" s="21"/>
      <c r="F46" s="21"/>
      <c r="G46" s="21" t="s">
        <v>68</v>
      </c>
      <c r="H46" s="21"/>
      <c r="I46" s="21"/>
      <c r="J46" s="1"/>
      <c r="K46" s="1"/>
      <c r="L46" s="1"/>
      <c r="M46" s="1"/>
    </row>
    <row r="47" spans="1:13" x14ac:dyDescent="0.25">
      <c r="A47" s="14" t="s">
        <v>59</v>
      </c>
      <c r="B47" s="10"/>
      <c r="C47" s="10"/>
      <c r="D47" s="11"/>
      <c r="E47" s="21">
        <v>330500000</v>
      </c>
      <c r="F47" s="21">
        <v>280000000</v>
      </c>
      <c r="G47" s="21">
        <f t="shared" si="0"/>
        <v>50500000</v>
      </c>
      <c r="H47" s="21">
        <f t="shared" ref="H47:H53" si="10">G47</f>
        <v>50500000</v>
      </c>
      <c r="I47" s="21"/>
      <c r="J47" s="1"/>
      <c r="K47" s="1"/>
      <c r="L47" s="1"/>
      <c r="M47" s="1"/>
    </row>
    <row r="48" spans="1:13" x14ac:dyDescent="0.25">
      <c r="A48" s="14" t="s">
        <v>60</v>
      </c>
      <c r="B48" s="10"/>
      <c r="C48" s="10"/>
      <c r="D48" s="11"/>
      <c r="E48" s="21">
        <v>28464500</v>
      </c>
      <c r="F48" s="21">
        <v>20175600</v>
      </c>
      <c r="G48" s="21">
        <f t="shared" si="0"/>
        <v>8288900</v>
      </c>
      <c r="H48" s="21">
        <f t="shared" si="10"/>
        <v>8288900</v>
      </c>
      <c r="I48" s="21"/>
      <c r="J48" s="1"/>
      <c r="K48" s="1"/>
      <c r="L48" s="1"/>
      <c r="M48" s="1"/>
    </row>
    <row r="49" spans="1:13" x14ac:dyDescent="0.25">
      <c r="A49" s="14" t="s">
        <v>61</v>
      </c>
      <c r="B49" s="10"/>
      <c r="C49" s="10"/>
      <c r="D49" s="11"/>
      <c r="E49" s="21">
        <v>67637825</v>
      </c>
      <c r="F49" s="21">
        <v>43875650</v>
      </c>
      <c r="G49" s="21">
        <f t="shared" si="0"/>
        <v>23762175</v>
      </c>
      <c r="H49" s="21">
        <f t="shared" si="10"/>
        <v>23762175</v>
      </c>
      <c r="I49" s="21"/>
      <c r="J49" s="1"/>
      <c r="K49" s="1"/>
      <c r="L49" s="1"/>
      <c r="M49" s="1"/>
    </row>
    <row r="50" spans="1:13" x14ac:dyDescent="0.25">
      <c r="A50" s="14" t="s">
        <v>62</v>
      </c>
      <c r="B50" s="10"/>
      <c r="C50" s="10"/>
      <c r="D50" s="11"/>
      <c r="E50" s="21">
        <v>50000000</v>
      </c>
      <c r="F50" s="21">
        <v>35000000</v>
      </c>
      <c r="G50" s="21">
        <f t="shared" si="0"/>
        <v>15000000</v>
      </c>
      <c r="H50" s="21">
        <f t="shared" si="10"/>
        <v>15000000</v>
      </c>
      <c r="I50" s="21"/>
      <c r="J50" s="1"/>
      <c r="K50" s="1"/>
      <c r="L50" s="1"/>
      <c r="M50" s="1"/>
    </row>
    <row r="51" spans="1:13" x14ac:dyDescent="0.25">
      <c r="A51" s="14" t="s">
        <v>63</v>
      </c>
      <c r="B51" s="10"/>
      <c r="C51" s="10"/>
      <c r="D51" s="11"/>
      <c r="E51" s="21">
        <v>26750000</v>
      </c>
      <c r="F51" s="21">
        <v>19565000</v>
      </c>
      <c r="G51" s="21">
        <f t="shared" si="0"/>
        <v>7185000</v>
      </c>
      <c r="H51" s="21">
        <f t="shared" si="10"/>
        <v>7185000</v>
      </c>
      <c r="I51" s="21"/>
      <c r="J51" s="1"/>
      <c r="K51" s="1"/>
      <c r="L51" s="1"/>
      <c r="M51" s="1"/>
    </row>
    <row r="52" spans="1:13" x14ac:dyDescent="0.25">
      <c r="A52" s="14" t="s">
        <v>64</v>
      </c>
      <c r="B52" s="10"/>
      <c r="C52" s="10"/>
      <c r="D52" s="11"/>
      <c r="E52" s="21">
        <f>'Estado de Resultados'!F18</f>
        <v>370122229.08539987</v>
      </c>
      <c r="F52" s="21">
        <f>'Estado de Resultados'!H18</f>
        <v>237621745.78400004</v>
      </c>
      <c r="G52" s="21">
        <f t="shared" si="0"/>
        <v>132500483.30139983</v>
      </c>
      <c r="H52" s="21">
        <f t="shared" si="10"/>
        <v>132500483.30139983</v>
      </c>
      <c r="I52" s="21"/>
      <c r="J52" s="1"/>
      <c r="K52" s="1"/>
      <c r="L52" s="1"/>
      <c r="M52" s="1"/>
    </row>
    <row r="53" spans="1:13" ht="15.75" thickBot="1" x14ac:dyDescent="0.3">
      <c r="A53" s="14" t="s">
        <v>65</v>
      </c>
      <c r="B53" s="10"/>
      <c r="C53" s="10"/>
      <c r="D53" s="11"/>
      <c r="E53" s="15">
        <v>24700000</v>
      </c>
      <c r="F53" s="15">
        <v>15600000</v>
      </c>
      <c r="G53" s="21">
        <f t="shared" si="0"/>
        <v>9100000</v>
      </c>
      <c r="H53" s="21">
        <f t="shared" si="10"/>
        <v>9100000</v>
      </c>
      <c r="I53" s="21"/>
      <c r="J53" s="1"/>
      <c r="K53" s="1"/>
      <c r="L53" s="1"/>
      <c r="M53" s="1"/>
    </row>
    <row r="54" spans="1:13" ht="15.75" thickBot="1" x14ac:dyDescent="0.3">
      <c r="A54" s="16" t="s">
        <v>66</v>
      </c>
      <c r="B54" s="17"/>
      <c r="C54" s="17"/>
      <c r="D54" s="18"/>
      <c r="E54" s="24">
        <f>SUM(E47:E53)</f>
        <v>898174554.08539987</v>
      </c>
      <c r="F54" s="24">
        <f>SUM(F47:F53)</f>
        <v>651837995.78400004</v>
      </c>
      <c r="G54" s="24">
        <f t="shared" si="0"/>
        <v>246336558.30139983</v>
      </c>
      <c r="H54" s="21"/>
      <c r="I54" s="21"/>
      <c r="J54" s="1"/>
      <c r="K54" s="1"/>
      <c r="L54" s="1"/>
      <c r="M54" s="1"/>
    </row>
    <row r="55" spans="1:13" ht="15.75" thickBot="1" x14ac:dyDescent="0.3">
      <c r="A55" s="29" t="s">
        <v>67</v>
      </c>
      <c r="B55" s="23"/>
      <c r="C55" s="23"/>
      <c r="D55" s="30"/>
      <c r="E55" s="24">
        <f>E45+E54</f>
        <v>1629108828.0853999</v>
      </c>
      <c r="F55" s="24">
        <f>F45+F54</f>
        <v>1379550724.7839999</v>
      </c>
      <c r="G55" s="24">
        <f t="shared" si="0"/>
        <v>249558103.30139995</v>
      </c>
      <c r="H55" s="24">
        <f>SUM(H4:H54)</f>
        <v>476364712.30139983</v>
      </c>
      <c r="I55" s="24">
        <f t="shared" ref="I55" si="11">SUM(I4:I54)</f>
        <v>476364712</v>
      </c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27" t="s">
        <v>68</v>
      </c>
      <c r="F57" s="27" t="s">
        <v>68</v>
      </c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27" t="s">
        <v>68</v>
      </c>
      <c r="F58" s="27" t="s">
        <v>68</v>
      </c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27" t="s">
        <v>68</v>
      </c>
      <c r="F59" s="27" t="s">
        <v>68</v>
      </c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</sheetData>
  <mergeCells count="1">
    <mergeCell ref="A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A236-3A05-4DC3-879A-8A6CC14165FA}">
  <dimension ref="A1:K59"/>
  <sheetViews>
    <sheetView topLeftCell="A10" workbookViewId="0">
      <selection activeCell="A36" sqref="A36:E43"/>
    </sheetView>
  </sheetViews>
  <sheetFormatPr baseColWidth="10" defaultRowHeight="15" x14ac:dyDescent="0.25"/>
  <cols>
    <col min="4" max="5" width="14.140625" bestFit="1" customWidth="1"/>
    <col min="6" max="6" width="15.140625" bestFit="1" customWidth="1"/>
    <col min="7" max="7" width="12.42578125" customWidth="1"/>
    <col min="8" max="8" width="14.140625" bestFit="1" customWidth="1"/>
  </cols>
  <sheetData>
    <row r="1" spans="1:11" ht="15.75" thickBot="1" x14ac:dyDescent="0.3"/>
    <row r="2" spans="1:11" ht="15.75" thickBot="1" x14ac:dyDescent="0.3">
      <c r="D2" s="88" t="s">
        <v>85</v>
      </c>
      <c r="E2" s="89"/>
      <c r="F2" s="89"/>
      <c r="G2" s="89"/>
      <c r="H2" s="90"/>
    </row>
    <row r="3" spans="1:11" ht="15.75" thickBot="1" x14ac:dyDescent="0.3">
      <c r="A3" s="1"/>
      <c r="B3" s="85" t="s">
        <v>0</v>
      </c>
      <c r="C3" s="86"/>
      <c r="D3" s="86"/>
      <c r="E3" s="86"/>
      <c r="F3" s="86"/>
      <c r="G3" s="86"/>
      <c r="H3" s="86"/>
      <c r="I3" s="86"/>
      <c r="J3" s="86"/>
      <c r="K3" s="87"/>
    </row>
    <row r="4" spans="1:11" ht="15.75" thickBot="1" x14ac:dyDescent="0.3">
      <c r="A4" s="85"/>
      <c r="B4" s="86"/>
      <c r="C4" s="86"/>
      <c r="D4" s="87"/>
      <c r="E4" s="2" t="s">
        <v>14</v>
      </c>
      <c r="F4" s="2">
        <v>2021</v>
      </c>
      <c r="G4" s="3" t="s">
        <v>14</v>
      </c>
      <c r="H4" s="3">
        <v>2020</v>
      </c>
      <c r="I4" s="1"/>
      <c r="J4" s="1"/>
      <c r="K4" s="1"/>
    </row>
    <row r="5" spans="1:11" x14ac:dyDescent="0.25">
      <c r="A5" s="4"/>
      <c r="B5" s="5"/>
      <c r="C5" s="5"/>
      <c r="D5" s="6"/>
      <c r="E5" s="5"/>
      <c r="F5" s="7"/>
      <c r="G5" s="8"/>
      <c r="H5" s="7"/>
      <c r="I5" s="1"/>
      <c r="J5" s="1"/>
      <c r="K5" s="1"/>
    </row>
    <row r="6" spans="1:11" x14ac:dyDescent="0.25">
      <c r="A6" s="9" t="s">
        <v>1</v>
      </c>
      <c r="B6" s="10"/>
      <c r="C6" s="10"/>
      <c r="D6" s="11"/>
      <c r="E6" s="10"/>
      <c r="F6" s="12">
        <v>2650000000</v>
      </c>
      <c r="G6" s="13"/>
      <c r="H6" s="12">
        <v>1750000000</v>
      </c>
      <c r="I6" s="1"/>
      <c r="J6" s="1"/>
      <c r="K6" s="1"/>
    </row>
    <row r="7" spans="1:11" ht="15.75" thickBot="1" x14ac:dyDescent="0.3">
      <c r="A7" s="14" t="s">
        <v>2</v>
      </c>
      <c r="B7" s="10"/>
      <c r="C7" s="10"/>
      <c r="D7" s="11"/>
      <c r="E7" s="10"/>
      <c r="F7" s="15">
        <f>-F6*56%</f>
        <v>-1484000000.0000002</v>
      </c>
      <c r="G7" s="13"/>
      <c r="H7" s="15">
        <f>-H6*57%</f>
        <v>-997499999.99999988</v>
      </c>
      <c r="I7" s="1"/>
      <c r="J7" s="1"/>
      <c r="K7" s="1"/>
    </row>
    <row r="8" spans="1:11" ht="15.75" thickBot="1" x14ac:dyDescent="0.3">
      <c r="A8" s="16" t="s">
        <v>3</v>
      </c>
      <c r="B8" s="17"/>
      <c r="C8" s="17"/>
      <c r="D8" s="18"/>
      <c r="E8" s="10"/>
      <c r="F8" s="12">
        <f>SUM(F6:F7)</f>
        <v>1165999999.9999998</v>
      </c>
      <c r="G8" s="19"/>
      <c r="H8" s="12">
        <f>SUM(H6:H7)</f>
        <v>752500000.00000012</v>
      </c>
      <c r="I8" s="1"/>
      <c r="J8" s="1"/>
      <c r="K8" s="1"/>
    </row>
    <row r="9" spans="1:11" ht="15.75" thickBot="1" x14ac:dyDescent="0.3">
      <c r="A9" s="14" t="s">
        <v>4</v>
      </c>
      <c r="B9" s="10"/>
      <c r="C9" s="10"/>
      <c r="D9" s="11"/>
      <c r="E9" s="10"/>
      <c r="F9" s="15">
        <v>23054766</v>
      </c>
      <c r="G9" s="13"/>
      <c r="H9" s="15">
        <v>19125365</v>
      </c>
      <c r="I9" s="1"/>
      <c r="J9" s="1"/>
      <c r="K9" s="1"/>
    </row>
    <row r="10" spans="1:11" ht="15.75" thickBot="1" x14ac:dyDescent="0.3">
      <c r="A10" s="16" t="s">
        <v>5</v>
      </c>
      <c r="B10" s="17"/>
      <c r="C10" s="17"/>
      <c r="D10" s="18"/>
      <c r="E10" s="10"/>
      <c r="F10" s="12">
        <f>SUM(F8:F9)</f>
        <v>1189054765.9999998</v>
      </c>
      <c r="G10" s="19"/>
      <c r="H10" s="12">
        <f>SUM(H8:H9)</f>
        <v>771625365.00000012</v>
      </c>
      <c r="I10" s="1"/>
      <c r="J10" s="1"/>
      <c r="K10" s="1"/>
    </row>
    <row r="11" spans="1:11" ht="15.75" thickBot="1" x14ac:dyDescent="0.3">
      <c r="A11" s="14" t="s">
        <v>12</v>
      </c>
      <c r="B11" s="10"/>
      <c r="C11" s="10"/>
      <c r="D11" s="11"/>
      <c r="E11" s="10"/>
      <c r="F11" s="15">
        <f>-F10*49%</f>
        <v>-582636835.33999991</v>
      </c>
      <c r="G11" s="13"/>
      <c r="H11" s="15">
        <f>-H10*48%</f>
        <v>-370380175.20000005</v>
      </c>
      <c r="I11" s="1"/>
      <c r="J11" s="1"/>
      <c r="K11" s="1"/>
    </row>
    <row r="12" spans="1:11" ht="15.75" thickBot="1" x14ac:dyDescent="0.3">
      <c r="A12" s="16" t="s">
        <v>13</v>
      </c>
      <c r="B12" s="17"/>
      <c r="C12" s="17"/>
      <c r="D12" s="18"/>
      <c r="E12" s="10"/>
      <c r="F12" s="12">
        <f>SUM(F10:F11)</f>
        <v>606417930.65999985</v>
      </c>
      <c r="G12" s="19"/>
      <c r="H12" s="12">
        <f>SUM(H10:H11)</f>
        <v>401245189.80000007</v>
      </c>
      <c r="I12" s="1"/>
      <c r="J12" s="1"/>
      <c r="K12" s="1"/>
    </row>
    <row r="13" spans="1:11" x14ac:dyDescent="0.25">
      <c r="A13" s="20" t="s">
        <v>6</v>
      </c>
      <c r="B13" s="10"/>
      <c r="C13" s="10"/>
      <c r="D13" s="11"/>
      <c r="E13" s="10"/>
      <c r="F13" s="12">
        <f>SUM(E14:E15)</f>
        <v>-70008903</v>
      </c>
      <c r="G13" s="13"/>
      <c r="H13" s="12">
        <f>SUM(G14:G15)</f>
        <v>-51801446</v>
      </c>
      <c r="I13" s="1"/>
      <c r="J13" s="1"/>
      <c r="K13" s="1"/>
    </row>
    <row r="14" spans="1:11" x14ac:dyDescent="0.25">
      <c r="A14" s="14" t="s">
        <v>7</v>
      </c>
      <c r="B14" s="10"/>
      <c r="C14" s="10"/>
      <c r="D14" s="11"/>
      <c r="E14" s="13">
        <v>27966540</v>
      </c>
      <c r="F14" s="21"/>
      <c r="G14" s="13">
        <v>22765430</v>
      </c>
      <c r="H14" s="21"/>
      <c r="I14" s="1"/>
      <c r="J14" s="1"/>
      <c r="K14" s="1"/>
    </row>
    <row r="15" spans="1:11" ht="15.75" thickBot="1" x14ac:dyDescent="0.3">
      <c r="A15" s="14" t="s">
        <v>8</v>
      </c>
      <c r="B15" s="10"/>
      <c r="C15" s="10"/>
      <c r="D15" s="11"/>
      <c r="E15" s="22">
        <v>-97975443</v>
      </c>
      <c r="F15" s="15"/>
      <c r="G15" s="22">
        <v>-74566876</v>
      </c>
      <c r="H15" s="15"/>
      <c r="I15" s="1"/>
      <c r="J15" s="1"/>
      <c r="K15" s="1"/>
    </row>
    <row r="16" spans="1:11" ht="15.75" thickBot="1" x14ac:dyDescent="0.3">
      <c r="A16" s="16" t="s">
        <v>9</v>
      </c>
      <c r="B16" s="17"/>
      <c r="C16" s="17"/>
      <c r="D16" s="18"/>
      <c r="E16" s="10"/>
      <c r="F16" s="12">
        <f>SUM(F12:F15)</f>
        <v>536409027.65999985</v>
      </c>
      <c r="G16" s="13"/>
      <c r="H16" s="12">
        <f>SUM(H12:H15)</f>
        <v>349443743.80000007</v>
      </c>
      <c r="I16" s="1"/>
      <c r="J16" s="1"/>
      <c r="K16" s="1"/>
    </row>
    <row r="17" spans="1:11" ht="15.75" thickBot="1" x14ac:dyDescent="0.3">
      <c r="A17" s="14" t="s">
        <v>10</v>
      </c>
      <c r="B17" s="10"/>
      <c r="C17" s="10"/>
      <c r="D17" s="11"/>
      <c r="E17" s="10"/>
      <c r="F17" s="15">
        <f>-F16*31%</f>
        <v>-166286798.57459995</v>
      </c>
      <c r="G17" s="13"/>
      <c r="H17" s="15">
        <f>-H16*32%</f>
        <v>-111821998.01600003</v>
      </c>
      <c r="I17" s="1"/>
      <c r="J17" s="1"/>
      <c r="K17" s="1"/>
    </row>
    <row r="18" spans="1:11" ht="15.75" thickBot="1" x14ac:dyDescent="0.3">
      <c r="A18" s="16" t="s">
        <v>11</v>
      </c>
      <c r="B18" s="17"/>
      <c r="C18" s="17"/>
      <c r="D18" s="18"/>
      <c r="E18" s="23"/>
      <c r="F18" s="24">
        <f>SUM(F16:F17)</f>
        <v>370122229.08539987</v>
      </c>
      <c r="G18" s="22"/>
      <c r="H18" s="24">
        <f>SUM(H16:H17)</f>
        <v>237621745.78400004</v>
      </c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x14ac:dyDescent="0.25">
      <c r="A20" s="50" t="s">
        <v>69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x14ac:dyDescent="0.25">
      <c r="A21" s="50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6" t="s">
        <v>70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thickBot="1" x14ac:dyDescent="0.3">
      <c r="A24" s="26" t="s">
        <v>84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thickBot="1" x14ac:dyDescent="0.3">
      <c r="A25" s="85"/>
      <c r="B25" s="86"/>
      <c r="C25" s="87"/>
      <c r="D25" s="2">
        <v>2021</v>
      </c>
      <c r="E25" s="2">
        <v>2020</v>
      </c>
      <c r="F25" s="1"/>
      <c r="G25" s="1"/>
      <c r="H25" s="1"/>
      <c r="I25" s="1"/>
      <c r="J25" s="1"/>
      <c r="K25" s="1"/>
    </row>
    <row r="26" spans="1:11" x14ac:dyDescent="0.25">
      <c r="A26" s="28" t="s">
        <v>72</v>
      </c>
      <c r="B26" s="5"/>
      <c r="C26" s="5"/>
      <c r="D26" s="37">
        <v>1000000000</v>
      </c>
      <c r="E26" s="33">
        <v>1000000000</v>
      </c>
      <c r="F26" s="1"/>
      <c r="G26" s="1"/>
      <c r="H26" s="1"/>
      <c r="I26" s="1"/>
      <c r="J26" s="1"/>
      <c r="K26" s="1"/>
    </row>
    <row r="27" spans="1:11" ht="15.75" thickBot="1" x14ac:dyDescent="0.3">
      <c r="A27" s="14" t="s">
        <v>73</v>
      </c>
      <c r="B27" s="10"/>
      <c r="C27" s="10"/>
      <c r="D27" s="15">
        <v>-420000000</v>
      </c>
      <c r="E27" s="34">
        <v>-600000000</v>
      </c>
      <c r="F27" s="1"/>
      <c r="G27" s="1"/>
      <c r="H27" s="1"/>
      <c r="I27" s="1"/>
      <c r="J27" s="1"/>
      <c r="K27" s="1"/>
    </row>
    <row r="28" spans="1:11" x14ac:dyDescent="0.25">
      <c r="A28" s="20" t="s">
        <v>71</v>
      </c>
      <c r="B28" s="10"/>
      <c r="C28" s="10"/>
      <c r="D28" s="38">
        <f>SUM(D26:D27)</f>
        <v>580000000</v>
      </c>
      <c r="E28" s="35">
        <f>SUM(E26:E27)</f>
        <v>400000000</v>
      </c>
      <c r="F28" s="1"/>
      <c r="G28" s="1"/>
      <c r="H28" s="1"/>
      <c r="I28" s="1"/>
      <c r="J28" s="1"/>
      <c r="K28" s="1"/>
    </row>
    <row r="29" spans="1:11" ht="15.75" thickBot="1" x14ac:dyDescent="0.3">
      <c r="A29" s="14" t="s">
        <v>74</v>
      </c>
      <c r="B29" s="10"/>
      <c r="C29" s="10"/>
      <c r="D29" s="15">
        <v>-249500000</v>
      </c>
      <c r="E29" s="34">
        <v>-120000000</v>
      </c>
      <c r="F29" s="1"/>
      <c r="G29" s="1"/>
      <c r="H29" s="1"/>
      <c r="I29" s="1"/>
      <c r="J29" s="1"/>
      <c r="K29" s="1"/>
    </row>
    <row r="30" spans="1:11" ht="15.75" thickBot="1" x14ac:dyDescent="0.3">
      <c r="A30" s="29" t="s">
        <v>59</v>
      </c>
      <c r="B30" s="23"/>
      <c r="C30" s="23"/>
      <c r="D30" s="39">
        <f>SUM(D28:D29)</f>
        <v>330500000</v>
      </c>
      <c r="E30" s="36">
        <f>SUM(E28:E29)</f>
        <v>280000000</v>
      </c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6" t="s">
        <v>75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thickBot="1" x14ac:dyDescent="0.3">
      <c r="A35" s="26" t="s">
        <v>83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thickBot="1" x14ac:dyDescent="0.3">
      <c r="A36" s="85"/>
      <c r="B36" s="86"/>
      <c r="C36" s="87"/>
      <c r="D36" s="2">
        <v>2021</v>
      </c>
      <c r="E36" s="2">
        <v>2020</v>
      </c>
      <c r="F36" s="1"/>
      <c r="G36" s="1"/>
      <c r="H36" s="1"/>
      <c r="I36" s="1"/>
      <c r="J36" s="1"/>
      <c r="K36" s="1"/>
    </row>
    <row r="37" spans="1:11" x14ac:dyDescent="0.25">
      <c r="A37" s="28" t="s">
        <v>76</v>
      </c>
      <c r="B37" s="40"/>
      <c r="C37" s="41"/>
      <c r="D37" s="46">
        <v>0.13</v>
      </c>
      <c r="E37" s="46">
        <v>0.15</v>
      </c>
      <c r="F37" s="1"/>
      <c r="G37" s="1"/>
      <c r="H37" s="1"/>
      <c r="I37" s="1"/>
      <c r="J37" s="1"/>
      <c r="K37" s="1"/>
    </row>
    <row r="38" spans="1:11" x14ac:dyDescent="0.25">
      <c r="A38" s="20" t="s">
        <v>77</v>
      </c>
      <c r="B38" s="42"/>
      <c r="C38" s="43"/>
      <c r="D38" s="47">
        <v>0.06</v>
      </c>
      <c r="E38" s="47">
        <v>0.08</v>
      </c>
      <c r="F38" s="1"/>
      <c r="G38" s="1"/>
      <c r="H38" s="1"/>
      <c r="I38" s="1"/>
      <c r="J38" s="1"/>
      <c r="K38" s="1"/>
    </row>
    <row r="39" spans="1:11" x14ac:dyDescent="0.25">
      <c r="A39" s="20" t="s">
        <v>78</v>
      </c>
      <c r="B39" s="42"/>
      <c r="C39" s="43"/>
      <c r="D39" s="48" t="s">
        <v>79</v>
      </c>
      <c r="E39" s="48" t="s">
        <v>80</v>
      </c>
      <c r="F39" s="1"/>
      <c r="G39" s="1"/>
      <c r="H39" s="1"/>
      <c r="I39" s="1"/>
      <c r="J39" s="1"/>
      <c r="K39" s="1"/>
    </row>
    <row r="40" spans="1:11" x14ac:dyDescent="0.25">
      <c r="A40" s="20" t="s">
        <v>81</v>
      </c>
      <c r="B40" s="42"/>
      <c r="C40" s="43"/>
      <c r="D40" s="47">
        <v>0.31</v>
      </c>
      <c r="E40" s="47">
        <v>0.32</v>
      </c>
      <c r="F40" s="1"/>
      <c r="G40" s="1"/>
      <c r="H40" s="1"/>
      <c r="I40" s="1"/>
      <c r="J40" s="1"/>
      <c r="K40" s="1"/>
    </row>
    <row r="41" spans="1:11" x14ac:dyDescent="0.25">
      <c r="A41" s="20" t="s">
        <v>52</v>
      </c>
      <c r="B41" s="42"/>
      <c r="C41" s="43"/>
      <c r="D41" s="47">
        <v>0.28999999999999998</v>
      </c>
      <c r="E41" s="47">
        <v>0.32</v>
      </c>
      <c r="F41" s="1"/>
      <c r="G41" s="1"/>
      <c r="H41" s="1"/>
      <c r="I41" s="1"/>
      <c r="J41" s="1"/>
      <c r="K41" s="1"/>
    </row>
    <row r="42" spans="1:11" x14ac:dyDescent="0.25">
      <c r="A42" s="20" t="s">
        <v>53</v>
      </c>
      <c r="B42" s="42"/>
      <c r="C42" s="43"/>
      <c r="D42" s="47">
        <v>0.08</v>
      </c>
      <c r="E42" s="47">
        <v>0.09</v>
      </c>
      <c r="F42" s="1"/>
      <c r="G42" s="1"/>
      <c r="H42" s="1"/>
      <c r="I42" s="1"/>
      <c r="J42" s="1"/>
      <c r="K42" s="1"/>
    </row>
    <row r="43" spans="1:11" ht="15.75" thickBot="1" x14ac:dyDescent="0.3">
      <c r="A43" s="29" t="s">
        <v>54</v>
      </c>
      <c r="B43" s="44"/>
      <c r="C43" s="45"/>
      <c r="D43" s="49">
        <v>0.18</v>
      </c>
      <c r="E43" s="49">
        <v>0.21</v>
      </c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x14ac:dyDescent="0.25">
      <c r="A45" s="50" t="s">
        <v>82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mergeCells count="5">
    <mergeCell ref="B3:K3"/>
    <mergeCell ref="A4:D4"/>
    <mergeCell ref="A25:C25"/>
    <mergeCell ref="A36:C36"/>
    <mergeCell ref="D2:H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D3B1-148E-4158-82D5-D37F7C683700}">
  <dimension ref="A1:K55"/>
  <sheetViews>
    <sheetView topLeftCell="A7" workbookViewId="0">
      <selection activeCell="A27" sqref="A27"/>
    </sheetView>
  </sheetViews>
  <sheetFormatPr baseColWidth="10" defaultRowHeight="15" x14ac:dyDescent="0.25"/>
  <cols>
    <col min="3" max="4" width="12.85546875" bestFit="1" customWidth="1"/>
    <col min="5" max="5" width="14.140625" bestFit="1" customWidth="1"/>
  </cols>
  <sheetData>
    <row r="1" spans="1:11" ht="15.75" thickBot="1" x14ac:dyDescent="0.3"/>
    <row r="2" spans="1:11" ht="15.75" thickBot="1" x14ac:dyDescent="0.3">
      <c r="B2" s="91" t="s">
        <v>86</v>
      </c>
      <c r="C2" s="92"/>
      <c r="D2" s="92"/>
      <c r="E2" s="92"/>
      <c r="F2" s="92"/>
      <c r="G2" s="92"/>
      <c r="H2" s="92"/>
      <c r="I2" s="92"/>
      <c r="J2" s="93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26" t="s">
        <v>87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4" t="s">
        <v>22</v>
      </c>
      <c r="B6" s="5"/>
      <c r="C6" s="5"/>
      <c r="D6" s="33">
        <v>114762500</v>
      </c>
      <c r="E6" s="1"/>
      <c r="F6" s="1"/>
      <c r="G6" s="1"/>
      <c r="H6" s="1"/>
      <c r="I6" s="1"/>
      <c r="J6" s="1"/>
      <c r="K6" s="1"/>
    </row>
    <row r="7" spans="1:11" ht="15.75" thickBot="1" x14ac:dyDescent="0.3">
      <c r="A7" s="14" t="s">
        <v>88</v>
      </c>
      <c r="B7" s="10"/>
      <c r="C7" s="10"/>
      <c r="D7" s="34">
        <v>112950000</v>
      </c>
      <c r="E7" s="1"/>
      <c r="F7" s="1"/>
      <c r="G7" s="1"/>
      <c r="H7" s="1"/>
      <c r="I7" s="1"/>
      <c r="J7" s="1"/>
      <c r="K7" s="1"/>
    </row>
    <row r="8" spans="1:11" x14ac:dyDescent="0.25">
      <c r="A8" s="14"/>
      <c r="B8" s="10"/>
      <c r="C8" s="10"/>
      <c r="D8" s="54">
        <f>SUM(D6:D7)</f>
        <v>227712500</v>
      </c>
      <c r="E8" s="57" t="s">
        <v>89</v>
      </c>
      <c r="F8" s="1"/>
      <c r="G8" s="1"/>
      <c r="H8" s="1"/>
      <c r="I8" s="1"/>
      <c r="J8" s="1"/>
      <c r="K8" s="1"/>
    </row>
    <row r="9" spans="1:11" ht="15.75" thickBot="1" x14ac:dyDescent="0.3">
      <c r="A9" s="14" t="s">
        <v>45</v>
      </c>
      <c r="B9" s="10"/>
      <c r="C9" s="10"/>
      <c r="D9" s="34">
        <v>-46232500</v>
      </c>
      <c r="E9" s="1"/>
      <c r="F9" s="1"/>
      <c r="G9" s="1"/>
      <c r="H9" s="1"/>
      <c r="I9" s="1"/>
      <c r="J9" s="1"/>
      <c r="K9" s="1"/>
    </row>
    <row r="10" spans="1:11" ht="15.75" thickBot="1" x14ac:dyDescent="0.3">
      <c r="A10" s="55"/>
      <c r="B10" s="23"/>
      <c r="C10" s="23"/>
      <c r="D10" s="24">
        <f>SUM(D8:D9)</f>
        <v>181480000</v>
      </c>
      <c r="E10" s="57" t="s">
        <v>90</v>
      </c>
      <c r="F10" s="1"/>
      <c r="G10" s="1"/>
      <c r="H10" s="1"/>
      <c r="I10" s="1"/>
      <c r="J10" s="1"/>
      <c r="K10" s="1"/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75" thickBot="1" x14ac:dyDescent="0.3">
      <c r="A12" s="26" t="s">
        <v>91</v>
      </c>
      <c r="B12" s="1"/>
      <c r="C12" s="1"/>
      <c r="D12" s="1"/>
      <c r="E12" s="58">
        <f>D10</f>
        <v>181480000</v>
      </c>
      <c r="F12" s="1"/>
      <c r="G12" s="1"/>
      <c r="H12" s="61">
        <f>E12/E13</f>
        <v>6.8483018867924531E-2</v>
      </c>
      <c r="I12" s="1"/>
      <c r="J12" s="1"/>
      <c r="K12" s="1"/>
    </row>
    <row r="13" spans="1:11" x14ac:dyDescent="0.25">
      <c r="A13" s="1"/>
      <c r="B13" s="1"/>
      <c r="C13" s="1"/>
      <c r="D13" s="1"/>
      <c r="E13" s="53">
        <f>'Estado de Resultados'!F6</f>
        <v>2650000000</v>
      </c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6" t="s">
        <v>93</v>
      </c>
      <c r="B16" s="1"/>
      <c r="C16" s="53">
        <f>'Estado de Resultados'!F12</f>
        <v>606417930.65999985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94</v>
      </c>
      <c r="B17" s="1"/>
      <c r="C17" s="53">
        <f>'Estado de Situación Financiera'!H21</f>
        <v>7978867</v>
      </c>
      <c r="D17" s="1"/>
      <c r="E17" s="1"/>
      <c r="F17" s="1"/>
      <c r="G17" s="1"/>
      <c r="H17" s="1"/>
      <c r="I17" s="1"/>
      <c r="J17" s="1"/>
      <c r="K17" s="1"/>
    </row>
    <row r="18" spans="1:11" ht="15.75" thickBot="1" x14ac:dyDescent="0.3">
      <c r="A18" s="1" t="s">
        <v>95</v>
      </c>
      <c r="B18" s="1"/>
      <c r="C18" s="22">
        <f>'Estado de Situación Financiera'!H26</f>
        <v>2799742</v>
      </c>
      <c r="D18" s="1"/>
      <c r="E18" s="1"/>
      <c r="F18" s="1"/>
      <c r="G18" s="1"/>
      <c r="H18" s="1"/>
      <c r="I18" s="1"/>
      <c r="J18" s="1"/>
      <c r="K18" s="1"/>
    </row>
    <row r="19" spans="1:11" ht="15.75" thickBot="1" x14ac:dyDescent="0.3">
      <c r="A19" s="26" t="s">
        <v>92</v>
      </c>
      <c r="B19" s="1"/>
      <c r="C19" s="62">
        <f>SUM(C16:C18)</f>
        <v>617196539.65999985</v>
      </c>
      <c r="D19" s="1"/>
      <c r="E19" s="1"/>
      <c r="F19" s="1"/>
      <c r="G19" s="1"/>
      <c r="H19" s="1"/>
      <c r="I19" s="1"/>
      <c r="J19" s="1"/>
      <c r="K19" s="1"/>
    </row>
    <row r="20" spans="1:11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thickBot="1" x14ac:dyDescent="0.3">
      <c r="A21" s="26" t="s">
        <v>96</v>
      </c>
      <c r="B21" s="1"/>
      <c r="C21" s="1"/>
      <c r="D21" s="1"/>
      <c r="E21" s="58">
        <f>C19</f>
        <v>617196539.65999985</v>
      </c>
      <c r="F21" s="1"/>
      <c r="G21" s="1"/>
      <c r="H21" s="61">
        <f>E21/E22</f>
        <v>0.2329043545886792</v>
      </c>
      <c r="I21" s="1"/>
      <c r="J21" s="1"/>
      <c r="K21" s="1"/>
    </row>
    <row r="22" spans="1:11" x14ac:dyDescent="0.25">
      <c r="A22" s="1"/>
      <c r="B22" s="1"/>
      <c r="C22" s="1"/>
      <c r="D22" s="1"/>
      <c r="E22" s="27">
        <f>E13</f>
        <v>2650000000</v>
      </c>
      <c r="F22" s="1"/>
      <c r="G22" s="1"/>
      <c r="H22" s="1"/>
      <c r="I22" s="1"/>
      <c r="J22" s="1"/>
      <c r="K22" s="1"/>
    </row>
    <row r="23" spans="1:11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thickBot="1" x14ac:dyDescent="0.3">
      <c r="A24" s="26" t="s">
        <v>97</v>
      </c>
      <c r="B24" s="1"/>
      <c r="C24" s="1"/>
      <c r="D24" s="1"/>
      <c r="E24" s="63">
        <f>H21</f>
        <v>0.2329043545886792</v>
      </c>
      <c r="F24" s="1"/>
      <c r="G24" s="1"/>
      <c r="H24" s="65">
        <f>E24/E25</f>
        <v>3.4009066545073829</v>
      </c>
      <c r="I24" s="1"/>
      <c r="J24" s="1"/>
      <c r="K24" s="1"/>
    </row>
    <row r="25" spans="1:11" x14ac:dyDescent="0.25">
      <c r="A25" s="1"/>
      <c r="B25" s="1"/>
      <c r="C25" s="1"/>
      <c r="D25" s="1"/>
      <c r="E25" s="64">
        <f>H12</f>
        <v>6.8483018867924531E-2</v>
      </c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6" t="s">
        <v>98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mergeCells count="1">
    <mergeCell ref="B2:J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C4E2-3CD5-4F1C-8C35-CAA787FFF6DE}">
  <dimension ref="A1:M65"/>
  <sheetViews>
    <sheetView topLeftCell="A31" workbookViewId="0">
      <selection activeCell="E39" sqref="E39"/>
    </sheetView>
  </sheetViews>
  <sheetFormatPr baseColWidth="10" defaultRowHeight="15" x14ac:dyDescent="0.25"/>
  <cols>
    <col min="4" max="4" width="14.140625" bestFit="1" customWidth="1"/>
    <col min="5" max="5" width="12.5703125" customWidth="1"/>
    <col min="6" max="6" width="14.140625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85" t="s">
        <v>99</v>
      </c>
      <c r="C2" s="86"/>
      <c r="D2" s="86"/>
      <c r="E2" s="86"/>
      <c r="F2" s="86"/>
      <c r="G2" s="86"/>
      <c r="H2" s="86"/>
      <c r="I2" s="86"/>
      <c r="J2" s="87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1"/>
      <c r="B4" s="26" t="s">
        <v>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thickBot="1" x14ac:dyDescent="0.3">
      <c r="A5" s="1"/>
      <c r="B5" s="85"/>
      <c r="C5" s="86"/>
      <c r="D5" s="87"/>
      <c r="E5" s="2">
        <v>2021</v>
      </c>
      <c r="F5" s="2">
        <v>2020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28" t="s">
        <v>72</v>
      </c>
      <c r="C6" s="5"/>
      <c r="D6" s="5"/>
      <c r="E6" s="37">
        <v>1000000000</v>
      </c>
      <c r="F6" s="33">
        <v>1000000000</v>
      </c>
      <c r="G6" s="1"/>
      <c r="H6" s="1"/>
      <c r="I6" s="1"/>
      <c r="J6" s="1"/>
      <c r="K6" s="1"/>
      <c r="L6" s="1"/>
      <c r="M6" s="1"/>
    </row>
    <row r="7" spans="1:13" ht="15.75" thickBot="1" x14ac:dyDescent="0.3">
      <c r="A7" s="1"/>
      <c r="B7" s="14" t="s">
        <v>73</v>
      </c>
      <c r="C7" s="10"/>
      <c r="D7" s="10"/>
      <c r="E7" s="15">
        <v>-420000000</v>
      </c>
      <c r="F7" s="34">
        <v>-500000000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20" t="s">
        <v>71</v>
      </c>
      <c r="C8" s="10"/>
      <c r="D8" s="10"/>
      <c r="E8" s="38">
        <f>SUM(E6:E7)</f>
        <v>580000000</v>
      </c>
      <c r="F8" s="35">
        <f>SUM(F6:F7)</f>
        <v>500000000</v>
      </c>
      <c r="G8" s="1"/>
      <c r="H8" s="1"/>
      <c r="I8" s="1"/>
      <c r="J8" s="1"/>
      <c r="K8" s="1"/>
      <c r="L8" s="1"/>
      <c r="M8" s="1"/>
    </row>
    <row r="9" spans="1:13" ht="15.75" thickBot="1" x14ac:dyDescent="0.3">
      <c r="A9" s="1"/>
      <c r="B9" s="14" t="s">
        <v>74</v>
      </c>
      <c r="C9" s="10"/>
      <c r="D9" s="10"/>
      <c r="E9" s="15">
        <v>-249500000</v>
      </c>
      <c r="F9" s="34">
        <v>-220000000</v>
      </c>
      <c r="G9" s="1"/>
      <c r="H9" s="1"/>
      <c r="I9" s="1"/>
      <c r="J9" s="1"/>
      <c r="K9" s="1"/>
      <c r="L9" s="1"/>
      <c r="M9" s="1"/>
    </row>
    <row r="10" spans="1:13" ht="15.75" thickBot="1" x14ac:dyDescent="0.3">
      <c r="A10" s="1"/>
      <c r="B10" s="29" t="s">
        <v>59</v>
      </c>
      <c r="C10" s="23"/>
      <c r="D10" s="23"/>
      <c r="E10" s="39">
        <f>SUM(E8:E9)</f>
        <v>330500000</v>
      </c>
      <c r="F10" s="36">
        <f>SUM(F8:F9)</f>
        <v>280000000</v>
      </c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thickBot="1" x14ac:dyDescent="0.3">
      <c r="A13" s="1"/>
      <c r="B13" s="1"/>
      <c r="C13" s="1"/>
      <c r="D13" s="1"/>
      <c r="E13" s="66" t="s">
        <v>68</v>
      </c>
      <c r="F13" s="66" t="s">
        <v>68</v>
      </c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1"/>
      <c r="B14" s="85"/>
      <c r="C14" s="86"/>
      <c r="D14" s="86"/>
      <c r="E14" s="87"/>
      <c r="F14" s="67">
        <v>2021</v>
      </c>
      <c r="G14" s="51">
        <v>2020</v>
      </c>
      <c r="H14" s="1"/>
      <c r="I14" s="1"/>
      <c r="J14" s="1"/>
      <c r="K14" s="1"/>
      <c r="L14" s="1"/>
      <c r="M14" s="1"/>
    </row>
    <row r="15" spans="1:13" x14ac:dyDescent="0.25">
      <c r="A15" s="1"/>
      <c r="B15" s="20" t="s">
        <v>58</v>
      </c>
      <c r="C15" s="10"/>
      <c r="D15" s="10"/>
      <c r="E15" s="11"/>
      <c r="F15" s="21"/>
      <c r="G15" s="21"/>
      <c r="H15" s="1"/>
      <c r="I15" s="1"/>
      <c r="J15" s="1"/>
      <c r="K15" s="1"/>
      <c r="L15" s="1"/>
      <c r="M15" s="1"/>
    </row>
    <row r="16" spans="1:13" x14ac:dyDescent="0.25">
      <c r="A16" s="1"/>
      <c r="B16" s="14" t="s">
        <v>59</v>
      </c>
      <c r="C16" s="10"/>
      <c r="D16" s="10"/>
      <c r="E16" s="11"/>
      <c r="F16" s="21">
        <v>330500000</v>
      </c>
      <c r="G16" s="21">
        <v>280000000</v>
      </c>
      <c r="H16" s="1"/>
      <c r="I16" s="1"/>
      <c r="J16" s="1"/>
      <c r="K16" s="1"/>
      <c r="L16" s="1"/>
      <c r="M16" s="1"/>
    </row>
    <row r="17" spans="1:13" x14ac:dyDescent="0.25">
      <c r="A17" s="1"/>
      <c r="B17" s="14" t="s">
        <v>60</v>
      </c>
      <c r="C17" s="10"/>
      <c r="D17" s="10"/>
      <c r="E17" s="11"/>
      <c r="F17" s="21">
        <v>28464500</v>
      </c>
      <c r="G17" s="21">
        <v>20175600</v>
      </c>
      <c r="H17" s="1"/>
      <c r="I17" s="1"/>
      <c r="J17" s="1"/>
      <c r="K17" s="1"/>
      <c r="L17" s="1"/>
      <c r="M17" s="1"/>
    </row>
    <row r="18" spans="1:13" x14ac:dyDescent="0.25">
      <c r="A18" s="1"/>
      <c r="B18" s="14" t="s">
        <v>61</v>
      </c>
      <c r="C18" s="10"/>
      <c r="D18" s="10"/>
      <c r="E18" s="11"/>
      <c r="F18" s="21">
        <v>67637825</v>
      </c>
      <c r="G18" s="21">
        <v>43875650</v>
      </c>
      <c r="H18" s="1"/>
      <c r="I18" s="1"/>
      <c r="J18" s="1"/>
      <c r="K18" s="1"/>
      <c r="L18" s="1"/>
      <c r="M18" s="1"/>
    </row>
    <row r="19" spans="1:13" x14ac:dyDescent="0.25">
      <c r="A19" s="1"/>
      <c r="B19" s="14" t="s">
        <v>62</v>
      </c>
      <c r="C19" s="10"/>
      <c r="D19" s="10"/>
      <c r="E19" s="11"/>
      <c r="F19" s="21">
        <v>50000000</v>
      </c>
      <c r="G19" s="21">
        <v>35000000</v>
      </c>
      <c r="H19" s="1"/>
      <c r="I19" s="1"/>
      <c r="J19" s="1"/>
      <c r="K19" s="1"/>
      <c r="L19" s="1"/>
      <c r="M19" s="1"/>
    </row>
    <row r="20" spans="1:13" x14ac:dyDescent="0.25">
      <c r="A20" s="1"/>
      <c r="B20" s="14" t="s">
        <v>63</v>
      </c>
      <c r="C20" s="10"/>
      <c r="D20" s="10"/>
      <c r="E20" s="11"/>
      <c r="F20" s="21">
        <v>26750000</v>
      </c>
      <c r="G20" s="21">
        <v>19565000</v>
      </c>
      <c r="H20" s="1"/>
      <c r="I20" s="1"/>
      <c r="J20" s="1"/>
      <c r="K20" s="1"/>
      <c r="L20" s="1"/>
      <c r="M20" s="1"/>
    </row>
    <row r="21" spans="1:13" x14ac:dyDescent="0.25">
      <c r="A21" s="1"/>
      <c r="B21" s="14" t="s">
        <v>64</v>
      </c>
      <c r="C21" s="10"/>
      <c r="D21" s="10"/>
      <c r="E21" s="11"/>
      <c r="F21" s="21">
        <f>'Estado de Situación Financiera'!E52</f>
        <v>370122229.08539987</v>
      </c>
      <c r="G21" s="21">
        <f>'Estado de Situación Financiera'!F52</f>
        <v>237621745.78400004</v>
      </c>
      <c r="H21" s="1"/>
      <c r="I21" s="1"/>
      <c r="J21" s="1"/>
      <c r="K21" s="1"/>
      <c r="L21" s="1"/>
      <c r="M21" s="1"/>
    </row>
    <row r="22" spans="1:13" ht="15.75" thickBot="1" x14ac:dyDescent="0.3">
      <c r="A22" s="1"/>
      <c r="B22" s="14" t="s">
        <v>65</v>
      </c>
      <c r="C22" s="10"/>
      <c r="D22" s="10"/>
      <c r="E22" s="11"/>
      <c r="F22" s="15">
        <v>24700000</v>
      </c>
      <c r="G22" s="15">
        <v>15600000</v>
      </c>
      <c r="H22" s="1"/>
      <c r="I22" s="1"/>
      <c r="J22" s="1"/>
      <c r="K22" s="1"/>
      <c r="L22" s="1"/>
      <c r="M22" s="1"/>
    </row>
    <row r="23" spans="1:13" ht="15.75" thickBot="1" x14ac:dyDescent="0.3">
      <c r="A23" s="1"/>
      <c r="B23" s="16" t="s">
        <v>66</v>
      </c>
      <c r="C23" s="17"/>
      <c r="D23" s="17"/>
      <c r="E23" s="18"/>
      <c r="F23" s="24">
        <f>SUM(F16:F22)</f>
        <v>898174554.08539987</v>
      </c>
      <c r="G23" s="24">
        <f>SUM(G16:G22)</f>
        <v>651837995.78400004</v>
      </c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26" t="s">
        <v>72</v>
      </c>
      <c r="C26" s="1"/>
      <c r="D26" s="68">
        <v>1000000000</v>
      </c>
      <c r="E26" s="68">
        <v>6000</v>
      </c>
      <c r="F26" s="1"/>
      <c r="G26" s="68">
        <f>D26/E26</f>
        <v>166666.66666666666</v>
      </c>
      <c r="H26" s="26" t="s">
        <v>100</v>
      </c>
      <c r="I26" s="1"/>
      <c r="J26" s="1"/>
      <c r="K26" s="1"/>
      <c r="L26" s="1"/>
      <c r="M26" s="1"/>
    </row>
    <row r="27" spans="1:13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 x14ac:dyDescent="0.3">
      <c r="A28" s="1"/>
      <c r="B28" s="52" t="s">
        <v>68</v>
      </c>
      <c r="C28" s="1"/>
      <c r="D28" s="1"/>
      <c r="E28" s="1"/>
      <c r="F28" s="2" t="s">
        <v>101</v>
      </c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52"/>
      <c r="C29" s="1"/>
      <c r="D29" s="1"/>
      <c r="E29" s="1"/>
      <c r="F29" s="69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26" t="s">
        <v>102</v>
      </c>
      <c r="C30" s="1"/>
      <c r="D30" s="94">
        <f>E8</f>
        <v>580000000</v>
      </c>
      <c r="E30" s="94">
        <f>E26</f>
        <v>6000</v>
      </c>
      <c r="F30" s="1"/>
      <c r="G30" s="68">
        <f>D30/E30</f>
        <v>96666.666666666672</v>
      </c>
      <c r="H30" s="26" t="s">
        <v>103</v>
      </c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4" t="s">
        <v>104</v>
      </c>
      <c r="C33" s="5"/>
      <c r="D33" s="70">
        <f>F23/G30</f>
        <v>9291.4609043317214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 x14ac:dyDescent="0.3">
      <c r="A34" s="1"/>
      <c r="B34" s="14" t="s">
        <v>105</v>
      </c>
      <c r="C34" s="10"/>
      <c r="D34" s="71">
        <f>F21/G30</f>
        <v>3828.8506457110329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1"/>
      <c r="B35" s="29" t="s">
        <v>106</v>
      </c>
      <c r="C35" s="23"/>
      <c r="D35" s="61">
        <f>D34/D33</f>
        <v>0.41208273759468816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 x14ac:dyDescent="0.3">
      <c r="A37" s="1"/>
      <c r="B37" s="1"/>
      <c r="C37" s="1"/>
      <c r="D37" s="1"/>
      <c r="E37" s="1"/>
      <c r="F37" s="2">
        <v>2020</v>
      </c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26" t="s">
        <v>71</v>
      </c>
      <c r="C39" s="1"/>
      <c r="D39" s="94">
        <f>F8</f>
        <v>500000000</v>
      </c>
      <c r="E39" s="94">
        <f>E26</f>
        <v>6000</v>
      </c>
      <c r="F39" s="1"/>
      <c r="G39" s="68">
        <f>D39/E39</f>
        <v>83333.333333333328</v>
      </c>
      <c r="H39" s="26" t="s">
        <v>103</v>
      </c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4" t="s">
        <v>104</v>
      </c>
      <c r="C42" s="5"/>
      <c r="D42" s="72">
        <f>G23/G39</f>
        <v>7822.0559494080007</v>
      </c>
      <c r="E42" s="1"/>
      <c r="F42" s="1"/>
      <c r="G42" s="1"/>
      <c r="H42" s="1"/>
      <c r="I42" s="1"/>
      <c r="J42" s="1"/>
      <c r="K42" s="1"/>
      <c r="L42" s="1"/>
      <c r="M42" s="1"/>
    </row>
    <row r="43" spans="1:13" ht="15.75" thickBot="1" x14ac:dyDescent="0.3">
      <c r="A43" s="1"/>
      <c r="B43" s="14" t="s">
        <v>107</v>
      </c>
      <c r="C43" s="10"/>
      <c r="D43" s="73">
        <f>G21/G39</f>
        <v>2851.4609494080005</v>
      </c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 x14ac:dyDescent="0.3">
      <c r="A44" s="1"/>
      <c r="B44" s="55" t="s">
        <v>106</v>
      </c>
      <c r="C44" s="23"/>
      <c r="D44" s="61">
        <f>D43/D42</f>
        <v>0.36454110886586133</v>
      </c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thickBot="1" x14ac:dyDescent="0.3">
      <c r="A46" s="1"/>
      <c r="B46" s="1"/>
      <c r="C46" s="1"/>
      <c r="D46" s="1"/>
      <c r="E46" s="1"/>
      <c r="F46" s="2">
        <v>2021</v>
      </c>
      <c r="G46" s="2">
        <v>2020</v>
      </c>
      <c r="H46" s="85" t="s">
        <v>15</v>
      </c>
      <c r="I46" s="87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74">
        <f>D35</f>
        <v>0.41208273759468816</v>
      </c>
      <c r="G47" s="74">
        <f>D44</f>
        <v>0.36454110886586133</v>
      </c>
      <c r="H47" s="74">
        <f>F47-G47</f>
        <v>4.7541628728826835E-2</v>
      </c>
      <c r="I47" s="74">
        <f>H47/G47</f>
        <v>0.13041500004412543</v>
      </c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</sheetData>
  <mergeCells count="4">
    <mergeCell ref="B2:J2"/>
    <mergeCell ref="B5:D5"/>
    <mergeCell ref="B14:E14"/>
    <mergeCell ref="H46:I4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F49C-14CD-4A6F-8C69-E108B31F8142}">
  <dimension ref="A1:G92"/>
  <sheetViews>
    <sheetView topLeftCell="A31" workbookViewId="0">
      <selection activeCell="A30" sqref="A30"/>
    </sheetView>
  </sheetViews>
  <sheetFormatPr baseColWidth="10" defaultRowHeight="15" x14ac:dyDescent="0.25"/>
  <cols>
    <col min="5" max="5" width="12.85546875" bestFit="1" customWidth="1"/>
  </cols>
  <sheetData>
    <row r="1" spans="1:7" ht="15.75" thickBot="1" x14ac:dyDescent="0.3">
      <c r="A1" s="1"/>
      <c r="B1" s="1"/>
      <c r="C1" s="1"/>
      <c r="D1" s="1"/>
      <c r="E1" s="1"/>
      <c r="F1" s="1"/>
      <c r="G1" s="1"/>
    </row>
    <row r="2" spans="1:7" ht="15.75" thickBot="1" x14ac:dyDescent="0.3">
      <c r="A2" s="1"/>
      <c r="B2" s="91" t="s">
        <v>108</v>
      </c>
      <c r="C2" s="92"/>
      <c r="D2" s="92"/>
      <c r="E2" s="92"/>
      <c r="F2" s="93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28" t="s">
        <v>13</v>
      </c>
      <c r="B4" s="5"/>
      <c r="C4" s="5"/>
      <c r="D4" s="5"/>
      <c r="E4" s="5"/>
      <c r="F4" s="37"/>
      <c r="G4" s="78">
        <f>'Estado de Resultados'!F12</f>
        <v>606417930.65999985</v>
      </c>
    </row>
    <row r="5" spans="1:7" x14ac:dyDescent="0.25">
      <c r="A5" s="14" t="s">
        <v>94</v>
      </c>
      <c r="B5" s="10"/>
      <c r="C5" s="10"/>
      <c r="D5" s="10"/>
      <c r="E5" s="10"/>
      <c r="F5" s="21"/>
      <c r="G5" s="21">
        <f>'Estado de Situación Financiera'!H21</f>
        <v>7978867</v>
      </c>
    </row>
    <row r="6" spans="1:7" ht="15.75" thickBot="1" x14ac:dyDescent="0.3">
      <c r="A6" s="14" t="s">
        <v>95</v>
      </c>
      <c r="B6" s="10"/>
      <c r="C6" s="10"/>
      <c r="D6" s="10"/>
      <c r="E6" s="10"/>
      <c r="F6" s="21"/>
      <c r="G6" s="15">
        <f>'Estado de Situación Financiera'!H26</f>
        <v>2799742</v>
      </c>
    </row>
    <row r="7" spans="1:7" ht="15.75" thickBot="1" x14ac:dyDescent="0.3">
      <c r="A7" s="16" t="s">
        <v>92</v>
      </c>
      <c r="B7" s="17"/>
      <c r="C7" s="17"/>
      <c r="D7" s="17"/>
      <c r="E7" s="18"/>
      <c r="F7" s="21"/>
      <c r="G7" s="21">
        <f>SUM(G4:G6)</f>
        <v>617196539.65999985</v>
      </c>
    </row>
    <row r="8" spans="1:7" ht="15.75" thickBot="1" x14ac:dyDescent="0.3">
      <c r="A8" s="14" t="s">
        <v>10</v>
      </c>
      <c r="B8" s="10"/>
      <c r="C8" s="10"/>
      <c r="D8" s="10"/>
      <c r="E8" s="10"/>
      <c r="F8" s="21"/>
      <c r="G8" s="15">
        <f>'Estado de Resultados'!F17</f>
        <v>-166286798.57459995</v>
      </c>
    </row>
    <row r="9" spans="1:7" x14ac:dyDescent="0.25">
      <c r="A9" s="20" t="s">
        <v>109</v>
      </c>
      <c r="B9" s="10"/>
      <c r="C9" s="10"/>
      <c r="D9" s="10"/>
      <c r="E9" s="10"/>
      <c r="F9" s="21"/>
      <c r="G9" s="12">
        <f>SUM(G7:G8)</f>
        <v>450909741.08539987</v>
      </c>
    </row>
    <row r="10" spans="1:7" x14ac:dyDescent="0.25">
      <c r="A10" s="20" t="s">
        <v>110</v>
      </c>
      <c r="B10" s="10"/>
      <c r="C10" s="10"/>
      <c r="D10" s="10"/>
      <c r="E10" s="10"/>
      <c r="F10" s="21"/>
      <c r="G10" s="12">
        <f>SUM(F11:F13)</f>
        <v>-20490000</v>
      </c>
    </row>
    <row r="11" spans="1:7" x14ac:dyDescent="0.25">
      <c r="A11" s="14" t="s">
        <v>22</v>
      </c>
      <c r="B11" s="10"/>
      <c r="C11" s="10"/>
      <c r="D11" s="10"/>
      <c r="E11" s="10"/>
      <c r="F11" s="21">
        <f>'Estado de Situación Financiera'!H8</f>
        <v>41995000</v>
      </c>
      <c r="G11" s="21"/>
    </row>
    <row r="12" spans="1:7" x14ac:dyDescent="0.25">
      <c r="A12" s="14" t="s">
        <v>88</v>
      </c>
      <c r="B12" s="10"/>
      <c r="C12" s="10"/>
      <c r="D12" s="10"/>
      <c r="E12" s="10"/>
      <c r="F12" s="21">
        <f>-'Estado de Situación Financiera'!I10</f>
        <v>-74700000</v>
      </c>
      <c r="G12" s="21"/>
    </row>
    <row r="13" spans="1:7" ht="15.75" thickBot="1" x14ac:dyDescent="0.3">
      <c r="A13" s="14" t="s">
        <v>45</v>
      </c>
      <c r="B13" s="10"/>
      <c r="C13" s="10"/>
      <c r="D13" s="10"/>
      <c r="E13" s="10"/>
      <c r="F13" s="15">
        <f>'Estado de Situación Financiera'!H33</f>
        <v>12215000</v>
      </c>
      <c r="G13" s="21"/>
    </row>
    <row r="14" spans="1:7" x14ac:dyDescent="0.25">
      <c r="A14" s="20" t="s">
        <v>111</v>
      </c>
      <c r="B14" s="10"/>
      <c r="C14" s="10"/>
      <c r="D14" s="10"/>
      <c r="E14" s="10"/>
      <c r="F14" s="21"/>
      <c r="G14" s="12">
        <f>SUM(F15:F20)</f>
        <v>-114574000</v>
      </c>
    </row>
    <row r="15" spans="1:7" x14ac:dyDescent="0.25">
      <c r="A15" s="14" t="s">
        <v>28</v>
      </c>
      <c r="B15" s="10"/>
      <c r="C15" s="10"/>
      <c r="D15" s="10"/>
      <c r="E15" s="10"/>
      <c r="F15" s="21">
        <f>-'Estado de Situación Financiera'!I15</f>
        <v>-50000000</v>
      </c>
      <c r="G15" s="21"/>
    </row>
    <row r="16" spans="1:7" x14ac:dyDescent="0.25">
      <c r="A16" s="14" t="s">
        <v>29</v>
      </c>
      <c r="B16" s="10"/>
      <c r="C16" s="10"/>
      <c r="D16" s="10"/>
      <c r="E16" s="10"/>
      <c r="F16" s="21">
        <f>-'Estado de Situación Financiera'!I16</f>
        <v>-50000000</v>
      </c>
      <c r="G16" s="21"/>
    </row>
    <row r="17" spans="1:7" x14ac:dyDescent="0.25">
      <c r="A17" s="14" t="s">
        <v>112</v>
      </c>
      <c r="B17" s="10"/>
      <c r="C17" s="10"/>
      <c r="D17" s="10"/>
      <c r="E17" s="10"/>
      <c r="F17" s="21">
        <f>'Estado de Situación Financiera'!H17</f>
        <v>36300000</v>
      </c>
      <c r="G17" s="21"/>
    </row>
    <row r="18" spans="1:7" x14ac:dyDescent="0.25">
      <c r="A18" s="14" t="s">
        <v>31</v>
      </c>
      <c r="B18" s="10"/>
      <c r="C18" s="10"/>
      <c r="D18" s="10"/>
      <c r="E18" s="10"/>
      <c r="F18" s="21">
        <f>'Estado de Situación Financiera'!H18</f>
        <v>7676000</v>
      </c>
      <c r="G18" s="21"/>
    </row>
    <row r="19" spans="1:7" x14ac:dyDescent="0.25">
      <c r="A19" s="14" t="s">
        <v>32</v>
      </c>
      <c r="B19" s="10"/>
      <c r="C19" s="10"/>
      <c r="D19" s="10"/>
      <c r="E19" s="10"/>
      <c r="F19" s="21">
        <f>-'Estado de Situación Financiera'!I19</f>
        <v>-23550000</v>
      </c>
      <c r="G19" s="21"/>
    </row>
    <row r="20" spans="1:7" ht="15.75" thickBot="1" x14ac:dyDescent="0.3">
      <c r="A20" s="14" t="s">
        <v>113</v>
      </c>
      <c r="B20" s="10"/>
      <c r="C20" s="10"/>
      <c r="D20" s="10"/>
      <c r="E20" s="10"/>
      <c r="F20" s="15">
        <f>-'Estado de Situación Financiera'!I20</f>
        <v>-35000000</v>
      </c>
      <c r="G20" s="15"/>
    </row>
    <row r="21" spans="1:7" ht="15.75" thickBot="1" x14ac:dyDescent="0.3">
      <c r="A21" s="16" t="s">
        <v>114</v>
      </c>
      <c r="B21" s="17"/>
      <c r="C21" s="17"/>
      <c r="D21" s="17"/>
      <c r="E21" s="18"/>
      <c r="F21" s="21"/>
      <c r="G21" s="12">
        <f>SUM(G9:G20)</f>
        <v>315845741.08539987</v>
      </c>
    </row>
    <row r="22" spans="1:7" x14ac:dyDescent="0.25">
      <c r="A22" s="20" t="s">
        <v>115</v>
      </c>
      <c r="B22" s="10"/>
      <c r="C22" s="10"/>
      <c r="D22" s="10"/>
      <c r="E22" s="10"/>
      <c r="F22" s="21"/>
      <c r="G22" s="12">
        <f>SUM(F23:F24)</f>
        <v>95600000</v>
      </c>
    </row>
    <row r="23" spans="1:7" x14ac:dyDescent="0.25">
      <c r="A23" s="14" t="s">
        <v>44</v>
      </c>
      <c r="B23" s="10"/>
      <c r="C23" s="10"/>
      <c r="D23" s="10"/>
      <c r="E23" s="10"/>
      <c r="F23" s="21">
        <f>'Estado de Situación Financiera'!H32</f>
        <v>40000000</v>
      </c>
      <c r="G23" s="21"/>
    </row>
    <row r="24" spans="1:7" ht="15.75" thickBot="1" x14ac:dyDescent="0.3">
      <c r="A24" s="14" t="s">
        <v>52</v>
      </c>
      <c r="B24" s="10"/>
      <c r="C24" s="10"/>
      <c r="D24" s="10"/>
      <c r="E24" s="10"/>
      <c r="F24" s="15">
        <f>'Estado de Situación Financiera'!H40</f>
        <v>55600000</v>
      </c>
      <c r="G24" s="21"/>
    </row>
    <row r="25" spans="1:7" x14ac:dyDescent="0.25">
      <c r="A25" s="20" t="s">
        <v>116</v>
      </c>
      <c r="B25" s="10"/>
      <c r="C25" s="10"/>
      <c r="D25" s="10"/>
      <c r="E25" s="10"/>
      <c r="F25" s="21"/>
      <c r="G25" s="12">
        <f>SUM(F26:F28)</f>
        <v>-228032443</v>
      </c>
    </row>
    <row r="26" spans="1:7" x14ac:dyDescent="0.25">
      <c r="A26" s="14" t="s">
        <v>117</v>
      </c>
      <c r="B26" s="10"/>
      <c r="C26" s="10"/>
      <c r="D26" s="10"/>
      <c r="E26" s="10"/>
      <c r="F26" s="21">
        <f>-'Estado de Situación Financiera'!I41</f>
        <v>-53060000</v>
      </c>
      <c r="G26" s="21"/>
    </row>
    <row r="27" spans="1:7" x14ac:dyDescent="0.25">
      <c r="A27" s="14" t="s">
        <v>54</v>
      </c>
      <c r="B27" s="10"/>
      <c r="C27" s="10"/>
      <c r="D27" s="10"/>
      <c r="E27" s="10"/>
      <c r="F27" s="21">
        <f>-'Estado de Situación Financiera'!I42</f>
        <v>-76997000</v>
      </c>
      <c r="G27" s="21"/>
    </row>
    <row r="28" spans="1:7" ht="15.75" thickBot="1" x14ac:dyDescent="0.3">
      <c r="A28" s="14" t="s">
        <v>8</v>
      </c>
      <c r="B28" s="10"/>
      <c r="C28" s="10"/>
      <c r="D28" s="10"/>
      <c r="E28" s="10"/>
      <c r="F28" s="15">
        <f>'Estado de Resultados'!E15</f>
        <v>-97975443</v>
      </c>
      <c r="G28" s="15"/>
    </row>
    <row r="29" spans="1:7" ht="15.75" thickBot="1" x14ac:dyDescent="0.3">
      <c r="A29" s="16" t="s">
        <v>118</v>
      </c>
      <c r="B29" s="17"/>
      <c r="C29" s="17"/>
      <c r="D29" s="17"/>
      <c r="E29" s="18"/>
      <c r="F29" s="21"/>
      <c r="G29" s="12">
        <f>SUM(G21:G28)</f>
        <v>183413298.08539987</v>
      </c>
    </row>
    <row r="30" spans="1:7" ht="15.75" thickBot="1" x14ac:dyDescent="0.3">
      <c r="A30" s="20" t="s">
        <v>119</v>
      </c>
      <c r="B30" s="10"/>
      <c r="C30" s="10"/>
      <c r="D30" s="10"/>
      <c r="E30" s="10"/>
      <c r="F30" s="21"/>
      <c r="G30" s="15">
        <f>-G43</f>
        <v>-182574571</v>
      </c>
    </row>
    <row r="31" spans="1:7" ht="15.75" thickBot="1" x14ac:dyDescent="0.3">
      <c r="A31" s="16" t="s">
        <v>121</v>
      </c>
      <c r="B31" s="17"/>
      <c r="C31" s="17"/>
      <c r="D31" s="17"/>
      <c r="E31" s="18"/>
      <c r="F31" s="15"/>
      <c r="G31" s="24">
        <f>SUM(G29:G30)</f>
        <v>838727.0853998661</v>
      </c>
    </row>
    <row r="32" spans="1:7" ht="15.75" thickBot="1" x14ac:dyDescent="0.3">
      <c r="A32" s="1"/>
      <c r="B32" s="1"/>
      <c r="C32" s="1"/>
      <c r="D32" s="1"/>
      <c r="E32" s="1"/>
      <c r="F32" s="53"/>
      <c r="G32" s="53"/>
    </row>
    <row r="33" spans="1:7" x14ac:dyDescent="0.25">
      <c r="A33" s="28" t="s">
        <v>118</v>
      </c>
      <c r="B33" s="5"/>
      <c r="C33" s="5"/>
      <c r="D33" s="5"/>
      <c r="E33" s="83">
        <f>G29</f>
        <v>183413298.08539987</v>
      </c>
      <c r="F33" s="53"/>
      <c r="G33" s="53"/>
    </row>
    <row r="34" spans="1:7" ht="15.75" thickBot="1" x14ac:dyDescent="0.3">
      <c r="A34" s="14" t="s">
        <v>103</v>
      </c>
      <c r="B34" s="10"/>
      <c r="C34" s="10"/>
      <c r="D34" s="10"/>
      <c r="E34" s="15">
        <f>'Rentabilidad Accionaria'!G30</f>
        <v>96666.666666666672</v>
      </c>
      <c r="F34" s="53"/>
      <c r="G34" s="53"/>
    </row>
    <row r="35" spans="1:7" ht="15.75" thickBot="1" x14ac:dyDescent="0.3">
      <c r="A35" s="29" t="s">
        <v>122</v>
      </c>
      <c r="B35" s="23"/>
      <c r="C35" s="23"/>
      <c r="D35" s="23"/>
      <c r="E35" s="79">
        <f>E33/E34</f>
        <v>1897.3789457110331</v>
      </c>
      <c r="F35" s="53"/>
      <c r="G35" s="53"/>
    </row>
    <row r="36" spans="1:7" x14ac:dyDescent="0.25">
      <c r="A36" s="1"/>
      <c r="B36" s="1"/>
      <c r="C36" s="1"/>
      <c r="D36" s="1"/>
      <c r="E36" s="1"/>
      <c r="F36" s="53"/>
      <c r="G36" s="53"/>
    </row>
    <row r="37" spans="1:7" ht="15.75" thickBot="1" x14ac:dyDescent="0.3">
      <c r="A37" s="1"/>
      <c r="B37" s="1"/>
      <c r="C37" s="1"/>
      <c r="D37" s="1"/>
      <c r="E37" s="1"/>
      <c r="F37" s="53"/>
      <c r="G37" s="53"/>
    </row>
    <row r="38" spans="1:7" x14ac:dyDescent="0.25">
      <c r="A38" s="77" t="s">
        <v>11</v>
      </c>
      <c r="B38" s="5"/>
      <c r="C38" s="5"/>
      <c r="D38" s="5"/>
      <c r="E38" s="33" t="s">
        <v>68</v>
      </c>
      <c r="F38" s="78">
        <f>'Estado de Situación Financiera'!F52</f>
        <v>237621745.78400004</v>
      </c>
      <c r="G38" s="37"/>
    </row>
    <row r="39" spans="1:7" x14ac:dyDescent="0.25">
      <c r="A39" s="14" t="s">
        <v>61</v>
      </c>
      <c r="B39" s="10"/>
      <c r="C39" s="10"/>
      <c r="D39" s="10"/>
      <c r="E39" s="11"/>
      <c r="F39" s="21"/>
      <c r="G39" s="21">
        <f>'Estado de Situación Financiera'!H49</f>
        <v>23762175</v>
      </c>
    </row>
    <row r="40" spans="1:7" x14ac:dyDescent="0.25">
      <c r="A40" s="14" t="s">
        <v>62</v>
      </c>
      <c r="B40" s="10"/>
      <c r="C40" s="10"/>
      <c r="D40" s="10"/>
      <c r="E40" s="11"/>
      <c r="F40" s="21"/>
      <c r="G40" s="21">
        <f>'Estado de Situación Financiera'!H50</f>
        <v>15000000</v>
      </c>
    </row>
    <row r="41" spans="1:7" x14ac:dyDescent="0.25">
      <c r="A41" s="14" t="s">
        <v>120</v>
      </c>
      <c r="B41" s="10"/>
      <c r="C41" s="10"/>
      <c r="D41" s="10"/>
      <c r="E41" s="11"/>
      <c r="F41" s="21"/>
      <c r="G41" s="21">
        <f>'Estado de Situación Financiera'!H51</f>
        <v>7185000</v>
      </c>
    </row>
    <row r="42" spans="1:7" x14ac:dyDescent="0.25">
      <c r="A42" s="14" t="s">
        <v>65</v>
      </c>
      <c r="B42" s="10"/>
      <c r="C42" s="10"/>
      <c r="D42" s="10"/>
      <c r="E42" s="11"/>
      <c r="F42" s="21"/>
      <c r="G42" s="21">
        <f>'Estado de Situación Financiera'!G53</f>
        <v>9100000</v>
      </c>
    </row>
    <row r="43" spans="1:7" ht="15.75" thickBot="1" x14ac:dyDescent="0.3">
      <c r="A43" s="20" t="s">
        <v>119</v>
      </c>
      <c r="B43" s="10"/>
      <c r="C43" s="10"/>
      <c r="D43" s="10"/>
      <c r="E43" s="11"/>
      <c r="F43" s="15"/>
      <c r="G43" s="84">
        <v>182574571</v>
      </c>
    </row>
    <row r="44" spans="1:7" ht="15.75" thickBot="1" x14ac:dyDescent="0.3">
      <c r="A44" s="55"/>
      <c r="B44" s="23"/>
      <c r="C44" s="23"/>
      <c r="D44" s="23"/>
      <c r="E44" s="30"/>
      <c r="F44" s="24">
        <f t="shared" ref="F44:G44" si="0">SUM(F38:F43)</f>
        <v>237621745.78400004</v>
      </c>
      <c r="G44" s="24">
        <f t="shared" si="0"/>
        <v>237621746</v>
      </c>
    </row>
    <row r="45" spans="1:7" x14ac:dyDescent="0.25">
      <c r="A45" s="1"/>
      <c r="B45" s="1"/>
      <c r="C45" s="1"/>
      <c r="D45" s="1"/>
      <c r="E45" s="1"/>
      <c r="F45" s="53"/>
      <c r="G45" s="53"/>
    </row>
    <row r="46" spans="1:7" x14ac:dyDescent="0.25">
      <c r="A46" s="1"/>
      <c r="B46" s="1"/>
      <c r="C46" s="1"/>
      <c r="D46" s="1"/>
      <c r="E46" s="1"/>
      <c r="F46" s="53"/>
      <c r="G46" s="53"/>
    </row>
    <row r="47" spans="1:7" x14ac:dyDescent="0.25">
      <c r="A47" s="1"/>
      <c r="B47" s="1"/>
      <c r="C47" s="1"/>
      <c r="D47" s="1"/>
      <c r="E47" s="1"/>
      <c r="F47" s="53"/>
      <c r="G47" s="53"/>
    </row>
    <row r="48" spans="1:7" x14ac:dyDescent="0.25">
      <c r="A48" s="1"/>
      <c r="B48" s="1"/>
      <c r="C48" s="1"/>
      <c r="D48" s="1"/>
      <c r="E48" s="1"/>
      <c r="F48" s="53"/>
      <c r="G48" s="53"/>
    </row>
    <row r="49" spans="1:7" x14ac:dyDescent="0.25">
      <c r="A49" s="1"/>
      <c r="B49" s="1"/>
      <c r="C49" s="1"/>
      <c r="D49" s="1"/>
      <c r="E49" s="1"/>
      <c r="F49" s="53"/>
      <c r="G49" s="53"/>
    </row>
    <row r="50" spans="1:7" x14ac:dyDescent="0.25">
      <c r="A50" s="1"/>
      <c r="B50" s="1"/>
      <c r="C50" s="1"/>
      <c r="D50" s="1"/>
      <c r="E50" s="1"/>
      <c r="F50" s="53"/>
      <c r="G50" s="53"/>
    </row>
    <row r="51" spans="1:7" x14ac:dyDescent="0.25">
      <c r="A51" s="1"/>
      <c r="B51" s="1"/>
      <c r="C51" s="1"/>
      <c r="D51" s="1"/>
      <c r="E51" s="1"/>
      <c r="F51" s="53"/>
      <c r="G51" s="53"/>
    </row>
    <row r="52" spans="1:7" x14ac:dyDescent="0.25">
      <c r="A52" s="1"/>
      <c r="B52" s="1"/>
      <c r="C52" s="1"/>
      <c r="D52" s="1"/>
      <c r="E52" s="1"/>
      <c r="F52" s="53"/>
      <c r="G52" s="53"/>
    </row>
    <row r="53" spans="1:7" x14ac:dyDescent="0.25">
      <c r="A53" s="1"/>
      <c r="B53" s="1"/>
      <c r="C53" s="1"/>
      <c r="D53" s="1"/>
      <c r="E53" s="1"/>
      <c r="F53" s="53"/>
      <c r="G53" s="53"/>
    </row>
    <row r="54" spans="1:7" x14ac:dyDescent="0.25">
      <c r="A54" s="1"/>
      <c r="B54" s="1"/>
      <c r="C54" s="1"/>
      <c r="D54" s="1"/>
      <c r="E54" s="1"/>
      <c r="F54" s="53"/>
      <c r="G54" s="53"/>
    </row>
    <row r="55" spans="1:7" x14ac:dyDescent="0.25">
      <c r="A55" s="1"/>
      <c r="B55" s="1"/>
      <c r="C55" s="1"/>
      <c r="D55" s="1"/>
      <c r="E55" s="1"/>
      <c r="F55" s="53"/>
      <c r="G55" s="53"/>
    </row>
    <row r="56" spans="1:7" x14ac:dyDescent="0.25">
      <c r="A56" s="1"/>
      <c r="B56" s="1"/>
      <c r="C56" s="1"/>
      <c r="D56" s="1"/>
      <c r="E56" s="1"/>
      <c r="F56" s="53"/>
      <c r="G56" s="53"/>
    </row>
    <row r="57" spans="1:7" x14ac:dyDescent="0.25">
      <c r="A57" s="1"/>
      <c r="B57" s="1"/>
      <c r="C57" s="1"/>
      <c r="D57" s="1"/>
      <c r="E57" s="1"/>
      <c r="F57" s="53"/>
      <c r="G57" s="53"/>
    </row>
    <row r="58" spans="1:7" x14ac:dyDescent="0.25">
      <c r="A58" s="1"/>
      <c r="B58" s="1"/>
      <c r="C58" s="1"/>
      <c r="D58" s="1"/>
      <c r="E58" s="1"/>
      <c r="F58" s="53"/>
      <c r="G58" s="53"/>
    </row>
    <row r="59" spans="1:7" x14ac:dyDescent="0.25">
      <c r="A59" s="1"/>
      <c r="B59" s="1"/>
      <c r="C59" s="1"/>
      <c r="D59" s="1"/>
      <c r="E59" s="1"/>
      <c r="F59" s="53"/>
      <c r="G59" s="53"/>
    </row>
    <row r="60" spans="1:7" x14ac:dyDescent="0.25">
      <c r="A60" s="1"/>
      <c r="B60" s="1"/>
      <c r="C60" s="1"/>
      <c r="D60" s="1"/>
      <c r="E60" s="1"/>
      <c r="F60" s="53"/>
      <c r="G60" s="53"/>
    </row>
    <row r="61" spans="1:7" x14ac:dyDescent="0.25">
      <c r="A61" s="1"/>
      <c r="B61" s="1"/>
      <c r="C61" s="1"/>
      <c r="D61" s="1"/>
      <c r="E61" s="1"/>
      <c r="F61" s="53"/>
      <c r="G61" s="53"/>
    </row>
    <row r="62" spans="1:7" x14ac:dyDescent="0.25">
      <c r="A62" s="1"/>
      <c r="B62" s="1"/>
      <c r="C62" s="1"/>
      <c r="D62" s="1"/>
      <c r="E62" s="1"/>
      <c r="F62" s="53"/>
      <c r="G62" s="53"/>
    </row>
    <row r="63" spans="1:7" x14ac:dyDescent="0.25">
      <c r="A63" s="1"/>
      <c r="B63" s="1"/>
      <c r="C63" s="1"/>
      <c r="D63" s="1"/>
      <c r="E63" s="1"/>
      <c r="F63" s="53"/>
      <c r="G63" s="53"/>
    </row>
    <row r="64" spans="1:7" x14ac:dyDescent="0.25">
      <c r="A64" s="1"/>
      <c r="B64" s="1"/>
      <c r="C64" s="1"/>
      <c r="D64" s="1"/>
      <c r="E64" s="1"/>
      <c r="F64" s="53"/>
      <c r="G64" s="53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</sheetData>
  <mergeCells count="1">
    <mergeCell ref="B2:F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9505-61BF-40F7-90B9-0F30C741A2F5}">
  <dimension ref="A1:M61"/>
  <sheetViews>
    <sheetView tabSelected="1" workbookViewId="0">
      <selection activeCell="F38" sqref="F38"/>
    </sheetView>
  </sheetViews>
  <sheetFormatPr baseColWidth="10" defaultRowHeight="15" x14ac:dyDescent="0.25"/>
  <cols>
    <col min="6" max="6" width="12.85546875" bestFit="1" customWidth="1"/>
  </cols>
  <sheetData>
    <row r="1" spans="1:1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 x14ac:dyDescent="0.3">
      <c r="A2" s="1"/>
      <c r="B2" s="85" t="s">
        <v>123</v>
      </c>
      <c r="C2" s="86"/>
      <c r="D2" s="86"/>
      <c r="E2" s="86"/>
      <c r="F2" s="86"/>
      <c r="G2" s="86"/>
      <c r="H2" s="86"/>
      <c r="I2" s="86"/>
      <c r="J2" s="87"/>
      <c r="K2" s="1"/>
      <c r="L2" s="1"/>
      <c r="M2" s="1"/>
    </row>
    <row r="3" spans="1:13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1"/>
      <c r="B4" s="85"/>
      <c r="C4" s="86"/>
      <c r="D4" s="87"/>
      <c r="E4" s="2">
        <v>2021</v>
      </c>
      <c r="F4" s="2">
        <v>2020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28" t="s">
        <v>76</v>
      </c>
      <c r="C5" s="40"/>
      <c r="D5" s="41"/>
      <c r="E5" s="46">
        <v>0.13</v>
      </c>
      <c r="F5" s="46">
        <v>0.15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20" t="s">
        <v>77</v>
      </c>
      <c r="C6" s="42"/>
      <c r="D6" s="43"/>
      <c r="E6" s="47">
        <v>0.06</v>
      </c>
      <c r="F6" s="47">
        <v>0.08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20" t="s">
        <v>78</v>
      </c>
      <c r="C7" s="42"/>
      <c r="D7" s="43"/>
      <c r="E7" s="48" t="s">
        <v>79</v>
      </c>
      <c r="F7" s="48" t="s">
        <v>80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20" t="s">
        <v>81</v>
      </c>
      <c r="C8" s="42"/>
      <c r="D8" s="43"/>
      <c r="E8" s="47">
        <v>0.31</v>
      </c>
      <c r="F8" s="47">
        <v>0.32</v>
      </c>
      <c r="G8" s="1"/>
      <c r="H8" s="1"/>
      <c r="I8" s="1"/>
      <c r="J8" s="1"/>
      <c r="K8" s="1"/>
      <c r="L8" s="1"/>
      <c r="M8" s="1"/>
    </row>
    <row r="9" spans="1:13" x14ac:dyDescent="0.25">
      <c r="A9" s="1"/>
      <c r="B9" s="20" t="s">
        <v>52</v>
      </c>
      <c r="C9" s="42"/>
      <c r="D9" s="43"/>
      <c r="E9" s="47">
        <v>0.28999999999999998</v>
      </c>
      <c r="F9" s="47">
        <v>0.32</v>
      </c>
      <c r="G9" s="1"/>
      <c r="H9" s="1"/>
      <c r="I9" s="1"/>
      <c r="J9" s="1"/>
      <c r="K9" s="1"/>
      <c r="L9" s="1"/>
      <c r="M9" s="1"/>
    </row>
    <row r="10" spans="1:13" x14ac:dyDescent="0.25">
      <c r="A10" s="1"/>
      <c r="B10" s="20" t="s">
        <v>53</v>
      </c>
      <c r="C10" s="42"/>
      <c r="D10" s="43"/>
      <c r="E10" s="47">
        <v>0.08</v>
      </c>
      <c r="F10" s="47">
        <v>0.09</v>
      </c>
      <c r="G10" s="1"/>
      <c r="H10" s="1"/>
      <c r="I10" s="1"/>
      <c r="J10" s="1"/>
      <c r="K10" s="1"/>
      <c r="L10" s="1"/>
      <c r="M10" s="1"/>
    </row>
    <row r="11" spans="1:13" ht="15.75" thickBot="1" x14ac:dyDescent="0.3">
      <c r="A11" s="1"/>
      <c r="B11" s="29" t="s">
        <v>54</v>
      </c>
      <c r="C11" s="44"/>
      <c r="D11" s="45"/>
      <c r="E11" s="49">
        <v>0.18</v>
      </c>
      <c r="F11" s="49">
        <v>0.21</v>
      </c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 x14ac:dyDescent="0.3">
      <c r="A14" s="1"/>
      <c r="B14" s="1"/>
      <c r="C14" s="1"/>
      <c r="D14" s="1"/>
      <c r="E14" s="91" t="s">
        <v>124</v>
      </c>
      <c r="F14" s="92"/>
      <c r="G14" s="93"/>
      <c r="H14" s="1"/>
      <c r="I14" s="1"/>
      <c r="J14" s="1"/>
      <c r="K14" s="1"/>
      <c r="L14" s="1"/>
      <c r="M14" s="1"/>
    </row>
    <row r="15" spans="1:13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26" t="s">
        <v>11</v>
      </c>
      <c r="D16" s="1"/>
      <c r="E16" s="1"/>
      <c r="F16" s="78">
        <f>'Estado de Resultados'!F18</f>
        <v>370122229.08539987</v>
      </c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 t="s">
        <v>7</v>
      </c>
      <c r="D17" s="1"/>
      <c r="E17" s="1"/>
      <c r="F17" s="21">
        <f>-'Estado de Resultados'!E14</f>
        <v>-27966540</v>
      </c>
      <c r="G17" s="1"/>
      <c r="H17" s="1"/>
      <c r="I17" s="1"/>
      <c r="J17" s="1"/>
      <c r="K17" s="1"/>
      <c r="L17" s="1"/>
      <c r="M17" s="1"/>
    </row>
    <row r="18" spans="1:13" ht="15.75" thickBot="1" x14ac:dyDescent="0.3">
      <c r="A18" s="1"/>
      <c r="B18" s="1"/>
      <c r="C18" s="1" t="s">
        <v>8</v>
      </c>
      <c r="D18" s="1"/>
      <c r="E18" s="1"/>
      <c r="F18" s="15">
        <f>-'Estado de Resultados'!E15</f>
        <v>97975443</v>
      </c>
      <c r="G18" s="1"/>
      <c r="H18" s="1"/>
      <c r="I18" s="1"/>
      <c r="J18" s="1"/>
      <c r="K18" s="1"/>
      <c r="L18" s="1"/>
      <c r="M18" s="1"/>
    </row>
    <row r="19" spans="1:13" ht="15.75" thickBot="1" x14ac:dyDescent="0.3">
      <c r="A19" s="1"/>
      <c r="B19" s="1"/>
      <c r="C19" s="26" t="s">
        <v>109</v>
      </c>
      <c r="D19" s="1"/>
      <c r="E19" s="1"/>
      <c r="F19" s="24">
        <f>SUM(F16:F18)</f>
        <v>440131132.08539987</v>
      </c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 t="s">
        <v>52</v>
      </c>
      <c r="D22" s="1"/>
      <c r="E22" s="1"/>
      <c r="F22" s="53">
        <f>'Estado de Situación Financiera'!E40</f>
        <v>245600000</v>
      </c>
      <c r="G22" s="59">
        <f t="shared" ref="G22:G25" si="0">F22/F$26</f>
        <v>0.17231284090661472</v>
      </c>
      <c r="H22" s="64">
        <f>E9</f>
        <v>0.28999999999999998</v>
      </c>
      <c r="I22" s="56">
        <v>0.69</v>
      </c>
      <c r="J22" s="59">
        <f>H22*I22</f>
        <v>0.20009999999999997</v>
      </c>
      <c r="K22" s="59">
        <f>G22*J22</f>
        <v>3.4479799465413602E-2</v>
      </c>
      <c r="L22" s="1"/>
      <c r="M22" s="1"/>
    </row>
    <row r="23" spans="1:13" x14ac:dyDescent="0.25">
      <c r="A23" s="1"/>
      <c r="B23" s="1"/>
      <c r="C23" s="1" t="s">
        <v>53</v>
      </c>
      <c r="D23" s="1"/>
      <c r="E23" s="1"/>
      <c r="F23" s="53">
        <f>'Estado de Situación Financiera'!E41</f>
        <v>112640000</v>
      </c>
      <c r="G23" s="59">
        <f t="shared" si="0"/>
        <v>7.9028169379971827E-2</v>
      </c>
      <c r="H23" s="64">
        <f>E10</f>
        <v>0.08</v>
      </c>
      <c r="I23" s="56">
        <v>0.69</v>
      </c>
      <c r="J23" s="59">
        <f t="shared" ref="J23:J24" si="1">H23*I23</f>
        <v>5.5199999999999999E-2</v>
      </c>
      <c r="K23" s="59">
        <f t="shared" ref="K23:K24" si="2">G23*J23</f>
        <v>4.3623549497744446E-3</v>
      </c>
      <c r="L23" s="1"/>
      <c r="M23" s="1"/>
    </row>
    <row r="24" spans="1:13" x14ac:dyDescent="0.25">
      <c r="A24" s="1"/>
      <c r="B24" s="1"/>
      <c r="C24" s="1" t="s">
        <v>54</v>
      </c>
      <c r="D24" s="1"/>
      <c r="E24" s="1"/>
      <c r="F24" s="53">
        <f>'Estado de Situación Financiera'!E42</f>
        <v>168900000</v>
      </c>
      <c r="G24" s="59">
        <f t="shared" si="0"/>
        <v>0.11850015809905222</v>
      </c>
      <c r="H24" s="64">
        <f>E11</f>
        <v>0.18</v>
      </c>
      <c r="I24" s="56">
        <v>0.69</v>
      </c>
      <c r="J24" s="59">
        <f t="shared" si="1"/>
        <v>0.12419999999999999</v>
      </c>
      <c r="K24" s="59">
        <f t="shared" si="2"/>
        <v>1.4717719635902285E-2</v>
      </c>
      <c r="L24" s="1"/>
      <c r="M24" s="1"/>
    </row>
    <row r="25" spans="1:13" ht="15.75" thickBot="1" x14ac:dyDescent="0.3">
      <c r="A25" s="1"/>
      <c r="B25" s="1"/>
      <c r="C25" s="1" t="s">
        <v>125</v>
      </c>
      <c r="D25" s="1"/>
      <c r="E25" s="1"/>
      <c r="F25" s="22">
        <f>'Estado de Situación Financiera'!E54</f>
        <v>898174554.08539987</v>
      </c>
      <c r="G25" s="80">
        <f t="shared" si="0"/>
        <v>0.63015883161436126</v>
      </c>
      <c r="H25" s="64">
        <f>F30</f>
        <v>0.15029999999999999</v>
      </c>
      <c r="I25" s="1"/>
      <c r="J25" s="1"/>
      <c r="K25" s="80">
        <f>G25*H25</f>
        <v>9.4712872391638489E-2</v>
      </c>
      <c r="L25" s="1"/>
      <c r="M25" s="1"/>
    </row>
    <row r="26" spans="1:13" ht="15.75" thickBot="1" x14ac:dyDescent="0.3">
      <c r="A26" s="1"/>
      <c r="B26" s="1"/>
      <c r="C26" s="26" t="s">
        <v>126</v>
      </c>
      <c r="D26" s="1"/>
      <c r="E26" s="1"/>
      <c r="F26" s="24">
        <f>SUM(F22:F25)</f>
        <v>1425314554.0853999</v>
      </c>
      <c r="G26" s="60">
        <f>F26/F$26</f>
        <v>1</v>
      </c>
      <c r="H26" s="1"/>
      <c r="I26" s="1"/>
      <c r="J26" s="1"/>
      <c r="K26" s="61">
        <f>SUM(K22:K25)</f>
        <v>0.14827274644272881</v>
      </c>
      <c r="L26" s="1"/>
      <c r="M26" s="1"/>
    </row>
    <row r="27" spans="1:13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2" t="s">
        <v>130</v>
      </c>
      <c r="L27" s="1"/>
      <c r="M27" s="1"/>
    </row>
    <row r="28" spans="1:13" ht="15.75" thickBot="1" x14ac:dyDescent="0.3">
      <c r="A28" s="1"/>
      <c r="B28" s="16" t="s">
        <v>127</v>
      </c>
      <c r="C28" s="75"/>
      <c r="D28" s="75"/>
      <c r="E28" s="76"/>
      <c r="F28" s="2" t="s">
        <v>128</v>
      </c>
      <c r="G28" s="1"/>
      <c r="H28" s="1"/>
      <c r="I28" s="1"/>
      <c r="J28" s="1"/>
      <c r="K28" s="1"/>
      <c r="L28" s="1"/>
      <c r="M28" s="1"/>
    </row>
    <row r="29" spans="1:13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 x14ac:dyDescent="0.3">
      <c r="A30" s="1"/>
      <c r="B30" s="16" t="s">
        <v>129</v>
      </c>
      <c r="C30" s="75"/>
      <c r="D30" s="75"/>
      <c r="E30" s="76"/>
      <c r="F30" s="81">
        <v>0.15029999999999999</v>
      </c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thickBot="1" x14ac:dyDescent="0.3">
      <c r="A33" s="1"/>
      <c r="B33" s="16" t="s">
        <v>131</v>
      </c>
      <c r="C33" s="75"/>
      <c r="D33" s="75"/>
      <c r="E33" s="75"/>
      <c r="F33" s="76"/>
      <c r="G33" s="81">
        <v>1.0822000000000001</v>
      </c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Bot="1" x14ac:dyDescent="0.3">
      <c r="A36" s="1"/>
      <c r="B36" s="1"/>
      <c r="C36" s="1"/>
      <c r="D36" s="1"/>
      <c r="E36" s="1"/>
      <c r="F36" s="91" t="s">
        <v>132</v>
      </c>
      <c r="G36" s="92"/>
      <c r="H36" s="93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26" t="s">
        <v>11</v>
      </c>
      <c r="D38" s="1"/>
      <c r="E38" s="1"/>
      <c r="F38" s="68">
        <f>'Estado de Resultados'!H18</f>
        <v>237621745.78400004</v>
      </c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 t="s">
        <v>7</v>
      </c>
      <c r="D39" s="1"/>
      <c r="E39" s="1"/>
      <c r="F39" s="53">
        <f>-'Estado de Resultados'!G14</f>
        <v>-22765430</v>
      </c>
      <c r="G39" s="1"/>
      <c r="H39" s="1"/>
      <c r="I39" s="1"/>
      <c r="J39" s="1"/>
      <c r="K39" s="1"/>
      <c r="L39" s="1"/>
      <c r="M39" s="1"/>
    </row>
    <row r="40" spans="1:13" ht="15.75" thickBot="1" x14ac:dyDescent="0.3">
      <c r="A40" s="1"/>
      <c r="B40" s="1"/>
      <c r="C40" s="1" t="s">
        <v>8</v>
      </c>
      <c r="D40" s="1"/>
      <c r="E40" s="1"/>
      <c r="F40" s="22">
        <f>-'Estado de Resultados'!G15</f>
        <v>74566876</v>
      </c>
      <c r="G40" s="1"/>
      <c r="H40" s="1"/>
      <c r="I40" s="1"/>
      <c r="J40" s="1"/>
      <c r="K40" s="1"/>
      <c r="L40" s="1"/>
      <c r="M40" s="1"/>
    </row>
    <row r="41" spans="1:13" ht="15.75" thickBot="1" x14ac:dyDescent="0.3">
      <c r="A41" s="1"/>
      <c r="B41" s="1"/>
      <c r="C41" s="26" t="s">
        <v>109</v>
      </c>
      <c r="D41" s="1"/>
      <c r="E41" s="1"/>
      <c r="F41" s="62">
        <f>SUM(F38:F40)</f>
        <v>289423191.78400004</v>
      </c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 t="s">
        <v>52</v>
      </c>
      <c r="D44" s="1"/>
      <c r="E44" s="1"/>
      <c r="F44" s="53">
        <f>'Estado de Situación Financiera'!F40</f>
        <v>190000000</v>
      </c>
      <c r="G44" s="59">
        <f t="shared" ref="G44:G47" si="3">F44/F$48</f>
        <v>0.15158344919287864</v>
      </c>
      <c r="H44" s="59">
        <f>F9</f>
        <v>0.32</v>
      </c>
      <c r="I44" s="56">
        <v>0.68</v>
      </c>
      <c r="J44" s="59">
        <f>H44*I44</f>
        <v>0.21760000000000002</v>
      </c>
      <c r="K44" s="59">
        <f>G44*J44</f>
        <v>3.2984558544370393E-2</v>
      </c>
      <c r="L44" s="1"/>
      <c r="M44" s="1"/>
    </row>
    <row r="45" spans="1:13" x14ac:dyDescent="0.25">
      <c r="A45" s="1"/>
      <c r="B45" s="1"/>
      <c r="C45" s="1" t="s">
        <v>53</v>
      </c>
      <c r="D45" s="1"/>
      <c r="E45" s="1"/>
      <c r="F45" s="53">
        <f>'Estado de Situación Financiera'!F41</f>
        <v>165700000</v>
      </c>
      <c r="G45" s="59">
        <f t="shared" si="3"/>
        <v>0.13219672384873679</v>
      </c>
      <c r="H45" s="59">
        <f t="shared" ref="H45:H46" si="4">F10</f>
        <v>0.09</v>
      </c>
      <c r="I45" s="56">
        <v>0.68</v>
      </c>
      <c r="J45" s="59">
        <f t="shared" ref="J45:J46" si="5">H45*I45</f>
        <v>6.1200000000000004E-2</v>
      </c>
      <c r="K45" s="59">
        <f t="shared" ref="K45:K46" si="6">G45*J45</f>
        <v>8.0904394995426916E-3</v>
      </c>
      <c r="L45" s="1"/>
      <c r="M45" s="1"/>
    </row>
    <row r="46" spans="1:13" x14ac:dyDescent="0.25">
      <c r="A46" s="1"/>
      <c r="B46" s="1"/>
      <c r="C46" s="1" t="s">
        <v>54</v>
      </c>
      <c r="D46" s="1"/>
      <c r="E46" s="1"/>
      <c r="F46" s="53">
        <f>'Estado de Situación Financiera'!F42</f>
        <v>245897000</v>
      </c>
      <c r="G46" s="59">
        <f t="shared" si="3"/>
        <v>0.1961785021377962</v>
      </c>
      <c r="H46" s="59">
        <f t="shared" si="4"/>
        <v>0.21</v>
      </c>
      <c r="I46" s="56">
        <v>0.68</v>
      </c>
      <c r="J46" s="59">
        <f t="shared" si="5"/>
        <v>0.14280000000000001</v>
      </c>
      <c r="K46" s="59">
        <f t="shared" si="6"/>
        <v>2.8014290105277298E-2</v>
      </c>
      <c r="L46" s="1"/>
      <c r="M46" s="1"/>
    </row>
    <row r="47" spans="1:13" ht="15.75" thickBot="1" x14ac:dyDescent="0.3">
      <c r="A47" s="1"/>
      <c r="B47" s="1"/>
      <c r="C47" s="1" t="s">
        <v>125</v>
      </c>
      <c r="D47" s="1"/>
      <c r="E47" s="1"/>
      <c r="F47" s="22">
        <f>'Estado de Situación Financiera'!F54</f>
        <v>651837995.78400004</v>
      </c>
      <c r="G47" s="59">
        <f t="shared" si="3"/>
        <v>0.52004132482058851</v>
      </c>
      <c r="H47" s="59">
        <f>F54</f>
        <v>0.18709999999999999</v>
      </c>
      <c r="I47" s="1"/>
      <c r="J47" s="1"/>
      <c r="K47" s="80">
        <f>G47*H47</f>
        <v>9.7299731873932108E-2</v>
      </c>
      <c r="L47" s="1"/>
      <c r="M47" s="1"/>
    </row>
    <row r="48" spans="1:13" ht="15.75" thickBot="1" x14ac:dyDescent="0.3">
      <c r="A48" s="1"/>
      <c r="B48" s="1"/>
      <c r="C48" s="26" t="s">
        <v>126</v>
      </c>
      <c r="D48" s="1"/>
      <c r="E48" s="1"/>
      <c r="F48" s="24">
        <f>SUM(F44:F47)</f>
        <v>1253434995.7839999</v>
      </c>
      <c r="G48" s="60">
        <f>F48/F$48</f>
        <v>1</v>
      </c>
      <c r="H48" s="1"/>
      <c r="I48" s="1"/>
      <c r="J48" s="1"/>
      <c r="K48" s="61">
        <f>SUM(K44:K47)</f>
        <v>0.1663890200231225</v>
      </c>
      <c r="L48" s="1"/>
      <c r="M48" s="1"/>
    </row>
    <row r="49" spans="1:13" ht="15.75" thickBot="1" x14ac:dyDescent="0.3">
      <c r="A49" s="1"/>
      <c r="B49" s="1"/>
      <c r="C49" s="26"/>
      <c r="D49" s="1"/>
      <c r="E49" s="1"/>
      <c r="F49" s="19"/>
      <c r="G49" s="82"/>
      <c r="H49" s="1"/>
      <c r="I49" s="1"/>
      <c r="J49" s="1"/>
      <c r="K49" s="61" t="s">
        <v>130</v>
      </c>
      <c r="L49" s="1"/>
      <c r="M49" s="1"/>
    </row>
    <row r="50" spans="1:13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thickBot="1" x14ac:dyDescent="0.3">
      <c r="A51" s="1"/>
      <c r="B51" s="16" t="s">
        <v>133</v>
      </c>
      <c r="C51" s="75"/>
      <c r="D51" s="75"/>
      <c r="E51" s="76"/>
      <c r="F51" s="2" t="s">
        <v>134</v>
      </c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 x14ac:dyDescent="0.3">
      <c r="A54" s="1"/>
      <c r="B54" s="16" t="s">
        <v>135</v>
      </c>
      <c r="C54" s="75"/>
      <c r="D54" s="75"/>
      <c r="E54" s="76"/>
      <c r="F54" s="81">
        <v>0.18709999999999999</v>
      </c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thickBot="1" x14ac:dyDescent="0.3">
      <c r="A57" s="1"/>
      <c r="B57" s="16" t="s">
        <v>136</v>
      </c>
      <c r="C57" s="75"/>
      <c r="D57" s="75"/>
      <c r="E57" s="75"/>
      <c r="F57" s="76"/>
      <c r="G57" s="81">
        <v>0.3876</v>
      </c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thickBot="1" x14ac:dyDescent="0.3">
      <c r="A60" s="1"/>
      <c r="B60" s="1"/>
      <c r="C60" s="1"/>
      <c r="D60" s="1"/>
      <c r="E60" s="1"/>
      <c r="F60" s="1"/>
      <c r="G60" s="2">
        <v>2021</v>
      </c>
      <c r="H60" s="2">
        <v>2020</v>
      </c>
      <c r="I60" s="85" t="s">
        <v>15</v>
      </c>
      <c r="J60" s="87"/>
      <c r="K60" s="1"/>
      <c r="L60" s="1"/>
      <c r="M60" s="1"/>
    </row>
    <row r="61" spans="1:13" x14ac:dyDescent="0.25">
      <c r="G61" s="74">
        <f>G33</f>
        <v>1.0822000000000001</v>
      </c>
      <c r="H61" s="74">
        <f>G57</f>
        <v>0.3876</v>
      </c>
      <c r="I61" s="74">
        <f>G61-H61</f>
        <v>0.69460000000000011</v>
      </c>
      <c r="J61" s="74">
        <f>I61/H61</f>
        <v>1.7920536635706916</v>
      </c>
    </row>
  </sheetData>
  <mergeCells count="5">
    <mergeCell ref="B2:J2"/>
    <mergeCell ref="B4:D4"/>
    <mergeCell ref="E14:G14"/>
    <mergeCell ref="F36:H36"/>
    <mergeCell ref="I60:J60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B1F34074740D4DBED2B55B390CA01D" ma:contentTypeVersion="3" ma:contentTypeDescription="Crear nuevo documento." ma:contentTypeScope="" ma:versionID="13d1d5a36df78ca4e6cbedd393405c00">
  <xsd:schema xmlns:xsd="http://www.w3.org/2001/XMLSchema" xmlns:xs="http://www.w3.org/2001/XMLSchema" xmlns:p="http://schemas.microsoft.com/office/2006/metadata/properties" xmlns:ns2="37072cd7-624f-4990-9d73-51f390d8b0e8" targetNamespace="http://schemas.microsoft.com/office/2006/metadata/properties" ma:root="true" ma:fieldsID="f3137fda00be84b04823d9b122f72eeb" ns2:_="">
    <xsd:import namespace="37072cd7-624f-4990-9d73-51f390d8b0e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72cd7-624f-4990-9d73-51f390d8b0e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7072cd7-624f-4990-9d73-51f390d8b0e8" xsi:nil="true"/>
  </documentManagement>
</p:properties>
</file>

<file path=customXml/itemProps1.xml><?xml version="1.0" encoding="utf-8"?>
<ds:datastoreItem xmlns:ds="http://schemas.openxmlformats.org/officeDocument/2006/customXml" ds:itemID="{F441725E-DAFD-4540-920F-E4D3DC0291FC}"/>
</file>

<file path=customXml/itemProps2.xml><?xml version="1.0" encoding="utf-8"?>
<ds:datastoreItem xmlns:ds="http://schemas.openxmlformats.org/officeDocument/2006/customXml" ds:itemID="{7054717D-1B53-4C82-83BD-CBD6555639FD}"/>
</file>

<file path=customXml/itemProps3.xml><?xml version="1.0" encoding="utf-8"?>
<ds:datastoreItem xmlns:ds="http://schemas.openxmlformats.org/officeDocument/2006/customXml" ds:itemID="{77A8B78C-F2A2-425B-B6E8-E16BB271E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Estado de Situación Financiera</vt:lpstr>
      <vt:lpstr>Estado de Resultados</vt:lpstr>
      <vt:lpstr>Palanca de Crecimiento</vt:lpstr>
      <vt:lpstr>Rentabilidad Accionaria</vt:lpstr>
      <vt:lpstr>Flujo de Caja del Accionista</vt:lpstr>
      <vt:lpstr>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2021-03-06T11:46:14Z</dcterms:created>
  <dcterms:modified xsi:type="dcterms:W3CDTF">2021-03-09T10:56:42Z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0x0101009AB1F34074740D4DBED2B55B390CA01D</vt:lpwstr>
  </property>
</Properties>
</file>