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regensburg-my.sharepoint.com/personal/erh64320_ads_uni-regensburg_de/Documents/"/>
    </mc:Choice>
  </mc:AlternateContent>
  <xr:revisionPtr revIDLastSave="0" documentId="8_{C5027729-DDB9-4F80-92D8-5320C344DCFE}" xr6:coauthVersionLast="47" xr6:coauthVersionMax="47" xr10:uidLastSave="{00000000-0000-0000-0000-000000000000}"/>
  <bookViews>
    <workbookView xWindow="11424" yWindow="0" windowWidth="11712" windowHeight="12336" firstSheet="4" activeTab="4" xr2:uid="{04E21D67-0A7E-492C-A71D-EA5BBD1018BD}"/>
  </bookViews>
  <sheets>
    <sheet name="PV-Anlage" sheetId="1" r:id="rId1"/>
    <sheet name="Energetische Gebäudesarnierung" sheetId="2" r:id="rId2"/>
    <sheet name="Recht und Wirtschaft" sheetId="5" r:id="rId3"/>
    <sheet name="LED" sheetId="4" r:id="rId4"/>
    <sheet name="Verschiedenes" sheetId="3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3" l="1"/>
  <c r="J17" i="3"/>
  <c r="M17" i="3"/>
  <c r="G17" i="3"/>
  <c r="K24" i="2"/>
  <c r="I24" i="1"/>
  <c r="M24" i="2"/>
  <c r="G24" i="4"/>
  <c r="E24" i="4"/>
  <c r="P22" i="2"/>
  <c r="P23" i="2"/>
  <c r="P24" i="2"/>
  <c r="P25" i="2"/>
  <c r="P26" i="2"/>
  <c r="P27" i="2"/>
  <c r="O22" i="2"/>
  <c r="O23" i="2"/>
  <c r="O24" i="2"/>
  <c r="O25" i="2"/>
  <c r="O26" i="2"/>
  <c r="O27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" i="2"/>
  <c r="F7" i="5"/>
  <c r="F5" i="5"/>
  <c r="F6" i="5"/>
  <c r="F8" i="5"/>
  <c r="F9" i="5"/>
  <c r="F10" i="5"/>
  <c r="F11" i="5"/>
  <c r="F12" i="5"/>
  <c r="F13" i="5"/>
  <c r="F14" i="5"/>
  <c r="F15" i="5"/>
  <c r="F4" i="5"/>
  <c r="F3" i="5"/>
  <c r="D4" i="5"/>
  <c r="D5" i="5"/>
  <c r="D6" i="5"/>
  <c r="D7" i="5"/>
  <c r="D8" i="5"/>
  <c r="D9" i="5"/>
  <c r="D10" i="5"/>
  <c r="D11" i="5"/>
  <c r="D12" i="5"/>
  <c r="D13" i="5"/>
  <c r="D14" i="5"/>
  <c r="D15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" i="5"/>
  <c r="D40" i="5"/>
  <c r="D41" i="5"/>
  <c r="D42" i="5"/>
  <c r="D43" i="5"/>
  <c r="D44" i="5"/>
  <c r="D45" i="5"/>
  <c r="D46" i="5"/>
  <c r="D47" i="5"/>
  <c r="D48" i="5"/>
  <c r="D49" i="5"/>
  <c r="D50" i="5"/>
  <c r="D51" i="5"/>
  <c r="D39" i="5"/>
  <c r="A15" i="5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" i="4"/>
  <c r="L22" i="4"/>
  <c r="L23" i="4"/>
  <c r="L24" i="4"/>
  <c r="L25" i="4"/>
  <c r="L26" i="4"/>
  <c r="H27" i="2"/>
  <c r="H20" i="2"/>
  <c r="G20" i="2"/>
  <c r="G27" i="2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" i="4"/>
  <c r="G2" i="4"/>
  <c r="F8" i="4"/>
  <c r="G8" i="4" s="1"/>
  <c r="F9" i="4"/>
  <c r="G9" i="4" s="1"/>
  <c r="F10" i="4"/>
  <c r="G10" i="4" s="1"/>
  <c r="F11" i="4"/>
  <c r="G11" i="4" s="1"/>
  <c r="F12" i="4"/>
  <c r="G12" i="4" s="1"/>
  <c r="F13" i="4"/>
  <c r="G13" i="4" s="1"/>
  <c r="F14" i="4"/>
  <c r="G14" i="4" s="1"/>
  <c r="F15" i="4"/>
  <c r="G15" i="4" s="1"/>
  <c r="F16" i="4"/>
  <c r="G16" i="4" s="1"/>
  <c r="F17" i="4"/>
  <c r="G17" i="4" s="1"/>
  <c r="F18" i="4"/>
  <c r="G18" i="4" s="1"/>
  <c r="F19" i="4"/>
  <c r="G19" i="4" s="1"/>
  <c r="F20" i="4"/>
  <c r="G20" i="4" s="1"/>
  <c r="F21" i="4"/>
  <c r="G21" i="4" s="1"/>
  <c r="F22" i="4"/>
  <c r="G22" i="4" s="1"/>
  <c r="F26" i="4"/>
  <c r="G26" i="4" s="1"/>
  <c r="F7" i="4"/>
  <c r="G7" i="4" s="1"/>
  <c r="F3" i="4"/>
  <c r="G3" i="4" s="1"/>
  <c r="C3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1" i="4"/>
  <c r="C22" i="4"/>
  <c r="C24" i="4"/>
  <c r="C26" i="4"/>
  <c r="C2" i="4"/>
  <c r="B20" i="4"/>
  <c r="C20" i="4" s="1"/>
  <c r="O8" i="1"/>
  <c r="K12" i="3"/>
  <c r="L12" i="3"/>
  <c r="I12" i="3"/>
  <c r="H12" i="3"/>
  <c r="J12" i="3" s="1"/>
  <c r="M12" i="3" s="1"/>
  <c r="E12" i="3"/>
  <c r="O7" i="3"/>
  <c r="N7" i="3"/>
  <c r="P2" i="3"/>
  <c r="O2" i="3"/>
  <c r="J2" i="3"/>
  <c r="F2" i="3"/>
  <c r="G2" i="3" s="1"/>
  <c r="U3" i="2"/>
  <c r="U4" i="2"/>
  <c r="U5" i="2"/>
  <c r="U6" i="2"/>
  <c r="U8" i="2"/>
  <c r="U9" i="2"/>
  <c r="U10" i="2"/>
  <c r="U11" i="2"/>
  <c r="U12" i="2"/>
  <c r="U13" i="2"/>
  <c r="U14" i="2"/>
  <c r="U15" i="2"/>
  <c r="U16" i="2"/>
  <c r="U17" i="2"/>
  <c r="U18" i="2"/>
  <c r="U19" i="2"/>
  <c r="U21" i="2"/>
  <c r="U22" i="2"/>
  <c r="U23" i="2"/>
  <c r="U24" i="2"/>
  <c r="U25" i="2"/>
  <c r="U26" i="2"/>
  <c r="U27" i="2"/>
  <c r="U2" i="2"/>
  <c r="C27" i="2"/>
  <c r="T22" i="2"/>
  <c r="T23" i="2"/>
  <c r="T24" i="2"/>
  <c r="T25" i="2"/>
  <c r="T26" i="2"/>
  <c r="T27" i="2"/>
  <c r="M27" i="2"/>
  <c r="I27" i="2"/>
  <c r="S22" i="2"/>
  <c r="S23" i="2"/>
  <c r="S24" i="2"/>
  <c r="S25" i="2"/>
  <c r="S26" i="2"/>
  <c r="S27" i="2"/>
  <c r="R22" i="2"/>
  <c r="R23" i="2"/>
  <c r="R26" i="2"/>
  <c r="R27" i="2"/>
  <c r="Q22" i="2"/>
  <c r="Q23" i="2"/>
  <c r="Q24" i="2"/>
  <c r="Q25" i="2"/>
  <c r="Q26" i="2"/>
  <c r="F27" i="2"/>
  <c r="T16" i="2"/>
  <c r="T6" i="2"/>
  <c r="T4" i="2"/>
  <c r="T7" i="2"/>
  <c r="T8" i="2"/>
  <c r="T9" i="2"/>
  <c r="T11" i="2"/>
  <c r="T12" i="2"/>
  <c r="T13" i="2"/>
  <c r="T15" i="2"/>
  <c r="T17" i="2"/>
  <c r="T18" i="2"/>
  <c r="T19" i="2"/>
  <c r="T20" i="2"/>
  <c r="T21" i="2"/>
  <c r="T2" i="2"/>
  <c r="S3" i="2"/>
  <c r="S4" i="2"/>
  <c r="S5" i="2"/>
  <c r="S6" i="2"/>
  <c r="S7" i="2"/>
  <c r="S8" i="2"/>
  <c r="S9" i="2"/>
  <c r="S11" i="2"/>
  <c r="S12" i="2"/>
  <c r="S13" i="2"/>
  <c r="S14" i="2"/>
  <c r="S15" i="2"/>
  <c r="S16" i="2"/>
  <c r="S17" i="2"/>
  <c r="S18" i="2"/>
  <c r="S19" i="2"/>
  <c r="S20" i="2"/>
  <c r="S21" i="2"/>
  <c r="S2" i="2"/>
  <c r="R3" i="2"/>
  <c r="R5" i="2"/>
  <c r="R7" i="2"/>
  <c r="R8" i="2"/>
  <c r="R9" i="2"/>
  <c r="R10" i="2"/>
  <c r="R11" i="2"/>
  <c r="R12" i="2"/>
  <c r="R13" i="2"/>
  <c r="R14" i="2"/>
  <c r="R15" i="2"/>
  <c r="R16" i="2"/>
  <c r="R18" i="2"/>
  <c r="R20" i="2"/>
  <c r="R2" i="2"/>
  <c r="Q5" i="2"/>
  <c r="Q14" i="2"/>
  <c r="Q4" i="2"/>
  <c r="F3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Q3" i="2"/>
  <c r="Q6" i="2"/>
  <c r="Q8" i="2"/>
  <c r="Q9" i="2"/>
  <c r="Q10" i="2"/>
  <c r="Q11" i="2"/>
  <c r="Q12" i="2"/>
  <c r="Q13" i="2"/>
  <c r="Q15" i="2"/>
  <c r="Q16" i="2"/>
  <c r="Q17" i="2"/>
  <c r="Q18" i="2"/>
  <c r="Q19" i="2"/>
  <c r="Q21" i="2"/>
  <c r="Q2" i="2"/>
  <c r="L20" i="2"/>
  <c r="L21" i="2"/>
  <c r="M21" i="2" s="1"/>
  <c r="L4" i="2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5" i="2"/>
  <c r="M15" i="2" s="1"/>
  <c r="L16" i="2"/>
  <c r="M16" i="2" s="1"/>
  <c r="L17" i="2"/>
  <c r="M17" i="2" s="1"/>
  <c r="L18" i="2"/>
  <c r="M18" i="2" s="1"/>
  <c r="L19" i="2"/>
  <c r="M19" i="2" s="1"/>
  <c r="L2" i="2"/>
  <c r="M2" i="2" s="1"/>
  <c r="I7" i="2"/>
  <c r="I8" i="2"/>
  <c r="I9" i="2"/>
  <c r="I10" i="2"/>
  <c r="S10" i="2" s="1"/>
  <c r="I11" i="2"/>
  <c r="I12" i="2"/>
  <c r="I13" i="2"/>
  <c r="I15" i="2"/>
  <c r="I16" i="2"/>
  <c r="I18" i="2"/>
  <c r="I20" i="2"/>
  <c r="I2" i="2"/>
  <c r="X2" i="2"/>
  <c r="B4" i="2" s="1"/>
  <c r="H3" i="2"/>
  <c r="H5" i="2"/>
  <c r="G2" i="2"/>
  <c r="H2" i="2" s="1"/>
  <c r="V3" i="2"/>
  <c r="C24" i="2"/>
  <c r="N20" i="2"/>
  <c r="N4" i="2"/>
  <c r="N3" i="2"/>
  <c r="N3" i="1"/>
  <c r="N2" i="1"/>
  <c r="M3" i="1"/>
  <c r="L3" i="1"/>
  <c r="L2" i="1"/>
  <c r="L14" i="1"/>
  <c r="L21" i="1"/>
  <c r="L19" i="1"/>
  <c r="L18" i="1"/>
  <c r="L17" i="1"/>
  <c r="L16" i="1"/>
  <c r="L15" i="1"/>
  <c r="L13" i="1"/>
  <c r="L12" i="1"/>
  <c r="L11" i="1"/>
  <c r="L10" i="1"/>
  <c r="L9" i="1"/>
  <c r="L8" i="1"/>
  <c r="L7" i="1"/>
  <c r="I26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7" i="1"/>
  <c r="I7" i="1"/>
  <c r="J3" i="1"/>
  <c r="J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F22" i="1"/>
  <c r="J22" i="1"/>
  <c r="J21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E20" i="1"/>
  <c r="L20" i="1" s="1"/>
  <c r="P6" i="1"/>
  <c r="D6" i="1"/>
  <c r="D5" i="1"/>
  <c r="P5" i="1"/>
  <c r="P4" i="1"/>
  <c r="P2" i="1"/>
  <c r="D4" i="1"/>
  <c r="D2" i="1"/>
  <c r="F2" i="1" s="1"/>
  <c r="M2" i="1" s="1"/>
  <c r="T10" i="2" l="1"/>
  <c r="Q7" i="2"/>
  <c r="U7" i="2"/>
  <c r="Q20" i="2"/>
  <c r="U20" i="2"/>
  <c r="D20" i="4"/>
  <c r="J20" i="4" s="1"/>
  <c r="I20" i="4"/>
  <c r="K20" i="4" s="1"/>
  <c r="D2" i="4"/>
  <c r="J2" i="4" s="1"/>
  <c r="I2" i="4"/>
  <c r="K2" i="4" s="1"/>
  <c r="D26" i="4"/>
  <c r="J26" i="4" s="1"/>
  <c r="I26" i="4"/>
  <c r="K26" i="4" s="1"/>
  <c r="D24" i="4"/>
  <c r="J24" i="4" s="1"/>
  <c r="I24" i="4"/>
  <c r="K24" i="4" s="1"/>
  <c r="D22" i="4"/>
  <c r="J22" i="4" s="1"/>
  <c r="I22" i="4"/>
  <c r="K22" i="4" s="1"/>
  <c r="D21" i="4"/>
  <c r="J21" i="4" s="1"/>
  <c r="I21" i="4"/>
  <c r="K21" i="4" s="1"/>
  <c r="D19" i="4"/>
  <c r="J19" i="4" s="1"/>
  <c r="I19" i="4"/>
  <c r="K19" i="4" s="1"/>
  <c r="D18" i="4"/>
  <c r="J18" i="4" s="1"/>
  <c r="I18" i="4"/>
  <c r="K18" i="4" s="1"/>
  <c r="D17" i="4"/>
  <c r="J17" i="4" s="1"/>
  <c r="I17" i="4"/>
  <c r="K17" i="4" s="1"/>
  <c r="D16" i="4"/>
  <c r="J16" i="4" s="1"/>
  <c r="I16" i="4"/>
  <c r="K16" i="4" s="1"/>
  <c r="D15" i="4"/>
  <c r="J15" i="4" s="1"/>
  <c r="I15" i="4"/>
  <c r="K15" i="4" s="1"/>
  <c r="D14" i="4"/>
  <c r="J14" i="4" s="1"/>
  <c r="I14" i="4"/>
  <c r="K14" i="4" s="1"/>
  <c r="D13" i="4"/>
  <c r="J13" i="4" s="1"/>
  <c r="I13" i="4"/>
  <c r="K13" i="4" s="1"/>
  <c r="D12" i="4"/>
  <c r="J12" i="4" s="1"/>
  <c r="I12" i="4"/>
  <c r="K12" i="4" s="1"/>
  <c r="D11" i="4"/>
  <c r="J11" i="4" s="1"/>
  <c r="I11" i="4"/>
  <c r="K11" i="4" s="1"/>
  <c r="D10" i="4"/>
  <c r="J10" i="4" s="1"/>
  <c r="I10" i="4"/>
  <c r="K10" i="4" s="1"/>
  <c r="D9" i="4"/>
  <c r="J9" i="4" s="1"/>
  <c r="I9" i="4"/>
  <c r="K9" i="4" s="1"/>
  <c r="D8" i="4"/>
  <c r="J8" i="4" s="1"/>
  <c r="I8" i="4"/>
  <c r="K8" i="4" s="1"/>
  <c r="D7" i="4"/>
  <c r="J7" i="4" s="1"/>
  <c r="I7" i="4"/>
  <c r="K7" i="4" s="1"/>
  <c r="D3" i="4"/>
  <c r="J3" i="4" s="1"/>
  <c r="I3" i="4"/>
  <c r="K3" i="4" s="1"/>
  <c r="K2" i="3"/>
  <c r="M2" i="3" s="1"/>
  <c r="Q27" i="2"/>
  <c r="I4" i="2"/>
  <c r="R4" i="2"/>
  <c r="G21" i="2"/>
  <c r="H21" i="2" s="1"/>
  <c r="B21" i="2" s="1"/>
  <c r="R21" i="2" s="1"/>
  <c r="G19" i="2"/>
  <c r="H19" i="2" s="1"/>
  <c r="B19" i="2" s="1"/>
  <c r="R19" i="2" s="1"/>
  <c r="G18" i="2"/>
  <c r="H18" i="2" s="1"/>
  <c r="N18" i="2" s="1"/>
  <c r="G17" i="2"/>
  <c r="H17" i="2" s="1"/>
  <c r="B17" i="2" s="1"/>
  <c r="R17" i="2" s="1"/>
  <c r="G16" i="2"/>
  <c r="H16" i="2" s="1"/>
  <c r="N16" i="2" s="1"/>
  <c r="G15" i="2"/>
  <c r="H15" i="2" s="1"/>
  <c r="N15" i="2" s="1"/>
  <c r="G14" i="2"/>
  <c r="H14" i="2" s="1"/>
  <c r="G13" i="2"/>
  <c r="H13" i="2" s="1"/>
  <c r="N13" i="2" s="1"/>
  <c r="G12" i="2"/>
  <c r="H12" i="2" s="1"/>
  <c r="N12" i="2" s="1"/>
  <c r="G11" i="2"/>
  <c r="H11" i="2" s="1"/>
  <c r="N11" i="2" s="1"/>
  <c r="G10" i="2"/>
  <c r="H10" i="2" s="1"/>
  <c r="N10" i="2" s="1"/>
  <c r="G9" i="2"/>
  <c r="H9" i="2" s="1"/>
  <c r="N9" i="2" s="1"/>
  <c r="G8" i="2"/>
  <c r="H8" i="2" s="1"/>
  <c r="N8" i="2" s="1"/>
  <c r="G7" i="2"/>
  <c r="H7" i="2" s="1"/>
  <c r="N7" i="2" s="1"/>
  <c r="G6" i="2"/>
  <c r="H6" i="2" s="1"/>
  <c r="G25" i="2"/>
  <c r="V6" i="2" s="1"/>
  <c r="N2" i="2"/>
  <c r="J20" i="1"/>
  <c r="D3" i="1"/>
  <c r="F3" i="1" s="1"/>
  <c r="P3" i="1"/>
  <c r="Q2" i="1" s="1"/>
  <c r="B26" i="1" s="1"/>
  <c r="D26" i="1" s="1"/>
  <c r="F26" i="1" s="1"/>
  <c r="N17" i="2" l="1"/>
  <c r="I17" i="2"/>
  <c r="N19" i="2"/>
  <c r="I19" i="2"/>
  <c r="N21" i="2"/>
  <c r="I21" i="2"/>
  <c r="B6" i="2"/>
  <c r="H25" i="2"/>
  <c r="B21" i="1"/>
  <c r="D21" i="1" s="1"/>
  <c r="F21" i="1" s="1"/>
  <c r="M21" i="1" s="1"/>
  <c r="N21" i="1" s="1"/>
  <c r="B20" i="1"/>
  <c r="D20" i="1" s="1"/>
  <c r="F20" i="1" s="1"/>
  <c r="M20" i="1" s="1"/>
  <c r="N20" i="1" s="1"/>
  <c r="B19" i="1"/>
  <c r="D19" i="1" s="1"/>
  <c r="F19" i="1" s="1"/>
  <c r="M19" i="1" s="1"/>
  <c r="N19" i="1" s="1"/>
  <c r="B18" i="1"/>
  <c r="D18" i="1" s="1"/>
  <c r="F18" i="1" s="1"/>
  <c r="M18" i="1" s="1"/>
  <c r="N18" i="1" s="1"/>
  <c r="B17" i="1"/>
  <c r="D17" i="1" s="1"/>
  <c r="F17" i="1" s="1"/>
  <c r="M17" i="1" s="1"/>
  <c r="N17" i="1" s="1"/>
  <c r="B16" i="1"/>
  <c r="D16" i="1" s="1"/>
  <c r="F16" i="1" s="1"/>
  <c r="M16" i="1" s="1"/>
  <c r="N16" i="1" s="1"/>
  <c r="B15" i="1"/>
  <c r="D15" i="1" s="1"/>
  <c r="F15" i="1" s="1"/>
  <c r="M15" i="1" s="1"/>
  <c r="N15" i="1" s="1"/>
  <c r="B14" i="1"/>
  <c r="D14" i="1" s="1"/>
  <c r="F14" i="1" s="1"/>
  <c r="M14" i="1" s="1"/>
  <c r="N14" i="1" s="1"/>
  <c r="B13" i="1"/>
  <c r="D13" i="1" s="1"/>
  <c r="F13" i="1" s="1"/>
  <c r="M13" i="1" s="1"/>
  <c r="N13" i="1" s="1"/>
  <c r="B12" i="1"/>
  <c r="D12" i="1" s="1"/>
  <c r="F12" i="1" s="1"/>
  <c r="M12" i="1" s="1"/>
  <c r="N12" i="1" s="1"/>
  <c r="B11" i="1"/>
  <c r="D11" i="1" s="1"/>
  <c r="F11" i="1" s="1"/>
  <c r="M11" i="1" s="1"/>
  <c r="N11" i="1" s="1"/>
  <c r="B10" i="1"/>
  <c r="D10" i="1" s="1"/>
  <c r="F10" i="1" s="1"/>
  <c r="M10" i="1" s="1"/>
  <c r="N10" i="1" s="1"/>
  <c r="B9" i="1"/>
  <c r="D9" i="1" s="1"/>
  <c r="F9" i="1" s="1"/>
  <c r="M9" i="1" s="1"/>
  <c r="N9" i="1" s="1"/>
  <c r="B8" i="1"/>
  <c r="D8" i="1" s="1"/>
  <c r="F8" i="1" s="1"/>
  <c r="M8" i="1" s="1"/>
  <c r="N8" i="1" s="1"/>
  <c r="B7" i="1"/>
  <c r="D7" i="1" s="1"/>
  <c r="F7" i="1" s="1"/>
  <c r="M7" i="1" s="1"/>
  <c r="N7" i="1" s="1"/>
  <c r="I6" i="2" l="1"/>
  <c r="R6" i="2"/>
  <c r="N6" i="2"/>
  <c r="N24" i="2" s="1"/>
  <c r="B25" i="2"/>
</calcChain>
</file>

<file path=xl/sharedStrings.xml><?xml version="1.0" encoding="utf-8"?>
<sst xmlns="http://schemas.openxmlformats.org/spreadsheetml/2006/main" count="301" uniqueCount="187">
  <si>
    <t>Gebäude</t>
  </si>
  <si>
    <t>Solar kWp</t>
  </si>
  <si>
    <t>Dachfläche m2</t>
  </si>
  <si>
    <t>Erzeugnis kWh (berechnet/geschätzt)</t>
  </si>
  <si>
    <t>Stromverbrauch 2022</t>
  </si>
  <si>
    <t>Stromv - Erzeugnis</t>
  </si>
  <si>
    <t>CO2e t aktuell</t>
  </si>
  <si>
    <t>CO2e mit PV</t>
  </si>
  <si>
    <t>Ersparnis CO2e t</t>
  </si>
  <si>
    <t>% von Hauptcampus</t>
  </si>
  <si>
    <t>Kosten Anlage €</t>
  </si>
  <si>
    <t>Stromkosten aktuell</t>
  </si>
  <si>
    <t>Stromkosten mit PV</t>
  </si>
  <si>
    <t>Ersparnis € jährlich</t>
  </si>
  <si>
    <t>Installationszeit in Monaten</t>
  </si>
  <si>
    <t>Durchschnitt kWp/m2</t>
  </si>
  <si>
    <t>kWp/m2</t>
  </si>
  <si>
    <t>VW</t>
  </si>
  <si>
    <t>Quelle Strompreis</t>
  </si>
  <si>
    <t>https://www.destatis.de/DE/Presse/Pressemitteilungen/2022/10/PD22_460_61243.html</t>
  </si>
  <si>
    <t>Vielberth</t>
  </si>
  <si>
    <t>c/kWh</t>
  </si>
  <si>
    <t>FZHG</t>
  </si>
  <si>
    <t>WNDE</t>
  </si>
  <si>
    <t>ENZE</t>
  </si>
  <si>
    <t>Chemie</t>
  </si>
  <si>
    <t>PT</t>
  </si>
  <si>
    <t>Physik</t>
  </si>
  <si>
    <t>RWS</t>
  </si>
  <si>
    <t>SG</t>
  </si>
  <si>
    <t>Sport</t>
  </si>
  <si>
    <t>Studentenhaus</t>
  </si>
  <si>
    <t>VKL</t>
  </si>
  <si>
    <t>ZB</t>
  </si>
  <si>
    <t>ZH</t>
  </si>
  <si>
    <t>RZ</t>
  </si>
  <si>
    <t>Mathe</t>
  </si>
  <si>
    <t>Mensa</t>
  </si>
  <si>
    <t>Parkhaus 1+2</t>
  </si>
  <si>
    <t>TZ</t>
  </si>
  <si>
    <t>Bauamt</t>
  </si>
  <si>
    <t>Biologie</t>
  </si>
  <si>
    <t>Hauptcampus</t>
  </si>
  <si>
    <t>OTH</t>
  </si>
  <si>
    <t>Sedanstraße</t>
  </si>
  <si>
    <t>Vor der Grieb</t>
  </si>
  <si>
    <t>Hinter der Grieb</t>
  </si>
  <si>
    <t>Altes Finanzamt</t>
  </si>
  <si>
    <t>Wärme kWh 2022</t>
  </si>
  <si>
    <t>Stockwerke</t>
  </si>
  <si>
    <t>Höhe</t>
  </si>
  <si>
    <t>Fassadenfläche</t>
  </si>
  <si>
    <t>Nutzfläche m2  (geschätzt rot)</t>
  </si>
  <si>
    <t>korrigierte Nutzfläche</t>
  </si>
  <si>
    <t>Wärme nach Energetischer Sarnierung (spart 50-70%) heir 60%</t>
  </si>
  <si>
    <t>Kosten Dach € 200€/m2</t>
  </si>
  <si>
    <t>Kosten Fassade+Fenster 210€/m2</t>
  </si>
  <si>
    <t>Kosten Gesamt</t>
  </si>
  <si>
    <t>Kosten kwh aktuell</t>
  </si>
  <si>
    <t>Kosten nach Sa</t>
  </si>
  <si>
    <t>Nutzflächenfaktor</t>
  </si>
  <si>
    <t>kWh/m2 Durchschnitt</t>
  </si>
  <si>
    <t>Quellen für kwh/m2</t>
  </si>
  <si>
    <t>https://www.uni-regensburg.de/universitaet/profil/geschichte/index.html</t>
  </si>
  <si>
    <t>https://www.energie-experten.org/heizung/heizungstechnik/heizungsanlage/heizleistung</t>
  </si>
  <si>
    <t>Korrekturfaktor: (tatsächliche Nutzfläche/berechnete Nutzfläche)</t>
  </si>
  <si>
    <t>W/m2 vor 77 (200-300)</t>
  </si>
  <si>
    <t>Energetische Sarnierung beinhaltet:</t>
  </si>
  <si>
    <t>Dachdämmung</t>
  </si>
  <si>
    <t>225-300</t>
  </si>
  <si>
    <t>W/m2 78-82</t>
  </si>
  <si>
    <t>Fassadendämmung</t>
  </si>
  <si>
    <t>200-290</t>
  </si>
  <si>
    <t>Fenster austauschen</t>
  </si>
  <si>
    <t>w/m2 2011</t>
  </si>
  <si>
    <t>ERneuerung Heizungsanlage</t>
  </si>
  <si>
    <t>ca 200-600€/m2</t>
  </si>
  <si>
    <t>laut Quelle:</t>
  </si>
  <si>
    <t>585€/m2</t>
  </si>
  <si>
    <t>https://www.energiesparen-im-haushalt.de/energie/bauen-und-modernisieren/modernisierung-haus/haus-sanieren-kosten.html</t>
  </si>
  <si>
    <t>Kosten Gas 8,8ct/kWh</t>
  </si>
  <si>
    <t>Dauer: 30 Tage für Familienhaus 80qm 5 Arbeiter</t>
  </si>
  <si>
    <t>https://www.drklein.de/fassadensanierung.html</t>
  </si>
  <si>
    <t>6 mal mehr Arbeiter für Uni?</t>
  </si>
  <si>
    <t>Dauer: 5 Tage für 80m2</t>
  </si>
  <si>
    <t>RWSG</t>
  </si>
  <si>
    <t>RWLG</t>
  </si>
  <si>
    <t>RWHG</t>
  </si>
  <si>
    <t>HEating</t>
  </si>
  <si>
    <t>kWh</t>
  </si>
  <si>
    <t>Heating/area</t>
  </si>
  <si>
    <r>
      <t>kWh/m</t>
    </r>
    <r>
      <rPr>
        <i/>
        <vertAlign val="superscript"/>
        <sz val="11"/>
        <color rgb="FF000000"/>
        <rFont val="Calibri"/>
        <family val="2"/>
      </rPr>
      <t>2</t>
    </r>
  </si>
  <si>
    <t>HEating/people</t>
  </si>
  <si>
    <t>kWh/
people/y</t>
  </si>
  <si>
    <t>Stromverbrauch Beleuchtung</t>
  </si>
  <si>
    <t>LED</t>
  </si>
  <si>
    <t>Kosten aktuell kwh</t>
  </si>
  <si>
    <t>Kosten LED</t>
  </si>
  <si>
    <t>Kosten Ersparnis</t>
  </si>
  <si>
    <t>Anzahl Lampen</t>
  </si>
  <si>
    <t>Kosten Installation</t>
  </si>
  <si>
    <t>10% des gesamten Stromverbrauchs für Belecuhtung</t>
  </si>
  <si>
    <t>Quelle</t>
  </si>
  <si>
    <t>https://www.energie-experten.org/energie-sparen/energieverbrauch/stromverbrauch-berechnen/stromverbrauch-beleuchtung</t>
  </si>
  <si>
    <t>LED verbraucht 10-15% weniger Strom wir: 12,5%</t>
  </si>
  <si>
    <t>https://stromrechner.com/stromverbrauch-led/</t>
  </si>
  <si>
    <t>3 Lampen pro 10 m2</t>
  </si>
  <si>
    <t>https://www.led-lichtraum.de/led-wissen/lumen-rechner#result</t>
  </si>
  <si>
    <t>5-20€ pro Lampe hier 10 pro Lampe</t>
  </si>
  <si>
    <t>https://www.amazon.de/s?k=led+500+lumen&amp;adgrpid=1201766863336619&amp;hvadid=75110544825652&amp;hvbmt=be&amp;hvdev=c&amp;hvlocphy=119662&amp;hvnetw=o&amp;hvqmt=e&amp;hvtargid=kwd-75110630774153%3Aloc-72&amp;hydadcr=27928_2279541&amp;msclkid=38aa2580d6801dd39d35435e69f562db&amp;tag=hyddemsn-21&amp;ref=pd_sl_3qxbfdy1fd_e</t>
  </si>
  <si>
    <t>20min pro Lampe und 10 Elektriker 8h pro Tag 240 Lampen pro Tag</t>
  </si>
  <si>
    <t>Maßnahme</t>
  </si>
  <si>
    <t>Größe (geschätzt)</t>
  </si>
  <si>
    <t xml:space="preserve">m3 </t>
  </si>
  <si>
    <t>kwh 1°+</t>
  </si>
  <si>
    <t>kwh von 15° zu 25°</t>
  </si>
  <si>
    <t>CO2e Solar</t>
  </si>
  <si>
    <t>Ersparnis</t>
  </si>
  <si>
    <t>Kosten aktuell</t>
  </si>
  <si>
    <t>Kosten Solar</t>
  </si>
  <si>
    <t>Installationszeit Monate</t>
  </si>
  <si>
    <t>Solarthermie für das Schwimmbad</t>
  </si>
  <si>
    <t>25*8*1,80</t>
  </si>
  <si>
    <t>Berechnung kwh</t>
  </si>
  <si>
    <t>https://pws-pool.de/ratgeber/rund-um-wassererwaermung/</t>
  </si>
  <si>
    <t>wie warm</t>
  </si>
  <si>
    <t>https://www.sopra.de/magazin/online-ratgeber/die-beste-bade-und-schwimmtemperatur/</t>
  </si>
  <si>
    <t>leitungswasser</t>
  </si>
  <si>
    <t>https://alb-filter.com/blogs/ratgeber/temperatur-leitungswasser</t>
  </si>
  <si>
    <t>Papier (Primär)</t>
  </si>
  <si>
    <t>Papier Recycling</t>
  </si>
  <si>
    <t>Kosten 500 Blatt Gewicht 2,495 kg</t>
  </si>
  <si>
    <t>Kosten aktuell (Annahme 80g/qm)</t>
  </si>
  <si>
    <t>Installationszeit</t>
  </si>
  <si>
    <t xml:space="preserve">Kosten </t>
  </si>
  <si>
    <t>Prüfungen</t>
  </si>
  <si>
    <t>Blätter Anzahl</t>
  </si>
  <si>
    <t>Papierverbrauch Prüfungen</t>
  </si>
  <si>
    <t>Prüfungen digitalisieren/Papierkonzept
 in Büros verbessern</t>
  </si>
  <si>
    <t xml:space="preserve">Wenn man drastisch ALLES Recycling Papier einspart
</t>
  </si>
  <si>
    <t>3t</t>
  </si>
  <si>
    <t>32 t</t>
  </si>
  <si>
    <t>Preis</t>
  </si>
  <si>
    <t>https://www.printus.de/steinbeis-recyclingpapier-701458</t>
  </si>
  <si>
    <t>https://www.destatis.de/DE/Themen/Gesellschaft-Umwelt/Bildung-Forschung-Kultur/Hochschulen/Publikationen/Downloads-Hochschulen/statistischer-bericht-pruefungen-2110420227005.html</t>
  </si>
  <si>
    <t>CO2e t mit Verbrenner-PKW</t>
  </si>
  <si>
    <t>CO2e t E-Auto</t>
  </si>
  <si>
    <t>Diesel L</t>
  </si>
  <si>
    <t>Benzin L</t>
  </si>
  <si>
    <t>Kosten Diesel</t>
  </si>
  <si>
    <t>Kosten Benzin</t>
  </si>
  <si>
    <t>Anschaffungskosten</t>
  </si>
  <si>
    <t>Kosten E-Auto €</t>
  </si>
  <si>
    <t>FAhrzeughalle</t>
  </si>
  <si>
    <t>E-Dienstautos</t>
  </si>
  <si>
    <t xml:space="preserve">Preis </t>
  </si>
  <si>
    <t>https://www.carwow.de/auto-news/2959/co2-steuer-steigt</t>
  </si>
  <si>
    <t>https://www.autobild.de/artikel/aktueller-spritpreis-benzinpreis-dieselpreis-18678455.html</t>
  </si>
  <si>
    <t>https://www.dkv-mobility.com/de/elektromobilitaet/ratgeber/kosten-elektroauto-pro-100km/</t>
  </si>
  <si>
    <t>E-Auto 100km 6,90€</t>
  </si>
  <si>
    <t>Beschreibung</t>
  </si>
  <si>
    <t>CO2t aktuell</t>
  </si>
  <si>
    <t>CO2 mit Pellet</t>
  </si>
  <si>
    <t>Heizöl-Liter</t>
  </si>
  <si>
    <t>Kosten kwh</t>
  </si>
  <si>
    <t>Installationskosten</t>
  </si>
  <si>
    <t>kwh</t>
  </si>
  <si>
    <t>Lieferzeit</t>
  </si>
  <si>
    <t>https://www.autobild.de/artikel/lieferzeiten-fuer-neue-e-autos-so-lange-muss-man-warten-16935375.html</t>
  </si>
  <si>
    <t>Bio</t>
  </si>
  <si>
    <t>Wärmeversorgung</t>
  </si>
  <si>
    <t>Umstellung der Wärmever-</t>
  </si>
  <si>
    <t>1-2Tage</t>
  </si>
  <si>
    <t>sorgung des Gewächshau-</t>
  </si>
  <si>
    <t>Kosten Pellets</t>
  </si>
  <si>
    <t>https://www.agrarheute.com/energie/holz/pelletpreis-jahresbeginn-ruecklaeufig-602511</t>
  </si>
  <si>
    <t>ses des Botanischen Gartens</t>
  </si>
  <si>
    <t>9,98ct/kwh</t>
  </si>
  <si>
    <t>auf Pelletheizung</t>
  </si>
  <si>
    <t>https://www.mein-eigenheim.de/heizen/umruesten-von-gas-auf-pelletheizung.html</t>
  </si>
  <si>
    <t>15-20k</t>
  </si>
  <si>
    <t>Heizöl zu Kwh:</t>
  </si>
  <si>
    <t>https://energieshop.totalenergies.de/aktuelles/detail/heizwert-und-brennwert-von-heizoel</t>
  </si>
  <si>
    <t>9,8kWh pro Liter</t>
  </si>
  <si>
    <t>Heizöl Preis</t>
  </si>
  <si>
    <t>https://www.fastenergy.de/heizoelpreise.htm</t>
  </si>
  <si>
    <t>92,81ct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</si>
</sst>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42424"/>
      <name val="Aptos Narrow"/>
      <charset val="1"/>
    </font>
    <font>
      <sz val="11"/>
      <color rgb="FF000000"/>
      <name val="Calibri"/>
      <family val="2"/>
    </font>
    <font>
      <sz val="11"/>
      <color theme="1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i/>
      <vertAlign val="superscript"/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10" fillId="0" borderId="0" applyFont="0" applyFill="0" applyBorder="0" applyAlignment="0" applyProtection="0"/>
  </cellStyleXfs>
  <cellXfs count="35">
    <xf numFmtId="0" fontId="0" fillId="0" borderId="0" xfId="0"/>
    <xf numFmtId="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0" xfId="0" applyFont="1" applyBorder="1"/>
    <xf numFmtId="0" fontId="1" fillId="0" borderId="0" xfId="0" applyFont="1"/>
    <xf numFmtId="0" fontId="2" fillId="0" borderId="0" xfId="1"/>
    <xf numFmtId="0" fontId="3" fillId="0" borderId="0" xfId="0" applyFont="1"/>
    <xf numFmtId="3" fontId="0" fillId="0" borderId="0" xfId="0" applyNumberFormat="1"/>
    <xf numFmtId="3" fontId="0" fillId="0" borderId="13" xfId="0" applyNumberFormat="1" applyBorder="1"/>
    <xf numFmtId="0" fontId="3" fillId="0" borderId="13" xfId="0" applyFont="1" applyBorder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4" fillId="0" borderId="0" xfId="0" applyFont="1"/>
    <xf numFmtId="0" fontId="1" fillId="4" borderId="0" xfId="0" applyFont="1" applyFill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/>
    <xf numFmtId="0" fontId="7" fillId="0" borderId="0" xfId="0" applyFont="1"/>
    <xf numFmtId="0" fontId="4" fillId="0" borderId="14" xfId="0" applyFont="1" applyBorder="1"/>
    <xf numFmtId="0" fontId="8" fillId="0" borderId="15" xfId="0" applyFont="1" applyBorder="1"/>
    <xf numFmtId="4" fontId="8" fillId="0" borderId="15" xfId="0" applyNumberFormat="1" applyFont="1" applyBorder="1"/>
    <xf numFmtId="0" fontId="8" fillId="0" borderId="0" xfId="0" applyFont="1"/>
    <xf numFmtId="0" fontId="4" fillId="0" borderId="14" xfId="0" applyFont="1" applyBorder="1" applyAlignment="1">
      <alignment wrapText="1"/>
    </xf>
    <xf numFmtId="3" fontId="0" fillId="0" borderId="0" xfId="2" applyNumberFormat="1" applyFont="1" applyAlignment="1">
      <alignment vertical="center"/>
    </xf>
  </cellXfs>
  <cellStyles count="3">
    <cellStyle name="Hyperlink" xfId="1" xr:uid="{00000000-000B-0000-0000-000008000000}"/>
    <cellStyle name="Komma" xfId="2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533400</xdr:colOff>
      <xdr:row>3</xdr:row>
      <xdr:rowOff>57150</xdr:rowOff>
    </xdr:from>
    <xdr:to>
      <xdr:col>18</xdr:col>
      <xdr:colOff>180975</xdr:colOff>
      <xdr:row>8</xdr:row>
      <xdr:rowOff>57150</xdr:rowOff>
    </xdr:to>
    <xdr:sp macro="" textlink="">
      <xdr:nvSpPr>
        <xdr:cNvPr id="3" name="Textfeld 1">
          <a:extLst>
            <a:ext uri="{FF2B5EF4-FFF2-40B4-BE49-F238E27FC236}">
              <a16:creationId xmlns:a16="http://schemas.microsoft.com/office/drawing/2014/main" id="{60B02A31-1612-82B3-88B7-9883CB837CFD}"/>
            </a:ext>
          </a:extLst>
        </xdr:cNvPr>
        <xdr:cNvSpPr txBox="1"/>
      </xdr:nvSpPr>
      <xdr:spPr>
        <a:xfrm>
          <a:off x="10887075" y="628650"/>
          <a:ext cx="142875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Auf diesen grün markierten existierenden Daten basiert die Schätzung zu PV-Anlagen in rot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destatis.de/DE/Presse/Pressemitteilungen/2022/10/PD22_460_61243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ergiesparen-im-haushalt.de/energie/bauen-und-modernisieren/modernisierung-haus/haus-sanieren-kosten.html" TargetMode="External"/><Relationship Id="rId2" Type="http://schemas.openxmlformats.org/officeDocument/2006/relationships/hyperlink" Target="https://www.energie-experten.org/heizung/heizungstechnik/heizungsanlage/heizleistung" TargetMode="External"/><Relationship Id="rId1" Type="http://schemas.openxmlformats.org/officeDocument/2006/relationships/hyperlink" Target="https://www.uni-regensburg.de/universitaet/profil/geschichte/index.html" TargetMode="External"/><Relationship Id="rId4" Type="http://schemas.openxmlformats.org/officeDocument/2006/relationships/hyperlink" Target="https://www.drklein.de/fassadensanierung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ed-lichtraum.de/led-wissen/lumen-rechner" TargetMode="External"/><Relationship Id="rId2" Type="http://schemas.openxmlformats.org/officeDocument/2006/relationships/hyperlink" Target="https://stromrechner.com/stromverbrauch-led/" TargetMode="External"/><Relationship Id="rId1" Type="http://schemas.openxmlformats.org/officeDocument/2006/relationships/hyperlink" Target="https://www.energie-experten.org/energie-sparen/energieverbrauch/stromverbrauch-berechnen/stromverbrauch-beleuchtung" TargetMode="External"/><Relationship Id="rId4" Type="http://schemas.openxmlformats.org/officeDocument/2006/relationships/hyperlink" Target="https://www.amazon.de/s?k=led+500+lumen&amp;adgrpid=1201766863336619&amp;hvadid=75110544825652&amp;hvbmt=be&amp;hvdev=c&amp;hvlocphy=119662&amp;hvnetw=o&amp;hvqmt=e&amp;hvtargid=kwd-75110630774153%3Aloc-72&amp;hydadcr=27928_2279541&amp;msclkid=38aa2580d6801dd39d35435e69f562db&amp;tag=hyddemsn-21&amp;ref=pd_sl_3qxbfdy1fd_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kv-mobility.com/de/elektromobilitaet/ratgeber/kosten-elektroauto-pro-100km/" TargetMode="External"/><Relationship Id="rId13" Type="http://schemas.openxmlformats.org/officeDocument/2006/relationships/hyperlink" Target="https://www.fastenergy.de/heizoelpreise.htm" TargetMode="External"/><Relationship Id="rId3" Type="http://schemas.openxmlformats.org/officeDocument/2006/relationships/hyperlink" Target="https://alb-filter.com/blogs/ratgeber/temperatur-leitungswasser" TargetMode="External"/><Relationship Id="rId7" Type="http://schemas.openxmlformats.org/officeDocument/2006/relationships/hyperlink" Target="https://www.autobild.de/artikel/aktueller-spritpreis-benzinpreis-dieselpreis-18678455.html" TargetMode="External"/><Relationship Id="rId12" Type="http://schemas.openxmlformats.org/officeDocument/2006/relationships/hyperlink" Target="https://energieshop.totalenergies.de/aktuelles/detail/heizwert-und-brennwert-von-heizoel" TargetMode="External"/><Relationship Id="rId2" Type="http://schemas.openxmlformats.org/officeDocument/2006/relationships/hyperlink" Target="https://www.sopra.de/magazin/online-ratgeber/die-beste-bade-und-schwimmtemperatur/" TargetMode="External"/><Relationship Id="rId1" Type="http://schemas.openxmlformats.org/officeDocument/2006/relationships/hyperlink" Target="https://pws-pool.de/ratgeber/rund-um-wassererwaermung/" TargetMode="External"/><Relationship Id="rId6" Type="http://schemas.openxmlformats.org/officeDocument/2006/relationships/hyperlink" Target="https://www.carwow.de/auto-news/2959/co2-steuer-steigt" TargetMode="External"/><Relationship Id="rId11" Type="http://schemas.openxmlformats.org/officeDocument/2006/relationships/hyperlink" Target="https://www.mein-eigenheim.de/heizen/umruesten-von-gas-auf-pelletheizung.html" TargetMode="External"/><Relationship Id="rId5" Type="http://schemas.openxmlformats.org/officeDocument/2006/relationships/hyperlink" Target="https://www.destatis.de/DE/Themen/Gesellschaft-Umwelt/Bildung-Forschung-Kultur/Hochschulen/Publikationen/Downloads-Hochschulen/statistischer-bericht-pruefungen-2110420227005.html" TargetMode="External"/><Relationship Id="rId10" Type="http://schemas.openxmlformats.org/officeDocument/2006/relationships/hyperlink" Target="https://www.agrarheute.com/energie/holz/pelletpreis-jahresbeginn-ruecklaeufig-602511" TargetMode="External"/><Relationship Id="rId4" Type="http://schemas.openxmlformats.org/officeDocument/2006/relationships/hyperlink" Target="https://www.printus.de/steinbeis-recyclingpapier-701458" TargetMode="External"/><Relationship Id="rId9" Type="http://schemas.openxmlformats.org/officeDocument/2006/relationships/hyperlink" Target="https://www.autobild.de/artikel/lieferzeiten-fuer-neue-e-autos-so-lange-muss-man-warten-1693537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7A2BE-8B14-43CF-B8D5-2798B44FFFCD}">
  <dimension ref="A1:T30"/>
  <sheetViews>
    <sheetView workbookViewId="0">
      <selection activeCell="I25" sqref="I25"/>
    </sheetView>
  </sheetViews>
  <sheetFormatPr defaultColWidth="11.42578125" defaultRowHeight="15" customHeight="1"/>
  <cols>
    <col min="3" max="3" width="11.28515625" customWidth="1"/>
    <col min="10" max="10" width="13.7109375" customWidth="1"/>
    <col min="11" max="11" width="15.85546875" customWidth="1"/>
    <col min="12" max="14" width="18.28515625" customWidth="1"/>
    <col min="15" max="15" width="13.7109375" customWidth="1"/>
    <col min="17" max="17" width="13.42578125" customWidth="1"/>
    <col min="18" max="18" width="13.28515625" customWidth="1"/>
    <col min="19" max="19" width="15.85546875" customWidth="1"/>
    <col min="20" max="20" width="16.7109375" customWidth="1"/>
    <col min="21" max="23" width="12.85546875" customWidth="1"/>
  </cols>
  <sheetData>
    <row r="1" spans="1:20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1" t="s">
        <v>16</v>
      </c>
    </row>
    <row r="2" spans="1:20">
      <c r="A2" s="12" t="s">
        <v>17</v>
      </c>
      <c r="B2">
        <v>17.28</v>
      </c>
      <c r="C2">
        <v>2383</v>
      </c>
      <c r="D2">
        <f t="shared" ref="D2:D6" si="0">B2*1000</f>
        <v>17280</v>
      </c>
      <c r="E2">
        <v>153149.5</v>
      </c>
      <c r="F2">
        <f>E2-D2</f>
        <v>135869.5</v>
      </c>
      <c r="G2">
        <v>18.760000000000002</v>
      </c>
      <c r="H2">
        <v>18.760000000000002</v>
      </c>
      <c r="J2">
        <f>E2*100/E24</f>
        <v>0.43297958752558979</v>
      </c>
      <c r="L2">
        <f>(E2*S3)/100</f>
        <v>29527.223600000005</v>
      </c>
      <c r="M2">
        <f>(F2*S3)/100</f>
        <v>26195.639599999999</v>
      </c>
      <c r="N2">
        <f>L2-M2</f>
        <v>3331.5840000000062</v>
      </c>
      <c r="P2">
        <f>B2/C2</f>
        <v>7.2513638271086873E-3</v>
      </c>
      <c r="Q2" s="6">
        <f>AVERAGE(P2:P6)</f>
        <v>2.4960059943813079E-2</v>
      </c>
      <c r="S2" t="s">
        <v>18</v>
      </c>
      <c r="T2" s="15" t="s">
        <v>19</v>
      </c>
    </row>
    <row r="3" spans="1:20">
      <c r="A3" s="12" t="s">
        <v>20</v>
      </c>
      <c r="B3">
        <v>55.92</v>
      </c>
      <c r="C3">
        <v>2062</v>
      </c>
      <c r="D3">
        <f t="shared" si="0"/>
        <v>55920</v>
      </c>
      <c r="E3">
        <v>341199.91</v>
      </c>
      <c r="F3">
        <f t="shared" ref="F3:F26" si="1">E3-D3</f>
        <v>285279.90999999997</v>
      </c>
      <c r="G3">
        <v>40.4</v>
      </c>
      <c r="H3">
        <v>40.479999999999997</v>
      </c>
      <c r="J3">
        <f>E3*100/E24</f>
        <v>0.96462996154455849</v>
      </c>
      <c r="L3">
        <f>(E3*S3)/100</f>
        <v>65783.342648000005</v>
      </c>
      <c r="M3">
        <f>(F3*S3)/100</f>
        <v>55001.966647999994</v>
      </c>
      <c r="N3">
        <f>L3-M3</f>
        <v>10781.376000000011</v>
      </c>
      <c r="P3">
        <f>B3/C3</f>
        <v>2.711930164888458E-2</v>
      </c>
      <c r="Q3" s="6"/>
      <c r="S3">
        <v>19.28</v>
      </c>
      <c r="T3" t="s">
        <v>21</v>
      </c>
    </row>
    <row r="4" spans="1:20">
      <c r="A4" s="12" t="s">
        <v>22</v>
      </c>
      <c r="B4">
        <v>20.079999999999998</v>
      </c>
      <c r="C4">
        <v>599</v>
      </c>
      <c r="D4">
        <f t="shared" si="0"/>
        <v>20080</v>
      </c>
      <c r="P4">
        <f>B4/C4</f>
        <v>3.3522537562604336E-2</v>
      </c>
      <c r="Q4" s="6"/>
    </row>
    <row r="5" spans="1:20">
      <c r="A5" s="12" t="s">
        <v>23</v>
      </c>
      <c r="B5">
        <v>161</v>
      </c>
      <c r="C5">
        <v>7060</v>
      </c>
      <c r="D5">
        <f t="shared" si="0"/>
        <v>161000</v>
      </c>
      <c r="P5">
        <f>B5/C5</f>
        <v>2.2804532577903682E-2</v>
      </c>
      <c r="Q5" s="6"/>
    </row>
    <row r="6" spans="1:20">
      <c r="A6" s="13" t="s">
        <v>24</v>
      </c>
      <c r="B6" s="7">
        <v>19.95</v>
      </c>
      <c r="C6" s="7">
        <v>585</v>
      </c>
      <c r="D6" s="7">
        <f t="shared" si="0"/>
        <v>19950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f>B6/C6</f>
        <v>3.4102564102564098E-2</v>
      </c>
      <c r="Q6" s="8"/>
    </row>
    <row r="7" spans="1:20">
      <c r="A7" s="14" t="s">
        <v>25</v>
      </c>
      <c r="B7" s="4">
        <f>C7*Q2</f>
        <v>519.06940659153679</v>
      </c>
      <c r="C7">
        <v>20796</v>
      </c>
      <c r="D7" s="4">
        <f t="shared" ref="D7:D17" si="2">B7*1000</f>
        <v>519069.40659153677</v>
      </c>
      <c r="E7">
        <v>8535633.1199999992</v>
      </c>
      <c r="F7">
        <f t="shared" si="1"/>
        <v>8016563.7134084627</v>
      </c>
      <c r="G7" s="1">
        <v>1118.06</v>
      </c>
      <c r="H7" s="1">
        <v>1078.98</v>
      </c>
      <c r="I7">
        <f>G7-H7</f>
        <v>39.079999999999927</v>
      </c>
      <c r="J7">
        <f>E7*100/E24</f>
        <v>24.131681184511621</v>
      </c>
      <c r="K7">
        <f>C7*0.8*340</f>
        <v>5656512</v>
      </c>
      <c r="L7">
        <f>(E7*S3)/100</f>
        <v>1645670.0655359998</v>
      </c>
      <c r="M7">
        <f>(F7*S3)/100</f>
        <v>1545593.4839451516</v>
      </c>
      <c r="N7">
        <f>L7-M7</f>
        <v>100076.58159084828</v>
      </c>
      <c r="O7">
        <f>((C7/80)*4)/30</f>
        <v>34.659999999999997</v>
      </c>
    </row>
    <row r="8" spans="1:20">
      <c r="A8" s="14" t="s">
        <v>26</v>
      </c>
      <c r="B8" s="3">
        <f>C8*Q2</f>
        <v>335.38832546501635</v>
      </c>
      <c r="C8">
        <v>13437</v>
      </c>
      <c r="D8" s="3">
        <f t="shared" si="2"/>
        <v>335388.32546501636</v>
      </c>
      <c r="E8">
        <v>2521458.8199999998</v>
      </c>
      <c r="F8">
        <f t="shared" si="1"/>
        <v>2186070.4945349833</v>
      </c>
      <c r="G8">
        <v>330.27</v>
      </c>
      <c r="H8">
        <v>305.02999999999997</v>
      </c>
      <c r="I8">
        <f>G8-H8</f>
        <v>25.240000000000009</v>
      </c>
      <c r="J8">
        <f>E8*100/E24</f>
        <v>7.1285913427491447</v>
      </c>
      <c r="K8">
        <f t="shared" ref="K8:K21" si="3">C8*0.8*340</f>
        <v>3654864</v>
      </c>
      <c r="L8">
        <f>(E8*S3)/100</f>
        <v>486137.260496</v>
      </c>
      <c r="M8">
        <f>(F8*S3)/100</f>
        <v>421474.39134634478</v>
      </c>
      <c r="N8">
        <f t="shared" ref="N8:N21" si="4">L8-M8</f>
        <v>64662.86914965522</v>
      </c>
      <c r="O8">
        <f t="shared" ref="O8:O21" si="5">((C8/80)*4)/30</f>
        <v>22.395</v>
      </c>
    </row>
    <row r="9" spans="1:20">
      <c r="A9" s="14" t="s">
        <v>27</v>
      </c>
      <c r="B9" s="5">
        <f>C9*Q2</f>
        <v>263.40351258705942</v>
      </c>
      <c r="C9">
        <v>10553</v>
      </c>
      <c r="D9" s="3">
        <f t="shared" si="2"/>
        <v>263403.51258705941</v>
      </c>
      <c r="E9">
        <v>3806937.17</v>
      </c>
      <c r="F9">
        <f t="shared" si="1"/>
        <v>3543533.6574129406</v>
      </c>
      <c r="G9">
        <v>498.66</v>
      </c>
      <c r="H9">
        <v>478.84</v>
      </c>
      <c r="I9">
        <f>G9-H9</f>
        <v>19.82000000000005</v>
      </c>
      <c r="J9">
        <f>E9*100/E24</f>
        <v>10.762856461186201</v>
      </c>
      <c r="K9">
        <f t="shared" si="3"/>
        <v>2870416</v>
      </c>
      <c r="L9">
        <f>(E9*S3)/100</f>
        <v>733977.4863760001</v>
      </c>
      <c r="M9">
        <f>(F9*S3)/100</f>
        <v>683193.28914921498</v>
      </c>
      <c r="N9">
        <f t="shared" si="4"/>
        <v>50784.197226785123</v>
      </c>
      <c r="O9">
        <f t="shared" si="5"/>
        <v>17.588333333333331</v>
      </c>
    </row>
    <row r="10" spans="1:20">
      <c r="A10" s="14" t="s">
        <v>28</v>
      </c>
      <c r="B10" s="2">
        <f>C10*Q2</f>
        <v>206.64433627482848</v>
      </c>
      <c r="C10">
        <v>8279</v>
      </c>
      <c r="D10" s="5">
        <f t="shared" si="2"/>
        <v>206644.33627482847</v>
      </c>
      <c r="E10">
        <v>1304552.29</v>
      </c>
      <c r="F10">
        <f t="shared" si="1"/>
        <v>1097907.9537251715</v>
      </c>
      <c r="G10">
        <v>170.88</v>
      </c>
      <c r="H10">
        <v>155.33000000000001</v>
      </c>
      <c r="I10">
        <f>G10-H10</f>
        <v>15.549999999999983</v>
      </c>
      <c r="J10">
        <f>E10*100/E24</f>
        <v>3.6881903788766111</v>
      </c>
      <c r="K10">
        <f t="shared" si="3"/>
        <v>2251888.0000000005</v>
      </c>
      <c r="L10">
        <f>(E10*S3)/100</f>
        <v>251517.68151200004</v>
      </c>
      <c r="M10">
        <f>(F10*S3)/100</f>
        <v>211676.65347821306</v>
      </c>
      <c r="N10">
        <f t="shared" si="4"/>
        <v>39841.028033786977</v>
      </c>
      <c r="O10">
        <f t="shared" si="5"/>
        <v>13.798333333333334</v>
      </c>
    </row>
    <row r="11" spans="1:20">
      <c r="A11" s="14" t="s">
        <v>29</v>
      </c>
      <c r="B11" s="4">
        <f>C11*Q2</f>
        <v>117.28732167597767</v>
      </c>
      <c r="C11">
        <v>4699</v>
      </c>
      <c r="D11" s="2">
        <f t="shared" si="2"/>
        <v>117287.32167597767</v>
      </c>
      <c r="E11">
        <v>377397.32199999999</v>
      </c>
      <c r="F11">
        <f t="shared" si="1"/>
        <v>260110.00032402232</v>
      </c>
      <c r="G11">
        <v>49.43</v>
      </c>
      <c r="H11">
        <v>40.56</v>
      </c>
      <c r="I11">
        <f>G11-H11</f>
        <v>8.8699999999999974</v>
      </c>
      <c r="J11">
        <f>E11*100/E24</f>
        <v>1.0669661788828704</v>
      </c>
      <c r="K11">
        <f t="shared" si="3"/>
        <v>1278128</v>
      </c>
      <c r="L11">
        <f>(E11*S3)/100</f>
        <v>72762.203681600004</v>
      </c>
      <c r="M11">
        <f>(F11*S3)/100</f>
        <v>50149.208062471502</v>
      </c>
      <c r="N11">
        <f t="shared" si="4"/>
        <v>22612.995619128502</v>
      </c>
      <c r="O11">
        <f t="shared" si="5"/>
        <v>7.8316666666666661</v>
      </c>
    </row>
    <row r="12" spans="1:20">
      <c r="A12" s="14" t="s">
        <v>30</v>
      </c>
      <c r="B12" s="5">
        <f>C12*Q2</f>
        <v>172.44905415180457</v>
      </c>
      <c r="C12">
        <v>6909</v>
      </c>
      <c r="D12" s="2">
        <f t="shared" si="2"/>
        <v>172449.05415180456</v>
      </c>
      <c r="E12">
        <v>459551.94</v>
      </c>
      <c r="F12">
        <f t="shared" si="1"/>
        <v>287102.88584819541</v>
      </c>
      <c r="G12">
        <v>51.2</v>
      </c>
      <c r="H12">
        <v>47.21</v>
      </c>
      <c r="I12">
        <f>G12-H12</f>
        <v>3.990000000000002</v>
      </c>
      <c r="J12">
        <f>E12*100/E24</f>
        <v>1.2992312049845711</v>
      </c>
      <c r="K12">
        <f t="shared" si="3"/>
        <v>1879248.0000000002</v>
      </c>
      <c r="L12">
        <f>(E12*S3)/100</f>
        <v>88601.614032000012</v>
      </c>
      <c r="M12">
        <f>(F12*S3)/100</f>
        <v>55353.436391532079</v>
      </c>
      <c r="N12">
        <f t="shared" si="4"/>
        <v>33248.177640467933</v>
      </c>
      <c r="O12">
        <f t="shared" si="5"/>
        <v>11.514999999999999</v>
      </c>
    </row>
    <row r="13" spans="1:20">
      <c r="A13" s="14" t="s">
        <v>31</v>
      </c>
      <c r="B13" s="2">
        <f>C13*Q2</f>
        <v>56.409735473017562</v>
      </c>
      <c r="C13">
        <v>2260</v>
      </c>
      <c r="D13" s="2">
        <f t="shared" si="2"/>
        <v>56409.735473017565</v>
      </c>
      <c r="E13">
        <v>215093.27</v>
      </c>
      <c r="F13">
        <f t="shared" si="1"/>
        <v>158683.53452698243</v>
      </c>
      <c r="G13">
        <v>28.18</v>
      </c>
      <c r="H13">
        <v>23.92</v>
      </c>
      <c r="I13">
        <f>G13-H13</f>
        <v>4.259999999999998</v>
      </c>
      <c r="J13">
        <f>E13*100/E24</f>
        <v>0.60810512162384023</v>
      </c>
      <c r="K13">
        <f t="shared" si="3"/>
        <v>614720</v>
      </c>
      <c r="L13">
        <f>(E13*S3)/100</f>
        <v>41469.982455999998</v>
      </c>
      <c r="M13">
        <f>(F13*S3)/100</f>
        <v>30594.185456802217</v>
      </c>
      <c r="N13">
        <f t="shared" si="4"/>
        <v>10875.796999197781</v>
      </c>
      <c r="O13">
        <f t="shared" si="5"/>
        <v>3.7666666666666666</v>
      </c>
    </row>
    <row r="14" spans="1:20" ht="15" customHeight="1">
      <c r="A14" s="14" t="s">
        <v>32</v>
      </c>
      <c r="B14" s="2">
        <f>C14*Q2</f>
        <v>217.62676265010623</v>
      </c>
      <c r="C14">
        <v>8719</v>
      </c>
      <c r="D14" s="2">
        <f t="shared" si="2"/>
        <v>217626.76265010622</v>
      </c>
      <c r="E14">
        <v>2706320.44</v>
      </c>
      <c r="F14">
        <f t="shared" si="1"/>
        <v>2488693.6773498938</v>
      </c>
      <c r="G14">
        <v>354.49</v>
      </c>
      <c r="H14">
        <v>338.1</v>
      </c>
      <c r="I14">
        <f>G14-H14</f>
        <v>16.389999999999986</v>
      </c>
      <c r="J14">
        <f>E14*100/E24</f>
        <v>7.6512264671009218</v>
      </c>
      <c r="K14">
        <f t="shared" si="3"/>
        <v>2371568.0000000005</v>
      </c>
      <c r="L14">
        <f>(E14*S3)/100</f>
        <v>521778.58083200001</v>
      </c>
      <c r="M14">
        <f>(F14*S3)/100</f>
        <v>479820.14099305955</v>
      </c>
      <c r="N14">
        <f t="shared" si="4"/>
        <v>41958.439838940452</v>
      </c>
      <c r="O14">
        <f t="shared" si="5"/>
        <v>14.531666666666666</v>
      </c>
    </row>
    <row r="15" spans="1:20" ht="15" customHeight="1">
      <c r="A15" s="14" t="s">
        <v>33</v>
      </c>
      <c r="B15" s="2">
        <f>C15*Q2</f>
        <v>214.18227437786004</v>
      </c>
      <c r="C15">
        <v>8581</v>
      </c>
      <c r="D15" s="2">
        <f t="shared" si="2"/>
        <v>214182.27437786004</v>
      </c>
      <c r="E15">
        <v>1083565.656</v>
      </c>
      <c r="F15">
        <f t="shared" si="1"/>
        <v>869383.38162213995</v>
      </c>
      <c r="G15">
        <v>141.93</v>
      </c>
      <c r="H15">
        <v>125.81</v>
      </c>
      <c r="I15">
        <f>G15-H15</f>
        <v>16.120000000000005</v>
      </c>
      <c r="J15">
        <f>E15*100/E24</f>
        <v>3.0634237186002897</v>
      </c>
      <c r="K15">
        <f t="shared" si="3"/>
        <v>2334032</v>
      </c>
      <c r="L15">
        <f>(E15*S3)/100</f>
        <v>208911.45847679998</v>
      </c>
      <c r="M15">
        <f>(F15*S3)/100</f>
        <v>167617.11597674861</v>
      </c>
      <c r="N15">
        <f t="shared" si="4"/>
        <v>41294.342500051367</v>
      </c>
      <c r="O15">
        <f t="shared" si="5"/>
        <v>14.301666666666668</v>
      </c>
    </row>
    <row r="16" spans="1:20" ht="15" customHeight="1">
      <c r="A16" s="14" t="s">
        <v>34</v>
      </c>
      <c r="B16" s="2">
        <f>C16*Q2</f>
        <v>204.44785099977292</v>
      </c>
      <c r="C16">
        <v>8191</v>
      </c>
      <c r="D16" s="2">
        <f t="shared" si="2"/>
        <v>204447.85099977293</v>
      </c>
      <c r="E16">
        <v>719867.82</v>
      </c>
      <c r="F16">
        <f t="shared" si="1"/>
        <v>515419.96900022705</v>
      </c>
      <c r="G16">
        <v>94.3</v>
      </c>
      <c r="H16">
        <v>78.91</v>
      </c>
      <c r="I16">
        <f>G16-H16</f>
        <v>15.39</v>
      </c>
      <c r="J16">
        <f>E16*100/E24</f>
        <v>2.0351883080032613</v>
      </c>
      <c r="K16">
        <f t="shared" si="3"/>
        <v>2227952</v>
      </c>
      <c r="L16">
        <f>(E16*S3)/100</f>
        <v>138790.51569599999</v>
      </c>
      <c r="M16">
        <f>(F16*S3)/100</f>
        <v>99372.970023243775</v>
      </c>
      <c r="N16">
        <f t="shared" si="4"/>
        <v>39417.545672756212</v>
      </c>
      <c r="O16">
        <f t="shared" si="5"/>
        <v>13.651666666666667</v>
      </c>
    </row>
    <row r="17" spans="1:15" ht="15" customHeight="1">
      <c r="A17" s="14" t="s">
        <v>35</v>
      </c>
      <c r="B17" s="2">
        <f>C17*Q2</f>
        <v>61.676308121162123</v>
      </c>
      <c r="C17">
        <v>2471</v>
      </c>
      <c r="D17" s="2">
        <f t="shared" si="2"/>
        <v>61676.308121162125</v>
      </c>
      <c r="E17">
        <v>2737816.93</v>
      </c>
      <c r="F17">
        <f t="shared" si="1"/>
        <v>2676140.6218788382</v>
      </c>
      <c r="G17">
        <v>358.62</v>
      </c>
      <c r="H17">
        <v>353.976</v>
      </c>
      <c r="I17">
        <f>G17-H17</f>
        <v>4.6440000000000055</v>
      </c>
      <c r="J17">
        <f>E17*100/E24</f>
        <v>7.7402723813788255</v>
      </c>
      <c r="K17">
        <f t="shared" si="3"/>
        <v>672112.00000000012</v>
      </c>
      <c r="L17">
        <f>(E17*S3)/100</f>
        <v>527851.10410400003</v>
      </c>
      <c r="M17">
        <f>(F17*S3)/100</f>
        <v>515959.91189823998</v>
      </c>
      <c r="N17">
        <f t="shared" si="4"/>
        <v>11891.192205760046</v>
      </c>
      <c r="O17">
        <f t="shared" si="5"/>
        <v>4.1183333333333332</v>
      </c>
    </row>
    <row r="18" spans="1:15" ht="15" customHeight="1">
      <c r="A18" s="14" t="s">
        <v>36</v>
      </c>
      <c r="B18" s="2">
        <f>C18*Q2</f>
        <v>58.281739968803542</v>
      </c>
      <c r="C18">
        <v>2335</v>
      </c>
      <c r="D18" s="2">
        <f>B18*1000</f>
        <v>58281.739968803544</v>
      </c>
      <c r="E18">
        <v>172056.73</v>
      </c>
      <c r="F18">
        <f t="shared" si="1"/>
        <v>113774.99003119647</v>
      </c>
      <c r="G18">
        <v>22.53</v>
      </c>
      <c r="H18">
        <v>18.14</v>
      </c>
      <c r="I18">
        <f>G18-H18</f>
        <v>4.3900000000000006</v>
      </c>
      <c r="J18">
        <f>E18*100/E24</f>
        <v>0.48643353054630778</v>
      </c>
      <c r="K18">
        <f t="shared" si="3"/>
        <v>635120</v>
      </c>
      <c r="L18">
        <f>(E18*S3)/100</f>
        <v>33172.537544000006</v>
      </c>
      <c r="M18">
        <f>(F18*S3)/100</f>
        <v>21935.818078014683</v>
      </c>
      <c r="N18">
        <f t="shared" si="4"/>
        <v>11236.719465985323</v>
      </c>
      <c r="O18">
        <f t="shared" si="5"/>
        <v>3.8916666666666666</v>
      </c>
    </row>
    <row r="19" spans="1:15" ht="15" customHeight="1">
      <c r="A19" s="14" t="s">
        <v>37</v>
      </c>
      <c r="B19" s="4">
        <f>C19*Q2</f>
        <v>106.08025476120559</v>
      </c>
      <c r="C19">
        <v>4250</v>
      </c>
      <c r="D19" s="2">
        <f>B19*1000</f>
        <v>106080.25476120559</v>
      </c>
      <c r="E19">
        <v>1923419.74</v>
      </c>
      <c r="F19">
        <f t="shared" si="1"/>
        <v>1817339.4852387945</v>
      </c>
      <c r="G19">
        <v>251.95</v>
      </c>
      <c r="H19">
        <v>243.96</v>
      </c>
      <c r="I19">
        <f>G19-H19</f>
        <v>7.9899999999999807</v>
      </c>
      <c r="J19">
        <f>E19*100/E24</f>
        <v>5.437833526480838</v>
      </c>
      <c r="K19">
        <f t="shared" si="3"/>
        <v>1156000</v>
      </c>
      <c r="L19">
        <f>(E19*S3)/100</f>
        <v>370835.32587200002</v>
      </c>
      <c r="M19">
        <f>(F19*S3)/100</f>
        <v>350383.05275403964</v>
      </c>
      <c r="N19">
        <f t="shared" si="4"/>
        <v>20452.273117960372</v>
      </c>
      <c r="O19">
        <f t="shared" si="5"/>
        <v>7.083333333333333</v>
      </c>
    </row>
    <row r="20" spans="1:15" ht="15" customHeight="1">
      <c r="A20" s="14" t="s">
        <v>38</v>
      </c>
      <c r="B20" s="5">
        <f>C20*Q2</f>
        <v>104.43289080491392</v>
      </c>
      <c r="C20">
        <v>4184</v>
      </c>
      <c r="D20" s="4">
        <f>B20*1000</f>
        <v>104432.89080491393</v>
      </c>
      <c r="E20">
        <f>120481.5</f>
        <v>120481.5</v>
      </c>
      <c r="F20">
        <f t="shared" si="1"/>
        <v>16048.609195086072</v>
      </c>
      <c r="G20">
        <v>15.77</v>
      </c>
      <c r="H20">
        <v>7.92</v>
      </c>
      <c r="I20">
        <f>G20-H20</f>
        <v>7.85</v>
      </c>
      <c r="J20">
        <f>E20*100/E24</f>
        <v>0.34062161596651863</v>
      </c>
      <c r="K20">
        <f t="shared" si="3"/>
        <v>1138048</v>
      </c>
      <c r="L20">
        <f>(E20*S3)/100</f>
        <v>23228.833200000005</v>
      </c>
      <c r="M20">
        <f>(F20*S3)/100</f>
        <v>3094.1718528125948</v>
      </c>
      <c r="N20">
        <f t="shared" si="4"/>
        <v>20134.661347187408</v>
      </c>
      <c r="O20">
        <f t="shared" si="5"/>
        <v>6.9733333333333327</v>
      </c>
    </row>
    <row r="21" spans="1:15" ht="15" customHeight="1">
      <c r="A21" s="14" t="s">
        <v>39</v>
      </c>
      <c r="B21" s="2">
        <f>C21*Q2</f>
        <v>14.851235666568781</v>
      </c>
      <c r="C21">
        <v>595</v>
      </c>
      <c r="D21" s="5">
        <f>B21*1000</f>
        <v>14851.235666568782</v>
      </c>
      <c r="E21">
        <v>3353021.87</v>
      </c>
      <c r="F21">
        <f t="shared" si="1"/>
        <v>3338170.6343334313</v>
      </c>
      <c r="G21">
        <v>439.2</v>
      </c>
      <c r="H21">
        <v>438.09</v>
      </c>
      <c r="I21">
        <f>G21-H21</f>
        <v>1.1100000000000136</v>
      </c>
      <c r="J21">
        <f>E21*100/E24</f>
        <v>9.4795609926044921</v>
      </c>
      <c r="K21">
        <f t="shared" si="3"/>
        <v>161840</v>
      </c>
      <c r="L21">
        <f>(E21*S3)/100</f>
        <v>646462.61653600005</v>
      </c>
      <c r="M21">
        <f>(F21*S3)/100</f>
        <v>643599.29829948558</v>
      </c>
      <c r="N21">
        <f t="shared" si="4"/>
        <v>2863.3182365144603</v>
      </c>
      <c r="O21">
        <f t="shared" si="5"/>
        <v>0.9916666666666667</v>
      </c>
    </row>
    <row r="22" spans="1:15" ht="15" customHeight="1">
      <c r="A22" s="14" t="s">
        <v>40</v>
      </c>
      <c r="B22" s="2"/>
      <c r="D22" s="5"/>
      <c r="E22">
        <v>49447.99</v>
      </c>
      <c r="F22">
        <f t="shared" si="1"/>
        <v>49447.99</v>
      </c>
      <c r="J22">
        <f>E22*100/E24</f>
        <v>0.13979784664115447</v>
      </c>
    </row>
    <row r="23" spans="1:15" ht="15" customHeight="1">
      <c r="A23" s="14" t="s">
        <v>41</v>
      </c>
      <c r="B23" s="2"/>
      <c r="D23" s="5"/>
    </row>
    <row r="24" spans="1:15" ht="15" customHeight="1">
      <c r="A24" s="14" t="s">
        <v>42</v>
      </c>
      <c r="B24" s="2"/>
      <c r="D24" s="5"/>
      <c r="E24">
        <v>35371067</v>
      </c>
      <c r="I24">
        <f>SUM(I2:I21)</f>
        <v>190.69399999999996</v>
      </c>
    </row>
    <row r="25" spans="1:15" ht="15" customHeight="1">
      <c r="A25" s="14"/>
      <c r="B25" s="2"/>
      <c r="D25" s="5"/>
    </row>
    <row r="26" spans="1:15" ht="15" customHeight="1">
      <c r="A26" s="14" t="s">
        <v>43</v>
      </c>
      <c r="B26" s="2">
        <f>C26*Q2</f>
        <v>842.60170358324194</v>
      </c>
      <c r="C26">
        <v>33758</v>
      </c>
      <c r="D26" s="5">
        <f t="shared" ref="D22:D26" si="6">B26*1000</f>
        <v>842601.70358324191</v>
      </c>
      <c r="E26">
        <v>5323489.25</v>
      </c>
      <c r="F26">
        <f t="shared" si="1"/>
        <v>4480887.5464167576</v>
      </c>
      <c r="G26">
        <v>697.27</v>
      </c>
      <c r="H26">
        <v>633.88</v>
      </c>
      <c r="I26">
        <f t="shared" ref="I26" si="7">G26-H26</f>
        <v>63.389999999999986</v>
      </c>
      <c r="K26">
        <v>9182176</v>
      </c>
      <c r="O26">
        <v>45.01</v>
      </c>
    </row>
    <row r="27" spans="1:15" ht="15" customHeight="1">
      <c r="A27" s="14" t="s">
        <v>44</v>
      </c>
    </row>
    <row r="28" spans="1:15" ht="15" customHeight="1">
      <c r="A28" s="14" t="s">
        <v>45</v>
      </c>
    </row>
    <row r="29" spans="1:15" ht="15" customHeight="1">
      <c r="A29" s="14" t="s">
        <v>46</v>
      </c>
    </row>
    <row r="30" spans="1:15" ht="15" customHeight="1">
      <c r="A30" s="14" t="s">
        <v>47</v>
      </c>
    </row>
  </sheetData>
  <hyperlinks>
    <hyperlink ref="T2" r:id="rId1" xr:uid="{D27E7747-898A-4185-BC9B-3B3E759AF11A}"/>
  </hyperlinks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DBD0E-80F1-450D-B589-A67F9E29E067}">
  <dimension ref="A1:AF31"/>
  <sheetViews>
    <sheetView topLeftCell="P1" workbookViewId="0">
      <selection activeCell="AC22" sqref="AC22"/>
    </sheetView>
  </sheetViews>
  <sheetFormatPr defaultRowHeight="15"/>
  <cols>
    <col min="2" max="2" width="10.85546875" bestFit="1" customWidth="1"/>
    <col min="9" max="9" width="14.28515625" customWidth="1"/>
    <col min="13" max="13" width="12" customWidth="1"/>
    <col min="15" max="15" width="12.28515625" customWidth="1"/>
    <col min="22" max="23" width="16.42578125" customWidth="1"/>
    <col min="24" max="24" width="11.7109375" customWidth="1"/>
  </cols>
  <sheetData>
    <row r="1" spans="1:32">
      <c r="A1" s="9" t="s">
        <v>0</v>
      </c>
      <c r="B1" s="10" t="s">
        <v>48</v>
      </c>
      <c r="C1" s="10" t="s">
        <v>2</v>
      </c>
      <c r="D1" s="10" t="s">
        <v>49</v>
      </c>
      <c r="E1" s="10" t="s">
        <v>50</v>
      </c>
      <c r="F1" s="10" t="s">
        <v>51</v>
      </c>
      <c r="G1" s="10" t="s">
        <v>52</v>
      </c>
      <c r="H1" s="10" t="s">
        <v>53</v>
      </c>
      <c r="I1" s="10" t="s">
        <v>54</v>
      </c>
      <c r="J1" s="10"/>
      <c r="K1" s="10" t="s">
        <v>6</v>
      </c>
      <c r="L1" s="10" t="s">
        <v>7</v>
      </c>
      <c r="M1" s="10" t="s">
        <v>8</v>
      </c>
      <c r="N1" s="10" t="s">
        <v>9</v>
      </c>
      <c r="O1" s="10" t="s">
        <v>55</v>
      </c>
      <c r="P1" s="10" t="s">
        <v>56</v>
      </c>
      <c r="Q1" s="10" t="s">
        <v>57</v>
      </c>
      <c r="R1" s="10" t="s">
        <v>58</v>
      </c>
      <c r="S1" s="10" t="s">
        <v>59</v>
      </c>
      <c r="T1" s="10" t="s">
        <v>13</v>
      </c>
      <c r="U1" s="10" t="s">
        <v>14</v>
      </c>
      <c r="V1" s="14" t="s">
        <v>60</v>
      </c>
      <c r="W1" s="14"/>
      <c r="X1" s="14" t="s">
        <v>61</v>
      </c>
    </row>
    <row r="2" spans="1:32">
      <c r="A2" s="14" t="s">
        <v>17</v>
      </c>
      <c r="B2" s="23">
        <v>751265.78599999996</v>
      </c>
      <c r="C2">
        <v>2383</v>
      </c>
      <c r="D2">
        <v>5</v>
      </c>
      <c r="E2">
        <v>12</v>
      </c>
      <c r="F2">
        <f>SQRT(C2)*4*E2</f>
        <v>2343.1670875121135</v>
      </c>
      <c r="G2">
        <f>C2*D2*0.4555</f>
        <v>5427.2825000000003</v>
      </c>
      <c r="H2">
        <f>G2*1.182939185</f>
        <v>6420.1451373147629</v>
      </c>
      <c r="I2">
        <f>B2*0.4</f>
        <v>300506.31439999997</v>
      </c>
      <c r="K2">
        <v>166.81</v>
      </c>
      <c r="L2">
        <f>K2*0.4</f>
        <v>66.724000000000004</v>
      </c>
      <c r="M2">
        <f>K2-L2</f>
        <v>100.086</v>
      </c>
      <c r="N2">
        <f>(B2*100)/B24</f>
        <v>1.057678254038743</v>
      </c>
      <c r="O2">
        <f>C2*262.5</f>
        <v>625537.5</v>
      </c>
      <c r="P2">
        <f>F2*245</f>
        <v>574075.93644046783</v>
      </c>
      <c r="Q2">
        <f>O2+P2</f>
        <v>1199613.4364404678</v>
      </c>
      <c r="R2">
        <f>(B2*8.8)/100</f>
        <v>66111.389167999994</v>
      </c>
      <c r="S2">
        <f>(I2*8.8)/100</f>
        <v>26444.555667199998</v>
      </c>
      <c r="T2">
        <f>R2-S2</f>
        <v>39666.833500799999</v>
      </c>
      <c r="U2">
        <f>(((F2+C2)/80)*5)/30</f>
        <v>9.8461814323169037</v>
      </c>
      <c r="X2">
        <f>B24/G24</f>
        <v>201.21730594900851</v>
      </c>
      <c r="Z2" t="s">
        <v>62</v>
      </c>
    </row>
    <row r="3" spans="1:32">
      <c r="A3" s="21" t="s">
        <v>20</v>
      </c>
      <c r="B3" s="23">
        <v>341127.56099999999</v>
      </c>
      <c r="C3">
        <v>2062</v>
      </c>
      <c r="D3">
        <v>4</v>
      </c>
      <c r="E3">
        <v>12</v>
      </c>
      <c r="F3">
        <f t="shared" ref="F3:F27" si="0">SQRT(C3)*4*E3</f>
        <v>2179.6440076306039</v>
      </c>
      <c r="G3" s="18">
        <v>3757</v>
      </c>
      <c r="H3">
        <f t="shared" ref="H3:H21" si="1">G3*1.182939185</f>
        <v>4444.3025180449995</v>
      </c>
      <c r="K3">
        <v>75.75</v>
      </c>
      <c r="N3">
        <f>(B3*100)/B24</f>
        <v>0.48026039498486472</v>
      </c>
      <c r="O3">
        <f t="shared" ref="O3:O27" si="2">C3*262.5</f>
        <v>541275</v>
      </c>
      <c r="P3">
        <f t="shared" ref="P3:P27" si="3">F3*245</f>
        <v>534012.78186949797</v>
      </c>
      <c r="Q3">
        <f t="shared" ref="Q3:Q27" si="4">O3+P3</f>
        <v>1075287.7818694981</v>
      </c>
      <c r="R3">
        <f t="shared" ref="R3:R27" si="5">(B3*8.8)/100</f>
        <v>30019.225368000003</v>
      </c>
      <c r="S3">
        <f t="shared" ref="S3:S27" si="6">(I3*8.8)/100</f>
        <v>0</v>
      </c>
      <c r="U3">
        <f t="shared" ref="U3:U27" si="7">(((F3+C3)/80)*5)/30</f>
        <v>8.8367583492304256</v>
      </c>
      <c r="V3">
        <f>G3/(C3*4)</f>
        <v>0.45550436469447136</v>
      </c>
      <c r="Z3" s="15" t="s">
        <v>63</v>
      </c>
    </row>
    <row r="4" spans="1:32">
      <c r="A4" s="14" t="s">
        <v>22</v>
      </c>
      <c r="B4">
        <f>X2*H4</f>
        <v>0</v>
      </c>
      <c r="C4">
        <v>599</v>
      </c>
      <c r="I4">
        <f t="shared" ref="I3:I21" si="8">B4*0.4</f>
        <v>0</v>
      </c>
      <c r="L4">
        <f t="shared" ref="L3:L21" si="9">K4*0.4</f>
        <v>0</v>
      </c>
      <c r="N4">
        <f>(B4*100)/B24</f>
        <v>0</v>
      </c>
      <c r="O4">
        <f t="shared" si="2"/>
        <v>157237.5</v>
      </c>
      <c r="P4">
        <f t="shared" si="3"/>
        <v>0</v>
      </c>
      <c r="Q4">
        <f t="shared" si="4"/>
        <v>157237.5</v>
      </c>
      <c r="R4">
        <f t="shared" si="5"/>
        <v>0</v>
      </c>
      <c r="S4">
        <f t="shared" si="6"/>
        <v>0</v>
      </c>
      <c r="T4">
        <f t="shared" ref="T3:T27" si="10">R4-S4</f>
        <v>0</v>
      </c>
      <c r="U4">
        <f t="shared" si="7"/>
        <v>1.2479166666666666</v>
      </c>
      <c r="Z4" s="15" t="s">
        <v>64</v>
      </c>
    </row>
    <row r="5" spans="1:32">
      <c r="A5" s="21" t="s">
        <v>23</v>
      </c>
      <c r="B5" s="23">
        <v>2094285.37</v>
      </c>
      <c r="C5">
        <v>7060</v>
      </c>
      <c r="D5">
        <v>4</v>
      </c>
      <c r="E5">
        <v>8</v>
      </c>
      <c r="F5">
        <f t="shared" si="0"/>
        <v>2688.7617968128006</v>
      </c>
      <c r="G5" s="17">
        <v>11350</v>
      </c>
      <c r="H5">
        <f t="shared" si="1"/>
        <v>13426.35974975</v>
      </c>
      <c r="K5">
        <v>465.02</v>
      </c>
      <c r="O5">
        <f t="shared" si="2"/>
        <v>1853250</v>
      </c>
      <c r="P5">
        <f t="shared" si="3"/>
        <v>658746.64021913614</v>
      </c>
      <c r="Q5">
        <f t="shared" si="4"/>
        <v>2511996.6402191361</v>
      </c>
      <c r="R5">
        <f t="shared" si="5"/>
        <v>184297.11256000001</v>
      </c>
      <c r="S5">
        <f t="shared" si="6"/>
        <v>0</v>
      </c>
      <c r="U5">
        <f t="shared" si="7"/>
        <v>20.309920410026667</v>
      </c>
      <c r="V5" t="s">
        <v>65</v>
      </c>
    </row>
    <row r="6" spans="1:32">
      <c r="A6" s="14" t="s">
        <v>24</v>
      </c>
      <c r="B6" s="5">
        <f>X9*H6</f>
        <v>157608.93386616904</v>
      </c>
      <c r="C6">
        <v>585</v>
      </c>
      <c r="D6">
        <v>2</v>
      </c>
      <c r="E6">
        <v>6</v>
      </c>
      <c r="F6">
        <f t="shared" si="0"/>
        <v>580.48255787749554</v>
      </c>
      <c r="G6">
        <f>C6*D6*V3</f>
        <v>532.94010669253146</v>
      </c>
      <c r="H6">
        <f t="shared" si="1"/>
        <v>630.43573546467621</v>
      </c>
      <c r="I6">
        <f t="shared" si="8"/>
        <v>63043.573546467618</v>
      </c>
      <c r="K6">
        <v>34.99</v>
      </c>
      <c r="L6">
        <f t="shared" si="9"/>
        <v>13.996000000000002</v>
      </c>
      <c r="M6">
        <f t="shared" ref="M6:M27" si="11">K6-L6</f>
        <v>20.994</v>
      </c>
      <c r="N6">
        <f>(B6*100)/B24</f>
        <v>0.22189156633904983</v>
      </c>
      <c r="O6">
        <f t="shared" si="2"/>
        <v>153562.5</v>
      </c>
      <c r="P6">
        <f t="shared" si="3"/>
        <v>142218.2266799864</v>
      </c>
      <c r="Q6">
        <f t="shared" si="4"/>
        <v>295780.7266799864</v>
      </c>
      <c r="R6">
        <f t="shared" si="5"/>
        <v>13869.586180222877</v>
      </c>
      <c r="S6">
        <f t="shared" si="6"/>
        <v>5547.8344720891509</v>
      </c>
      <c r="T6">
        <f t="shared" si="10"/>
        <v>8321.7517081337264</v>
      </c>
      <c r="U6">
        <f t="shared" si="7"/>
        <v>2.4280886622447824</v>
      </c>
      <c r="V6">
        <f>G24/G25</f>
        <v>1.160700286646962</v>
      </c>
    </row>
    <row r="7" spans="1:32">
      <c r="A7" s="20" t="s">
        <v>25</v>
      </c>
      <c r="B7" s="23">
        <v>13636105.1</v>
      </c>
      <c r="C7">
        <v>20796</v>
      </c>
      <c r="D7">
        <v>8</v>
      </c>
      <c r="F7">
        <f t="shared" si="0"/>
        <v>0</v>
      </c>
      <c r="G7">
        <f>C7*D7*V3</f>
        <v>75781.350145489807</v>
      </c>
      <c r="H7">
        <f t="shared" si="1"/>
        <v>89644.728579305345</v>
      </c>
      <c r="I7">
        <f t="shared" si="8"/>
        <v>5454442.04</v>
      </c>
      <c r="K7" s="1">
        <v>3027.82</v>
      </c>
      <c r="L7">
        <f t="shared" si="9"/>
        <v>1211.1280000000002</v>
      </c>
      <c r="M7">
        <f t="shared" si="11"/>
        <v>1816.692</v>
      </c>
      <c r="N7">
        <f>(B7*100)/B24</f>
        <v>19.19774878987608</v>
      </c>
      <c r="O7">
        <f t="shared" si="2"/>
        <v>5458950</v>
      </c>
      <c r="P7">
        <f t="shared" si="3"/>
        <v>0</v>
      </c>
      <c r="Q7">
        <f t="shared" si="4"/>
        <v>5458950</v>
      </c>
      <c r="R7">
        <f t="shared" si="5"/>
        <v>1199977.2488000002</v>
      </c>
      <c r="S7">
        <f t="shared" si="6"/>
        <v>479990.89952000009</v>
      </c>
      <c r="T7">
        <f t="shared" si="10"/>
        <v>719986.34928000008</v>
      </c>
      <c r="U7">
        <f t="shared" si="7"/>
        <v>43.325000000000003</v>
      </c>
    </row>
    <row r="8" spans="1:32">
      <c r="A8" s="14" t="s">
        <v>26</v>
      </c>
      <c r="B8" s="23">
        <v>2833340.11</v>
      </c>
      <c r="C8">
        <v>13437</v>
      </c>
      <c r="D8">
        <v>5</v>
      </c>
      <c r="E8">
        <v>12</v>
      </c>
      <c r="F8">
        <f t="shared" si="0"/>
        <v>5564.0675768721576</v>
      </c>
      <c r="G8">
        <f>C8*D8*V3</f>
        <v>30603.060741998059</v>
      </c>
      <c r="H8">
        <f t="shared" si="1"/>
        <v>36201.55973264468</v>
      </c>
      <c r="I8">
        <f t="shared" si="8"/>
        <v>1133336.044</v>
      </c>
      <c r="K8">
        <v>629.13</v>
      </c>
      <c r="L8">
        <f t="shared" si="9"/>
        <v>251.65200000000002</v>
      </c>
      <c r="M8">
        <f t="shared" si="11"/>
        <v>377.47799999999995</v>
      </c>
      <c r="N8">
        <f>(B8*100)/B24</f>
        <v>3.9889507501713122</v>
      </c>
      <c r="O8">
        <f t="shared" si="2"/>
        <v>3527212.5</v>
      </c>
      <c r="P8">
        <f t="shared" si="3"/>
        <v>1363196.5563336785</v>
      </c>
      <c r="Q8">
        <f t="shared" si="4"/>
        <v>4890409.0563336788</v>
      </c>
      <c r="R8">
        <f t="shared" si="5"/>
        <v>249333.92968000003</v>
      </c>
      <c r="S8">
        <f t="shared" si="6"/>
        <v>99733.571872</v>
      </c>
      <c r="T8">
        <f t="shared" si="10"/>
        <v>149600.35780800003</v>
      </c>
      <c r="U8">
        <f t="shared" si="7"/>
        <v>39.585557451816989</v>
      </c>
      <c r="X8" s="14" t="s">
        <v>66</v>
      </c>
      <c r="AA8" t="s">
        <v>67</v>
      </c>
    </row>
    <row r="9" spans="1:32">
      <c r="A9" s="14" t="s">
        <v>27</v>
      </c>
      <c r="B9" s="23">
        <v>3529998.44</v>
      </c>
      <c r="C9">
        <v>10553</v>
      </c>
      <c r="D9">
        <v>5</v>
      </c>
      <c r="E9">
        <v>6</v>
      </c>
      <c r="F9">
        <f t="shared" si="0"/>
        <v>2465.467095704179</v>
      </c>
      <c r="G9">
        <f>C9*D9*V3</f>
        <v>24034.687803103781</v>
      </c>
      <c r="H9">
        <f t="shared" si="1"/>
        <v>28431.574001533027</v>
      </c>
      <c r="I9">
        <f t="shared" si="8"/>
        <v>1411999.3760000002</v>
      </c>
      <c r="K9">
        <v>783.82</v>
      </c>
      <c r="L9">
        <f t="shared" si="9"/>
        <v>313.52800000000002</v>
      </c>
      <c r="M9">
        <f t="shared" si="11"/>
        <v>470.29200000000003</v>
      </c>
      <c r="N9">
        <f>(B9*100)/B24</f>
        <v>4.969749263649665</v>
      </c>
      <c r="O9">
        <f t="shared" si="2"/>
        <v>2770162.5</v>
      </c>
      <c r="P9">
        <f t="shared" si="3"/>
        <v>604039.43844752386</v>
      </c>
      <c r="Q9">
        <f t="shared" si="4"/>
        <v>3374201.9384475239</v>
      </c>
      <c r="R9">
        <f t="shared" si="5"/>
        <v>310639.86272000003</v>
      </c>
      <c r="S9">
        <f t="shared" si="6"/>
        <v>124255.94508800002</v>
      </c>
      <c r="T9">
        <f t="shared" si="10"/>
        <v>186383.917632</v>
      </c>
      <c r="U9">
        <f t="shared" si="7"/>
        <v>27.121806449383705</v>
      </c>
      <c r="X9">
        <v>250</v>
      </c>
      <c r="AA9" t="s">
        <v>68</v>
      </c>
      <c r="AE9" t="s">
        <v>69</v>
      </c>
      <c r="AF9">
        <v>262.5</v>
      </c>
    </row>
    <row r="10" spans="1:32">
      <c r="A10" s="24" t="s">
        <v>28</v>
      </c>
      <c r="B10" s="14">
        <v>868127.2</v>
      </c>
      <c r="C10">
        <v>8279</v>
      </c>
      <c r="D10">
        <v>8</v>
      </c>
      <c r="E10">
        <v>12</v>
      </c>
      <c r="F10">
        <f t="shared" si="0"/>
        <v>4367.4724956203218</v>
      </c>
      <c r="G10">
        <f>C10*D10*V3</f>
        <v>30168.965082444229</v>
      </c>
      <c r="H10">
        <f t="shared" si="1"/>
        <v>35688.050966920033</v>
      </c>
      <c r="I10">
        <f t="shared" si="8"/>
        <v>347250.88</v>
      </c>
      <c r="K10">
        <v>192.77</v>
      </c>
      <c r="L10">
        <f t="shared" si="9"/>
        <v>77.108000000000004</v>
      </c>
      <c r="M10">
        <f t="shared" si="11"/>
        <v>115.66200000000001</v>
      </c>
      <c r="N10">
        <f>(B10*100)/B24</f>
        <v>1.2222029517254533</v>
      </c>
      <c r="O10">
        <f t="shared" si="2"/>
        <v>2173237.5</v>
      </c>
      <c r="P10">
        <f t="shared" si="3"/>
        <v>1070030.7614269787</v>
      </c>
      <c r="Q10">
        <f t="shared" si="4"/>
        <v>3243268.2614269787</v>
      </c>
      <c r="R10">
        <f t="shared" si="5"/>
        <v>76395.193599999999</v>
      </c>
      <c r="S10">
        <f t="shared" si="6"/>
        <v>30558.077440000005</v>
      </c>
      <c r="T10">
        <f t="shared" si="10"/>
        <v>45837.11615999999</v>
      </c>
      <c r="U10">
        <f t="shared" si="7"/>
        <v>26.346817699209002</v>
      </c>
      <c r="X10" s="20" t="s">
        <v>70</v>
      </c>
      <c r="AA10" t="s">
        <v>71</v>
      </c>
      <c r="AE10" t="s">
        <v>72</v>
      </c>
      <c r="AF10">
        <v>245</v>
      </c>
    </row>
    <row r="11" spans="1:32">
      <c r="A11" s="14" t="s">
        <v>29</v>
      </c>
      <c r="B11" s="23">
        <v>1745588.04</v>
      </c>
      <c r="C11">
        <v>4699</v>
      </c>
      <c r="D11">
        <v>8</v>
      </c>
      <c r="E11">
        <v>18</v>
      </c>
      <c r="F11">
        <f t="shared" si="0"/>
        <v>4935.5461703847932</v>
      </c>
      <c r="G11">
        <f>C11*D11*V3</f>
        <v>17123.320077594566</v>
      </c>
      <c r="H11">
        <f t="shared" si="1"/>
        <v>20255.846297083852</v>
      </c>
      <c r="I11">
        <f t="shared" si="8"/>
        <v>698235.21600000001</v>
      </c>
      <c r="K11">
        <v>387.6</v>
      </c>
      <c r="L11">
        <f t="shared" si="9"/>
        <v>155.04000000000002</v>
      </c>
      <c r="M11">
        <f t="shared" si="11"/>
        <v>232.56</v>
      </c>
      <c r="N11">
        <f>(B11*100)/B24</f>
        <v>2.4575463768266319</v>
      </c>
      <c r="O11">
        <f t="shared" si="2"/>
        <v>1233487.5</v>
      </c>
      <c r="P11">
        <f t="shared" si="3"/>
        <v>1209208.8117442743</v>
      </c>
      <c r="Q11">
        <f t="shared" si="4"/>
        <v>2442696.3117442746</v>
      </c>
      <c r="R11">
        <f t="shared" si="5"/>
        <v>153611.74752000003</v>
      </c>
      <c r="S11">
        <f t="shared" si="6"/>
        <v>61444.699008000011</v>
      </c>
      <c r="T11">
        <f t="shared" si="10"/>
        <v>92167.048512000023</v>
      </c>
      <c r="U11">
        <f t="shared" si="7"/>
        <v>20.071971188301653</v>
      </c>
      <c r="X11">
        <v>200</v>
      </c>
      <c r="AA11" t="s">
        <v>73</v>
      </c>
    </row>
    <row r="12" spans="1:32">
      <c r="A12" s="14" t="s">
        <v>30</v>
      </c>
      <c r="B12" s="23">
        <v>497941.67499999999</v>
      </c>
      <c r="C12">
        <v>6909</v>
      </c>
      <c r="D12">
        <v>3</v>
      </c>
      <c r="E12">
        <v>6</v>
      </c>
      <c r="F12">
        <f t="shared" si="0"/>
        <v>1994.88947062237</v>
      </c>
      <c r="G12">
        <f>C12*D12*V3</f>
        <v>9441.2389670223074</v>
      </c>
      <c r="H12">
        <f t="shared" si="1"/>
        <v>11168.411529039609</v>
      </c>
      <c r="I12">
        <f t="shared" si="8"/>
        <v>199176.67</v>
      </c>
      <c r="K12">
        <v>110.57</v>
      </c>
      <c r="L12">
        <f t="shared" si="9"/>
        <v>44.228000000000002</v>
      </c>
      <c r="M12">
        <f t="shared" si="11"/>
        <v>66.341999999999985</v>
      </c>
      <c r="N12">
        <f>(B12*100)/B24</f>
        <v>0.70103296495273548</v>
      </c>
      <c r="O12">
        <f t="shared" si="2"/>
        <v>1813612.5</v>
      </c>
      <c r="P12">
        <f t="shared" si="3"/>
        <v>488747.92030248063</v>
      </c>
      <c r="Q12">
        <f t="shared" si="4"/>
        <v>2302360.4203024805</v>
      </c>
      <c r="R12">
        <f t="shared" si="5"/>
        <v>43818.867400000003</v>
      </c>
      <c r="S12">
        <f t="shared" si="6"/>
        <v>17527.546960000003</v>
      </c>
      <c r="T12">
        <f t="shared" si="10"/>
        <v>26291.32044</v>
      </c>
      <c r="U12">
        <f t="shared" si="7"/>
        <v>18.549769730463268</v>
      </c>
      <c r="X12" s="22" t="s">
        <v>74</v>
      </c>
      <c r="AA12" t="s">
        <v>75</v>
      </c>
    </row>
    <row r="13" spans="1:32">
      <c r="A13" s="14" t="s">
        <v>31</v>
      </c>
      <c r="B13" s="23">
        <v>388924.56</v>
      </c>
      <c r="C13">
        <v>2260</v>
      </c>
      <c r="D13">
        <v>7</v>
      </c>
      <c r="E13">
        <v>12</v>
      </c>
      <c r="F13">
        <f t="shared" si="0"/>
        <v>2281.8939502089052</v>
      </c>
      <c r="G13">
        <f>C13*D13*V3</f>
        <v>7206.0790494665371</v>
      </c>
      <c r="H13">
        <f t="shared" si="1"/>
        <v>8524.3532778215194</v>
      </c>
      <c r="I13">
        <f t="shared" si="8"/>
        <v>155569.82399999999</v>
      </c>
      <c r="K13">
        <v>86.36</v>
      </c>
      <c r="L13">
        <f t="shared" si="9"/>
        <v>34.544000000000004</v>
      </c>
      <c r="M13">
        <f t="shared" si="11"/>
        <v>51.815999999999995</v>
      </c>
      <c r="N13">
        <f>(B13*100)/B24</f>
        <v>0.54755195463351825</v>
      </c>
      <c r="O13">
        <f t="shared" si="2"/>
        <v>593250</v>
      </c>
      <c r="P13">
        <f t="shared" si="3"/>
        <v>559064.01780118176</v>
      </c>
      <c r="Q13">
        <f t="shared" si="4"/>
        <v>1152314.0178011819</v>
      </c>
      <c r="R13">
        <f t="shared" si="5"/>
        <v>34225.361279999997</v>
      </c>
      <c r="S13">
        <f t="shared" si="6"/>
        <v>13690.144512000001</v>
      </c>
      <c r="T13">
        <f t="shared" si="10"/>
        <v>20535.216767999998</v>
      </c>
      <c r="U13">
        <f t="shared" si="7"/>
        <v>9.4622790629352185</v>
      </c>
      <c r="X13">
        <v>75</v>
      </c>
      <c r="AA13" t="s">
        <v>76</v>
      </c>
      <c r="AB13" t="s">
        <v>77</v>
      </c>
      <c r="AC13" t="s">
        <v>78</v>
      </c>
      <c r="AD13" s="15" t="s">
        <v>79</v>
      </c>
    </row>
    <row r="14" spans="1:32">
      <c r="A14" s="21" t="s">
        <v>32</v>
      </c>
      <c r="B14" s="23">
        <v>5604509.5099999998</v>
      </c>
      <c r="C14">
        <v>8719</v>
      </c>
      <c r="D14">
        <v>4</v>
      </c>
      <c r="E14">
        <v>6</v>
      </c>
      <c r="F14">
        <f t="shared" si="0"/>
        <v>2241.0140561808175</v>
      </c>
      <c r="G14">
        <f>C14*D14*V3</f>
        <v>15886.170223084384</v>
      </c>
      <c r="H14">
        <f t="shared" si="1"/>
        <v>18792.373256466708</v>
      </c>
      <c r="K14">
        <v>1244.45</v>
      </c>
      <c r="O14">
        <f t="shared" si="2"/>
        <v>2288737.5</v>
      </c>
      <c r="P14">
        <f t="shared" si="3"/>
        <v>549048.44376430032</v>
      </c>
      <c r="Q14">
        <f t="shared" si="4"/>
        <v>2837785.9437643001</v>
      </c>
      <c r="R14">
        <f t="shared" si="5"/>
        <v>493196.83688000002</v>
      </c>
      <c r="S14">
        <f t="shared" si="6"/>
        <v>0</v>
      </c>
      <c r="U14">
        <f t="shared" si="7"/>
        <v>22.83336261704337</v>
      </c>
    </row>
    <row r="15" spans="1:32">
      <c r="A15" s="14" t="s">
        <v>33</v>
      </c>
      <c r="B15" s="23">
        <v>1903118.62</v>
      </c>
      <c r="C15">
        <v>8581</v>
      </c>
      <c r="D15">
        <v>8</v>
      </c>
      <c r="E15">
        <v>6</v>
      </c>
      <c r="F15">
        <f t="shared" si="0"/>
        <v>2223.2084922471845</v>
      </c>
      <c r="G15">
        <f>C15*D15*V3</f>
        <v>31269.463627546069</v>
      </c>
      <c r="H15">
        <f t="shared" si="1"/>
        <v>36989.87381895649</v>
      </c>
      <c r="I15">
        <f t="shared" si="8"/>
        <v>761247.44800000009</v>
      </c>
      <c r="K15">
        <v>422.57</v>
      </c>
      <c r="L15">
        <f t="shared" si="9"/>
        <v>169.02800000000002</v>
      </c>
      <c r="M15">
        <f t="shared" si="11"/>
        <v>253.54199999999997</v>
      </c>
      <c r="N15">
        <f>(B15*100)/B24</f>
        <v>2.6793276317660264</v>
      </c>
      <c r="O15">
        <f t="shared" si="2"/>
        <v>2252512.5</v>
      </c>
      <c r="P15">
        <f t="shared" si="3"/>
        <v>544686.08060056018</v>
      </c>
      <c r="Q15">
        <f t="shared" si="4"/>
        <v>2797198.5806005602</v>
      </c>
      <c r="R15">
        <f t="shared" si="5"/>
        <v>167474.43856000004</v>
      </c>
      <c r="S15">
        <f t="shared" si="6"/>
        <v>66989.775424000021</v>
      </c>
      <c r="T15">
        <f t="shared" si="10"/>
        <v>100484.66313600002</v>
      </c>
      <c r="U15">
        <f t="shared" si="7"/>
        <v>22.508767692181632</v>
      </c>
      <c r="AA15" t="s">
        <v>80</v>
      </c>
    </row>
    <row r="16" spans="1:32">
      <c r="A16" s="14" t="s">
        <v>34</v>
      </c>
      <c r="B16" s="23">
        <v>1737091.12</v>
      </c>
      <c r="C16">
        <v>8191</v>
      </c>
      <c r="D16">
        <v>6</v>
      </c>
      <c r="E16">
        <v>12</v>
      </c>
      <c r="F16">
        <f t="shared" si="0"/>
        <v>4344.198890474514</v>
      </c>
      <c r="G16">
        <f>C16*D16*V3</f>
        <v>22386.21750727449</v>
      </c>
      <c r="H16">
        <f t="shared" si="1"/>
        <v>26481.533893288015</v>
      </c>
      <c r="I16">
        <f t="shared" si="8"/>
        <v>694836.44800000009</v>
      </c>
      <c r="K16">
        <v>385.71</v>
      </c>
      <c r="L16">
        <f t="shared" si="9"/>
        <v>154.28399999999999</v>
      </c>
      <c r="M16">
        <f t="shared" si="11"/>
        <v>231.42599999999999</v>
      </c>
      <c r="N16">
        <f>(B16*100)/B24</f>
        <v>2.4455838894116826</v>
      </c>
      <c r="O16">
        <f t="shared" si="2"/>
        <v>2150137.5</v>
      </c>
      <c r="P16">
        <f t="shared" si="3"/>
        <v>1064328.7281662559</v>
      </c>
      <c r="Q16">
        <f t="shared" si="4"/>
        <v>3214466.2281662561</v>
      </c>
      <c r="R16">
        <f t="shared" si="5"/>
        <v>152864.01856000003</v>
      </c>
      <c r="S16">
        <f t="shared" si="6"/>
        <v>61145.607424000016</v>
      </c>
      <c r="T16">
        <f t="shared" si="10"/>
        <v>91718.41113600001</v>
      </c>
      <c r="U16">
        <f t="shared" si="7"/>
        <v>26.114997688488572</v>
      </c>
      <c r="AA16" t="s">
        <v>81</v>
      </c>
      <c r="AE16" s="15" t="s">
        <v>82</v>
      </c>
    </row>
    <row r="17" spans="1:27">
      <c r="A17" s="14" t="s">
        <v>35</v>
      </c>
      <c r="B17" s="5">
        <f>X9*H17</f>
        <v>1331458.7199429187</v>
      </c>
      <c r="C17">
        <v>2471</v>
      </c>
      <c r="D17">
        <v>4</v>
      </c>
      <c r="E17">
        <v>6</v>
      </c>
      <c r="F17">
        <f t="shared" si="0"/>
        <v>1193.0196980771104</v>
      </c>
      <c r="G17">
        <f>C17*D17*V3</f>
        <v>4502.2051406401552</v>
      </c>
      <c r="H17">
        <f t="shared" si="1"/>
        <v>5325.8348797716753</v>
      </c>
      <c r="I17">
        <f t="shared" si="8"/>
        <v>532583.48797716748</v>
      </c>
      <c r="K17">
        <v>295.64999999999998</v>
      </c>
      <c r="L17">
        <f t="shared" si="9"/>
        <v>118.25999999999999</v>
      </c>
      <c r="M17">
        <f t="shared" si="11"/>
        <v>177.39</v>
      </c>
      <c r="N17">
        <f>(B17*100)/B24</f>
        <v>1.874509608286469</v>
      </c>
      <c r="O17">
        <f t="shared" si="2"/>
        <v>648637.5</v>
      </c>
      <c r="P17">
        <f t="shared" si="3"/>
        <v>292289.82602889207</v>
      </c>
      <c r="Q17">
        <f t="shared" si="4"/>
        <v>940927.32602889207</v>
      </c>
      <c r="R17">
        <f t="shared" si="5"/>
        <v>117168.36735497686</v>
      </c>
      <c r="S17">
        <f t="shared" si="6"/>
        <v>46867.346941990741</v>
      </c>
      <c r="T17">
        <f t="shared" si="10"/>
        <v>70301.020412986109</v>
      </c>
      <c r="U17">
        <f t="shared" si="7"/>
        <v>7.6333743709939803</v>
      </c>
      <c r="AA17" t="s">
        <v>83</v>
      </c>
    </row>
    <row r="18" spans="1:27">
      <c r="A18" s="14" t="s">
        <v>36</v>
      </c>
      <c r="B18" s="23">
        <v>264325.98300000001</v>
      </c>
      <c r="C18">
        <v>2335</v>
      </c>
      <c r="D18">
        <v>4</v>
      </c>
      <c r="E18">
        <v>9</v>
      </c>
      <c r="F18">
        <f t="shared" si="0"/>
        <v>1739.5861576823379</v>
      </c>
      <c r="G18">
        <f>C18*D18*V3</f>
        <v>4254.410766246363</v>
      </c>
      <c r="H18">
        <f t="shared" si="1"/>
        <v>5032.7092044786978</v>
      </c>
      <c r="I18">
        <f t="shared" si="8"/>
        <v>105730.39320000001</v>
      </c>
      <c r="K18">
        <v>58.69</v>
      </c>
      <c r="L18">
        <f t="shared" si="9"/>
        <v>23.475999999999999</v>
      </c>
      <c r="M18">
        <f t="shared" si="11"/>
        <v>35.213999999999999</v>
      </c>
      <c r="N18">
        <f>(B18*100)/B24</f>
        <v>0.37213440224005423</v>
      </c>
      <c r="O18">
        <f t="shared" si="2"/>
        <v>612937.5</v>
      </c>
      <c r="P18">
        <f t="shared" si="3"/>
        <v>426198.60863217281</v>
      </c>
      <c r="Q18">
        <f t="shared" si="4"/>
        <v>1039136.1086321728</v>
      </c>
      <c r="R18">
        <f t="shared" si="5"/>
        <v>23260.686504000001</v>
      </c>
      <c r="S18">
        <f t="shared" si="6"/>
        <v>9304.2746016000019</v>
      </c>
      <c r="T18">
        <f t="shared" si="10"/>
        <v>13956.411902399999</v>
      </c>
      <c r="U18">
        <f t="shared" si="7"/>
        <v>8.488721161838205</v>
      </c>
      <c r="AA18" t="s">
        <v>84</v>
      </c>
    </row>
    <row r="19" spans="1:27">
      <c r="A19" s="14" t="s">
        <v>37</v>
      </c>
      <c r="B19" s="5">
        <f>X9*H19</f>
        <v>1145022.1691131939</v>
      </c>
      <c r="C19">
        <v>4250</v>
      </c>
      <c r="D19">
        <v>2</v>
      </c>
      <c r="E19">
        <v>4</v>
      </c>
      <c r="F19">
        <f t="shared" si="0"/>
        <v>1043.0723848324237</v>
      </c>
      <c r="G19">
        <f>C19*D19*V3</f>
        <v>3871.7870999030065</v>
      </c>
      <c r="H19">
        <f t="shared" si="1"/>
        <v>4580.0886764527759</v>
      </c>
      <c r="I19">
        <f t="shared" si="8"/>
        <v>458008.86764527758</v>
      </c>
      <c r="K19">
        <v>254.25</v>
      </c>
      <c r="L19">
        <f t="shared" si="9"/>
        <v>101.7</v>
      </c>
      <c r="M19">
        <f t="shared" si="11"/>
        <v>152.55000000000001</v>
      </c>
      <c r="N19">
        <f>(B19*100)/B24</f>
        <v>1.612032746907627</v>
      </c>
      <c r="O19">
        <f t="shared" si="2"/>
        <v>1115625</v>
      </c>
      <c r="P19">
        <f t="shared" si="3"/>
        <v>255552.73428394381</v>
      </c>
      <c r="Q19">
        <f t="shared" si="4"/>
        <v>1371177.7342839439</v>
      </c>
      <c r="R19">
        <f t="shared" si="5"/>
        <v>100761.95088196106</v>
      </c>
      <c r="S19">
        <f t="shared" si="6"/>
        <v>40304.78035278443</v>
      </c>
      <c r="T19">
        <f t="shared" si="10"/>
        <v>60457.170529176634</v>
      </c>
      <c r="U19">
        <f t="shared" si="7"/>
        <v>11.027234135067548</v>
      </c>
    </row>
    <row r="20" spans="1:27">
      <c r="A20" s="14" t="s">
        <v>38</v>
      </c>
      <c r="C20">
        <v>4184</v>
      </c>
      <c r="D20">
        <v>3</v>
      </c>
      <c r="E20">
        <v>18</v>
      </c>
      <c r="F20">
        <f t="shared" si="0"/>
        <v>4657.2369490933133</v>
      </c>
      <c r="G20">
        <f>C20*D20*V3</f>
        <v>5717.4907856450045</v>
      </c>
      <c r="H20">
        <f t="shared" si="1"/>
        <v>6763.4438902159109</v>
      </c>
      <c r="I20">
        <f t="shared" si="8"/>
        <v>0</v>
      </c>
      <c r="L20">
        <f t="shared" si="9"/>
        <v>0</v>
      </c>
      <c r="N20">
        <f>(B20*100)/B24</f>
        <v>0</v>
      </c>
      <c r="O20">
        <f t="shared" si="2"/>
        <v>1098300</v>
      </c>
      <c r="P20">
        <f t="shared" si="3"/>
        <v>1141023.0525278617</v>
      </c>
      <c r="Q20">
        <f t="shared" si="4"/>
        <v>2239323.0525278617</v>
      </c>
      <c r="R20">
        <f t="shared" si="5"/>
        <v>0</v>
      </c>
      <c r="S20">
        <f t="shared" si="6"/>
        <v>0</v>
      </c>
      <c r="T20">
        <f t="shared" si="10"/>
        <v>0</v>
      </c>
      <c r="U20">
        <f t="shared" si="7"/>
        <v>18.419243643944402</v>
      </c>
    </row>
    <row r="21" spans="1:27">
      <c r="A21" s="14" t="s">
        <v>39</v>
      </c>
      <c r="B21" s="5">
        <f t="shared" ref="B21" si="12">X11*H21</f>
        <v>192363.72441101659</v>
      </c>
      <c r="C21">
        <v>595</v>
      </c>
      <c r="D21">
        <v>3</v>
      </c>
      <c r="E21">
        <v>6</v>
      </c>
      <c r="F21">
        <f t="shared" si="0"/>
        <v>585.42292404722252</v>
      </c>
      <c r="G21">
        <f>C21*D21*V3</f>
        <v>813.0752909796314</v>
      </c>
      <c r="H21">
        <f t="shared" si="1"/>
        <v>961.81862205508298</v>
      </c>
      <c r="I21">
        <f t="shared" si="8"/>
        <v>76945.489764406637</v>
      </c>
      <c r="K21">
        <v>42.71</v>
      </c>
      <c r="L21">
        <f t="shared" si="9"/>
        <v>17.084</v>
      </c>
      <c r="M21">
        <f t="shared" si="11"/>
        <v>25.626000000000001</v>
      </c>
      <c r="N21">
        <f>(B21*100)/B24</f>
        <v>0.27082150148048134</v>
      </c>
      <c r="O21">
        <f t="shared" si="2"/>
        <v>156187.5</v>
      </c>
      <c r="P21">
        <f t="shared" si="3"/>
        <v>143428.61639156952</v>
      </c>
      <c r="Q21">
        <f t="shared" si="4"/>
        <v>299616.11639156949</v>
      </c>
      <c r="R21">
        <f t="shared" si="5"/>
        <v>16928.007748169461</v>
      </c>
      <c r="S21">
        <f t="shared" si="6"/>
        <v>6771.2030992677846</v>
      </c>
      <c r="T21">
        <f t="shared" si="10"/>
        <v>10156.804648901676</v>
      </c>
      <c r="U21">
        <f t="shared" si="7"/>
        <v>2.4592144250983803</v>
      </c>
    </row>
    <row r="22" spans="1:27">
      <c r="A22" s="14" t="s">
        <v>40</v>
      </c>
      <c r="O22">
        <f t="shared" si="2"/>
        <v>0</v>
      </c>
      <c r="P22">
        <f t="shared" si="3"/>
        <v>0</v>
      </c>
      <c r="Q22">
        <f t="shared" si="4"/>
        <v>0</v>
      </c>
      <c r="R22">
        <f t="shared" si="5"/>
        <v>0</v>
      </c>
      <c r="S22">
        <f t="shared" si="6"/>
        <v>0</v>
      </c>
      <c r="T22">
        <f t="shared" si="10"/>
        <v>0</v>
      </c>
      <c r="U22">
        <f t="shared" si="7"/>
        <v>0</v>
      </c>
    </row>
    <row r="23" spans="1:27">
      <c r="A23" s="14" t="s">
        <v>41</v>
      </c>
      <c r="O23">
        <f t="shared" si="2"/>
        <v>0</v>
      </c>
      <c r="P23">
        <f t="shared" si="3"/>
        <v>0</v>
      </c>
      <c r="Q23">
        <f t="shared" si="4"/>
        <v>0</v>
      </c>
      <c r="R23">
        <f t="shared" si="5"/>
        <v>0</v>
      </c>
      <c r="S23">
        <f t="shared" si="6"/>
        <v>0</v>
      </c>
      <c r="T23">
        <f t="shared" si="10"/>
        <v>0</v>
      </c>
      <c r="U23">
        <f t="shared" si="7"/>
        <v>0</v>
      </c>
    </row>
    <row r="24" spans="1:27">
      <c r="A24" s="14" t="s">
        <v>42</v>
      </c>
      <c r="B24" s="16">
        <v>71029709</v>
      </c>
      <c r="C24">
        <f>SUM(C2:C21)</f>
        <v>118948</v>
      </c>
      <c r="G24" s="19">
        <v>353000</v>
      </c>
      <c r="H24" s="16"/>
      <c r="K24">
        <f>SUM(K2:K21)</f>
        <v>8664.67</v>
      </c>
      <c r="M24">
        <f>SUM(M2:M22)</f>
        <v>4127.6699999999992</v>
      </c>
      <c r="N24">
        <f>SUM(N2:N21)</f>
        <v>44.099023047290402</v>
      </c>
      <c r="O24">
        <f t="shared" si="2"/>
        <v>31223850</v>
      </c>
      <c r="P24">
        <f t="shared" si="3"/>
        <v>0</v>
      </c>
      <c r="Q24">
        <f t="shared" si="4"/>
        <v>31223850</v>
      </c>
      <c r="S24">
        <f t="shared" si="6"/>
        <v>0</v>
      </c>
      <c r="T24">
        <f t="shared" si="10"/>
        <v>0</v>
      </c>
      <c r="U24">
        <f t="shared" si="7"/>
        <v>247.80833333333334</v>
      </c>
    </row>
    <row r="25" spans="1:27">
      <c r="A25" s="14"/>
      <c r="B25">
        <f>SUM(B2:B21)</f>
        <v>39022202.622333296</v>
      </c>
      <c r="G25">
        <f>SUM(G2:G21)</f>
        <v>304126.74491513096</v>
      </c>
      <c r="H25">
        <f>SUM(H2:H21)</f>
        <v>359763.44376660784</v>
      </c>
      <c r="O25">
        <f t="shared" si="2"/>
        <v>0</v>
      </c>
      <c r="P25">
        <f t="shared" si="3"/>
        <v>0</v>
      </c>
      <c r="Q25">
        <f t="shared" si="4"/>
        <v>0</v>
      </c>
      <c r="S25">
        <f t="shared" si="6"/>
        <v>0</v>
      </c>
      <c r="T25">
        <f t="shared" si="10"/>
        <v>0</v>
      </c>
      <c r="U25">
        <f t="shared" si="7"/>
        <v>0</v>
      </c>
    </row>
    <row r="26" spans="1:27">
      <c r="O26">
        <f t="shared" si="2"/>
        <v>0</v>
      </c>
      <c r="P26">
        <f t="shared" si="3"/>
        <v>0</v>
      </c>
      <c r="Q26">
        <f t="shared" si="4"/>
        <v>0</v>
      </c>
      <c r="R26">
        <f t="shared" si="5"/>
        <v>0</v>
      </c>
      <c r="S26">
        <f t="shared" si="6"/>
        <v>0</v>
      </c>
      <c r="T26">
        <f t="shared" si="10"/>
        <v>0</v>
      </c>
      <c r="U26">
        <f t="shared" si="7"/>
        <v>0</v>
      </c>
    </row>
    <row r="27" spans="1:27">
      <c r="A27" s="14" t="s">
        <v>43</v>
      </c>
      <c r="B27" s="23">
        <v>4674.2561699999997</v>
      </c>
      <c r="C27">
        <f>33758/2</f>
        <v>16879</v>
      </c>
      <c r="D27">
        <v>6</v>
      </c>
      <c r="E27">
        <v>15</v>
      </c>
      <c r="F27">
        <f t="shared" si="0"/>
        <v>7795.1523397557785</v>
      </c>
      <c r="G27">
        <f>C27*D27*V3</f>
        <v>46130.749030067891</v>
      </c>
      <c r="H27">
        <f t="shared" ref="H27" si="13">G27*1.182939185</f>
        <v>54569.870661068046</v>
      </c>
      <c r="I27">
        <f>B27*0.7</f>
        <v>3271.9793189999996</v>
      </c>
      <c r="K27">
        <v>1.04</v>
      </c>
      <c r="L27">
        <v>0.73</v>
      </c>
      <c r="M27">
        <f t="shared" si="11"/>
        <v>0.31000000000000005</v>
      </c>
      <c r="O27">
        <f t="shared" si="2"/>
        <v>4430737.5</v>
      </c>
      <c r="P27">
        <f t="shared" si="3"/>
        <v>1909812.3232401658</v>
      </c>
      <c r="Q27">
        <f t="shared" si="4"/>
        <v>6340549.8232401656</v>
      </c>
      <c r="R27">
        <f t="shared" si="5"/>
        <v>411.33454296000002</v>
      </c>
      <c r="S27">
        <f t="shared" si="6"/>
        <v>287.934180072</v>
      </c>
      <c r="T27">
        <f t="shared" si="10"/>
        <v>123.40036288800002</v>
      </c>
      <c r="U27">
        <f t="shared" si="7"/>
        <v>51.404484041157872</v>
      </c>
    </row>
    <row r="28" spans="1:27">
      <c r="A28" s="14" t="s">
        <v>44</v>
      </c>
    </row>
    <row r="29" spans="1:27">
      <c r="A29" s="14" t="s">
        <v>45</v>
      </c>
    </row>
    <row r="30" spans="1:27">
      <c r="A30" s="14" t="s">
        <v>46</v>
      </c>
    </row>
    <row r="31" spans="1:27">
      <c r="A31" s="14" t="s">
        <v>47</v>
      </c>
    </row>
  </sheetData>
  <hyperlinks>
    <hyperlink ref="Z3" r:id="rId1" xr:uid="{23D4096A-49D5-4E49-9448-1266281D0E03}"/>
    <hyperlink ref="Z4" r:id="rId2" xr:uid="{8FD45731-FE6E-4C83-8497-49D386F62216}"/>
    <hyperlink ref="AD13" r:id="rId3" xr:uid="{95FD6310-4FE0-46C5-A98E-BD80F6B39132}"/>
    <hyperlink ref="AE16" r:id="rId4" xr:uid="{35A9BD8D-71B9-4C14-9B2D-488ED592F89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34DDF-3B42-42C6-B994-F01B486C37BF}">
  <dimension ref="A1:F51"/>
  <sheetViews>
    <sheetView workbookViewId="0">
      <selection activeCell="F11" sqref="F11"/>
    </sheetView>
  </sheetViews>
  <sheetFormatPr defaultRowHeight="15"/>
  <cols>
    <col min="1" max="1" width="18.28515625" customWidth="1"/>
    <col min="2" max="2" width="17.42578125" customWidth="1"/>
    <col min="3" max="3" width="15.7109375" customWidth="1"/>
  </cols>
  <sheetData>
    <row r="1" spans="1:6">
      <c r="A1" s="23" t="s">
        <v>85</v>
      </c>
      <c r="B1" s="23" t="s">
        <v>86</v>
      </c>
      <c r="C1" s="23" t="s">
        <v>87</v>
      </c>
      <c r="E1" t="s">
        <v>88</v>
      </c>
    </row>
    <row r="2" spans="1:6">
      <c r="A2" s="29" t="s">
        <v>89</v>
      </c>
      <c r="B2" s="29" t="s">
        <v>89</v>
      </c>
      <c r="C2" s="29" t="s">
        <v>89</v>
      </c>
    </row>
    <row r="3" spans="1:6">
      <c r="A3" s="23">
        <v>94369.68</v>
      </c>
      <c r="B3" s="23">
        <v>51915.39</v>
      </c>
      <c r="C3" s="23">
        <v>26836.66</v>
      </c>
      <c r="D3">
        <f>SUM(A3:C3)</f>
        <v>173121.73</v>
      </c>
      <c r="F3">
        <f>D3+D21+D39</f>
        <v>173268.21500000003</v>
      </c>
    </row>
    <row r="4" spans="1:6">
      <c r="A4" s="23">
        <v>81273.570000000007</v>
      </c>
      <c r="B4" s="23">
        <v>44710.86</v>
      </c>
      <c r="C4" s="23">
        <v>23112.41</v>
      </c>
      <c r="D4">
        <f t="shared" ref="D4:D33" si="0">SUM(A4:C4)</f>
        <v>149096.84</v>
      </c>
      <c r="F4">
        <f>D4+D22+D40</f>
        <v>149223.00400000002</v>
      </c>
    </row>
    <row r="5" spans="1:6">
      <c r="A5" s="23">
        <v>59491.85</v>
      </c>
      <c r="B5" s="23">
        <v>32728.13</v>
      </c>
      <c r="C5" s="23">
        <v>16918.169999999998</v>
      </c>
      <c r="D5">
        <f t="shared" si="0"/>
        <v>109138.15</v>
      </c>
      <c r="F5">
        <f t="shared" ref="F5:F15" si="1">D5+D23+D41</f>
        <v>109230.49799999999</v>
      </c>
    </row>
    <row r="6" spans="1:6">
      <c r="A6" s="23">
        <v>38902.68</v>
      </c>
      <c r="B6" s="23">
        <v>21401.45</v>
      </c>
      <c r="C6" s="23">
        <v>11063.07</v>
      </c>
      <c r="D6">
        <f t="shared" si="0"/>
        <v>71367.200000000012</v>
      </c>
      <c r="F6">
        <f t="shared" si="1"/>
        <v>71427.580000000016</v>
      </c>
    </row>
    <row r="7" spans="1:6">
      <c r="A7" s="23">
        <v>7961.13</v>
      </c>
      <c r="B7" s="23">
        <v>4379.6400000000003</v>
      </c>
      <c r="C7" s="23">
        <v>2263.9699999999998</v>
      </c>
      <c r="D7">
        <f t="shared" si="0"/>
        <v>14604.74</v>
      </c>
      <c r="F7">
        <f>D7+D25+D43</f>
        <v>14617.088</v>
      </c>
    </row>
    <row r="8" spans="1:6">
      <c r="A8" s="23">
        <v>0</v>
      </c>
      <c r="B8" s="23">
        <v>0</v>
      </c>
      <c r="C8" s="23">
        <v>0</v>
      </c>
      <c r="D8">
        <f t="shared" si="0"/>
        <v>0</v>
      </c>
      <c r="F8">
        <f t="shared" si="1"/>
        <v>0</v>
      </c>
    </row>
    <row r="9" spans="1:6">
      <c r="A9" s="23">
        <v>0</v>
      </c>
      <c r="B9" s="23">
        <v>0</v>
      </c>
      <c r="C9" s="23">
        <v>0</v>
      </c>
      <c r="D9">
        <f t="shared" si="0"/>
        <v>0</v>
      </c>
      <c r="F9">
        <f t="shared" si="1"/>
        <v>0</v>
      </c>
    </row>
    <row r="10" spans="1:6">
      <c r="A10" s="23">
        <v>0</v>
      </c>
      <c r="B10" s="23">
        <v>0</v>
      </c>
      <c r="C10" s="23">
        <v>0</v>
      </c>
      <c r="D10">
        <f t="shared" si="0"/>
        <v>0</v>
      </c>
      <c r="F10">
        <f t="shared" si="1"/>
        <v>0</v>
      </c>
    </row>
    <row r="11" spans="1:6">
      <c r="A11" s="23">
        <v>15818.43</v>
      </c>
      <c r="B11" s="23">
        <v>8702.16</v>
      </c>
      <c r="C11" s="23">
        <v>4498.41</v>
      </c>
      <c r="D11">
        <f t="shared" si="0"/>
        <v>29019</v>
      </c>
      <c r="F11">
        <f t="shared" si="1"/>
        <v>29043.554999999997</v>
      </c>
    </row>
    <row r="12" spans="1:6">
      <c r="A12" s="23">
        <v>43137.23</v>
      </c>
      <c r="B12" s="23">
        <v>23731</v>
      </c>
      <c r="C12" s="23">
        <v>12267.28</v>
      </c>
      <c r="D12">
        <f t="shared" si="0"/>
        <v>79135.510000000009</v>
      </c>
      <c r="F12">
        <f t="shared" si="1"/>
        <v>79202.467000000004</v>
      </c>
    </row>
    <row r="13" spans="1:6">
      <c r="A13" s="23">
        <v>62359.1</v>
      </c>
      <c r="B13" s="23">
        <v>34305.480000000003</v>
      </c>
      <c r="C13" s="23">
        <v>17733.560000000001</v>
      </c>
      <c r="D13">
        <f t="shared" si="0"/>
        <v>114398.14</v>
      </c>
      <c r="F13">
        <f t="shared" si="1"/>
        <v>114494.928</v>
      </c>
    </row>
    <row r="14" spans="1:6">
      <c r="A14" s="23">
        <v>69507.509999999995</v>
      </c>
      <c r="B14" s="23">
        <v>38238.019999999997</v>
      </c>
      <c r="C14" s="23">
        <v>19766.41</v>
      </c>
      <c r="D14">
        <f t="shared" si="0"/>
        <v>127511.94</v>
      </c>
      <c r="F14">
        <f t="shared" si="1"/>
        <v>127619.83100000001</v>
      </c>
    </row>
    <row r="15" spans="1:6">
      <c r="A15" s="31">
        <f>SUM(A3:A14)</f>
        <v>472821.18</v>
      </c>
      <c r="B15" s="31">
        <v>260112.13</v>
      </c>
      <c r="C15" s="31">
        <v>134459.94</v>
      </c>
      <c r="D15">
        <f t="shared" si="0"/>
        <v>867393.25</v>
      </c>
      <c r="F15" s="14">
        <f t="shared" si="1"/>
        <v>868127.17</v>
      </c>
    </row>
    <row r="16" spans="1:6">
      <c r="A16" s="32"/>
      <c r="B16" s="32"/>
      <c r="C16" s="32"/>
    </row>
    <row r="17" spans="1:5">
      <c r="A17" s="32"/>
      <c r="B17" s="32"/>
      <c r="C17" s="32"/>
    </row>
    <row r="18" spans="1:5">
      <c r="A18" s="23"/>
      <c r="B18" s="23"/>
      <c r="C18" s="23"/>
    </row>
    <row r="19" spans="1:5">
      <c r="A19" s="23" t="s">
        <v>85</v>
      </c>
      <c r="B19" s="23" t="s">
        <v>86</v>
      </c>
      <c r="C19" s="23" t="s">
        <v>87</v>
      </c>
      <c r="E19" t="s">
        <v>90</v>
      </c>
    </row>
    <row r="20" spans="1:5">
      <c r="A20" s="29" t="s">
        <v>91</v>
      </c>
      <c r="B20" s="29" t="s">
        <v>91</v>
      </c>
      <c r="C20" s="29" t="s">
        <v>91</v>
      </c>
    </row>
    <row r="21" spans="1:5">
      <c r="A21" s="23">
        <v>7.5449999999999999</v>
      </c>
      <c r="B21" s="23">
        <v>7.5449999999999999</v>
      </c>
      <c r="C21" s="23">
        <v>7.5449999999999999</v>
      </c>
      <c r="D21">
        <f t="shared" si="0"/>
        <v>22.634999999999998</v>
      </c>
    </row>
    <row r="22" spans="1:5">
      <c r="A22" s="23">
        <v>6.4980000000000002</v>
      </c>
      <c r="B22" s="23">
        <v>6.4980000000000002</v>
      </c>
      <c r="C22" s="23">
        <v>6.4980000000000002</v>
      </c>
      <c r="D22">
        <f t="shared" si="0"/>
        <v>19.494</v>
      </c>
    </row>
    <row r="23" spans="1:5">
      <c r="A23" s="23">
        <v>4.7560000000000002</v>
      </c>
      <c r="B23" s="23">
        <v>4.7560000000000002</v>
      </c>
      <c r="C23" s="23">
        <v>4.7560000000000002</v>
      </c>
      <c r="D23">
        <f t="shared" si="0"/>
        <v>14.268000000000001</v>
      </c>
    </row>
    <row r="24" spans="1:5">
      <c r="A24" s="23">
        <v>3.11</v>
      </c>
      <c r="B24" s="23">
        <v>3.11</v>
      </c>
      <c r="C24" s="23">
        <v>3.11</v>
      </c>
      <c r="D24">
        <f t="shared" si="0"/>
        <v>9.33</v>
      </c>
    </row>
    <row r="25" spans="1:5">
      <c r="A25" s="23">
        <v>0.63600000000000001</v>
      </c>
      <c r="B25" s="23">
        <v>0.63600000000000001</v>
      </c>
      <c r="C25" s="23">
        <v>0.63600000000000001</v>
      </c>
      <c r="D25">
        <f t="shared" si="0"/>
        <v>1.9079999999999999</v>
      </c>
    </row>
    <row r="26" spans="1:5">
      <c r="A26" s="23">
        <v>0</v>
      </c>
      <c r="B26" s="23">
        <v>0</v>
      </c>
      <c r="C26" s="23">
        <v>0</v>
      </c>
      <c r="D26">
        <f t="shared" si="0"/>
        <v>0</v>
      </c>
    </row>
    <row r="27" spans="1:5">
      <c r="A27" s="23">
        <v>0</v>
      </c>
      <c r="B27" s="23">
        <v>0</v>
      </c>
      <c r="C27" s="23">
        <v>0</v>
      </c>
      <c r="D27">
        <f t="shared" si="0"/>
        <v>0</v>
      </c>
    </row>
    <row r="28" spans="1:5">
      <c r="A28" s="23">
        <v>0</v>
      </c>
      <c r="B28" s="23">
        <v>0</v>
      </c>
      <c r="C28" s="23">
        <v>0</v>
      </c>
      <c r="D28">
        <f t="shared" si="0"/>
        <v>0</v>
      </c>
    </row>
    <row r="29" spans="1:5">
      <c r="A29" s="23">
        <v>1.2649999999999999</v>
      </c>
      <c r="B29" s="23">
        <v>1.2649999999999999</v>
      </c>
      <c r="C29" s="23">
        <v>1.2649999999999999</v>
      </c>
      <c r="D29">
        <f t="shared" si="0"/>
        <v>3.7949999999999999</v>
      </c>
    </row>
    <row r="30" spans="1:5">
      <c r="A30" s="23">
        <v>3.4489999999999998</v>
      </c>
      <c r="B30" s="23">
        <v>3.4489999999999998</v>
      </c>
      <c r="C30" s="23">
        <v>3.4489999999999998</v>
      </c>
      <c r="D30">
        <f t="shared" si="0"/>
        <v>10.347</v>
      </c>
    </row>
    <row r="31" spans="1:5">
      <c r="A31" s="23">
        <v>4.9859999999999998</v>
      </c>
      <c r="B31" s="23">
        <v>4.9859999999999998</v>
      </c>
      <c r="C31" s="23">
        <v>4.9859999999999998</v>
      </c>
      <c r="D31">
        <f t="shared" si="0"/>
        <v>14.957999999999998</v>
      </c>
    </row>
    <row r="32" spans="1:5">
      <c r="A32" s="23">
        <v>5.5570000000000004</v>
      </c>
      <c r="B32" s="23">
        <v>5.5570000000000004</v>
      </c>
      <c r="C32" s="23">
        <v>5.5570000000000004</v>
      </c>
      <c r="D32">
        <f t="shared" si="0"/>
        <v>16.670999999999999</v>
      </c>
    </row>
    <row r="33" spans="1:5">
      <c r="A33" s="30">
        <v>37.799999999999997</v>
      </c>
      <c r="B33" s="30">
        <v>37.799999999999997</v>
      </c>
      <c r="C33" s="30">
        <v>37.799999999999997</v>
      </c>
      <c r="D33">
        <f t="shared" si="0"/>
        <v>113.39999999999999</v>
      </c>
    </row>
    <row r="34" spans="1:5">
      <c r="A34" s="32"/>
      <c r="B34" s="32"/>
      <c r="C34" s="32"/>
    </row>
    <row r="35" spans="1:5">
      <c r="A35" s="32"/>
      <c r="B35" s="32"/>
      <c r="C35" s="32"/>
    </row>
    <row r="36" spans="1:5">
      <c r="A36" s="23"/>
      <c r="B36" s="23"/>
      <c r="C36" s="23"/>
    </row>
    <row r="37" spans="1:5">
      <c r="A37" s="23" t="s">
        <v>85</v>
      </c>
      <c r="B37" s="23" t="s">
        <v>86</v>
      </c>
      <c r="C37" s="23" t="s">
        <v>87</v>
      </c>
      <c r="E37" t="s">
        <v>92</v>
      </c>
    </row>
    <row r="38" spans="1:5" ht="30.75">
      <c r="A38" s="33" t="s">
        <v>93</v>
      </c>
      <c r="B38" s="33" t="s">
        <v>93</v>
      </c>
      <c r="C38" s="33" t="s">
        <v>93</v>
      </c>
    </row>
    <row r="39" spans="1:5" ht="30.75">
      <c r="A39" s="23">
        <v>41.03</v>
      </c>
      <c r="B39" s="23">
        <v>41.53</v>
      </c>
      <c r="C39" s="23">
        <v>41.29</v>
      </c>
      <c r="D39" s="26">
        <f>SUM(A39:C39)</f>
        <v>123.85</v>
      </c>
    </row>
    <row r="40" spans="1:5">
      <c r="A40" s="23">
        <v>35.340000000000003</v>
      </c>
      <c r="B40" s="23">
        <v>35.770000000000003</v>
      </c>
      <c r="C40" s="23">
        <v>35.56</v>
      </c>
      <c r="D40" s="26">
        <f t="shared" ref="D40:D51" si="2">SUM(A40:C40)</f>
        <v>106.67000000000002</v>
      </c>
    </row>
    <row r="41" spans="1:5">
      <c r="A41" s="23">
        <v>25.87</v>
      </c>
      <c r="B41" s="23">
        <v>26.18</v>
      </c>
      <c r="C41" s="23">
        <v>26.03</v>
      </c>
      <c r="D41" s="26">
        <f t="shared" si="2"/>
        <v>78.08</v>
      </c>
    </row>
    <row r="42" spans="1:5">
      <c r="A42" s="23">
        <v>16.91</v>
      </c>
      <c r="B42" s="23">
        <v>17.12</v>
      </c>
      <c r="C42" s="23">
        <v>17.02</v>
      </c>
      <c r="D42" s="26">
        <f t="shared" si="2"/>
        <v>51.05</v>
      </c>
    </row>
    <row r="43" spans="1:5">
      <c r="A43" s="23">
        <v>3.46</v>
      </c>
      <c r="B43" s="23">
        <v>3.5</v>
      </c>
      <c r="C43" s="23">
        <v>3.48</v>
      </c>
      <c r="D43" s="26">
        <f t="shared" si="2"/>
        <v>10.44</v>
      </c>
    </row>
    <row r="44" spans="1:5">
      <c r="A44" s="23">
        <v>0</v>
      </c>
      <c r="B44" s="23">
        <v>0</v>
      </c>
      <c r="C44" s="23">
        <v>0</v>
      </c>
      <c r="D44" s="26">
        <f t="shared" si="2"/>
        <v>0</v>
      </c>
    </row>
    <row r="45" spans="1:5">
      <c r="A45" s="23">
        <v>0</v>
      </c>
      <c r="B45" s="23">
        <v>0</v>
      </c>
      <c r="C45" s="23">
        <v>0</v>
      </c>
      <c r="D45" s="26">
        <f t="shared" si="2"/>
        <v>0</v>
      </c>
    </row>
    <row r="46" spans="1:5">
      <c r="A46" s="23">
        <v>0</v>
      </c>
      <c r="B46" s="23">
        <v>0</v>
      </c>
      <c r="C46" s="23">
        <v>0</v>
      </c>
      <c r="D46" s="26">
        <f t="shared" si="2"/>
        <v>0</v>
      </c>
    </row>
    <row r="47" spans="1:5">
      <c r="A47" s="23">
        <v>6.88</v>
      </c>
      <c r="B47" s="23">
        <v>6.96</v>
      </c>
      <c r="C47" s="23">
        <v>6.92</v>
      </c>
      <c r="D47" s="26">
        <f t="shared" si="2"/>
        <v>20.759999999999998</v>
      </c>
    </row>
    <row r="48" spans="1:5">
      <c r="A48" s="23">
        <v>18.760000000000002</v>
      </c>
      <c r="B48" s="23">
        <v>18.98</v>
      </c>
      <c r="C48" s="23">
        <v>18.87</v>
      </c>
      <c r="D48" s="26">
        <f t="shared" si="2"/>
        <v>56.61</v>
      </c>
    </row>
    <row r="49" spans="1:4">
      <c r="A49" s="23">
        <v>27.11</v>
      </c>
      <c r="B49" s="23">
        <v>27.44</v>
      </c>
      <c r="C49" s="23">
        <v>27.28</v>
      </c>
      <c r="D49" s="26">
        <f t="shared" si="2"/>
        <v>81.83</v>
      </c>
    </row>
    <row r="50" spans="1:4">
      <c r="A50" s="23">
        <v>30.22</v>
      </c>
      <c r="B50" s="23">
        <v>30.59</v>
      </c>
      <c r="C50" s="23">
        <v>30.41</v>
      </c>
      <c r="D50" s="26">
        <f t="shared" si="2"/>
        <v>91.22</v>
      </c>
    </row>
    <row r="51" spans="1:4">
      <c r="A51" s="30">
        <v>205.57</v>
      </c>
      <c r="B51" s="30">
        <v>208.09</v>
      </c>
      <c r="C51" s="30">
        <v>206.86</v>
      </c>
      <c r="D51" s="26">
        <f t="shared" si="2"/>
        <v>620.52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F0A6D-1BC5-47FA-B639-37265BF83D7A}">
  <dimension ref="A1:S30"/>
  <sheetViews>
    <sheetView workbookViewId="0">
      <selection activeCell="B24" sqref="B24"/>
    </sheetView>
  </sheetViews>
  <sheetFormatPr defaultRowHeight="15"/>
  <cols>
    <col min="2" max="2" width="13" customWidth="1"/>
    <col min="3" max="3" width="17.5703125" customWidth="1"/>
  </cols>
  <sheetData>
    <row r="1" spans="1:19">
      <c r="A1" s="9" t="s">
        <v>0</v>
      </c>
      <c r="B1" s="10" t="s">
        <v>4</v>
      </c>
      <c r="C1" s="10" t="s">
        <v>94</v>
      </c>
      <c r="D1" s="10" t="s">
        <v>95</v>
      </c>
      <c r="E1" s="10" t="s">
        <v>6</v>
      </c>
      <c r="F1" s="10" t="s">
        <v>7</v>
      </c>
      <c r="G1" s="10" t="s">
        <v>8</v>
      </c>
      <c r="H1" s="10" t="s">
        <v>53</v>
      </c>
      <c r="I1" s="10" t="s">
        <v>96</v>
      </c>
      <c r="J1" s="10" t="s">
        <v>97</v>
      </c>
      <c r="K1" s="10" t="s">
        <v>98</v>
      </c>
      <c r="L1" s="14" t="s">
        <v>99</v>
      </c>
      <c r="M1" s="10" t="s">
        <v>100</v>
      </c>
      <c r="N1" s="10" t="s">
        <v>14</v>
      </c>
    </row>
    <row r="2" spans="1:19">
      <c r="A2" s="14" t="s">
        <v>17</v>
      </c>
      <c r="B2">
        <v>153149.5</v>
      </c>
      <c r="C2">
        <f>B2*0.1</f>
        <v>15314.95</v>
      </c>
      <c r="D2">
        <f>0.125*C2</f>
        <v>1914.3687500000001</v>
      </c>
      <c r="E2">
        <v>2</v>
      </c>
      <c r="F2">
        <v>0.55800000000000005</v>
      </c>
      <c r="G2">
        <f>E2-F2</f>
        <v>1.4419999999999999</v>
      </c>
      <c r="H2">
        <v>6420.1451373147629</v>
      </c>
      <c r="I2">
        <f>(C2*19.28)/100</f>
        <v>2952.7223600000002</v>
      </c>
      <c r="J2">
        <f>(D2*19.28)/100</f>
        <v>369.09029500000003</v>
      </c>
      <c r="K2">
        <f>I2-J2</f>
        <v>2583.6320650000002</v>
      </c>
      <c r="L2">
        <f>(H2/10)*3</f>
        <v>1926.0435411944291</v>
      </c>
      <c r="M2">
        <f>L2*10</f>
        <v>19260.435411944291</v>
      </c>
      <c r="N2">
        <f>(L2/240)/30</f>
        <v>0.26750604738811512</v>
      </c>
      <c r="S2" t="s">
        <v>101</v>
      </c>
    </row>
    <row r="3" spans="1:19">
      <c r="A3" s="14" t="s">
        <v>20</v>
      </c>
      <c r="B3">
        <v>341199.91</v>
      </c>
      <c r="C3">
        <f t="shared" ref="C3:C26" si="0">B3*0.1</f>
        <v>34119.991000000002</v>
      </c>
      <c r="D3">
        <f t="shared" ref="D3:D26" si="1">0.125*C3</f>
        <v>4264.9988750000002</v>
      </c>
      <c r="E3">
        <v>4.47</v>
      </c>
      <c r="F3">
        <f>E3*0.125</f>
        <v>0.55874999999999997</v>
      </c>
      <c r="G3">
        <f t="shared" ref="G3:G26" si="2">E3-F3</f>
        <v>3.9112499999999999</v>
      </c>
      <c r="H3">
        <v>4444.3025180449995</v>
      </c>
      <c r="I3">
        <f t="shared" ref="I3:I27" si="3">(C3*19.28)/100</f>
        <v>6578.3342647999998</v>
      </c>
      <c r="J3">
        <f t="shared" ref="J3:J26" si="4">(D3*19.28)/100</f>
        <v>822.29178309999998</v>
      </c>
      <c r="K3">
        <f t="shared" ref="K3:K26" si="5">I3-J3</f>
        <v>5756.0424817000003</v>
      </c>
      <c r="L3">
        <f t="shared" ref="L3:L26" si="6">(H3/10)*3</f>
        <v>1333.2907554134999</v>
      </c>
      <c r="M3">
        <f t="shared" ref="M3:M26" si="7">L3*10</f>
        <v>13332.907554134999</v>
      </c>
      <c r="N3">
        <f t="shared" ref="N3:N26" si="8">(L3/240)/30</f>
        <v>0.18517927158520833</v>
      </c>
      <c r="R3" t="s">
        <v>102</v>
      </c>
      <c r="S3" s="15" t="s">
        <v>103</v>
      </c>
    </row>
    <row r="4" spans="1:19">
      <c r="A4" s="14" t="s">
        <v>22</v>
      </c>
      <c r="L4">
        <f t="shared" si="6"/>
        <v>0</v>
      </c>
      <c r="M4">
        <f t="shared" si="7"/>
        <v>0</v>
      </c>
      <c r="N4">
        <f t="shared" si="8"/>
        <v>0</v>
      </c>
    </row>
    <row r="5" spans="1:19">
      <c r="A5" s="14" t="s">
        <v>23</v>
      </c>
      <c r="H5">
        <v>13426.35974975</v>
      </c>
      <c r="L5">
        <f t="shared" si="6"/>
        <v>4027.9079249249999</v>
      </c>
      <c r="M5">
        <f t="shared" si="7"/>
        <v>40279.079249249997</v>
      </c>
      <c r="N5">
        <f t="shared" si="8"/>
        <v>0.55943165623958335</v>
      </c>
      <c r="S5" t="s">
        <v>104</v>
      </c>
    </row>
    <row r="6" spans="1:19">
      <c r="A6" s="14" t="s">
        <v>24</v>
      </c>
      <c r="B6" s="7"/>
      <c r="H6">
        <v>630.43573546467621</v>
      </c>
      <c r="L6">
        <f t="shared" si="6"/>
        <v>189.13072063940285</v>
      </c>
      <c r="M6">
        <f t="shared" si="7"/>
        <v>1891.3072063940285</v>
      </c>
      <c r="N6">
        <f t="shared" si="8"/>
        <v>2.626815564436151E-2</v>
      </c>
      <c r="R6" t="s">
        <v>102</v>
      </c>
      <c r="S6" s="15" t="s">
        <v>105</v>
      </c>
    </row>
    <row r="7" spans="1:19">
      <c r="A7" s="14" t="s">
        <v>25</v>
      </c>
      <c r="B7">
        <v>8535633.1199999992</v>
      </c>
      <c r="C7">
        <f t="shared" si="0"/>
        <v>853563.31199999992</v>
      </c>
      <c r="D7">
        <f t="shared" si="1"/>
        <v>106695.41399999999</v>
      </c>
      <c r="E7" s="1">
        <v>111.80200000000001</v>
      </c>
      <c r="F7">
        <f t="shared" ref="F4:F26" si="9">E7*0.125</f>
        <v>13.975250000000001</v>
      </c>
      <c r="G7">
        <f t="shared" si="2"/>
        <v>97.826750000000004</v>
      </c>
      <c r="H7">
        <v>89644.728579305345</v>
      </c>
      <c r="I7">
        <f t="shared" si="3"/>
        <v>164567.00655359999</v>
      </c>
      <c r="J7">
        <f t="shared" si="4"/>
        <v>20570.875819199999</v>
      </c>
      <c r="K7">
        <f t="shared" si="5"/>
        <v>143996.13073439998</v>
      </c>
      <c r="L7">
        <f t="shared" si="6"/>
        <v>26893.418573791601</v>
      </c>
      <c r="M7">
        <f t="shared" si="7"/>
        <v>268934.18573791604</v>
      </c>
      <c r="N7">
        <f t="shared" si="8"/>
        <v>3.7351970241377228</v>
      </c>
    </row>
    <row r="8" spans="1:19">
      <c r="A8" s="14" t="s">
        <v>26</v>
      </c>
      <c r="B8">
        <v>2521458.8199999998</v>
      </c>
      <c r="C8">
        <f t="shared" si="0"/>
        <v>252145.88199999998</v>
      </c>
      <c r="D8">
        <f t="shared" si="1"/>
        <v>31518.235249999998</v>
      </c>
      <c r="E8">
        <v>33.027999999999999</v>
      </c>
      <c r="F8">
        <f t="shared" si="9"/>
        <v>4.1284999999999998</v>
      </c>
      <c r="G8">
        <f t="shared" si="2"/>
        <v>28.8995</v>
      </c>
      <c r="H8">
        <v>36201.55973264468</v>
      </c>
      <c r="I8">
        <f t="shared" si="3"/>
        <v>48613.726049600002</v>
      </c>
      <c r="J8">
        <f t="shared" si="4"/>
        <v>6076.7157562000002</v>
      </c>
      <c r="K8">
        <f t="shared" si="5"/>
        <v>42537.010293400002</v>
      </c>
      <c r="L8">
        <f t="shared" si="6"/>
        <v>10860.467919793406</v>
      </c>
      <c r="M8">
        <f t="shared" si="7"/>
        <v>108604.67919793405</v>
      </c>
      <c r="N8">
        <f t="shared" si="8"/>
        <v>1.5083983221935287</v>
      </c>
      <c r="S8" t="s">
        <v>106</v>
      </c>
    </row>
    <row r="9" spans="1:19">
      <c r="A9" s="14" t="s">
        <v>27</v>
      </c>
      <c r="B9">
        <v>3806937.17</v>
      </c>
      <c r="C9">
        <f t="shared" si="0"/>
        <v>380693.717</v>
      </c>
      <c r="D9">
        <f t="shared" si="1"/>
        <v>47586.714625000001</v>
      </c>
      <c r="E9">
        <v>49.86</v>
      </c>
      <c r="F9">
        <f t="shared" si="9"/>
        <v>6.2324999999999999</v>
      </c>
      <c r="G9">
        <f t="shared" si="2"/>
        <v>43.627499999999998</v>
      </c>
      <c r="H9">
        <v>28431.574001533027</v>
      </c>
      <c r="I9">
        <f t="shared" si="3"/>
        <v>73397.748637600002</v>
      </c>
      <c r="J9">
        <f t="shared" si="4"/>
        <v>9174.7185797000002</v>
      </c>
      <c r="K9">
        <f t="shared" si="5"/>
        <v>64223.030057900003</v>
      </c>
      <c r="L9">
        <f t="shared" si="6"/>
        <v>8529.472200459908</v>
      </c>
      <c r="M9">
        <f t="shared" si="7"/>
        <v>85294.722004599083</v>
      </c>
      <c r="N9">
        <f t="shared" si="8"/>
        <v>1.1846489167305427</v>
      </c>
      <c r="R9" t="s">
        <v>102</v>
      </c>
      <c r="S9" s="15" t="s">
        <v>107</v>
      </c>
    </row>
    <row r="10" spans="1:19">
      <c r="A10" s="14" t="s">
        <v>28</v>
      </c>
      <c r="B10">
        <v>1304552.29</v>
      </c>
      <c r="C10">
        <f t="shared" si="0"/>
        <v>130455.22900000001</v>
      </c>
      <c r="D10">
        <f t="shared" si="1"/>
        <v>16306.903625000001</v>
      </c>
      <c r="E10">
        <v>17.087</v>
      </c>
      <c r="F10">
        <f t="shared" si="9"/>
        <v>2.135875</v>
      </c>
      <c r="G10">
        <f t="shared" si="2"/>
        <v>14.951124999999999</v>
      </c>
      <c r="H10">
        <v>35688.050966920033</v>
      </c>
      <c r="I10">
        <f t="shared" si="3"/>
        <v>25151.768151200005</v>
      </c>
      <c r="J10">
        <f t="shared" si="4"/>
        <v>3143.9710189000007</v>
      </c>
      <c r="K10">
        <f t="shared" si="5"/>
        <v>22007.797132300006</v>
      </c>
      <c r="L10">
        <f t="shared" si="6"/>
        <v>10706.415290076009</v>
      </c>
      <c r="M10">
        <f t="shared" si="7"/>
        <v>107064.15290076009</v>
      </c>
      <c r="N10">
        <f t="shared" si="8"/>
        <v>1.4870021236216679</v>
      </c>
    </row>
    <row r="11" spans="1:19">
      <c r="A11" s="14" t="s">
        <v>29</v>
      </c>
      <c r="B11">
        <v>377397.32199999999</v>
      </c>
      <c r="C11">
        <f t="shared" si="0"/>
        <v>37739.732199999999</v>
      </c>
      <c r="D11">
        <f t="shared" si="1"/>
        <v>4717.4665249999998</v>
      </c>
      <c r="E11">
        <v>4.9420000000000002</v>
      </c>
      <c r="F11">
        <f t="shared" si="9"/>
        <v>0.61775000000000002</v>
      </c>
      <c r="G11">
        <f t="shared" si="2"/>
        <v>4.3242500000000001</v>
      </c>
      <c r="H11">
        <v>20255.846297083852</v>
      </c>
      <c r="I11">
        <f t="shared" si="3"/>
        <v>7276.2203681600004</v>
      </c>
      <c r="J11">
        <f t="shared" si="4"/>
        <v>909.52754602000005</v>
      </c>
      <c r="K11">
        <f t="shared" si="5"/>
        <v>6366.6928221400003</v>
      </c>
      <c r="L11">
        <f t="shared" si="6"/>
        <v>6076.7538891251552</v>
      </c>
      <c r="M11">
        <f t="shared" si="7"/>
        <v>60767.538891251548</v>
      </c>
      <c r="N11">
        <f t="shared" si="8"/>
        <v>0.84399359571182719</v>
      </c>
      <c r="S11" t="s">
        <v>108</v>
      </c>
    </row>
    <row r="12" spans="1:19">
      <c r="A12" s="14" t="s">
        <v>30</v>
      </c>
      <c r="B12">
        <v>459551.94</v>
      </c>
      <c r="C12">
        <f t="shared" si="0"/>
        <v>45955.194000000003</v>
      </c>
      <c r="D12">
        <f t="shared" si="1"/>
        <v>5744.3992500000004</v>
      </c>
      <c r="E12">
        <v>6.0190000000000001</v>
      </c>
      <c r="F12">
        <f t="shared" si="9"/>
        <v>0.75237500000000002</v>
      </c>
      <c r="G12">
        <f t="shared" si="2"/>
        <v>5.2666250000000003</v>
      </c>
      <c r="H12">
        <v>11168.411529039609</v>
      </c>
      <c r="I12">
        <f t="shared" si="3"/>
        <v>8860.1614032000016</v>
      </c>
      <c r="J12">
        <f t="shared" si="4"/>
        <v>1107.5201754000002</v>
      </c>
      <c r="K12">
        <f t="shared" si="5"/>
        <v>7752.6412278000016</v>
      </c>
      <c r="L12">
        <f t="shared" si="6"/>
        <v>3350.5234587118825</v>
      </c>
      <c r="M12">
        <f t="shared" si="7"/>
        <v>33505.234587118823</v>
      </c>
      <c r="N12">
        <f t="shared" si="8"/>
        <v>0.46535048037665033</v>
      </c>
      <c r="R12" t="s">
        <v>102</v>
      </c>
      <c r="S12" s="15" t="s">
        <v>109</v>
      </c>
    </row>
    <row r="13" spans="1:19">
      <c r="A13" s="14" t="s">
        <v>31</v>
      </c>
      <c r="B13">
        <v>215093.27</v>
      </c>
      <c r="C13">
        <f t="shared" si="0"/>
        <v>21509.327000000001</v>
      </c>
      <c r="D13">
        <f t="shared" si="1"/>
        <v>2688.6658750000001</v>
      </c>
      <c r="E13">
        <v>2.81</v>
      </c>
      <c r="F13">
        <f t="shared" si="9"/>
        <v>0.35125000000000001</v>
      </c>
      <c r="G13">
        <f t="shared" si="2"/>
        <v>2.4587500000000002</v>
      </c>
      <c r="H13">
        <v>8524.3532778215194</v>
      </c>
      <c r="I13">
        <f t="shared" si="3"/>
        <v>4146.9982456000007</v>
      </c>
      <c r="J13">
        <f t="shared" si="4"/>
        <v>518.37478070000009</v>
      </c>
      <c r="K13">
        <f t="shared" si="5"/>
        <v>3628.6234649000007</v>
      </c>
      <c r="L13">
        <f t="shared" si="6"/>
        <v>2557.3059833464558</v>
      </c>
      <c r="M13">
        <f t="shared" si="7"/>
        <v>25573.059833464558</v>
      </c>
      <c r="N13">
        <f t="shared" si="8"/>
        <v>0.35518138657589665</v>
      </c>
    </row>
    <row r="14" spans="1:19">
      <c r="A14" s="14" t="s">
        <v>32</v>
      </c>
      <c r="B14">
        <v>2706320.44</v>
      </c>
      <c r="C14">
        <f t="shared" si="0"/>
        <v>270632.04399999999</v>
      </c>
      <c r="D14">
        <f t="shared" si="1"/>
        <v>33829.005499999999</v>
      </c>
      <c r="E14">
        <v>35.450000000000003</v>
      </c>
      <c r="F14">
        <f t="shared" si="9"/>
        <v>4.4312500000000004</v>
      </c>
      <c r="G14">
        <f t="shared" si="2"/>
        <v>31.018750000000004</v>
      </c>
      <c r="H14">
        <v>18792.373256466708</v>
      </c>
      <c r="I14">
        <f t="shared" si="3"/>
        <v>52177.858083200001</v>
      </c>
      <c r="J14">
        <f t="shared" si="4"/>
        <v>6522.2322604000001</v>
      </c>
      <c r="K14">
        <f t="shared" si="5"/>
        <v>45655.625822800001</v>
      </c>
      <c r="L14">
        <f t="shared" si="6"/>
        <v>5637.7119769400124</v>
      </c>
      <c r="M14">
        <f t="shared" si="7"/>
        <v>56377.119769400124</v>
      </c>
      <c r="N14">
        <f t="shared" si="8"/>
        <v>0.78301555235277953</v>
      </c>
      <c r="S14" t="s">
        <v>110</v>
      </c>
    </row>
    <row r="15" spans="1:19">
      <c r="A15" s="14" t="s">
        <v>33</v>
      </c>
      <c r="B15">
        <v>1083565.656</v>
      </c>
      <c r="C15">
        <f t="shared" si="0"/>
        <v>108356.5656</v>
      </c>
      <c r="D15">
        <f t="shared" si="1"/>
        <v>13544.5707</v>
      </c>
      <c r="E15">
        <v>14.193</v>
      </c>
      <c r="F15">
        <f t="shared" si="9"/>
        <v>1.774125</v>
      </c>
      <c r="G15">
        <f t="shared" si="2"/>
        <v>12.418875</v>
      </c>
      <c r="H15">
        <v>36989.87381895649</v>
      </c>
      <c r="I15">
        <f t="shared" si="3"/>
        <v>20891.14584768</v>
      </c>
      <c r="J15">
        <f t="shared" si="4"/>
        <v>2611.39323096</v>
      </c>
      <c r="K15">
        <f t="shared" si="5"/>
        <v>18279.752616720001</v>
      </c>
      <c r="L15">
        <f t="shared" si="6"/>
        <v>11096.962145686946</v>
      </c>
      <c r="M15">
        <f t="shared" si="7"/>
        <v>110969.62145686947</v>
      </c>
      <c r="N15">
        <f t="shared" si="8"/>
        <v>1.5412447424565203</v>
      </c>
    </row>
    <row r="16" spans="1:19">
      <c r="A16" s="14" t="s">
        <v>34</v>
      </c>
      <c r="B16">
        <v>719867.82</v>
      </c>
      <c r="C16">
        <f t="shared" si="0"/>
        <v>71986.781999999992</v>
      </c>
      <c r="D16">
        <f t="shared" si="1"/>
        <v>8998.347749999999</v>
      </c>
      <c r="E16">
        <v>9.43</v>
      </c>
      <c r="F16">
        <f t="shared" si="9"/>
        <v>1.17875</v>
      </c>
      <c r="G16">
        <f t="shared" si="2"/>
        <v>8.2512499999999989</v>
      </c>
      <c r="H16">
        <v>26481.533893288015</v>
      </c>
      <c r="I16">
        <f t="shared" si="3"/>
        <v>13879.051569599998</v>
      </c>
      <c r="J16">
        <f t="shared" si="4"/>
        <v>1734.8814461999998</v>
      </c>
      <c r="K16">
        <f t="shared" si="5"/>
        <v>12144.170123399999</v>
      </c>
      <c r="L16">
        <f t="shared" si="6"/>
        <v>7944.4601679864045</v>
      </c>
      <c r="M16">
        <f t="shared" si="7"/>
        <v>79444.601679864048</v>
      </c>
      <c r="N16">
        <f t="shared" si="8"/>
        <v>1.1033972455536671</v>
      </c>
    </row>
    <row r="17" spans="1:14">
      <c r="A17" s="14" t="s">
        <v>35</v>
      </c>
      <c r="B17">
        <v>2737816.93</v>
      </c>
      <c r="C17">
        <f t="shared" si="0"/>
        <v>273781.69300000003</v>
      </c>
      <c r="D17">
        <f t="shared" si="1"/>
        <v>34222.711625000004</v>
      </c>
      <c r="E17">
        <v>35.86</v>
      </c>
      <c r="F17">
        <f t="shared" si="9"/>
        <v>4.4824999999999999</v>
      </c>
      <c r="G17">
        <f t="shared" si="2"/>
        <v>31.377499999999998</v>
      </c>
      <c r="H17">
        <v>5325.8348797716753</v>
      </c>
      <c r="I17">
        <f t="shared" si="3"/>
        <v>52785.110410400004</v>
      </c>
      <c r="J17">
        <f t="shared" si="4"/>
        <v>6598.1388013000005</v>
      </c>
      <c r="K17">
        <f t="shared" si="5"/>
        <v>46186.971609100001</v>
      </c>
      <c r="L17">
        <f t="shared" si="6"/>
        <v>1597.7504639315027</v>
      </c>
      <c r="M17">
        <f t="shared" si="7"/>
        <v>15977.504639315028</v>
      </c>
      <c r="N17">
        <f t="shared" si="8"/>
        <v>0.22190978665715316</v>
      </c>
    </row>
    <row r="18" spans="1:14">
      <c r="A18" s="14" t="s">
        <v>36</v>
      </c>
      <c r="B18">
        <v>172056.73</v>
      </c>
      <c r="C18">
        <f t="shared" si="0"/>
        <v>17205.673000000003</v>
      </c>
      <c r="D18">
        <f t="shared" si="1"/>
        <v>2150.7091250000003</v>
      </c>
      <c r="E18">
        <v>2.25</v>
      </c>
      <c r="F18">
        <f t="shared" si="9"/>
        <v>0.28125</v>
      </c>
      <c r="G18">
        <f t="shared" si="2"/>
        <v>1.96875</v>
      </c>
      <c r="H18">
        <v>5032.7092044786978</v>
      </c>
      <c r="I18">
        <f t="shared" si="3"/>
        <v>3317.2537544000011</v>
      </c>
      <c r="J18">
        <f t="shared" si="4"/>
        <v>414.65671930000013</v>
      </c>
      <c r="K18">
        <f t="shared" si="5"/>
        <v>2902.597035100001</v>
      </c>
      <c r="L18">
        <f t="shared" si="6"/>
        <v>1509.8127613436095</v>
      </c>
      <c r="M18">
        <f t="shared" si="7"/>
        <v>15098.127613436096</v>
      </c>
      <c r="N18">
        <f t="shared" si="8"/>
        <v>0.2096962168532791</v>
      </c>
    </row>
    <row r="19" spans="1:14">
      <c r="A19" s="14" t="s">
        <v>37</v>
      </c>
      <c r="B19">
        <v>1923419.74</v>
      </c>
      <c r="C19">
        <f t="shared" si="0"/>
        <v>192341.97400000002</v>
      </c>
      <c r="D19">
        <f t="shared" si="1"/>
        <v>24042.746750000002</v>
      </c>
      <c r="E19">
        <v>25.195</v>
      </c>
      <c r="F19">
        <f t="shared" si="9"/>
        <v>3.149375</v>
      </c>
      <c r="G19">
        <f t="shared" si="2"/>
        <v>22.045625000000001</v>
      </c>
      <c r="H19">
        <v>4580.0886764527759</v>
      </c>
      <c r="I19">
        <f t="shared" si="3"/>
        <v>37083.53258720001</v>
      </c>
      <c r="J19">
        <f t="shared" si="4"/>
        <v>4635.4415734000013</v>
      </c>
      <c r="K19">
        <f t="shared" si="5"/>
        <v>32448.091013800011</v>
      </c>
      <c r="L19">
        <f t="shared" si="6"/>
        <v>1374.0266029358327</v>
      </c>
      <c r="M19">
        <f t="shared" si="7"/>
        <v>13740.266029358327</v>
      </c>
      <c r="N19">
        <f t="shared" si="8"/>
        <v>0.1908370281855323</v>
      </c>
    </row>
    <row r="20" spans="1:14">
      <c r="A20" s="14" t="s">
        <v>38</v>
      </c>
      <c r="B20">
        <f>120481.5</f>
        <v>120481.5</v>
      </c>
      <c r="C20">
        <f t="shared" si="0"/>
        <v>12048.150000000001</v>
      </c>
      <c r="D20">
        <f t="shared" si="1"/>
        <v>1506.0187500000002</v>
      </c>
      <c r="E20">
        <v>1.579</v>
      </c>
      <c r="F20">
        <f t="shared" si="9"/>
        <v>0.19737499999999999</v>
      </c>
      <c r="G20">
        <f t="shared" si="2"/>
        <v>1.3816249999999999</v>
      </c>
      <c r="H20">
        <v>6763.4438902159109</v>
      </c>
      <c r="I20">
        <f t="shared" si="3"/>
        <v>2322.8833200000004</v>
      </c>
      <c r="J20">
        <f t="shared" si="4"/>
        <v>290.36041500000005</v>
      </c>
      <c r="K20">
        <f t="shared" si="5"/>
        <v>2032.5229050000003</v>
      </c>
      <c r="L20">
        <f t="shared" si="6"/>
        <v>2029.0331670647731</v>
      </c>
      <c r="M20">
        <f t="shared" si="7"/>
        <v>20290.331670647731</v>
      </c>
      <c r="N20">
        <f t="shared" si="8"/>
        <v>0.28181016209232962</v>
      </c>
    </row>
    <row r="21" spans="1:14">
      <c r="A21" s="14" t="s">
        <v>39</v>
      </c>
      <c r="B21">
        <v>3353021.87</v>
      </c>
      <c r="C21">
        <f t="shared" si="0"/>
        <v>335302.18700000003</v>
      </c>
      <c r="D21">
        <f t="shared" si="1"/>
        <v>41912.773375000004</v>
      </c>
      <c r="E21">
        <v>43.918999999999997</v>
      </c>
      <c r="F21">
        <f t="shared" si="9"/>
        <v>5.4898749999999996</v>
      </c>
      <c r="G21">
        <f t="shared" si="2"/>
        <v>38.429124999999999</v>
      </c>
      <c r="H21">
        <v>961.81862205508298</v>
      </c>
      <c r="I21">
        <f t="shared" si="3"/>
        <v>64646.261653600006</v>
      </c>
      <c r="J21">
        <f t="shared" si="4"/>
        <v>8080.7827067000007</v>
      </c>
      <c r="K21">
        <f t="shared" si="5"/>
        <v>56565.478946900002</v>
      </c>
      <c r="L21">
        <f t="shared" si="6"/>
        <v>288.54558661652487</v>
      </c>
      <c r="M21">
        <f t="shared" si="7"/>
        <v>2885.4558661652486</v>
      </c>
      <c r="N21">
        <f t="shared" si="8"/>
        <v>4.007577591896179E-2</v>
      </c>
    </row>
    <row r="22" spans="1:14">
      <c r="A22" s="14" t="s">
        <v>40</v>
      </c>
      <c r="B22">
        <v>49447.99</v>
      </c>
      <c r="C22">
        <f t="shared" si="0"/>
        <v>4944.799</v>
      </c>
      <c r="D22">
        <f t="shared" si="1"/>
        <v>618.099875</v>
      </c>
      <c r="E22">
        <v>0.64600000000000002</v>
      </c>
      <c r="F22">
        <f t="shared" si="9"/>
        <v>8.0750000000000002E-2</v>
      </c>
      <c r="G22">
        <f t="shared" si="2"/>
        <v>0.56525000000000003</v>
      </c>
      <c r="I22">
        <f t="shared" si="3"/>
        <v>953.35724719999996</v>
      </c>
      <c r="J22">
        <f t="shared" si="4"/>
        <v>119.1696559</v>
      </c>
      <c r="K22">
        <f t="shared" si="5"/>
        <v>834.18759130000001</v>
      </c>
      <c r="L22">
        <f t="shared" si="6"/>
        <v>0</v>
      </c>
      <c r="M22">
        <f t="shared" si="7"/>
        <v>0</v>
      </c>
      <c r="N22">
        <f t="shared" si="8"/>
        <v>0</v>
      </c>
    </row>
    <row r="23" spans="1:14">
      <c r="A23" s="14" t="s">
        <v>41</v>
      </c>
      <c r="L23">
        <f t="shared" si="6"/>
        <v>0</v>
      </c>
      <c r="M23">
        <f t="shared" si="7"/>
        <v>0</v>
      </c>
      <c r="N23">
        <f t="shared" si="8"/>
        <v>0</v>
      </c>
    </row>
    <row r="24" spans="1:14">
      <c r="A24" s="14" t="s">
        <v>42</v>
      </c>
      <c r="B24">
        <v>35371067</v>
      </c>
      <c r="C24">
        <f t="shared" si="0"/>
        <v>3537106.7</v>
      </c>
      <c r="D24">
        <f t="shared" si="1"/>
        <v>442138.33750000002</v>
      </c>
      <c r="E24">
        <f>SUM(E2:E22)</f>
        <v>400.54</v>
      </c>
      <c r="G24">
        <f>SUM(G2:G22)</f>
        <v>350.16449999999998</v>
      </c>
      <c r="H24">
        <v>359763.44376660784</v>
      </c>
      <c r="I24">
        <f t="shared" si="3"/>
        <v>681954.17176000017</v>
      </c>
      <c r="J24">
        <f t="shared" si="4"/>
        <v>85244.271470000022</v>
      </c>
      <c r="K24">
        <f t="shared" si="5"/>
        <v>596709.90029000014</v>
      </c>
      <c r="L24">
        <f t="shared" si="6"/>
        <v>107929.03312998234</v>
      </c>
      <c r="M24">
        <f t="shared" si="7"/>
        <v>1079290.3312998235</v>
      </c>
      <c r="N24">
        <f t="shared" si="8"/>
        <v>14.990143490275326</v>
      </c>
    </row>
    <row r="25" spans="1:14">
      <c r="A25" s="14"/>
      <c r="L25">
        <f t="shared" si="6"/>
        <v>0</v>
      </c>
      <c r="M25">
        <f t="shared" si="7"/>
        <v>0</v>
      </c>
      <c r="N25">
        <f t="shared" si="8"/>
        <v>0</v>
      </c>
    </row>
    <row r="26" spans="1:14">
      <c r="A26" s="14" t="s">
        <v>43</v>
      </c>
      <c r="B26">
        <v>5323489.25</v>
      </c>
      <c r="C26">
        <f t="shared" si="0"/>
        <v>532348.92500000005</v>
      </c>
      <c r="D26">
        <f t="shared" si="1"/>
        <v>66543.615625000006</v>
      </c>
      <c r="E26">
        <v>69.73</v>
      </c>
      <c r="F26">
        <f t="shared" si="9"/>
        <v>8.7162500000000005</v>
      </c>
      <c r="G26">
        <f t="shared" si="2"/>
        <v>61.013750000000002</v>
      </c>
      <c r="H26">
        <v>54569.870661068046</v>
      </c>
      <c r="I26">
        <f t="shared" si="3"/>
        <v>102636.87274000002</v>
      </c>
      <c r="J26">
        <f t="shared" si="4"/>
        <v>12829.609092500003</v>
      </c>
      <c r="K26">
        <f t="shared" si="5"/>
        <v>89807.263647500018</v>
      </c>
      <c r="L26">
        <f t="shared" si="6"/>
        <v>16370.961198320412</v>
      </c>
      <c r="M26">
        <f t="shared" si="7"/>
        <v>163709.61198320411</v>
      </c>
      <c r="N26">
        <f t="shared" si="8"/>
        <v>2.2737446108778352</v>
      </c>
    </row>
    <row r="27" spans="1:14">
      <c r="A27" s="14" t="s">
        <v>44</v>
      </c>
      <c r="B27" s="23"/>
    </row>
    <row r="28" spans="1:14">
      <c r="A28" s="14" t="s">
        <v>45</v>
      </c>
    </row>
    <row r="29" spans="1:14">
      <c r="A29" s="14" t="s">
        <v>46</v>
      </c>
    </row>
    <row r="30" spans="1:14">
      <c r="A30" s="14" t="s">
        <v>47</v>
      </c>
    </row>
  </sheetData>
  <hyperlinks>
    <hyperlink ref="S3" r:id="rId1" xr:uid="{F22D4F4E-E4D4-4D25-826C-31F267F9B769}"/>
    <hyperlink ref="S6" r:id="rId2" xr:uid="{BAAEC955-7126-4867-B8A1-96F0CFD09557}"/>
    <hyperlink ref="S9" r:id="rId3" location="result" xr:uid="{D32C119E-BEB6-42F5-AEE3-10D2A8B4B9A1}"/>
    <hyperlink ref="S12" r:id="rId4" display="https://www.amazon.de/s?k=led+500+lumen&amp;adgrpid=1201766863336619&amp;hvadid=75110544825652&amp;hvbmt=be&amp;hvdev=c&amp;hvlocphy=119662&amp;hvnetw=o&amp;hvqmt=e&amp;hvtargid=kwd-75110630774153%3Aloc-72&amp;hydadcr=27928_2279541&amp;msclkid=38aa2580d6801dd39d35435e69f562db&amp;tag=hyddemsn-21&amp;ref=pd_sl_3qxbfdy1fd_e" xr:uid="{D2917B52-7448-4F1E-91FF-D158C31FA1D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6B951-F2EF-4F2D-BCF0-937B3E2EDEE3}">
  <dimension ref="A1:AC26"/>
  <sheetViews>
    <sheetView tabSelected="1" topLeftCell="J1" workbookViewId="0">
      <selection activeCell="T23" sqref="T23"/>
    </sheetView>
  </sheetViews>
  <sheetFormatPr defaultRowHeight="15"/>
  <cols>
    <col min="2" max="2" width="19.85546875" customWidth="1"/>
    <col min="3" max="3" width="19" customWidth="1"/>
    <col min="6" max="6" width="15.7109375" customWidth="1"/>
    <col min="8" max="8" width="12" customWidth="1"/>
    <col min="9" max="9" width="17.42578125" customWidth="1"/>
    <col min="10" max="10" width="17.7109375" customWidth="1"/>
    <col min="15" max="15" width="15.140625" customWidth="1"/>
    <col min="17" max="17" width="10.85546875" customWidth="1"/>
    <col min="18" max="18" width="12.5703125" customWidth="1"/>
  </cols>
  <sheetData>
    <row r="1" spans="1:29">
      <c r="A1" s="14" t="s">
        <v>0</v>
      </c>
      <c r="B1" s="14" t="s">
        <v>111</v>
      </c>
      <c r="D1" s="14" t="s">
        <v>112</v>
      </c>
      <c r="E1" s="14" t="s">
        <v>113</v>
      </c>
      <c r="F1" s="14" t="s">
        <v>114</v>
      </c>
      <c r="G1" s="14" t="s">
        <v>115</v>
      </c>
      <c r="H1" s="14" t="s">
        <v>6</v>
      </c>
      <c r="I1" s="14" t="s">
        <v>116</v>
      </c>
      <c r="J1" s="14" t="s">
        <v>117</v>
      </c>
      <c r="K1" s="14" t="s">
        <v>118</v>
      </c>
      <c r="L1" s="14" t="s">
        <v>119</v>
      </c>
      <c r="M1" s="14" t="s">
        <v>98</v>
      </c>
      <c r="N1" s="14" t="s">
        <v>2</v>
      </c>
      <c r="O1" s="14" t="s">
        <v>119</v>
      </c>
      <c r="P1" s="14" t="s">
        <v>120</v>
      </c>
      <c r="T1" s="14" t="s">
        <v>102</v>
      </c>
    </row>
    <row r="2" spans="1:29">
      <c r="A2" s="14" t="s">
        <v>30</v>
      </c>
      <c r="B2" t="s">
        <v>121</v>
      </c>
      <c r="D2" t="s">
        <v>122</v>
      </c>
      <c r="E2">
        <v>360</v>
      </c>
      <c r="F2">
        <f>E2*1.16</f>
        <v>417.59999999999997</v>
      </c>
      <c r="G2">
        <f>F2*10</f>
        <v>4176</v>
      </c>
      <c r="H2">
        <v>0.93</v>
      </c>
      <c r="I2">
        <v>0.23300000000000001</v>
      </c>
      <c r="J2">
        <f>H2-I2</f>
        <v>0.69700000000000006</v>
      </c>
      <c r="K2">
        <f>G2*8.8</f>
        <v>36748.800000000003</v>
      </c>
      <c r="L2">
        <v>0</v>
      </c>
      <c r="M2">
        <f>K2-L2</f>
        <v>36748.800000000003</v>
      </c>
      <c r="N2">
        <v>748</v>
      </c>
      <c r="O2">
        <f>N2*340</f>
        <v>254320</v>
      </c>
      <c r="P2">
        <f>((N2/80)*4)/30</f>
        <v>1.2466666666666666</v>
      </c>
      <c r="S2" t="s">
        <v>123</v>
      </c>
      <c r="T2" s="15" t="s">
        <v>124</v>
      </c>
    </row>
    <row r="3" spans="1:29">
      <c r="S3" t="s">
        <v>125</v>
      </c>
      <c r="T3" s="15" t="s">
        <v>126</v>
      </c>
    </row>
    <row r="4" spans="1:29">
      <c r="S4" t="s">
        <v>127</v>
      </c>
      <c r="T4" s="15" t="s">
        <v>128</v>
      </c>
    </row>
    <row r="6" spans="1:29">
      <c r="A6" s="14" t="s">
        <v>0</v>
      </c>
      <c r="B6" s="14" t="s">
        <v>111</v>
      </c>
      <c r="C6" s="14"/>
      <c r="D6" s="14" t="s">
        <v>129</v>
      </c>
      <c r="E6" s="14" t="s">
        <v>130</v>
      </c>
      <c r="F6" s="14" t="s">
        <v>6</v>
      </c>
      <c r="G6" s="14" t="s">
        <v>8</v>
      </c>
      <c r="H6" s="14" t="s">
        <v>131</v>
      </c>
      <c r="I6" s="14" t="s">
        <v>132</v>
      </c>
      <c r="J6" s="14" t="s">
        <v>117</v>
      </c>
      <c r="K6" s="14" t="s">
        <v>133</v>
      </c>
      <c r="L6" s="14" t="s">
        <v>134</v>
      </c>
      <c r="M6" s="28" t="s">
        <v>135</v>
      </c>
      <c r="N6" s="14" t="s">
        <v>136</v>
      </c>
      <c r="O6" s="14" t="s">
        <v>137</v>
      </c>
      <c r="P6" s="14"/>
      <c r="T6" t="s">
        <v>102</v>
      </c>
    </row>
    <row r="7" spans="1:29" ht="60.75">
      <c r="A7" s="14" t="s">
        <v>17</v>
      </c>
      <c r="B7" s="25" t="s">
        <v>138</v>
      </c>
      <c r="C7" s="26" t="s">
        <v>139</v>
      </c>
      <c r="D7" t="s">
        <v>140</v>
      </c>
      <c r="E7" t="s">
        <v>141</v>
      </c>
      <c r="F7">
        <v>23.91</v>
      </c>
      <c r="G7">
        <v>23.91</v>
      </c>
      <c r="H7">
        <v>6.49</v>
      </c>
      <c r="I7" s="17">
        <v>83200</v>
      </c>
      <c r="J7" s="17">
        <v>83200</v>
      </c>
      <c r="K7">
        <v>0</v>
      </c>
      <c r="L7">
        <v>0</v>
      </c>
      <c r="M7" s="27">
        <v>3775</v>
      </c>
      <c r="N7">
        <f>(32000/2.495)*500</f>
        <v>6412825.6513026049</v>
      </c>
      <c r="O7">
        <f>M7*50</f>
        <v>188750</v>
      </c>
      <c r="S7" t="s">
        <v>142</v>
      </c>
      <c r="T7" s="15" t="s">
        <v>143</v>
      </c>
    </row>
    <row r="8" spans="1:29">
      <c r="S8" t="s">
        <v>135</v>
      </c>
      <c r="T8" s="15" t="s">
        <v>144</v>
      </c>
    </row>
    <row r="11" spans="1:29">
      <c r="A11" s="14" t="s">
        <v>0</v>
      </c>
      <c r="B11" s="14" t="s">
        <v>111</v>
      </c>
      <c r="C11" s="14" t="s">
        <v>145</v>
      </c>
      <c r="D11" s="14" t="s">
        <v>146</v>
      </c>
      <c r="E11" s="14" t="s">
        <v>117</v>
      </c>
      <c r="F11" s="14" t="s">
        <v>147</v>
      </c>
      <c r="G11" s="14" t="s">
        <v>148</v>
      </c>
      <c r="H11" s="14" t="s">
        <v>149</v>
      </c>
      <c r="I11" s="14" t="s">
        <v>150</v>
      </c>
      <c r="J11" s="14" t="s">
        <v>118</v>
      </c>
      <c r="K11" t="s">
        <v>151</v>
      </c>
      <c r="L11" s="14" t="s">
        <v>152</v>
      </c>
      <c r="M11" s="14" t="s">
        <v>117</v>
      </c>
      <c r="N11" s="14" t="s">
        <v>133</v>
      </c>
    </row>
    <row r="12" spans="1:29">
      <c r="A12" s="14" t="s">
        <v>153</v>
      </c>
      <c r="B12" t="s">
        <v>154</v>
      </c>
      <c r="C12">
        <v>52.87</v>
      </c>
      <c r="D12">
        <v>21.07</v>
      </c>
      <c r="E12">
        <f>C12-D12</f>
        <v>31.799999999999997</v>
      </c>
      <c r="F12">
        <v>14684</v>
      </c>
      <c r="G12">
        <v>2678</v>
      </c>
      <c r="H12">
        <f>F12*1.71</f>
        <v>25109.64</v>
      </c>
      <c r="I12">
        <f>1.79*G12</f>
        <v>4793.62</v>
      </c>
      <c r="J12">
        <f>H12+I12</f>
        <v>29903.26</v>
      </c>
      <c r="K12">
        <f>300*40000</f>
        <v>12000000</v>
      </c>
      <c r="L12">
        <f>(326335/100)*6.9</f>
        <v>22517.115000000002</v>
      </c>
      <c r="M12">
        <f>J12-L12</f>
        <v>7386.1449999999968</v>
      </c>
      <c r="N12">
        <v>3</v>
      </c>
      <c r="T12" t="s">
        <v>102</v>
      </c>
    </row>
    <row r="13" spans="1:29">
      <c r="S13" t="s">
        <v>155</v>
      </c>
      <c r="T13" s="15" t="s">
        <v>156</v>
      </c>
    </row>
    <row r="14" spans="1:29">
      <c r="T14" s="15" t="s">
        <v>157</v>
      </c>
    </row>
    <row r="15" spans="1:29">
      <c r="T15" s="15" t="s">
        <v>158</v>
      </c>
      <c r="AC15" t="s">
        <v>159</v>
      </c>
    </row>
    <row r="16" spans="1:29">
      <c r="A16" s="14" t="s">
        <v>0</v>
      </c>
      <c r="B16" s="14" t="s">
        <v>111</v>
      </c>
      <c r="C16" s="14" t="s">
        <v>160</v>
      </c>
      <c r="D16" s="14"/>
      <c r="E16" s="14" t="s">
        <v>161</v>
      </c>
      <c r="F16" s="14" t="s">
        <v>162</v>
      </c>
      <c r="G16" s="14" t="s">
        <v>8</v>
      </c>
      <c r="H16" s="14" t="s">
        <v>163</v>
      </c>
      <c r="I16" s="14" t="s">
        <v>164</v>
      </c>
      <c r="J16" s="14" t="s">
        <v>118</v>
      </c>
      <c r="K16" s="14" t="s">
        <v>165</v>
      </c>
      <c r="L16" s="14" t="s">
        <v>133</v>
      </c>
      <c r="M16" t="s">
        <v>166</v>
      </c>
      <c r="S16" t="s">
        <v>167</v>
      </c>
      <c r="T16" s="15" t="s">
        <v>168</v>
      </c>
    </row>
    <row r="17" spans="1:20">
      <c r="A17" t="s">
        <v>169</v>
      </c>
      <c r="B17" t="s">
        <v>170</v>
      </c>
      <c r="C17" t="s">
        <v>171</v>
      </c>
      <c r="E17">
        <v>70.56</v>
      </c>
      <c r="F17">
        <v>0.44</v>
      </c>
      <c r="G17">
        <f>E17-F17</f>
        <v>70.12</v>
      </c>
      <c r="H17" s="34">
        <v>23202</v>
      </c>
      <c r="I17">
        <f>(M17*9.98)/100</f>
        <v>22692.484080000002</v>
      </c>
      <c r="J17">
        <f>(H17*9.281)/100</f>
        <v>2153.3776200000002</v>
      </c>
      <c r="K17">
        <v>17500</v>
      </c>
      <c r="L17" t="s">
        <v>172</v>
      </c>
      <c r="M17">
        <f>23202*9.8</f>
        <v>227379.6</v>
      </c>
    </row>
    <row r="18" spans="1:20">
      <c r="C18" t="s">
        <v>173</v>
      </c>
      <c r="S18" t="s">
        <v>174</v>
      </c>
      <c r="T18" s="15" t="s">
        <v>175</v>
      </c>
    </row>
    <row r="19" spans="1:20">
      <c r="C19" t="s">
        <v>176</v>
      </c>
      <c r="S19" t="s">
        <v>177</v>
      </c>
    </row>
    <row r="20" spans="1:20">
      <c r="C20" t="s">
        <v>178</v>
      </c>
      <c r="S20" t="s">
        <v>165</v>
      </c>
      <c r="T20" s="15" t="s">
        <v>179</v>
      </c>
    </row>
    <row r="21" spans="1:20">
      <c r="S21" t="s">
        <v>180</v>
      </c>
    </row>
    <row r="22" spans="1:20">
      <c r="S22">
        <v>17500</v>
      </c>
    </row>
    <row r="23" spans="1:20">
      <c r="S23" t="s">
        <v>181</v>
      </c>
      <c r="T23" s="15" t="s">
        <v>182</v>
      </c>
    </row>
    <row r="24" spans="1:20">
      <c r="S24" t="s">
        <v>183</v>
      </c>
    </row>
    <row r="25" spans="1:20">
      <c r="S25" t="s">
        <v>184</v>
      </c>
      <c r="T25" s="15" t="s">
        <v>185</v>
      </c>
    </row>
    <row r="26" spans="1:20">
      <c r="S26" t="s">
        <v>186</v>
      </c>
    </row>
  </sheetData>
  <hyperlinks>
    <hyperlink ref="T2" r:id="rId1" xr:uid="{89358457-9C1D-435D-936B-B0AFA35C48E2}"/>
    <hyperlink ref="T3" r:id="rId2" xr:uid="{A83142F3-4E01-4BF6-A0FD-49E0D472FDB6}"/>
    <hyperlink ref="T4" r:id="rId3" xr:uid="{FA7C9D01-D16F-4943-9E6C-AFDBCAEFD68C}"/>
    <hyperlink ref="T7" r:id="rId4" xr:uid="{C128087D-EBD2-41D7-9D7D-8CB6E6B98305}"/>
    <hyperlink ref="T8" r:id="rId5" xr:uid="{20EAC9A5-A029-4EE1-8D01-F8E2E193DA31}"/>
    <hyperlink ref="T13" r:id="rId6" xr:uid="{D93FF1CC-FC57-4BE6-B710-36BD0D48E9B6}"/>
    <hyperlink ref="T14" r:id="rId7" xr:uid="{27D54D1A-2211-4E39-A520-B33954AAD2A1}"/>
    <hyperlink ref="T15" r:id="rId8" xr:uid="{1A074F42-D704-4350-9873-40004256AAEF}"/>
    <hyperlink ref="T16" r:id="rId9" xr:uid="{3CFE6513-BCFB-4D37-8CB9-8FDF5D347EDA}"/>
    <hyperlink ref="T18" r:id="rId10" xr:uid="{AA661025-6448-468A-8087-FD38B5D9F958}"/>
    <hyperlink ref="T20" r:id="rId11" xr:uid="{01BDC624-F6D1-4D65-AA28-9C29AD304B99}"/>
    <hyperlink ref="T23" r:id="rId12" xr:uid="{0B1462EA-F391-47D1-A30A-27C95D442D73}"/>
    <hyperlink ref="T25" r:id="rId13" xr:uid="{038DEAE1-ABC7-44D8-88D0-C3DD351137F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6516e09-a922-4bbf-814d-55e46e1a2cc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461DE996BB163409CD6F11CD087C39A" ma:contentTypeVersion="13" ma:contentTypeDescription="Ein neues Dokument erstellen." ma:contentTypeScope="" ma:versionID="90c77de08266e9011571862274f5b57e">
  <xsd:schema xmlns:xsd="http://www.w3.org/2001/XMLSchema" xmlns:xs="http://www.w3.org/2001/XMLSchema" xmlns:p="http://schemas.microsoft.com/office/2006/metadata/properties" xmlns:ns3="a6516e09-a922-4bbf-814d-55e46e1a2cc4" targetNamespace="http://schemas.microsoft.com/office/2006/metadata/properties" ma:root="true" ma:fieldsID="a4da601c76c118e620fada175a370206" ns3:_="">
    <xsd:import namespace="a6516e09-a922-4bbf-814d-55e46e1a2cc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LengthInSeconds" minOccurs="0"/>
                <xsd:element ref="ns3:MediaServiceDateTaken" minOccurs="0"/>
                <xsd:element ref="ns3:_activity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516e09-a922-4bbf-814d-55e46e1a2c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93669B-02E7-4C8F-B090-85DD614A32BF}"/>
</file>

<file path=customXml/itemProps2.xml><?xml version="1.0" encoding="utf-8"?>
<ds:datastoreItem xmlns:ds="http://schemas.openxmlformats.org/officeDocument/2006/customXml" ds:itemID="{DE839D5E-6462-4FD1-A7B5-A344F199DCB2}"/>
</file>

<file path=customXml/itemProps3.xml><?xml version="1.0" encoding="utf-8"?>
<ds:datastoreItem xmlns:ds="http://schemas.openxmlformats.org/officeDocument/2006/customXml" ds:itemID="{4506F0F7-DB78-46FA-917C-F58EA8F5A61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Hannah-Maria</dc:creator>
  <cp:keywords/>
  <dc:description/>
  <cp:lastModifiedBy/>
  <cp:revision/>
  <dcterms:created xsi:type="dcterms:W3CDTF">2024-08-28T09:44:14Z</dcterms:created>
  <dcterms:modified xsi:type="dcterms:W3CDTF">2024-10-31T19:40:46Z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0x0101004461DE996BB163409CD6F11CD087C39A</vt:lpwstr>
  </property>
</Properties>
</file>