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rena\Desktop\Personal\Models\Google\"/>
    </mc:Choice>
  </mc:AlternateContent>
  <xr:revisionPtr revIDLastSave="0" documentId="13_ncr:1_{30A5B38D-CC09-4312-A42A-3D111C58F7DE}" xr6:coauthVersionLast="47" xr6:coauthVersionMax="47" xr10:uidLastSave="{00000000-0000-0000-0000-000000000000}"/>
  <bookViews>
    <workbookView xWindow="19090" yWindow="-10910" windowWidth="38620" windowHeight="21220" activeTab="2" xr2:uid="{9C13E9AC-8B43-4FD3-BC6F-3ADF8682C3A6}"/>
  </bookViews>
  <sheets>
    <sheet name="Main" sheetId="1" r:id="rId1"/>
    <sheet name="Model" sheetId="2" r:id="rId2"/>
    <sheet name="DCF" sheetId="4" r:id="rId3"/>
    <sheet name="Relative Valuation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4" l="1"/>
  <c r="E21" i="4"/>
  <c r="E19" i="4"/>
  <c r="E18" i="4"/>
  <c r="E23" i="4"/>
  <c r="U37" i="2" l="1"/>
  <c r="V37" i="2" s="1"/>
  <c r="W37" i="2" s="1"/>
  <c r="X37" i="2" s="1"/>
  <c r="Y37" i="2" s="1"/>
  <c r="U36" i="2"/>
  <c r="V36" i="2" s="1"/>
  <c r="W36" i="2" s="1"/>
  <c r="X36" i="2" s="1"/>
  <c r="Y36" i="2" s="1"/>
  <c r="Z36" i="2" s="1"/>
  <c r="G8" i="4"/>
  <c r="H8" i="4"/>
  <c r="H5" i="4"/>
  <c r="I5" i="4"/>
  <c r="J5" i="4" s="1"/>
  <c r="K5" i="4" s="1"/>
  <c r="K8" i="4" s="1"/>
  <c r="J40" i="2"/>
  <c r="J41" i="2"/>
  <c r="I41" i="2"/>
  <c r="H41" i="2"/>
  <c r="G41" i="2"/>
  <c r="F41" i="2"/>
  <c r="F40" i="2"/>
  <c r="G40" i="2"/>
  <c r="H40" i="2"/>
  <c r="I40" i="2"/>
  <c r="J38" i="2"/>
  <c r="F28" i="2"/>
  <c r="J28" i="2"/>
  <c r="I28" i="2"/>
  <c r="H28" i="2"/>
  <c r="G28" i="2"/>
  <c r="B38" i="2"/>
  <c r="B17" i="2"/>
  <c r="B10" i="2"/>
  <c r="B11" i="2" s="1"/>
  <c r="S37" i="2"/>
  <c r="S36" i="2"/>
  <c r="T3" i="2"/>
  <c r="S3" i="2"/>
  <c r="S21" i="2"/>
  <c r="S19" i="2"/>
  <c r="S16" i="2"/>
  <c r="S15" i="2"/>
  <c r="S14" i="2"/>
  <c r="S12" i="2"/>
  <c r="S9" i="2"/>
  <c r="S8" i="2"/>
  <c r="S7" i="2"/>
  <c r="S6" i="2"/>
  <c r="S5" i="2"/>
  <c r="S4" i="2"/>
  <c r="T21" i="2"/>
  <c r="T19" i="2"/>
  <c r="T16" i="2"/>
  <c r="T15" i="2"/>
  <c r="T14" i="2"/>
  <c r="T12" i="2"/>
  <c r="T9" i="2"/>
  <c r="T8" i="2"/>
  <c r="T7" i="2"/>
  <c r="T6" i="2"/>
  <c r="T5" i="2"/>
  <c r="T4" i="2"/>
  <c r="I8" i="4" l="1"/>
  <c r="J8" i="4"/>
  <c r="B13" i="2"/>
  <c r="U38" i="2"/>
  <c r="G7" i="4" s="1"/>
  <c r="G9" i="4" s="1"/>
  <c r="X38" i="2"/>
  <c r="J7" i="4" s="1"/>
  <c r="Y38" i="2"/>
  <c r="K7" i="4" s="1"/>
  <c r="K9" i="4" s="1"/>
  <c r="V38" i="2"/>
  <c r="H7" i="4" s="1"/>
  <c r="H9" i="4" s="1"/>
  <c r="W38" i="2"/>
  <c r="I7" i="4" s="1"/>
  <c r="Z37" i="2"/>
  <c r="Z38" i="2" s="1"/>
  <c r="B29" i="2"/>
  <c r="C17" i="2"/>
  <c r="F17" i="2"/>
  <c r="F10" i="2"/>
  <c r="D16" i="1"/>
  <c r="J9" i="4" l="1"/>
  <c r="I9" i="4"/>
  <c r="F11" i="2"/>
  <c r="F27" i="2"/>
  <c r="B18" i="2"/>
  <c r="B20" i="2" s="1"/>
  <c r="E15" i="4"/>
  <c r="E16" i="4" s="1"/>
  <c r="D18" i="1"/>
  <c r="D15" i="1"/>
  <c r="D14" i="1"/>
  <c r="C10" i="2"/>
  <c r="I38" i="2"/>
  <c r="H38" i="2"/>
  <c r="G38" i="2"/>
  <c r="F38" i="2"/>
  <c r="E38" i="2"/>
  <c r="D38" i="2"/>
  <c r="C38" i="2"/>
  <c r="J17" i="2"/>
  <c r="I17" i="2"/>
  <c r="H17" i="2"/>
  <c r="G17" i="2"/>
  <c r="T17" i="2" s="1"/>
  <c r="E17" i="2"/>
  <c r="D17" i="2"/>
  <c r="S17" i="2" s="1"/>
  <c r="J10" i="2"/>
  <c r="I10" i="2"/>
  <c r="H10" i="2"/>
  <c r="G10" i="2"/>
  <c r="T10" i="2" s="1"/>
  <c r="F13" i="2"/>
  <c r="E10" i="2"/>
  <c r="E11" i="2" s="1"/>
  <c r="D10" i="2"/>
  <c r="D11" i="2" s="1"/>
  <c r="D13" i="2" s="1"/>
  <c r="E14" i="4" l="1"/>
  <c r="E17" i="4" s="1"/>
  <c r="S10" i="2"/>
  <c r="C11" i="2"/>
  <c r="I11" i="2"/>
  <c r="I27" i="2"/>
  <c r="J11" i="2"/>
  <c r="J27" i="2"/>
  <c r="G11" i="2"/>
  <c r="G27" i="2"/>
  <c r="F26" i="2"/>
  <c r="H11" i="2"/>
  <c r="H27" i="2"/>
  <c r="F29" i="2"/>
  <c r="S38" i="2"/>
  <c r="E7" i="4" s="1"/>
  <c r="E9" i="4" s="1"/>
  <c r="F7" i="4"/>
  <c r="F9" i="4" s="1"/>
  <c r="B22" i="2"/>
  <c r="B23" i="2" s="1"/>
  <c r="E13" i="2"/>
  <c r="E18" i="2" s="1"/>
  <c r="F18" i="2"/>
  <c r="D18" i="2"/>
  <c r="D29" i="2"/>
  <c r="G14" i="4" l="1"/>
  <c r="E20" i="4"/>
  <c r="G13" i="2"/>
  <c r="G26" i="2"/>
  <c r="J13" i="2"/>
  <c r="J26" i="2"/>
  <c r="H13" i="2"/>
  <c r="H26" i="2"/>
  <c r="T11" i="2"/>
  <c r="I13" i="2"/>
  <c r="I26" i="2"/>
  <c r="S11" i="2"/>
  <c r="C13" i="2"/>
  <c r="F20" i="2"/>
  <c r="G16" i="4"/>
  <c r="E29" i="2"/>
  <c r="E20" i="2"/>
  <c r="E22" i="2" s="1"/>
  <c r="E23" i="2" s="1"/>
  <c r="D20" i="2"/>
  <c r="D22" i="2" s="1"/>
  <c r="D23" i="2" s="1"/>
  <c r="G29" i="4" l="1"/>
  <c r="E24" i="4"/>
  <c r="F22" i="2"/>
  <c r="C18" i="2"/>
  <c r="C29" i="2"/>
  <c r="S29" i="2" s="1"/>
  <c r="S13" i="2"/>
  <c r="H29" i="2"/>
  <c r="H18" i="2"/>
  <c r="H20" i="2" s="1"/>
  <c r="H22" i="2" s="1"/>
  <c r="H23" i="2" s="1"/>
  <c r="J29" i="2"/>
  <c r="J18" i="2"/>
  <c r="J20" i="2" s="1"/>
  <c r="J22" i="2" s="1"/>
  <c r="I18" i="2"/>
  <c r="I20" i="2" s="1"/>
  <c r="I22" i="2" s="1"/>
  <c r="I23" i="2" s="1"/>
  <c r="I29" i="2"/>
  <c r="G29" i="2"/>
  <c r="T29" i="2" s="1"/>
  <c r="T13" i="2"/>
  <c r="G18" i="2"/>
  <c r="C20" i="2" l="1"/>
  <c r="S18" i="2"/>
  <c r="G20" i="2"/>
  <c r="T18" i="2"/>
  <c r="J23" i="2"/>
  <c r="F23" i="2"/>
  <c r="G22" i="2" l="1"/>
  <c r="T20" i="2"/>
  <c r="C22" i="2"/>
  <c r="S20" i="2"/>
  <c r="G23" i="2" l="1"/>
  <c r="T22" i="2"/>
  <c r="C23" i="2"/>
  <c r="S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tc={C4612FA9-0377-4EB8-828E-CE5521169C5B}</author>
    <author>tc={6DD2AECF-7C2F-41E0-913A-A7AD110E0DE0}</author>
    <author>tc={5A9CB355-320B-4F19-9B18-2B8B4B295914}</author>
  </authors>
  <commentList>
    <comment ref="D14" authorId="0" shapeId="0" xr:uid="{C4612FA9-0377-4EB8-828E-CE5521169C5B}">
      <text>
        <t>[Threaded comment]
Your version of Excel allows you to read this threaded comment; however, any edits to it will get removed if the file is opened in a newer version of Excel. Learn more: https://go.microsoft.com/fwlink/?linkid=870924
Comment:
    Pulled from yahoo finance - 20 to 1 stock split</t>
      </text>
    </comment>
    <comment ref="D16" authorId="1" shapeId="0" xr:uid="{6DD2AECF-7C2F-41E0-913A-A7AD110E0DE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Anything like cash - Non marketable securities</t>
      </text>
    </comment>
    <comment ref="D17" authorId="2" shapeId="0" xr:uid="{5A9CB355-320B-4F19-9B18-2B8B4B29591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longterm debt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tc={E1267772-CEE4-4665-B566-01F26F0B29B1}</author>
    <author>tc={F663529F-8436-4708-A947-A75F01FB9855}</author>
  </authors>
  <commentList>
    <comment ref="C2" authorId="0" shapeId="0" xr:uid="{E1267772-CEE4-4665-B566-01F26F0B29B1}">
      <text>
        <t>[Threaded comment]
Your version of Excel allows you to read this threaded comment; however, any edits to it will get removed if the file is opened in a newer version of Excel. Learn more: https://go.microsoft.com/fwlink/?linkid=870924
Comment:
    1: Bull
2: Base
3: Bear</t>
      </text>
    </comment>
    <comment ref="H30" authorId="1" shapeId="0" xr:uid="{F663529F-8436-4708-A947-A75F01FB985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Data, what if analysis, data table</t>
      </text>
    </comment>
  </commentList>
</comments>
</file>

<file path=xl/sharedStrings.xml><?xml version="1.0" encoding="utf-8"?>
<sst xmlns="http://schemas.openxmlformats.org/spreadsheetml/2006/main" count="103" uniqueCount="97">
  <si>
    <t>Company Name</t>
  </si>
  <si>
    <t>Symbol</t>
  </si>
  <si>
    <t>Company Description</t>
  </si>
  <si>
    <t>Stat</t>
  </si>
  <si>
    <t>Date</t>
  </si>
  <si>
    <t>Information</t>
  </si>
  <si>
    <t>Share Price</t>
  </si>
  <si>
    <t>Shares Outstanding (MM)</t>
  </si>
  <si>
    <t>Market Cap</t>
  </si>
  <si>
    <t>Cash</t>
  </si>
  <si>
    <t>Debt</t>
  </si>
  <si>
    <t>Enterprise Value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</si>
  <si>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</si>
  <si>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</si>
  <si>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</si>
  <si>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</si>
  <si>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</si>
  <si>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</si>
  <si>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</si>
  <si>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</si>
  <si>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</si>
  <si>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FX</t>
  </si>
  <si>
    <t>Other Bets</t>
  </si>
  <si>
    <t>Cloud</t>
  </si>
  <si>
    <t>Other</t>
  </si>
  <si>
    <t>Network</t>
  </si>
  <si>
    <t>YouTube</t>
  </si>
  <si>
    <t>Google Search</t>
  </si>
  <si>
    <t>Services</t>
  </si>
  <si>
    <t>Revenue</t>
  </si>
  <si>
    <t>COGS</t>
  </si>
  <si>
    <t>Gross Profit</t>
  </si>
  <si>
    <t>R&amp;D</t>
  </si>
  <si>
    <t>S&amp;M</t>
  </si>
  <si>
    <t>G&amp;A</t>
  </si>
  <si>
    <t>OpEx</t>
  </si>
  <si>
    <t>OpInc</t>
  </si>
  <si>
    <t>Pretax</t>
  </si>
  <si>
    <t>Taxes</t>
  </si>
  <si>
    <t>Net Income</t>
  </si>
  <si>
    <t>EPS</t>
  </si>
  <si>
    <t>Shares</t>
  </si>
  <si>
    <t>Revenue Growth</t>
  </si>
  <si>
    <t>Services Growth</t>
  </si>
  <si>
    <t>Cloud Growth</t>
  </si>
  <si>
    <t>Gross Margin</t>
  </si>
  <si>
    <t>CFFO</t>
  </si>
  <si>
    <t>CapEx</t>
  </si>
  <si>
    <t>FCF</t>
  </si>
  <si>
    <t>Comments</t>
  </si>
  <si>
    <t xml:space="preserve">In February 2022, the board of directors of Alphabet approved a 20-for-one stock split in the form of a one-time special stock dividend on each share of our Class A, Class B, and Class C stock (the 2022 Stock Split). </t>
  </si>
  <si>
    <t>Stock Split</t>
  </si>
  <si>
    <t>Category</t>
  </si>
  <si>
    <t>Notes</t>
  </si>
  <si>
    <t>Alphabet is a collection of businesses — the largest of which is Google. We report Google in two segments, Google Services and Google Cloud; we also report all non-Google businesses collectively as Other Bets. Other Bets include earlier stage technologies that are further afield from our core Google business. We take a long-term view and manage the portfolio of Other Bets with the discipline and rigor needed to deliver long-term returns. Alphabet's structure is about helping each of our businesses prosper through strong leaders and independence.</t>
  </si>
  <si>
    <t>GOOG</t>
  </si>
  <si>
    <t>Alphabet Inc.</t>
  </si>
  <si>
    <t>WACC</t>
  </si>
  <si>
    <t>g</t>
  </si>
  <si>
    <t>Discount Factor</t>
  </si>
  <si>
    <t>Present Value of FCF</t>
  </si>
  <si>
    <t>FY20</t>
  </si>
  <si>
    <t>FY21</t>
  </si>
  <si>
    <t>FY22 Forecast</t>
  </si>
  <si>
    <t>FY23 Forecast</t>
  </si>
  <si>
    <t>FY24 Forecast</t>
  </si>
  <si>
    <t>FY25 Forecast</t>
  </si>
  <si>
    <t>DCF Valuation</t>
  </si>
  <si>
    <t>PV of Cashflows</t>
  </si>
  <si>
    <t>Continuing Value</t>
  </si>
  <si>
    <t>PV of Continuing Value</t>
  </si>
  <si>
    <t>Financial Liabilities</t>
  </si>
  <si>
    <t>Equity Value</t>
  </si>
  <si>
    <t>Terminal Growth Rate</t>
  </si>
  <si>
    <t>Sensitivity Analysis</t>
  </si>
  <si>
    <t>FY2020</t>
  </si>
  <si>
    <t>FY2021</t>
  </si>
  <si>
    <t>FY2022</t>
  </si>
  <si>
    <t>CFFO Growth</t>
  </si>
  <si>
    <t>CapEx Growth</t>
  </si>
  <si>
    <t>FY2023</t>
  </si>
  <si>
    <t>FY2024</t>
  </si>
  <si>
    <t>FY2025</t>
  </si>
  <si>
    <t>FY2026</t>
  </si>
  <si>
    <t>FY2027</t>
  </si>
  <si>
    <t>FY26 Forecast</t>
  </si>
  <si>
    <t>CFFO Bear Case</t>
  </si>
  <si>
    <t>CFFO Base Case</t>
  </si>
  <si>
    <t>CFFO Bull Case</t>
  </si>
  <si>
    <t>Capex Bear Case</t>
  </si>
  <si>
    <t>Capex Base Case</t>
  </si>
  <si>
    <t>Capex Bull Case</t>
  </si>
  <si>
    <t>Case</t>
  </si>
  <si>
    <t>Shares Outstanding</t>
  </si>
  <si>
    <t>Projected Share Price</t>
  </si>
  <si>
    <t>Current Share Price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</si>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</sst>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&quot;$&quot;* #,##0_-;\-&quot;$&quot;* #,##0_-;_-&quot;$&quot;* &quot;-&quot;??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C2BA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164" fontId="0" fillId="0" borderId="0" xfId="1" applyNumberFormat="1" applyFont="1"/>
    <xf numFmtId="43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4" xfId="0" applyBorder="1"/>
    <xf numFmtId="43" fontId="0" fillId="0" borderId="5" xfId="1" applyFont="1" applyBorder="1"/>
    <xf numFmtId="164" fontId="0" fillId="0" borderId="5" xfId="1" applyNumberFormat="1" applyFont="1" applyBorder="1"/>
    <xf numFmtId="0" fontId="0" fillId="0" borderId="6" xfId="0" applyBorder="1"/>
    <xf numFmtId="164" fontId="0" fillId="0" borderId="8" xfId="1" applyNumberFormat="1" applyFont="1" applyBorder="1"/>
    <xf numFmtId="3" fontId="0" fillId="0" borderId="0" xfId="0" applyNumberFormat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5" fontId="0" fillId="0" borderId="0" xfId="2" applyNumberFormat="1" applyFont="1"/>
    <xf numFmtId="14" fontId="0" fillId="0" borderId="0" xfId="0" applyNumberFormat="1"/>
    <xf numFmtId="0" fontId="4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/>
    <xf numFmtId="10" fontId="0" fillId="3" borderId="0" xfId="3" applyNumberFormat="1" applyFont="1" applyFill="1"/>
    <xf numFmtId="0" fontId="2" fillId="3" borderId="0" xfId="0" applyFont="1" applyFill="1"/>
    <xf numFmtId="10" fontId="2" fillId="3" borderId="0" xfId="3" applyNumberFormat="1" applyFont="1" applyFill="1"/>
    <xf numFmtId="164" fontId="0" fillId="3" borderId="0" xfId="1" applyNumberFormat="1" applyFont="1" applyFill="1"/>
    <xf numFmtId="43" fontId="2" fillId="3" borderId="0" xfId="1" applyFont="1" applyFill="1"/>
    <xf numFmtId="164" fontId="0" fillId="0" borderId="0" xfId="0" applyNumberFormat="1"/>
    <xf numFmtId="166" fontId="0" fillId="0" borderId="0" xfId="3" applyNumberFormat="1" applyFont="1"/>
    <xf numFmtId="0" fontId="0" fillId="0" borderId="7" xfId="0" applyBorder="1"/>
    <xf numFmtId="0" fontId="0" fillId="0" borderId="2" xfId="0" applyBorder="1"/>
    <xf numFmtId="0" fontId="2" fillId="0" borderId="2" xfId="0" applyFont="1" applyBorder="1"/>
    <xf numFmtId="10" fontId="0" fillId="0" borderId="0" xfId="3" applyNumberFormat="1" applyFont="1"/>
    <xf numFmtId="164" fontId="2" fillId="0" borderId="2" xfId="1" applyNumberFormat="1" applyFont="1" applyBorder="1"/>
    <xf numFmtId="164" fontId="0" fillId="0" borderId="2" xfId="1" applyNumberFormat="1" applyFont="1" applyBorder="1"/>
    <xf numFmtId="10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7" xfId="3" applyFont="1" applyBorder="1"/>
    <xf numFmtId="164" fontId="0" fillId="8" borderId="0" xfId="0" applyNumberFormat="1" applyFill="1"/>
    <xf numFmtId="1" fontId="0" fillId="0" borderId="0" xfId="0" applyNumberFormat="1"/>
    <xf numFmtId="43" fontId="2" fillId="0" borderId="0" xfId="0" applyNumberFormat="1" applyFont="1"/>
    <xf numFmtId="43" fontId="2" fillId="0" borderId="2" xfId="0" applyNumberFormat="1" applyFont="1" applyBorder="1"/>
    <xf numFmtId="166" fontId="2" fillId="8" borderId="0" xfId="3" applyNumberFormat="1" applyFont="1" applyFill="1"/>
    <xf numFmtId="166" fontId="0" fillId="0" borderId="0" xfId="0" applyNumberFormat="1"/>
    <xf numFmtId="43" fontId="0" fillId="4" borderId="0" xfId="0" applyNumberFormat="1" applyFill="1"/>
    <xf numFmtId="43" fontId="0" fillId="0" borderId="0" xfId="1" applyFont="1"/>
    <xf numFmtId="10" fontId="2" fillId="0" borderId="0" xfId="3" applyNumberFormat="1" applyFont="1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textRotation="90" wrapText="1"/>
    </xf>
    <xf numFmtId="0" fontId="4" fillId="6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CC2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Arena" id="{CDBFBF87-C0DF-4E19-935A-F4C3A198846F}" userId="S::MichaelArena@nuralogix.ai::dfd37f5d-6bc6-4d88-be05-20d72e1644e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2-07-20T18:46:04.73" personId="{CDBFBF87-C0DF-4E19-935A-F4C3A198846F}" id="{C4612FA9-0377-4EB8-828E-CE5521169C5B}">
    <text>Pulled from yahoo finance - 20 to 1 stock split</text>
  </threadedComment>
  <threadedComment ref="D16" dT="2022-07-20T21:10:23.86" personId="{CDBFBF87-C0DF-4E19-935A-F4C3A198846F}" id="{6DD2AECF-7C2F-41E0-913A-A7AD110E0DE0}">
    <text>Anything like cash - Non marketable securities</text>
  </threadedComment>
  <threadedComment ref="D17" dT="2022-07-20T21:10:12.75" personId="{CDBFBF87-C0DF-4E19-935A-F4C3A198846F}" id="{5A9CB355-320B-4F19-9B18-2B8B4B295914}">
    <text>Only longterm debt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2-07-21T19:07:02.01" personId="{CDBFBF87-C0DF-4E19-935A-F4C3A198846F}" id="{E1267772-CEE4-4665-B566-01F26F0B29B1}">
    <text>1: Bull
2: Base
3: Bear</text>
  </threadedComment>
  <threadedComment ref="H30" dT="2022-07-21T18:17:33.14" personId="{CDBFBF87-C0DF-4E19-935A-F4C3A198846F}" id="{F663529F-8436-4708-A947-A75F01FB9855}">
    <text>Data, what if analysis, data table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7AFF-BE10-4E84-AE70-815392183B35}">
  <dimension ref="B1:P18"/>
  <sheetViews>
    <sheetView workbookViewId="0">
      <selection activeCell="N1" sqref="N1:P2"/>
    </sheetView>
  </sheetViews>
  <sheetFormatPr defaultRowHeight="14.5" x14ac:dyDescent="0.35"/>
  <cols>
    <col min="2" max="2" width="22.453125" bestFit="1" customWidth="1"/>
    <col min="3" max="3" width="10.08984375" bestFit="1" customWidth="1"/>
    <col min="4" max="4" width="17.90625" customWidth="1"/>
    <col min="5" max="5" width="14.6328125" customWidth="1"/>
    <col min="6" max="7" width="12.54296875" customWidth="1"/>
    <col min="14" max="14" width="9.1796875" bestFit="1" customWidth="1"/>
    <col min="15" max="15" width="10.08984375" bestFit="1" customWidth="1"/>
    <col min="16" max="16" width="37.26953125" customWidth="1"/>
  </cols>
  <sheetData>
    <row r="1" spans="2:16" x14ac:dyDescent="0.35">
      <c r="N1" s="51" t="s">
        <v>53</v>
      </c>
      <c r="O1" s="51"/>
      <c r="P1" s="51"/>
    </row>
    <row r="2" spans="2:16" x14ac:dyDescent="0.35">
      <c r="B2" s="2" t="s">
        <v>0</v>
      </c>
      <c r="C2" t="s">
        <v>56</v>
      </c>
      <c r="N2" s="2" t="s">
        <v>52</v>
      </c>
      <c r="O2" s="2" t="s">
        <v>4</v>
      </c>
      <c r="P2" s="2" t="s">
        <v>49</v>
      </c>
    </row>
    <row r="3" spans="2:16" ht="87" x14ac:dyDescent="0.35">
      <c r="B3" s="2" t="s">
        <v>1</v>
      </c>
      <c r="C3" t="s">
        <v>55</v>
      </c>
      <c r="N3" t="s">
        <v>51</v>
      </c>
      <c r="O3" s="19">
        <v>44593</v>
      </c>
      <c r="P3" s="1" t="s">
        <v>50</v>
      </c>
    </row>
    <row r="4" spans="2:16" x14ac:dyDescent="0.35">
      <c r="B4" s="48" t="s">
        <v>2</v>
      </c>
      <c r="C4" s="52" t="s">
        <v>54</v>
      </c>
      <c r="D4" s="52"/>
      <c r="E4" s="52"/>
      <c r="F4" s="52"/>
      <c r="G4" s="52"/>
      <c r="H4" s="21"/>
      <c r="I4" s="21"/>
      <c r="J4" s="21"/>
    </row>
    <row r="5" spans="2:16" x14ac:dyDescent="0.35">
      <c r="B5" s="48"/>
      <c r="C5" s="52"/>
      <c r="D5" s="52"/>
      <c r="E5" s="52"/>
      <c r="F5" s="52"/>
      <c r="G5" s="52"/>
      <c r="H5" s="21"/>
      <c r="I5" s="21"/>
      <c r="J5" s="21"/>
    </row>
    <row r="6" spans="2:16" x14ac:dyDescent="0.35">
      <c r="B6" s="48"/>
      <c r="C6" s="52"/>
      <c r="D6" s="52"/>
      <c r="E6" s="52"/>
      <c r="F6" s="52"/>
      <c r="G6" s="52"/>
      <c r="H6" s="21"/>
      <c r="I6" s="21"/>
      <c r="J6" s="21"/>
    </row>
    <row r="7" spans="2:16" x14ac:dyDescent="0.35">
      <c r="B7" s="48"/>
      <c r="C7" s="52"/>
      <c r="D7" s="52"/>
      <c r="E7" s="52"/>
      <c r="F7" s="52"/>
      <c r="G7" s="52"/>
      <c r="H7" s="21"/>
      <c r="I7" s="21"/>
      <c r="J7" s="21"/>
    </row>
    <row r="8" spans="2:16" x14ac:dyDescent="0.35">
      <c r="B8" s="48"/>
      <c r="C8" s="52"/>
      <c r="D8" s="52"/>
      <c r="E8" s="52"/>
      <c r="F8" s="52"/>
      <c r="G8" s="52"/>
      <c r="H8" s="21"/>
      <c r="I8" s="21"/>
      <c r="J8" s="21"/>
    </row>
    <row r="9" spans="2:16" x14ac:dyDescent="0.35">
      <c r="B9" s="48"/>
      <c r="C9" s="52"/>
      <c r="D9" s="52"/>
      <c r="E9" s="52"/>
      <c r="F9" s="52"/>
      <c r="G9" s="52"/>
      <c r="H9" s="21"/>
      <c r="I9" s="21"/>
      <c r="J9" s="21"/>
    </row>
    <row r="10" spans="2:16" ht="42.5" customHeight="1" x14ac:dyDescent="0.35">
      <c r="B10" s="48"/>
      <c r="C10" s="52"/>
      <c r="D10" s="52"/>
      <c r="E10" s="52"/>
      <c r="F10" s="52"/>
      <c r="G10" s="52"/>
      <c r="H10" s="21"/>
      <c r="I10" s="21"/>
      <c r="J10" s="21"/>
    </row>
    <row r="11" spans="2:16" ht="15" thickBot="1" x14ac:dyDescent="0.4"/>
    <row r="12" spans="2:16" x14ac:dyDescent="0.35">
      <c r="B12" s="7" t="s">
        <v>3</v>
      </c>
      <c r="C12" s="8" t="s">
        <v>4</v>
      </c>
      <c r="D12" s="9" t="s">
        <v>5</v>
      </c>
    </row>
    <row r="13" spans="2:16" x14ac:dyDescent="0.35">
      <c r="B13" s="10" t="s">
        <v>6</v>
      </c>
      <c r="C13" s="49">
        <v>44762</v>
      </c>
      <c r="D13" s="11">
        <v>114.1</v>
      </c>
    </row>
    <row r="14" spans="2:16" x14ac:dyDescent="0.35">
      <c r="B14" s="10" t="s">
        <v>7</v>
      </c>
      <c r="C14" s="49"/>
      <c r="D14" s="12">
        <f>667.551*20</f>
        <v>13351.02</v>
      </c>
      <c r="G14" s="3"/>
      <c r="H14" s="4"/>
    </row>
    <row r="15" spans="2:16" x14ac:dyDescent="0.35">
      <c r="B15" s="10" t="s">
        <v>8</v>
      </c>
      <c r="C15" s="49"/>
      <c r="D15" s="12">
        <f>D14*D13</f>
        <v>1523351.382</v>
      </c>
    </row>
    <row r="16" spans="2:16" x14ac:dyDescent="0.35">
      <c r="B16" s="10" t="s">
        <v>9</v>
      </c>
      <c r="C16" s="49"/>
      <c r="D16" s="12">
        <f>133970+29549</f>
        <v>163519</v>
      </c>
      <c r="H16" s="4"/>
    </row>
    <row r="17" spans="2:4" x14ac:dyDescent="0.35">
      <c r="B17" s="10" t="s">
        <v>10</v>
      </c>
      <c r="C17" s="49"/>
      <c r="D17" s="12">
        <v>14791</v>
      </c>
    </row>
    <row r="18" spans="2:4" ht="15" thickBot="1" x14ac:dyDescent="0.4">
      <c r="B18" s="13" t="s">
        <v>11</v>
      </c>
      <c r="C18" s="50"/>
      <c r="D18" s="14">
        <f>D15-D16+D17</f>
        <v>1374623.382</v>
      </c>
    </row>
  </sheetData>
  <mergeCells count="4">
    <mergeCell ref="B4:B10"/>
    <mergeCell ref="C13:C18"/>
    <mergeCell ref="N1:P1"/>
    <mergeCell ref="C4:G1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709-E50D-425D-ABF5-DABE5315439A}">
  <dimension ref="A1:Z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:J24"/>
    </sheetView>
  </sheetViews>
  <sheetFormatPr defaultRowHeight="14.5" x14ac:dyDescent="0.35"/>
  <cols>
    <col min="1" max="1" width="15.26953125" bestFit="1" customWidth="1"/>
    <col min="3" max="5" width="10.36328125" bestFit="1" customWidth="1"/>
    <col min="6" max="6" width="10.453125" bestFit="1" customWidth="1"/>
    <col min="7" max="9" width="10.36328125" bestFit="1" customWidth="1"/>
    <col min="10" max="10" width="17.36328125" bestFit="1" customWidth="1"/>
    <col min="21" max="26" width="11.08984375" bestFit="1" customWidth="1"/>
  </cols>
  <sheetData>
    <row r="1" spans="1:26" x14ac:dyDescent="0.35"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S1" s="20" t="s">
        <v>75</v>
      </c>
      <c r="T1" s="20" t="s">
        <v>76</v>
      </c>
      <c r="U1" s="37" t="s">
        <v>77</v>
      </c>
      <c r="V1" s="37" t="s">
        <v>80</v>
      </c>
      <c r="W1" s="37" t="s">
        <v>81</v>
      </c>
      <c r="X1" s="37" t="s">
        <v>82</v>
      </c>
      <c r="Y1" s="37" t="s">
        <v>83</v>
      </c>
      <c r="Z1" s="37" t="s">
        <v>84</v>
      </c>
    </row>
    <row r="3" spans="1:26" x14ac:dyDescent="0.35">
      <c r="A3" s="5" t="s">
        <v>21</v>
      </c>
      <c r="B3">
        <v>49</v>
      </c>
      <c r="C3" s="3">
        <v>151</v>
      </c>
      <c r="D3" s="3">
        <v>-22</v>
      </c>
      <c r="E3" s="3">
        <v>-2</v>
      </c>
      <c r="F3" s="3">
        <v>-109</v>
      </c>
      <c r="G3" s="3">
        <v>-7</v>
      </c>
      <c r="H3" s="3">
        <v>62</v>
      </c>
      <c r="I3" s="3">
        <v>203</v>
      </c>
      <c r="J3" s="3">
        <v>278</v>
      </c>
      <c r="S3" s="28">
        <f>SUM(B3:E3)</f>
        <v>176</v>
      </c>
      <c r="T3" s="28">
        <f>SUM(F3:I3)</f>
        <v>149</v>
      </c>
    </row>
    <row r="4" spans="1:26" x14ac:dyDescent="0.35">
      <c r="A4" s="5" t="s">
        <v>22</v>
      </c>
      <c r="B4">
        <v>135</v>
      </c>
      <c r="C4" s="3">
        <v>148</v>
      </c>
      <c r="D4" s="3">
        <v>178</v>
      </c>
      <c r="E4" s="3">
        <v>196</v>
      </c>
      <c r="F4" s="3">
        <v>198</v>
      </c>
      <c r="G4" s="3">
        <v>192</v>
      </c>
      <c r="H4" s="3">
        <v>182</v>
      </c>
      <c r="I4" s="3">
        <v>181</v>
      </c>
      <c r="J4" s="3">
        <v>440</v>
      </c>
      <c r="S4" s="28">
        <f t="shared" ref="S4:S22" si="0">SUM(B4:E4)</f>
        <v>657</v>
      </c>
      <c r="T4" s="28">
        <f t="shared" ref="T4:T22" si="1">SUM(F4:I4)</f>
        <v>753</v>
      </c>
    </row>
    <row r="5" spans="1:26" x14ac:dyDescent="0.35">
      <c r="A5" s="5" t="s">
        <v>23</v>
      </c>
      <c r="B5">
        <v>2777</v>
      </c>
      <c r="C5" s="3">
        <v>3007</v>
      </c>
      <c r="D5" s="3">
        <v>3444</v>
      </c>
      <c r="E5" s="3">
        <v>3831</v>
      </c>
      <c r="F5" s="3">
        <v>4047</v>
      </c>
      <c r="G5" s="3">
        <v>4628</v>
      </c>
      <c r="H5" s="3">
        <v>4990</v>
      </c>
      <c r="I5" s="3">
        <v>5541</v>
      </c>
      <c r="J5" s="3">
        <v>5821</v>
      </c>
      <c r="S5" s="28">
        <f t="shared" si="0"/>
        <v>13059</v>
      </c>
      <c r="T5" s="28">
        <f t="shared" si="1"/>
        <v>19206</v>
      </c>
    </row>
    <row r="6" spans="1:26" x14ac:dyDescent="0.35">
      <c r="A6" s="5" t="s">
        <v>24</v>
      </c>
      <c r="B6">
        <v>4435</v>
      </c>
      <c r="C6" s="3">
        <v>5124</v>
      </c>
      <c r="D6" s="3">
        <v>5478</v>
      </c>
      <c r="E6" s="3">
        <v>6674</v>
      </c>
      <c r="F6" s="3">
        <v>6494</v>
      </c>
      <c r="G6" s="3">
        <v>6623</v>
      </c>
      <c r="H6" s="3">
        <v>6754</v>
      </c>
      <c r="I6" s="3">
        <v>8161</v>
      </c>
      <c r="J6" s="3">
        <v>6811</v>
      </c>
      <c r="S6" s="28">
        <f t="shared" si="0"/>
        <v>21711</v>
      </c>
      <c r="T6" s="28">
        <f t="shared" si="1"/>
        <v>28032</v>
      </c>
    </row>
    <row r="7" spans="1:26" x14ac:dyDescent="0.35">
      <c r="A7" s="5" t="s">
        <v>25</v>
      </c>
      <c r="B7">
        <v>5223</v>
      </c>
      <c r="C7" s="3">
        <v>4736</v>
      </c>
      <c r="D7" s="3">
        <v>5720</v>
      </c>
      <c r="E7" s="3">
        <v>7411</v>
      </c>
      <c r="F7" s="3">
        <v>6800</v>
      </c>
      <c r="G7" s="3">
        <v>7597</v>
      </c>
      <c r="H7" s="3">
        <v>7999</v>
      </c>
      <c r="I7" s="3">
        <v>9305</v>
      </c>
      <c r="J7" s="3">
        <v>8174</v>
      </c>
      <c r="S7" s="28">
        <f t="shared" si="0"/>
        <v>23090</v>
      </c>
      <c r="T7" s="28">
        <f t="shared" si="1"/>
        <v>31701</v>
      </c>
    </row>
    <row r="8" spans="1:26" x14ac:dyDescent="0.35">
      <c r="A8" s="5" t="s">
        <v>26</v>
      </c>
      <c r="B8">
        <v>4038</v>
      </c>
      <c r="C8" s="3">
        <v>3812</v>
      </c>
      <c r="D8" s="3">
        <v>5037</v>
      </c>
      <c r="E8" s="3">
        <v>6885</v>
      </c>
      <c r="F8" s="3">
        <v>6005</v>
      </c>
      <c r="G8" s="3">
        <v>7002</v>
      </c>
      <c r="H8" s="3">
        <v>7205</v>
      </c>
      <c r="I8" s="3">
        <v>8633</v>
      </c>
      <c r="J8" s="3">
        <v>6869</v>
      </c>
      <c r="S8" s="28">
        <f t="shared" si="0"/>
        <v>19772</v>
      </c>
      <c r="T8" s="28">
        <f t="shared" si="1"/>
        <v>28845</v>
      </c>
    </row>
    <row r="9" spans="1:26" x14ac:dyDescent="0.35">
      <c r="A9" s="5" t="s">
        <v>27</v>
      </c>
      <c r="B9">
        <v>24502</v>
      </c>
      <c r="C9" s="3">
        <v>21319</v>
      </c>
      <c r="D9" s="3">
        <v>26338</v>
      </c>
      <c r="E9" s="3">
        <v>31903</v>
      </c>
      <c r="F9" s="3">
        <v>31879</v>
      </c>
      <c r="G9" s="3">
        <v>35845</v>
      </c>
      <c r="H9" s="3">
        <v>37926</v>
      </c>
      <c r="I9" s="3">
        <v>43301</v>
      </c>
      <c r="J9" s="3">
        <v>39618</v>
      </c>
      <c r="S9" s="28">
        <f t="shared" si="0"/>
        <v>104062</v>
      </c>
      <c r="T9" s="28">
        <f t="shared" si="1"/>
        <v>148951</v>
      </c>
    </row>
    <row r="10" spans="1:26" x14ac:dyDescent="0.35">
      <c r="A10" s="5" t="s">
        <v>28</v>
      </c>
      <c r="B10" s="26">
        <f>SUM(B6:B9)</f>
        <v>38198</v>
      </c>
      <c r="C10" s="26">
        <f>SUM(C6:C9)</f>
        <v>34991</v>
      </c>
      <c r="D10" s="26">
        <f t="shared" ref="D10:J10" si="2">SUM(D6:D9)</f>
        <v>42573</v>
      </c>
      <c r="E10" s="26">
        <f t="shared" si="2"/>
        <v>52873</v>
      </c>
      <c r="F10" s="26">
        <f>SUM(F6:F9)</f>
        <v>51178</v>
      </c>
      <c r="G10" s="26">
        <f t="shared" si="2"/>
        <v>57067</v>
      </c>
      <c r="H10" s="26">
        <f t="shared" si="2"/>
        <v>59884</v>
      </c>
      <c r="I10" s="26">
        <f t="shared" si="2"/>
        <v>69400</v>
      </c>
      <c r="J10" s="26">
        <f t="shared" si="2"/>
        <v>61472</v>
      </c>
      <c r="S10" s="28">
        <f t="shared" si="0"/>
        <v>168635</v>
      </c>
      <c r="T10" s="28">
        <f t="shared" si="1"/>
        <v>237529</v>
      </c>
    </row>
    <row r="11" spans="1:26" x14ac:dyDescent="0.35">
      <c r="A11" s="6" t="s">
        <v>29</v>
      </c>
      <c r="B11" s="26">
        <f>B10+SUM(B3:B5)</f>
        <v>41159</v>
      </c>
      <c r="C11" s="26">
        <f>C10+SUM(C3:C5)</f>
        <v>38297</v>
      </c>
      <c r="D11" s="26">
        <f t="shared" ref="D11:J11" si="3">D10+SUM(D3:D5)</f>
        <v>46173</v>
      </c>
      <c r="E11" s="26">
        <f t="shared" si="3"/>
        <v>56898</v>
      </c>
      <c r="F11" s="26">
        <f>F10+SUM(F3:F5)</f>
        <v>55314</v>
      </c>
      <c r="G11" s="26">
        <f t="shared" si="3"/>
        <v>61880</v>
      </c>
      <c r="H11" s="26">
        <f t="shared" si="3"/>
        <v>65118</v>
      </c>
      <c r="I11" s="26">
        <f t="shared" si="3"/>
        <v>75325</v>
      </c>
      <c r="J11" s="26">
        <f t="shared" si="3"/>
        <v>68011</v>
      </c>
      <c r="L11" s="28"/>
      <c r="Q11" s="15"/>
      <c r="R11" s="15"/>
      <c r="S11" s="28">
        <f t="shared" si="0"/>
        <v>182527</v>
      </c>
      <c r="T11" s="28">
        <f t="shared" si="1"/>
        <v>257637</v>
      </c>
    </row>
    <row r="12" spans="1:26" x14ac:dyDescent="0.35">
      <c r="A12" s="5" t="s">
        <v>30</v>
      </c>
      <c r="B12">
        <v>18982</v>
      </c>
      <c r="C12" s="3">
        <v>18553</v>
      </c>
      <c r="D12" s="3">
        <v>21117</v>
      </c>
      <c r="E12" s="3">
        <v>26080</v>
      </c>
      <c r="F12" s="3">
        <v>24103</v>
      </c>
      <c r="G12" s="3">
        <v>26227</v>
      </c>
      <c r="H12" s="3">
        <v>27621</v>
      </c>
      <c r="I12" s="3">
        <v>32988</v>
      </c>
      <c r="J12" s="3">
        <v>29599</v>
      </c>
      <c r="Q12" s="15"/>
      <c r="R12" s="15"/>
      <c r="S12" s="28">
        <f t="shared" si="0"/>
        <v>84732</v>
      </c>
      <c r="T12" s="28">
        <f t="shared" si="1"/>
        <v>110939</v>
      </c>
    </row>
    <row r="13" spans="1:26" x14ac:dyDescent="0.35">
      <c r="A13" s="5" t="s">
        <v>31</v>
      </c>
      <c r="B13" s="26">
        <f>B11-B12</f>
        <v>22177</v>
      </c>
      <c r="C13" s="26">
        <f>C11-C12</f>
        <v>19744</v>
      </c>
      <c r="D13" s="26">
        <f t="shared" ref="D13:J13" si="4">D11-D12</f>
        <v>25056</v>
      </c>
      <c r="E13" s="26">
        <f t="shared" si="4"/>
        <v>30818</v>
      </c>
      <c r="F13" s="26">
        <f t="shared" si="4"/>
        <v>31211</v>
      </c>
      <c r="G13" s="26">
        <f t="shared" si="4"/>
        <v>35653</v>
      </c>
      <c r="H13" s="26">
        <f t="shared" si="4"/>
        <v>37497</v>
      </c>
      <c r="I13" s="26">
        <f t="shared" si="4"/>
        <v>42337</v>
      </c>
      <c r="J13" s="26">
        <f t="shared" si="4"/>
        <v>38412</v>
      </c>
      <c r="Q13" s="15"/>
      <c r="R13" s="15"/>
      <c r="S13" s="28">
        <f t="shared" si="0"/>
        <v>97795</v>
      </c>
      <c r="T13" s="28">
        <f t="shared" si="1"/>
        <v>146698</v>
      </c>
    </row>
    <row r="14" spans="1:26" x14ac:dyDescent="0.35">
      <c r="A14" s="5" t="s">
        <v>32</v>
      </c>
      <c r="B14">
        <v>6820</v>
      </c>
      <c r="C14" s="3">
        <v>6875</v>
      </c>
      <c r="D14" s="3">
        <v>6856</v>
      </c>
      <c r="E14" s="3">
        <v>7022</v>
      </c>
      <c r="F14" s="3">
        <v>7485</v>
      </c>
      <c r="G14" s="3">
        <v>7675</v>
      </c>
      <c r="H14" s="3">
        <v>7694</v>
      </c>
      <c r="I14" s="3">
        <v>8708</v>
      </c>
      <c r="J14" s="3">
        <v>9119</v>
      </c>
      <c r="Q14" s="15"/>
      <c r="R14" s="15"/>
      <c r="S14" s="28">
        <f t="shared" si="0"/>
        <v>27573</v>
      </c>
      <c r="T14" s="28">
        <f t="shared" si="1"/>
        <v>31562</v>
      </c>
    </row>
    <row r="15" spans="1:26" x14ac:dyDescent="0.35">
      <c r="A15" s="5" t="s">
        <v>33</v>
      </c>
      <c r="B15">
        <v>4500</v>
      </c>
      <c r="C15" s="3">
        <v>3901</v>
      </c>
      <c r="D15" s="3">
        <v>4231</v>
      </c>
      <c r="E15" s="3">
        <v>5314</v>
      </c>
      <c r="F15" s="3">
        <v>4516</v>
      </c>
      <c r="G15" s="3">
        <v>5276</v>
      </c>
      <c r="H15" s="3">
        <v>5516</v>
      </c>
      <c r="I15" s="3">
        <v>7604</v>
      </c>
      <c r="J15" s="3">
        <v>5825</v>
      </c>
      <c r="Q15" s="15"/>
      <c r="R15" s="15"/>
      <c r="S15" s="28">
        <f t="shared" si="0"/>
        <v>17946</v>
      </c>
      <c r="T15" s="28">
        <f t="shared" si="1"/>
        <v>22912</v>
      </c>
    </row>
    <row r="16" spans="1:26" x14ac:dyDescent="0.35">
      <c r="A16" s="5" t="s">
        <v>34</v>
      </c>
      <c r="B16">
        <v>2880</v>
      </c>
      <c r="C16" s="3">
        <v>2585</v>
      </c>
      <c r="D16" s="3">
        <v>2756</v>
      </c>
      <c r="E16" s="3">
        <v>2831</v>
      </c>
      <c r="F16" s="3">
        <v>2773</v>
      </c>
      <c r="G16" s="3">
        <v>3341</v>
      </c>
      <c r="H16" s="3">
        <v>3256</v>
      </c>
      <c r="I16" s="3">
        <v>4140</v>
      </c>
      <c r="J16" s="3">
        <v>3374</v>
      </c>
      <c r="Q16" s="15"/>
      <c r="R16" s="15"/>
      <c r="S16" s="28">
        <f t="shared" si="0"/>
        <v>11052</v>
      </c>
      <c r="T16" s="28">
        <f t="shared" si="1"/>
        <v>13510</v>
      </c>
    </row>
    <row r="17" spans="1:20" x14ac:dyDescent="0.35">
      <c r="A17" s="5" t="s">
        <v>35</v>
      </c>
      <c r="B17" s="26">
        <f>SUM(B14:B16)</f>
        <v>14200</v>
      </c>
      <c r="C17" s="26">
        <f>SUM(C14:C16)</f>
        <v>13361</v>
      </c>
      <c r="D17" s="26">
        <f t="shared" ref="D17:J17" si="5">SUM(D14:D16)</f>
        <v>13843</v>
      </c>
      <c r="E17" s="26">
        <f t="shared" si="5"/>
        <v>15167</v>
      </c>
      <c r="F17" s="26">
        <f>SUM(F14:F16)</f>
        <v>14774</v>
      </c>
      <c r="G17" s="26">
        <f t="shared" si="5"/>
        <v>16292</v>
      </c>
      <c r="H17" s="26">
        <f t="shared" si="5"/>
        <v>16466</v>
      </c>
      <c r="I17" s="26">
        <f t="shared" si="5"/>
        <v>20452</v>
      </c>
      <c r="J17" s="26">
        <f t="shared" si="5"/>
        <v>18318</v>
      </c>
      <c r="Q17" s="15"/>
      <c r="R17" s="15"/>
      <c r="S17" s="28">
        <f t="shared" si="0"/>
        <v>56571</v>
      </c>
      <c r="T17" s="28">
        <f t="shared" si="1"/>
        <v>67984</v>
      </c>
    </row>
    <row r="18" spans="1:20" x14ac:dyDescent="0.35">
      <c r="A18" s="5" t="s">
        <v>36</v>
      </c>
      <c r="B18" s="26">
        <f>B13-B17</f>
        <v>7977</v>
      </c>
      <c r="C18" s="26">
        <f>C13-C17</f>
        <v>6383</v>
      </c>
      <c r="D18" s="26">
        <f t="shared" ref="D18:J18" si="6">D13-D17</f>
        <v>11213</v>
      </c>
      <c r="E18" s="26">
        <f t="shared" si="6"/>
        <v>15651</v>
      </c>
      <c r="F18" s="26">
        <f>F13-F17</f>
        <v>16437</v>
      </c>
      <c r="G18" s="26">
        <f t="shared" si="6"/>
        <v>19361</v>
      </c>
      <c r="H18" s="26">
        <f t="shared" si="6"/>
        <v>21031</v>
      </c>
      <c r="I18" s="26">
        <f t="shared" si="6"/>
        <v>21885</v>
      </c>
      <c r="J18" s="26">
        <f t="shared" si="6"/>
        <v>20094</v>
      </c>
      <c r="Q18" s="15"/>
      <c r="R18" s="15"/>
      <c r="S18" s="28">
        <f t="shared" si="0"/>
        <v>41224</v>
      </c>
      <c r="T18" s="28">
        <f t="shared" si="1"/>
        <v>78714</v>
      </c>
    </row>
    <row r="19" spans="1:20" x14ac:dyDescent="0.35">
      <c r="A19" s="5" t="s">
        <v>24</v>
      </c>
      <c r="B19">
        <v>-220</v>
      </c>
      <c r="C19" s="3">
        <v>1894</v>
      </c>
      <c r="D19" s="3">
        <v>2146</v>
      </c>
      <c r="E19" s="3">
        <v>3038</v>
      </c>
      <c r="F19" s="3">
        <v>4846</v>
      </c>
      <c r="G19" s="3">
        <v>2264</v>
      </c>
      <c r="H19" s="3">
        <v>2033</v>
      </c>
      <c r="I19" s="3">
        <v>2517</v>
      </c>
      <c r="J19" s="3">
        <v>-1160</v>
      </c>
      <c r="Q19" s="16"/>
      <c r="R19" s="16"/>
      <c r="S19" s="28">
        <f t="shared" si="0"/>
        <v>6858</v>
      </c>
      <c r="T19" s="28">
        <f t="shared" si="1"/>
        <v>11660</v>
      </c>
    </row>
    <row r="20" spans="1:20" x14ac:dyDescent="0.35">
      <c r="A20" s="5" t="s">
        <v>37</v>
      </c>
      <c r="B20" s="26">
        <f>B18+B19</f>
        <v>7757</v>
      </c>
      <c r="C20" s="26">
        <f>C18+C19</f>
        <v>8277</v>
      </c>
      <c r="D20" s="26">
        <f t="shared" ref="D20:E20" si="7">D18+D19</f>
        <v>13359</v>
      </c>
      <c r="E20" s="26">
        <f t="shared" si="7"/>
        <v>18689</v>
      </c>
      <c r="F20" s="26">
        <f>F18+F19</f>
        <v>21283</v>
      </c>
      <c r="G20" s="26">
        <f t="shared" ref="G20:I20" si="8">G18+G19</f>
        <v>21625</v>
      </c>
      <c r="H20" s="26">
        <f t="shared" si="8"/>
        <v>23064</v>
      </c>
      <c r="I20" s="26">
        <f t="shared" si="8"/>
        <v>24402</v>
      </c>
      <c r="J20" s="26">
        <f>J18+J19</f>
        <v>18934</v>
      </c>
      <c r="Q20" s="15"/>
      <c r="R20" s="15"/>
      <c r="S20" s="28">
        <f t="shared" si="0"/>
        <v>48082</v>
      </c>
      <c r="T20" s="28">
        <f t="shared" si="1"/>
        <v>90374</v>
      </c>
    </row>
    <row r="21" spans="1:20" x14ac:dyDescent="0.35">
      <c r="A21" s="5" t="s">
        <v>38</v>
      </c>
      <c r="B21">
        <v>921</v>
      </c>
      <c r="C21" s="3">
        <v>1318</v>
      </c>
      <c r="D21" s="3">
        <v>2112</v>
      </c>
      <c r="E21" s="3">
        <v>3462</v>
      </c>
      <c r="F21" s="3">
        <v>3353</v>
      </c>
      <c r="G21" s="3">
        <v>3460</v>
      </c>
      <c r="H21" s="3">
        <v>4128</v>
      </c>
      <c r="I21" s="3">
        <v>3760</v>
      </c>
      <c r="J21" s="3">
        <v>2498</v>
      </c>
      <c r="Q21" s="15"/>
      <c r="R21" s="15"/>
      <c r="S21" s="28">
        <f t="shared" si="0"/>
        <v>7813</v>
      </c>
      <c r="T21" s="28">
        <f t="shared" si="1"/>
        <v>14701</v>
      </c>
    </row>
    <row r="22" spans="1:20" x14ac:dyDescent="0.35">
      <c r="A22" s="5" t="s">
        <v>39</v>
      </c>
      <c r="B22" s="26">
        <f>B20-B21</f>
        <v>6836</v>
      </c>
      <c r="C22" s="26">
        <f>C20-C21</f>
        <v>6959</v>
      </c>
      <c r="D22" s="26">
        <f t="shared" ref="D22:I22" si="9">D20-D21</f>
        <v>11247</v>
      </c>
      <c r="E22" s="26">
        <f t="shared" si="9"/>
        <v>15227</v>
      </c>
      <c r="F22" s="26">
        <f t="shared" si="9"/>
        <v>17930</v>
      </c>
      <c r="G22" s="26">
        <f t="shared" si="9"/>
        <v>18165</v>
      </c>
      <c r="H22" s="26">
        <f t="shared" si="9"/>
        <v>18936</v>
      </c>
      <c r="I22" s="26">
        <f t="shared" si="9"/>
        <v>20642</v>
      </c>
      <c r="J22" s="26">
        <f>J20-J21</f>
        <v>16436</v>
      </c>
      <c r="Q22" s="15"/>
      <c r="R22" s="15"/>
      <c r="S22" s="28">
        <f t="shared" si="0"/>
        <v>40269</v>
      </c>
      <c r="T22" s="28">
        <f t="shared" si="1"/>
        <v>75673</v>
      </c>
    </row>
    <row r="23" spans="1:20" x14ac:dyDescent="0.35">
      <c r="A23" s="6" t="s">
        <v>40</v>
      </c>
      <c r="B23" s="27">
        <f>B22/B24</f>
        <v>9.8748026411774639</v>
      </c>
      <c r="C23" s="27">
        <f>C22/C24</f>
        <v>10.129194904399265</v>
      </c>
      <c r="D23" s="27">
        <f t="shared" ref="D23:I23" si="10">D22/D24</f>
        <v>16.398605528022852</v>
      </c>
      <c r="E23" s="27">
        <f t="shared" si="10"/>
        <v>22.295301836540162</v>
      </c>
      <c r="F23" s="27">
        <f>F22/F24</f>
        <v>26.287585896482916</v>
      </c>
      <c r="G23" s="27">
        <f t="shared" si="10"/>
        <v>26.728486253921357</v>
      </c>
      <c r="H23" s="27">
        <f t="shared" si="10"/>
        <v>27.990344690984287</v>
      </c>
      <c r="I23" s="27">
        <f t="shared" si="10"/>
        <v>30.69474329100823</v>
      </c>
      <c r="J23" s="27">
        <f>J22/J24</f>
        <v>24.621339792764896</v>
      </c>
      <c r="Q23" s="15"/>
      <c r="R23" s="15"/>
      <c r="T23" s="28"/>
    </row>
    <row r="24" spans="1:20" x14ac:dyDescent="0.35">
      <c r="A24" s="5" t="s">
        <v>41</v>
      </c>
      <c r="B24" s="3">
        <v>692.26700000000005</v>
      </c>
      <c r="C24" s="3">
        <v>687.024</v>
      </c>
      <c r="D24" s="3">
        <v>685.851</v>
      </c>
      <c r="E24" s="3">
        <v>682.96900000000005</v>
      </c>
      <c r="F24" s="3">
        <v>682.07100000000003</v>
      </c>
      <c r="G24" s="3">
        <v>679.61199999999997</v>
      </c>
      <c r="H24" s="3">
        <v>676.51900000000001</v>
      </c>
      <c r="I24" s="3">
        <v>672.49300000000005</v>
      </c>
      <c r="J24" s="3">
        <v>667.55100000000004</v>
      </c>
      <c r="Q24" s="15"/>
      <c r="R24" s="15"/>
      <c r="T24" s="28"/>
    </row>
    <row r="25" spans="1:20" x14ac:dyDescent="0.35">
      <c r="L25" s="28"/>
      <c r="Q25" s="15"/>
      <c r="R25" s="15"/>
      <c r="T25" s="28"/>
    </row>
    <row r="26" spans="1:20" x14ac:dyDescent="0.35">
      <c r="A26" s="6" t="s">
        <v>42</v>
      </c>
      <c r="B26" s="24"/>
      <c r="C26" s="24"/>
      <c r="D26" s="24"/>
      <c r="E26" s="25"/>
      <c r="F26" s="25">
        <f>(F11-B11)/B11</f>
        <v>0.34391020189994898</v>
      </c>
      <c r="G26" s="25">
        <f>(G11-C11)/C11</f>
        <v>0.61579235971486013</v>
      </c>
      <c r="H26" s="25">
        <f>(H11-D11)/D11</f>
        <v>0.41030472353973102</v>
      </c>
      <c r="I26" s="25">
        <f>(I11-E11)/E11</f>
        <v>0.32386024113325601</v>
      </c>
      <c r="J26" s="25">
        <f t="shared" ref="J26" si="11">(J11-F11)/F11</f>
        <v>0.2295440575622808</v>
      </c>
      <c r="Q26" s="15"/>
      <c r="R26" s="15"/>
      <c r="T26" s="28"/>
    </row>
    <row r="27" spans="1:20" x14ac:dyDescent="0.35">
      <c r="A27" s="5" t="s">
        <v>43</v>
      </c>
      <c r="B27" s="22"/>
      <c r="C27" s="22"/>
      <c r="D27" s="22"/>
      <c r="E27" s="23"/>
      <c r="F27" s="23">
        <f>(F10-B10)/B10</f>
        <v>0.33980836693020577</v>
      </c>
      <c r="G27" s="23">
        <f>(G10-C10)/C10</f>
        <v>0.63090508988025495</v>
      </c>
      <c r="H27" s="23">
        <f>(H10-D10)/D10</f>
        <v>0.40661921875367019</v>
      </c>
      <c r="I27" s="23">
        <f>(I10-E10)/E10</f>
        <v>0.31257919921320904</v>
      </c>
      <c r="J27" s="23">
        <f>(J10-F10)/F10</f>
        <v>0.20114111532299034</v>
      </c>
      <c r="Q27" s="15"/>
      <c r="R27" s="15"/>
      <c r="T27" s="28"/>
    </row>
    <row r="28" spans="1:20" x14ac:dyDescent="0.35">
      <c r="A28" s="5" t="s">
        <v>44</v>
      </c>
      <c r="B28" s="22"/>
      <c r="C28" s="22"/>
      <c r="D28" s="22"/>
      <c r="E28" s="23"/>
      <c r="F28" s="23">
        <f>(F5-B5)/B5</f>
        <v>0.45732805185451925</v>
      </c>
      <c r="G28" s="23">
        <f t="shared" ref="G28:J28" si="12">(G5-C5)/C5</f>
        <v>0.53907549052211512</v>
      </c>
      <c r="H28" s="23">
        <f t="shared" si="12"/>
        <v>0.44889663182346107</v>
      </c>
      <c r="I28" s="23">
        <f t="shared" si="12"/>
        <v>0.44635865309318717</v>
      </c>
      <c r="J28" s="23">
        <f t="shared" si="12"/>
        <v>0.43834939461329381</v>
      </c>
      <c r="N28" s="28"/>
      <c r="Q28" s="15"/>
      <c r="R28" s="15"/>
      <c r="T28" s="28"/>
    </row>
    <row r="29" spans="1:20" x14ac:dyDescent="0.35">
      <c r="A29" s="5" t="s">
        <v>45</v>
      </c>
      <c r="B29" s="23">
        <f>B13/B11</f>
        <v>0.53881289632887097</v>
      </c>
      <c r="C29" s="23">
        <f>C13/C11</f>
        <v>0.51554952085019712</v>
      </c>
      <c r="D29" s="23">
        <f t="shared" ref="D29:J29" si="13">D13/D11</f>
        <v>0.54265479825872265</v>
      </c>
      <c r="E29" s="23">
        <f t="shared" si="13"/>
        <v>0.54163590987380927</v>
      </c>
      <c r="F29" s="23">
        <f>F13/F11</f>
        <v>0.56425136493473627</v>
      </c>
      <c r="G29" s="23">
        <f>G13/G11</f>
        <v>0.57616354234001288</v>
      </c>
      <c r="H29" s="23">
        <f>H13/H11</f>
        <v>0.57583156730857832</v>
      </c>
      <c r="I29" s="23">
        <f t="shared" si="13"/>
        <v>0.56205774975107869</v>
      </c>
      <c r="J29" s="23">
        <f t="shared" si="13"/>
        <v>0.5647909896928438</v>
      </c>
      <c r="Q29" s="15"/>
      <c r="R29" s="15"/>
      <c r="S29" s="36">
        <f>AVERAGE(B29:E29)</f>
        <v>0.53466328132789998</v>
      </c>
      <c r="T29" s="36">
        <f>AVERAGE(F29:I29)</f>
        <v>0.56957605608360151</v>
      </c>
    </row>
    <row r="30" spans="1:20" x14ac:dyDescent="0.35">
      <c r="Q30" s="15"/>
      <c r="R30" s="15"/>
      <c r="T30" s="28"/>
    </row>
    <row r="31" spans="1:20" x14ac:dyDescent="0.35">
      <c r="Q31" s="17"/>
      <c r="R31" s="17"/>
      <c r="T31" s="28"/>
    </row>
    <row r="32" spans="1:20" x14ac:dyDescent="0.35">
      <c r="B32" s="4"/>
      <c r="C32" s="4"/>
      <c r="D32" s="4"/>
      <c r="E32" s="4"/>
      <c r="F32" s="4"/>
      <c r="G32" s="4"/>
      <c r="H32" s="4"/>
      <c r="I32" s="4"/>
      <c r="J32" s="4"/>
      <c r="Q32" s="15"/>
      <c r="R32" s="15"/>
      <c r="T32" s="28"/>
    </row>
    <row r="33" spans="1:26" x14ac:dyDescent="0.35">
      <c r="T33" s="28"/>
    </row>
    <row r="34" spans="1:26" x14ac:dyDescent="0.35">
      <c r="T34" s="28"/>
    </row>
    <row r="35" spans="1:26" x14ac:dyDescent="0.35">
      <c r="T35" s="28"/>
    </row>
    <row r="36" spans="1:26" x14ac:dyDescent="0.35">
      <c r="A36" s="5" t="s">
        <v>46</v>
      </c>
      <c r="B36">
        <v>11451</v>
      </c>
      <c r="C36">
        <v>13993</v>
      </c>
      <c r="D36">
        <v>17003</v>
      </c>
      <c r="E36">
        <v>22677</v>
      </c>
      <c r="F36">
        <v>19289</v>
      </c>
      <c r="G36">
        <v>21890</v>
      </c>
      <c r="H36">
        <v>25539</v>
      </c>
      <c r="I36">
        <v>24934</v>
      </c>
      <c r="J36">
        <v>25106</v>
      </c>
      <c r="N36" s="28"/>
      <c r="S36" s="28">
        <f>SUM(B36:E36)</f>
        <v>65124</v>
      </c>
      <c r="T36" s="28">
        <v>91652</v>
      </c>
      <c r="U36" s="39">
        <f>T36*(CHOOSE(DCF!$C$2,$B$43,$B$44,$B$45)+1)</f>
        <v>109982.39999999999</v>
      </c>
      <c r="V36" s="39">
        <f>U36*(CHOOSE(DCF!$C$2,$B$43,$B$44,$B$45)+1)</f>
        <v>131978.87999999998</v>
      </c>
      <c r="W36" s="39">
        <f>V36*(CHOOSE(DCF!$C$2,$B$43,$B$44,$B$45)+1)</f>
        <v>158374.65599999996</v>
      </c>
      <c r="X36" s="39">
        <f>W36*(CHOOSE(DCF!$C$2,$B$43,$B$44,$B$45)+1)</f>
        <v>190049.58719999995</v>
      </c>
      <c r="Y36" s="39">
        <f>X36*(CHOOSE(DCF!$C$2,$B$43,$B$44,$B$45)+1)</f>
        <v>228059.50463999994</v>
      </c>
      <c r="Z36" s="39">
        <f>Y36*(CHOOSE(DCF!$C$2,$B$43,$B$44,$B$45)+1)</f>
        <v>273671.40556799993</v>
      </c>
    </row>
    <row r="37" spans="1:26" x14ac:dyDescent="0.35">
      <c r="A37" s="5" t="s">
        <v>47</v>
      </c>
      <c r="B37">
        <v>6005</v>
      </c>
      <c r="C37">
        <v>5391</v>
      </c>
      <c r="D37">
        <v>5406</v>
      </c>
      <c r="E37">
        <v>5479</v>
      </c>
      <c r="F37">
        <v>5942</v>
      </c>
      <c r="G37">
        <v>5496</v>
      </c>
      <c r="H37">
        <v>6819</v>
      </c>
      <c r="I37">
        <v>6383</v>
      </c>
      <c r="J37">
        <v>9786</v>
      </c>
      <c r="S37" s="28">
        <f>SUM(B37:E37)</f>
        <v>22281</v>
      </c>
      <c r="T37" s="28">
        <v>24640</v>
      </c>
      <c r="U37" s="39">
        <f>T37*(CHOOSE(DCF!$C$2,$B$47,$B$48,$B$49)+1)</f>
        <v>26857.600000000002</v>
      </c>
      <c r="V37" s="39">
        <f>U37*(CHOOSE(DCF!$C$2,$B$47,$B$48,$B$49)+1)</f>
        <v>29274.784000000003</v>
      </c>
      <c r="W37" s="39">
        <f>V37*(CHOOSE(DCF!$C$2,$B$47,$B$48,$B$49)+1)</f>
        <v>31909.514560000007</v>
      </c>
      <c r="X37" s="39">
        <f>W37*(CHOOSE(DCF!$C$2,$B$47,$B$48,$B$49)+1)</f>
        <v>34781.370870400009</v>
      </c>
      <c r="Y37" s="39">
        <f>X37*(CHOOSE(DCF!$C$2,$B$47,$B$48,$B$49)+1)</f>
        <v>37911.694248736014</v>
      </c>
      <c r="Z37" s="39">
        <f>Y37*(CHOOSE(DCF!$C$2,$B$47,$B$48,$B$49)+1)</f>
        <v>41323.746731122257</v>
      </c>
    </row>
    <row r="38" spans="1:26" x14ac:dyDescent="0.35">
      <c r="A38" s="5" t="s">
        <v>48</v>
      </c>
      <c r="B38" s="22">
        <f>B36-B37</f>
        <v>5446</v>
      </c>
      <c r="C38" s="22">
        <f>C36-C37</f>
        <v>8602</v>
      </c>
      <c r="D38" s="22">
        <f t="shared" ref="D38:I38" si="14">D36-D37</f>
        <v>11597</v>
      </c>
      <c r="E38" s="22">
        <f t="shared" si="14"/>
        <v>17198</v>
      </c>
      <c r="F38" s="22">
        <f t="shared" si="14"/>
        <v>13347</v>
      </c>
      <c r="G38" s="22">
        <f t="shared" si="14"/>
        <v>16394</v>
      </c>
      <c r="H38" s="22">
        <f t="shared" si="14"/>
        <v>18720</v>
      </c>
      <c r="I38" s="22">
        <f t="shared" si="14"/>
        <v>18551</v>
      </c>
      <c r="J38" s="22">
        <f>J36-J37</f>
        <v>15320</v>
      </c>
      <c r="N38" s="28"/>
      <c r="S38" s="28">
        <f>SUM(B38:E38)</f>
        <v>42843</v>
      </c>
      <c r="T38" s="28">
        <v>67012</v>
      </c>
      <c r="U38" s="39">
        <f>U36-U37</f>
        <v>83124.799999999988</v>
      </c>
      <c r="V38" s="39">
        <f>V36-V37</f>
        <v>102704.09599999998</v>
      </c>
      <c r="W38" s="39">
        <f>W36-W37</f>
        <v>126465.14143999995</v>
      </c>
      <c r="X38" s="39">
        <f t="shared" ref="X38:Z38" si="15">X36-X37</f>
        <v>155268.21632959993</v>
      </c>
      <c r="Y38" s="39">
        <f t="shared" si="15"/>
        <v>190147.81039126392</v>
      </c>
      <c r="Z38" s="39">
        <f t="shared" si="15"/>
        <v>232347.65883687767</v>
      </c>
    </row>
    <row r="40" spans="1:26" x14ac:dyDescent="0.35">
      <c r="A40" s="5" t="s">
        <v>78</v>
      </c>
      <c r="B40" s="23"/>
      <c r="C40" s="23"/>
      <c r="D40" s="23"/>
      <c r="E40" s="23"/>
      <c r="F40" s="23">
        <f t="shared" ref="F40:J41" si="16">(F36-B36)/B36</f>
        <v>0.68448170465461533</v>
      </c>
      <c r="G40" s="23">
        <f t="shared" si="16"/>
        <v>0.56435360537411561</v>
      </c>
      <c r="H40" s="23">
        <f t="shared" si="16"/>
        <v>0.50202905369640649</v>
      </c>
      <c r="I40" s="23">
        <f t="shared" si="16"/>
        <v>9.9528156281695104E-2</v>
      </c>
      <c r="J40" s="23">
        <f t="shared" si="16"/>
        <v>0.30157084348592461</v>
      </c>
    </row>
    <row r="41" spans="1:26" x14ac:dyDescent="0.35">
      <c r="A41" s="5" t="s">
        <v>79</v>
      </c>
      <c r="B41" s="23"/>
      <c r="C41" s="23"/>
      <c r="D41" s="23"/>
      <c r="E41" s="23"/>
      <c r="F41" s="23">
        <f t="shared" si="16"/>
        <v>-1.0491257285595338E-2</v>
      </c>
      <c r="G41" s="23">
        <f t="shared" si="16"/>
        <v>1.9476905954368393E-2</v>
      </c>
      <c r="H41" s="23">
        <f t="shared" si="16"/>
        <v>0.26137624861265263</v>
      </c>
      <c r="I41" s="23">
        <f t="shared" si="16"/>
        <v>0.16499361197298776</v>
      </c>
      <c r="J41" s="23">
        <f t="shared" si="16"/>
        <v>0.64692022887916523</v>
      </c>
    </row>
    <row r="42" spans="1:26" x14ac:dyDescent="0.35">
      <c r="J42" s="18"/>
    </row>
    <row r="43" spans="1:26" x14ac:dyDescent="0.35">
      <c r="A43" s="5" t="s">
        <v>86</v>
      </c>
      <c r="B43" s="43">
        <v>0.1</v>
      </c>
    </row>
    <row r="44" spans="1:26" x14ac:dyDescent="0.35">
      <c r="A44" s="5" t="s">
        <v>87</v>
      </c>
      <c r="B44" s="43">
        <v>0.2</v>
      </c>
    </row>
    <row r="45" spans="1:26" x14ac:dyDescent="0.35">
      <c r="A45" s="5" t="s">
        <v>88</v>
      </c>
      <c r="B45" s="43">
        <v>0.3</v>
      </c>
    </row>
    <row r="46" spans="1:26" x14ac:dyDescent="0.35">
      <c r="B46" s="44"/>
    </row>
    <row r="47" spans="1:26" x14ac:dyDescent="0.35">
      <c r="A47" s="5" t="s">
        <v>89</v>
      </c>
      <c r="B47" s="43">
        <v>0.1</v>
      </c>
    </row>
    <row r="48" spans="1:26" x14ac:dyDescent="0.35">
      <c r="A48" s="5" t="s">
        <v>90</v>
      </c>
      <c r="B48" s="43">
        <v>0.09</v>
      </c>
    </row>
    <row r="49" spans="1:2" x14ac:dyDescent="0.35">
      <c r="A49" s="5" t="s">
        <v>91</v>
      </c>
      <c r="B49" s="43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E17D-B11E-4F67-BE32-0053CEFB51F0}">
  <dimension ref="B2:K33"/>
  <sheetViews>
    <sheetView tabSelected="1" workbookViewId="0">
      <selection activeCell="N15" sqref="N15"/>
    </sheetView>
  </sheetViews>
  <sheetFormatPr defaultRowHeight="14.5" x14ac:dyDescent="0.35"/>
  <cols>
    <col min="5" max="5" width="10.26953125" bestFit="1" customWidth="1"/>
    <col min="6" max="6" width="10.08984375" bestFit="1" customWidth="1"/>
    <col min="7" max="7" width="12.54296875" bestFit="1" customWidth="1"/>
    <col min="8" max="8" width="12.6328125" bestFit="1" customWidth="1"/>
    <col min="9" max="11" width="12.36328125" bestFit="1" customWidth="1"/>
    <col min="12" max="12" width="12.1796875" bestFit="1" customWidth="1"/>
  </cols>
  <sheetData>
    <row r="2" spans="2:11" x14ac:dyDescent="0.35">
      <c r="B2" t="s">
        <v>92</v>
      </c>
      <c r="C2">
        <v>2</v>
      </c>
    </row>
    <row r="3" spans="2:11" x14ac:dyDescent="0.35">
      <c r="B3" t="s">
        <v>57</v>
      </c>
      <c r="C3" s="29">
        <v>0.1</v>
      </c>
    </row>
    <row r="4" spans="2:11" x14ac:dyDescent="0.35">
      <c r="B4" t="s">
        <v>58</v>
      </c>
      <c r="C4" s="29">
        <v>0.02</v>
      </c>
    </row>
    <row r="5" spans="2:11" x14ac:dyDescent="0.35">
      <c r="G5" s="2">
        <v>1</v>
      </c>
      <c r="H5" s="2">
        <f>G5+1</f>
        <v>2</v>
      </c>
      <c r="I5" s="2">
        <f t="shared" ref="I5:K5" si="0">H5+1</f>
        <v>3</v>
      </c>
      <c r="J5" s="2">
        <f t="shared" si="0"/>
        <v>4</v>
      </c>
      <c r="K5" s="2">
        <f t="shared" si="0"/>
        <v>5</v>
      </c>
    </row>
    <row r="6" spans="2:11" ht="15" thickBot="1" x14ac:dyDescent="0.4"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85</v>
      </c>
    </row>
    <row r="7" spans="2:11" x14ac:dyDescent="0.35">
      <c r="B7" s="31" t="s">
        <v>48</v>
      </c>
      <c r="C7" s="31"/>
      <c r="D7" s="31"/>
      <c r="E7" s="35">
        <f>Model!S38</f>
        <v>42843</v>
      </c>
      <c r="F7" s="35">
        <f>Model!T38</f>
        <v>67012</v>
      </c>
      <c r="G7" s="35">
        <f>Model!U38</f>
        <v>83124.799999999988</v>
      </c>
      <c r="H7" s="35">
        <f>Model!V38</f>
        <v>102704.09599999998</v>
      </c>
      <c r="I7" s="35">
        <f>Model!W38</f>
        <v>126465.14143999995</v>
      </c>
      <c r="J7" s="35">
        <f>Model!X38</f>
        <v>155268.21632959993</v>
      </c>
      <c r="K7" s="35">
        <f>Model!Y38</f>
        <v>190147.81039126392</v>
      </c>
    </row>
    <row r="8" spans="2:11" ht="15" thickBot="1" x14ac:dyDescent="0.4">
      <c r="B8" s="30" t="s">
        <v>59</v>
      </c>
      <c r="C8" s="30"/>
      <c r="D8" s="30"/>
      <c r="E8" s="30"/>
      <c r="F8" s="30"/>
      <c r="G8" s="38">
        <f>1/(1+$C$3)^G5</f>
        <v>0.90909090909090906</v>
      </c>
      <c r="H8" s="38">
        <f>1/(1+$C$3)^H5</f>
        <v>0.82644628099173545</v>
      </c>
      <c r="I8" s="38">
        <f>1/(1+$C$3)^I5</f>
        <v>0.75131480090157754</v>
      </c>
      <c r="J8" s="38">
        <f>1/(1+$C$3)^J5</f>
        <v>0.68301345536507052</v>
      </c>
      <c r="K8" s="38">
        <f>1/(1+$C$3)^K5</f>
        <v>0.62092132305915493</v>
      </c>
    </row>
    <row r="9" spans="2:11" x14ac:dyDescent="0.35">
      <c r="B9" s="2" t="s">
        <v>60</v>
      </c>
      <c r="E9">
        <f>E8*E7</f>
        <v>0</v>
      </c>
      <c r="F9">
        <f t="shared" ref="F9:J9" si="1">F8*F7</f>
        <v>0</v>
      </c>
      <c r="G9" s="40">
        <f>G8*G7</f>
        <v>75567.999999999985</v>
      </c>
      <c r="H9" s="40">
        <f t="shared" si="1"/>
        <v>84879.418181818153</v>
      </c>
      <c r="I9" s="40">
        <f t="shared" si="1"/>
        <v>95015.13256198341</v>
      </c>
      <c r="J9" s="40">
        <f t="shared" si="1"/>
        <v>106050.28094365132</v>
      </c>
      <c r="K9" s="40">
        <f>K8*K7</f>
        <v>118066.83000494492</v>
      </c>
    </row>
    <row r="13" spans="2:11" x14ac:dyDescent="0.35">
      <c r="B13" s="53" t="s">
        <v>67</v>
      </c>
      <c r="C13" s="53"/>
      <c r="D13" s="53"/>
      <c r="E13" s="53"/>
      <c r="F13" s="53"/>
      <c r="G13" s="53"/>
      <c r="H13" s="53"/>
      <c r="I13" s="53"/>
      <c r="J13" s="53"/>
      <c r="K13" s="53"/>
    </row>
    <row r="14" spans="2:11" x14ac:dyDescent="0.35">
      <c r="B14" t="s">
        <v>68</v>
      </c>
      <c r="E14" s="3">
        <f>SUM(G9:K9)</f>
        <v>479579.66169239784</v>
      </c>
      <c r="G14" s="33">
        <f>E14/E17</f>
        <v>0.24161015263136401</v>
      </c>
    </row>
    <row r="15" spans="2:11" x14ac:dyDescent="0.35">
      <c r="B15" t="s">
        <v>69</v>
      </c>
      <c r="E15" s="3">
        <f>K7*(1+C4)/(C3-C4)</f>
        <v>2424384.5824886151</v>
      </c>
    </row>
    <row r="16" spans="2:11" ht="15" thickBot="1" x14ac:dyDescent="0.4">
      <c r="B16" t="s">
        <v>70</v>
      </c>
      <c r="E16" s="3">
        <f>E15*K8</f>
        <v>1505352.0825630478</v>
      </c>
      <c r="G16" s="33">
        <f>E16/E17</f>
        <v>0.75838984736863591</v>
      </c>
    </row>
    <row r="17" spans="2:11" x14ac:dyDescent="0.35">
      <c r="B17" s="32" t="s">
        <v>11</v>
      </c>
      <c r="C17" s="32"/>
      <c r="D17" s="32"/>
      <c r="E17" s="34">
        <f>E16+E14</f>
        <v>1984931.7442554457</v>
      </c>
    </row>
    <row r="18" spans="2:11" x14ac:dyDescent="0.35">
      <c r="B18" t="s">
        <v>71</v>
      </c>
      <c r="E18" s="3">
        <f>-Main!D17</f>
        <v>-14791</v>
      </c>
    </row>
    <row r="19" spans="2:11" ht="15" thickBot="1" x14ac:dyDescent="0.4">
      <c r="B19" t="s">
        <v>9</v>
      </c>
      <c r="E19" s="3">
        <f>Main!D16</f>
        <v>163519</v>
      </c>
    </row>
    <row r="20" spans="2:11" x14ac:dyDescent="0.35">
      <c r="B20" s="32" t="s">
        <v>72</v>
      </c>
      <c r="C20" s="32"/>
      <c r="D20" s="32"/>
      <c r="E20" s="34">
        <f>SUM(E17:E19)</f>
        <v>2133659.7442554459</v>
      </c>
    </row>
    <row r="21" spans="2:11" ht="24.5" customHeight="1" thickBot="1" x14ac:dyDescent="0.4">
      <c r="B21" t="s">
        <v>93</v>
      </c>
      <c r="E21">
        <f>Main!D14/20</f>
        <v>667.55100000000004</v>
      </c>
    </row>
    <row r="22" spans="2:11" ht="24" customHeight="1" x14ac:dyDescent="0.35">
      <c r="B22" s="32" t="s">
        <v>94</v>
      </c>
      <c r="C22" s="32"/>
      <c r="D22" s="32"/>
      <c r="E22" s="42">
        <f>(E20/E21)/20</f>
        <v>159.81248955176801</v>
      </c>
      <c r="F22" s="4"/>
    </row>
    <row r="23" spans="2:11" ht="24.5" customHeight="1" x14ac:dyDescent="0.35">
      <c r="B23" s="2" t="s">
        <v>95</v>
      </c>
      <c r="C23" s="2"/>
      <c r="D23" s="2"/>
      <c r="E23" s="41">
        <f>Main!D13</f>
        <v>114.1</v>
      </c>
    </row>
    <row r="24" spans="2:11" ht="24.5" customHeight="1" x14ac:dyDescent="0.35">
      <c r="B24" s="2" t="s">
        <v>96</v>
      </c>
      <c r="C24" s="2"/>
      <c r="D24" s="2"/>
      <c r="E24" s="47">
        <f>(E22-E23)/E23</f>
        <v>0.40063531596641561</v>
      </c>
    </row>
    <row r="25" spans="2:11" ht="24.5" customHeight="1" x14ac:dyDescent="0.35">
      <c r="B25" s="2"/>
      <c r="C25" s="2"/>
      <c r="D25" s="2"/>
      <c r="E25" s="41"/>
    </row>
    <row r="26" spans="2:11" ht="26" customHeight="1" x14ac:dyDescent="0.35"/>
    <row r="27" spans="2:11" x14ac:dyDescent="0.35">
      <c r="B27" s="55" t="s">
        <v>74</v>
      </c>
      <c r="C27" s="55"/>
      <c r="D27" s="55"/>
      <c r="E27" s="55"/>
      <c r="F27" s="55"/>
      <c r="G27" s="55"/>
      <c r="H27" s="55"/>
      <c r="I27" s="55"/>
      <c r="J27" s="55"/>
      <c r="K27" s="55"/>
    </row>
    <row r="28" spans="2:11" x14ac:dyDescent="0.35">
      <c r="F28" s="51" t="s">
        <v>57</v>
      </c>
      <c r="G28" s="51"/>
      <c r="H28" s="51"/>
      <c r="I28" s="51"/>
      <c r="J28" s="51"/>
      <c r="K28" s="51"/>
    </row>
    <row r="29" spans="2:11" x14ac:dyDescent="0.35">
      <c r="F29" s="54" t="s">
        <v>73</v>
      </c>
      <c r="G29" s="45">
        <f>E22</f>
        <v>159.81248955176801</v>
      </c>
      <c r="H29" s="33">
        <v>0.09</v>
      </c>
      <c r="I29" s="33">
        <v>0.1</v>
      </c>
      <c r="J29" s="33">
        <v>0.11</v>
      </c>
      <c r="K29" s="33">
        <v>0.12</v>
      </c>
    </row>
    <row r="30" spans="2:11" x14ac:dyDescent="0.35">
      <c r="F30" s="54"/>
      <c r="G30" s="33">
        <v>0.01</v>
      </c>
      <c r="H30" s="46">
        <f t="dataTable" ref="H30:K33" dt2D="1" dtr="1" r1="C3" r2="C4"/>
        <v>164.99879882264918</v>
      </c>
      <c r="I30" s="46">
        <v>146.30192038370282</v>
      </c>
      <c r="J30" s="46">
        <v>131.39706809405618</v>
      </c>
      <c r="K30" s="46">
        <v>119.24780323184594</v>
      </c>
    </row>
    <row r="31" spans="2:11" x14ac:dyDescent="0.35">
      <c r="F31" s="54"/>
      <c r="G31" s="33">
        <v>0.02</v>
      </c>
      <c r="H31" s="46">
        <v>183.01581479248523</v>
      </c>
      <c r="I31" s="46">
        <v>159.81248955176801</v>
      </c>
      <c r="J31" s="46">
        <v>141.82126143247413</v>
      </c>
      <c r="K31" s="46">
        <v>127.47614091505068</v>
      </c>
    </row>
    <row r="32" spans="2:11" x14ac:dyDescent="0.35">
      <c r="F32" s="54"/>
      <c r="G32" s="33">
        <v>0.03</v>
      </c>
      <c r="H32" s="46">
        <v>207.03850275226654</v>
      </c>
      <c r="I32" s="46">
        <v>177.18322133928032</v>
      </c>
      <c r="J32" s="46">
        <v>154.8515031054965</v>
      </c>
      <c r="K32" s="46">
        <v>137.53299808341202</v>
      </c>
    </row>
    <row r="33" spans="6:11" x14ac:dyDescent="0.35">
      <c r="F33" s="54"/>
      <c r="G33" s="33">
        <v>0.04</v>
      </c>
      <c r="H33" s="46">
        <v>240.67026589596048</v>
      </c>
      <c r="I33" s="46">
        <v>200.34419705596343</v>
      </c>
      <c r="J33" s="46">
        <v>171.60467097081104</v>
      </c>
      <c r="K33" s="46">
        <v>150.10406954386374</v>
      </c>
    </row>
  </sheetData>
  <mergeCells count="4">
    <mergeCell ref="B13:K13"/>
    <mergeCell ref="F29:F33"/>
    <mergeCell ref="F28:K28"/>
    <mergeCell ref="B27:K27"/>
  </mergeCells>
  <dataValidations count="1">
    <dataValidation type="list" allowBlank="1" showInputMessage="1" showErrorMessage="1" sqref="C2" xr:uid="{6EAB8E01-578B-4540-B030-F374B4415ABA}">
      <formula1>"1,2,3"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3B30-0AB4-4E95-A6A8-E08BF28E14E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DCF</vt:lpstr>
      <vt:lpstr>Relative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Arena</dc:creator>
  <cp:lastModifiedBy>Michael Arena</cp:lastModifiedBy>
  <dcterms:created xsi:type="dcterms:W3CDTF">2022-07-20T18:55:43Z</dcterms:created>
  <dcterms:modified xsi:type="dcterms:W3CDTF">2022-07-22T18:29:33Z</dcterms:modified>
</cp:coreProperties>
</file>