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Arena\Desktop\Personal\Models\Kopin\"/>
    </mc:Choice>
  </mc:AlternateContent>
  <xr:revisionPtr revIDLastSave="0" documentId="13_ncr:1_{5B12B063-1260-4E8A-8034-883EF16EFC1B}" xr6:coauthVersionLast="47" xr6:coauthVersionMax="47" xr10:uidLastSave="{00000000-0000-0000-0000-000000000000}"/>
  <bookViews>
    <workbookView xWindow="19090" yWindow="-10910" windowWidth="38620" windowHeight="21220" activeTab="1" xr2:uid="{B8DF2B73-7640-4114-8539-E2DCC7AC6EC0}"/>
  </bookViews>
  <sheets>
    <sheet name="Main" sheetId="1" r:id="rId1"/>
    <sheet name="Model" sheetId="2" r:id="rId2"/>
    <sheet name="DCF" sheetId="5" r:id="rId3"/>
    <sheet name="RV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30" i="2" l="1"/>
  <c r="B49" i="2"/>
  <c r="J49" i="2"/>
  <c r="I49" i="2"/>
  <c r="H49" i="2"/>
  <c r="H50" i="2" s="1"/>
  <c r="G49" i="2"/>
  <c r="F49" i="2"/>
  <c r="E49" i="2"/>
  <c r="D49" i="2"/>
  <c r="C49" i="2"/>
  <c r="J45" i="2"/>
  <c r="I45" i="2"/>
  <c r="I50" i="2" s="1"/>
  <c r="H45" i="2"/>
  <c r="G45" i="2"/>
  <c r="G50" i="2" s="1"/>
  <c r="F45" i="2"/>
  <c r="E45" i="2"/>
  <c r="D45" i="2"/>
  <c r="C45" i="2"/>
  <c r="C50" i="2" s="1"/>
  <c r="B45" i="2"/>
  <c r="J50" i="2"/>
  <c r="F50" i="2"/>
  <c r="E50" i="2"/>
  <c r="D50" i="2"/>
  <c r="B36" i="2"/>
  <c r="J36" i="2"/>
  <c r="I36" i="2"/>
  <c r="H36" i="2"/>
  <c r="G36" i="2"/>
  <c r="F36" i="2"/>
  <c r="E36" i="2"/>
  <c r="D36" i="2"/>
  <c r="C36" i="2"/>
  <c r="B30" i="2"/>
  <c r="I30" i="2"/>
  <c r="H30" i="2"/>
  <c r="H37" i="2" s="1"/>
  <c r="G30" i="2"/>
  <c r="F30" i="2"/>
  <c r="E30" i="2"/>
  <c r="D30" i="2"/>
  <c r="C30" i="2"/>
  <c r="F16" i="2"/>
  <c r="J16" i="2"/>
  <c r="F14" i="2"/>
  <c r="B13" i="2"/>
  <c r="B15" i="2" s="1"/>
  <c r="B17" i="2" s="1"/>
  <c r="B18" i="2" s="1"/>
  <c r="B12" i="2"/>
  <c r="J12" i="2"/>
  <c r="I12" i="2"/>
  <c r="H12" i="2"/>
  <c r="G12" i="2"/>
  <c r="F12" i="2"/>
  <c r="E12" i="2"/>
  <c r="D12" i="2"/>
  <c r="C12" i="2"/>
  <c r="B7" i="2"/>
  <c r="B9" i="2" s="1"/>
  <c r="J7" i="2"/>
  <c r="J9" i="2" s="1"/>
  <c r="I7" i="2"/>
  <c r="I9" i="2" s="1"/>
  <c r="I13" i="2" s="1"/>
  <c r="I15" i="2" s="1"/>
  <c r="I17" i="2" s="1"/>
  <c r="I18" i="2" s="1"/>
  <c r="H7" i="2"/>
  <c r="H9" i="2" s="1"/>
  <c r="G7" i="2"/>
  <c r="G9" i="2" s="1"/>
  <c r="G13" i="2" s="1"/>
  <c r="G15" i="2" s="1"/>
  <c r="G17" i="2" s="1"/>
  <c r="G18" i="2" s="1"/>
  <c r="F7" i="2"/>
  <c r="F9" i="2" s="1"/>
  <c r="E7" i="2"/>
  <c r="E9" i="2" s="1"/>
  <c r="D7" i="2"/>
  <c r="D9" i="2" s="1"/>
  <c r="C7" i="2"/>
  <c r="C9" i="2" s="1"/>
  <c r="C13" i="2" s="1"/>
  <c r="C15" i="2" s="1"/>
  <c r="C17" i="2" s="1"/>
  <c r="C18" i="2" s="1"/>
  <c r="D20" i="1"/>
  <c r="D17" i="1"/>
  <c r="F37" i="2" l="1"/>
  <c r="D37" i="2"/>
  <c r="G37" i="2"/>
  <c r="I37" i="2"/>
  <c r="B50" i="2"/>
  <c r="E37" i="2"/>
  <c r="H13" i="2"/>
  <c r="H15" i="2" s="1"/>
  <c r="H17" i="2" s="1"/>
  <c r="H18" i="2" s="1"/>
  <c r="F13" i="2"/>
  <c r="F15" i="2" s="1"/>
  <c r="F17" i="2" s="1"/>
  <c r="F18" i="2" s="1"/>
  <c r="D13" i="2"/>
  <c r="D15" i="2" s="1"/>
  <c r="D17" i="2" s="1"/>
  <c r="D18" i="2" s="1"/>
  <c r="J37" i="2"/>
  <c r="E13" i="2"/>
  <c r="E15" i="2" s="1"/>
  <c r="E17" i="2" s="1"/>
  <c r="E18" i="2" s="1"/>
  <c r="C37" i="2"/>
  <c r="B37" i="2"/>
  <c r="J13" i="2"/>
  <c r="J15" i="2" s="1"/>
  <c r="J17" i="2" s="1"/>
  <c r="J18" i="2" s="1"/>
  <c r="E23" i="5"/>
  <c r="E19" i="5"/>
  <c r="E18" i="5"/>
  <c r="K8" i="5"/>
  <c r="J8" i="5"/>
  <c r="I8" i="5"/>
  <c r="H8" i="5"/>
  <c r="G8" i="5"/>
  <c r="G9" i="5" s="1"/>
  <c r="E15" i="5"/>
  <c r="F9" i="5"/>
  <c r="E9" i="5"/>
  <c r="H5" i="5"/>
  <c r="C15" i="1"/>
  <c r="H9" i="5" l="1"/>
  <c r="I5" i="5"/>
  <c r="J5" i="5" l="1"/>
  <c r="I9" i="5"/>
  <c r="K5" i="5" l="1"/>
  <c r="J9" i="5"/>
  <c r="K9" i="5" l="1"/>
  <c r="E14" i="5" s="1"/>
  <c r="E16" i="5"/>
  <c r="E17" i="5" l="1"/>
  <c r="E20" i="5" s="1"/>
  <c r="E22" i="5" s="1"/>
  <c r="E24" i="5" s="1"/>
  <c r="G16" i="5" l="1"/>
  <c r="G14" i="5"/>
  <c r="G29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tc={6A4CDC6A-4AB5-49C4-89EF-913E290E72BB}</author>
    <author>tc={BC5D574C-A9E0-477A-8D80-C3D6A0D3E561}</author>
  </authors>
  <commentList>
    <comment ref="C2" authorId="0" shapeId="0" xr:uid="{6A4CDC6A-4AB5-49C4-89EF-913E290E72BB}">
      <text>
        <t>[Threaded comment]
Your version of Excel allows you to read this threaded comment; however, any edits to it will get removed if the file is opened in a newer version of Excel. Learn more: https://go.microsoft.com/fwlink/?linkid=870924
Comment:
    1: Bull
2: Base
3: Bear</t>
      </text>
    </comment>
    <comment ref="H30" authorId="1" shapeId="0" xr:uid="{BC5D574C-A9E0-477A-8D80-C3D6A0D3E561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Data, what if analysis, data table</t>
      </text>
    </comment>
  </commentList>
</comments>
</file>

<file path=xl/sharedStrings.xml><?xml version="1.0" encoding="utf-8"?>
<sst xmlns="http://schemas.openxmlformats.org/spreadsheetml/2006/main" count="105" uniqueCount="99">
  <si>
    <t>Company Name</t>
  </si>
  <si>
    <t>Symbol</t>
  </si>
  <si>
    <t>Company Description</t>
  </si>
  <si>
    <t>Stat</t>
  </si>
  <si>
    <t>Date</t>
  </si>
  <si>
    <t>Share Price</t>
  </si>
  <si>
    <t>Shares Outstanding (MM)</t>
  </si>
  <si>
    <t>Market Cap</t>
  </si>
  <si>
    <t>Cash</t>
  </si>
  <si>
    <t>Enterprise Value</t>
  </si>
  <si>
    <t>Information</t>
  </si>
  <si>
    <t>Notes</t>
  </si>
  <si>
    <t>Category</t>
  </si>
  <si>
    <t>Comments</t>
  </si>
  <si>
    <t>Revenue</t>
  </si>
  <si>
    <t>Gross Profit</t>
  </si>
  <si>
    <t>OpEx</t>
  </si>
  <si>
    <t>OpInc</t>
  </si>
  <si>
    <t>Pretax</t>
  </si>
  <si>
    <t>Net Income</t>
  </si>
  <si>
    <t>EPS</t>
  </si>
  <si>
    <t>Shares</t>
  </si>
  <si>
    <t>Q120</t>
  </si>
  <si>
    <t>Q220</t>
  </si>
  <si>
    <t>Q320</t>
  </si>
  <si>
    <t>Q420</t>
  </si>
  <si>
    <t>Q121</t>
  </si>
  <si>
    <t>Q221</t>
  </si>
  <si>
    <t>Q321</t>
  </si>
  <si>
    <t>Q421</t>
  </si>
  <si>
    <t>Q122</t>
  </si>
  <si>
    <t>FY2020</t>
  </si>
  <si>
    <t>FY2021</t>
  </si>
  <si>
    <t>FY2022</t>
  </si>
  <si>
    <t>FY2023</t>
  </si>
  <si>
    <t>FY2024</t>
  </si>
  <si>
    <t>FY2025</t>
  </si>
  <si>
    <t>FY2026</t>
  </si>
  <si>
    <t>FY2027</t>
  </si>
  <si>
    <t>Case</t>
  </si>
  <si>
    <t>WACC</t>
  </si>
  <si>
    <t>g</t>
  </si>
  <si>
    <t>FY20</t>
  </si>
  <si>
    <t>FY21</t>
  </si>
  <si>
    <t>FY22 Forecast</t>
  </si>
  <si>
    <t>FY23 Forecast</t>
  </si>
  <si>
    <t>FY24 Forecast</t>
  </si>
  <si>
    <t>FY25 Forecast</t>
  </si>
  <si>
    <t>FY26 Forecast</t>
  </si>
  <si>
    <t>FCF</t>
  </si>
  <si>
    <t>Discount Factor</t>
  </si>
  <si>
    <t>Present Value of FCF</t>
  </si>
  <si>
    <t>DCF Valuation</t>
  </si>
  <si>
    <t>PV of Cashflows</t>
  </si>
  <si>
    <t>Continuing Value</t>
  </si>
  <si>
    <t>PV of Continuing Value</t>
  </si>
  <si>
    <t>Financial Liabilities</t>
  </si>
  <si>
    <t>Equity Value</t>
  </si>
  <si>
    <t>Shares Outstanding</t>
  </si>
  <si>
    <t>Projected Share Price</t>
  </si>
  <si>
    <t>Current Share Price</t>
  </si>
  <si>
    <t>Difference</t>
  </si>
  <si>
    <t>Sensitivity Analysis</t>
  </si>
  <si>
    <t>Terminal Growth Rate</t>
  </si>
  <si>
    <t>Founded</t>
  </si>
  <si>
    <t>Kopin Corporation</t>
  </si>
  <si>
    <t>KOPN</t>
  </si>
  <si>
    <t>Long-Term Debt</t>
  </si>
  <si>
    <t>Defence</t>
  </si>
  <si>
    <t>Industrial/Enterprise</t>
  </si>
  <si>
    <t>Consumer</t>
  </si>
  <si>
    <t>R&amp;D</t>
  </si>
  <si>
    <t>License and Royalties</t>
  </si>
  <si>
    <t>COGS</t>
  </si>
  <si>
    <t>SG&amp;A</t>
  </si>
  <si>
    <t>Other</t>
  </si>
  <si>
    <t>Taxes</t>
  </si>
  <si>
    <t>Inventory</t>
  </si>
  <si>
    <t>A/R</t>
  </si>
  <si>
    <t>Contaact / unbilled recievables</t>
  </si>
  <si>
    <t>prepaid and other current assets</t>
  </si>
  <si>
    <t>Total Current Assets</t>
  </si>
  <si>
    <t>Plant and equipment</t>
  </si>
  <si>
    <t>Operating lease</t>
  </si>
  <si>
    <t>Equity Investment</t>
  </si>
  <si>
    <t>Other Assets</t>
  </si>
  <si>
    <t>Total Assets</t>
  </si>
  <si>
    <t>Total Long-term assets</t>
  </si>
  <si>
    <t>Accounts Payable</t>
  </si>
  <si>
    <t>Accured Expenses</t>
  </si>
  <si>
    <t>Customer Deposits</t>
  </si>
  <si>
    <t>Defered Tax</t>
  </si>
  <si>
    <t>Contact Liabilities</t>
  </si>
  <si>
    <t>Operating Leases</t>
  </si>
  <si>
    <t>Total Current Liabilities</t>
  </si>
  <si>
    <t>Other Long-term liabilities</t>
  </si>
  <si>
    <t>Operating Lease liabilities</t>
  </si>
  <si>
    <t>Total Long-Term Liabilities</t>
  </si>
  <si>
    <t>Total Liabilities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</si>
</sst>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_-;\-* #,##0_-;_-* &quot;-&quot;??_-;_-@_-"/>
    <numFmt numFmtId="165" formatCode="0.0%"/>
    <numFmt numFmtId="172" formatCode="_-* #,##0.0_-;\-* #,##0.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auto="1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3" fillId="0" borderId="0" xfId="0" applyFont="1"/>
    <xf numFmtId="0" fontId="0" fillId="0" borderId="0" xfId="0" applyAlignment="1">
      <alignment horizontal="center" vertical="center" wrapText="1"/>
    </xf>
    <xf numFmtId="0" fontId="2" fillId="2" borderId="1" xfId="0" applyFont="1" applyFill="1" applyBorder="1"/>
    <xf numFmtId="0" fontId="2" fillId="2" borderId="2" xfId="0" applyFont="1" applyFill="1" applyBorder="1"/>
    <xf numFmtId="0" fontId="0" fillId="0" borderId="3" xfId="0" applyBorder="1"/>
    <xf numFmtId="0" fontId="0" fillId="0" borderId="4" xfId="0" applyBorder="1"/>
    <xf numFmtId="0" fontId="2" fillId="2" borderId="6" xfId="0" applyFont="1" applyFill="1" applyBorder="1"/>
    <xf numFmtId="43" fontId="0" fillId="0" borderId="7" xfId="1" applyFont="1" applyBorder="1"/>
    <xf numFmtId="164" fontId="0" fillId="0" borderId="7" xfId="1" applyNumberFormat="1" applyFont="1" applyBorder="1"/>
    <xf numFmtId="164" fontId="0" fillId="0" borderId="8" xfId="1" applyNumberFormat="1" applyFont="1" applyBorder="1"/>
    <xf numFmtId="0" fontId="2" fillId="2" borderId="0" xfId="0" applyFont="1" applyFill="1" applyAlignment="1">
      <alignment horizontal="center"/>
    </xf>
    <xf numFmtId="14" fontId="0" fillId="0" borderId="0" xfId="0" applyNumberFormat="1"/>
    <xf numFmtId="3" fontId="4" fillId="0" borderId="0" xfId="0" applyNumberFormat="1" applyFont="1"/>
    <xf numFmtId="3" fontId="0" fillId="0" borderId="0" xfId="0" applyNumberFormat="1"/>
    <xf numFmtId="0" fontId="2" fillId="3" borderId="0" xfId="0" applyFont="1" applyFill="1" applyAlignment="1">
      <alignment horizontal="center"/>
    </xf>
    <xf numFmtId="164" fontId="0" fillId="0" borderId="0" xfId="1" applyNumberFormat="1" applyFont="1"/>
    <xf numFmtId="165" fontId="0" fillId="0" borderId="0" xfId="2" applyNumberFormat="1" applyFont="1"/>
    <xf numFmtId="0" fontId="0" fillId="0" borderId="2" xfId="0" applyBorder="1"/>
    <xf numFmtId="164" fontId="0" fillId="0" borderId="2" xfId="1" applyNumberFormat="1" applyFont="1" applyBorder="1"/>
    <xf numFmtId="0" fontId="0" fillId="0" borderId="5" xfId="0" applyBorder="1"/>
    <xf numFmtId="9" fontId="0" fillId="0" borderId="5" xfId="2" applyFont="1" applyBorder="1"/>
    <xf numFmtId="1" fontId="0" fillId="0" borderId="0" xfId="0" applyNumberFormat="1"/>
    <xf numFmtId="10" fontId="0" fillId="0" borderId="0" xfId="2" applyNumberFormat="1" applyFont="1"/>
    <xf numFmtId="0" fontId="3" fillId="0" borderId="2" xfId="0" applyFont="1" applyBorder="1"/>
    <xf numFmtId="164" fontId="3" fillId="0" borderId="2" xfId="1" applyNumberFormat="1" applyFont="1" applyBorder="1"/>
    <xf numFmtId="43" fontId="0" fillId="0" borderId="0" xfId="0" applyNumberFormat="1"/>
    <xf numFmtId="43" fontId="3" fillId="0" borderId="0" xfId="0" applyNumberFormat="1" applyFont="1"/>
    <xf numFmtId="10" fontId="3" fillId="0" borderId="0" xfId="2" applyNumberFormat="1" applyFont="1"/>
    <xf numFmtId="43" fontId="0" fillId="7" borderId="0" xfId="0" applyNumberFormat="1" applyFill="1"/>
    <xf numFmtId="43" fontId="0" fillId="0" borderId="0" xfId="1" applyFont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 textRotation="90" wrapText="1"/>
    </xf>
    <xf numFmtId="172" fontId="0" fillId="4" borderId="0" xfId="1" applyNumberFormat="1" applyFont="1" applyFill="1"/>
    <xf numFmtId="172" fontId="0" fillId="4" borderId="9" xfId="1" applyNumberFormat="1" applyFont="1" applyFill="1" applyBorder="1"/>
    <xf numFmtId="0" fontId="3" fillId="0" borderId="9" xfId="0" applyFont="1" applyBorder="1"/>
    <xf numFmtId="172" fontId="3" fillId="4" borderId="9" xfId="1" applyNumberFormat="1" applyFont="1" applyFill="1" applyBorder="1"/>
    <xf numFmtId="172" fontId="3" fillId="4" borderId="0" xfId="1" applyNumberFormat="1" applyFont="1" applyFill="1"/>
    <xf numFmtId="2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chael Arena" id="{ED728ACA-043D-4E7A-B9E9-6C8386288F26}" userId="S::MichaelArena@nuralogix.ai::dfd37f5d-6bc6-4d88-be05-20d72e1644e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" dT="2022-07-21T19:07:02.01" personId="{ED728ACA-043D-4E7A-B9E9-6C8386288F26}" id="{6A4CDC6A-4AB5-49C4-89EF-913E290E72BB}">
    <text>1: Bull
2: Base
3: Bear</text>
  </threadedComment>
  <threadedComment ref="H30" dT="2022-07-21T18:17:33.14" personId="{ED728ACA-043D-4E7A-B9E9-6C8386288F26}" id="{BC5D574C-A9E0-477A-8D80-C3D6A0D3E561}">
    <text>Data, what if analysis, data table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2EC71-EFEB-45E4-B26B-95D89376B6F2}">
  <dimension ref="B1:Q20"/>
  <sheetViews>
    <sheetView workbookViewId="0">
      <selection activeCell="C5" sqref="C5:G11"/>
    </sheetView>
  </sheetViews>
  <sheetFormatPr defaultRowHeight="14.5" x14ac:dyDescent="0.35"/>
  <cols>
    <col min="2" max="2" width="18.90625" bestFit="1" customWidth="1"/>
    <col min="3" max="3" width="10.08984375" bestFit="1" customWidth="1"/>
    <col min="4" max="4" width="10.90625" bestFit="1" customWidth="1"/>
    <col min="15" max="15" width="8.26953125" bestFit="1" customWidth="1"/>
    <col min="16" max="16" width="10.08984375" bestFit="1" customWidth="1"/>
    <col min="17" max="17" width="9.90625" bestFit="1" customWidth="1"/>
  </cols>
  <sheetData>
    <row r="1" spans="2:17" x14ac:dyDescent="0.35">
      <c r="O1" s="35" t="s">
        <v>11</v>
      </c>
      <c r="P1" s="35"/>
      <c r="Q1" s="35"/>
    </row>
    <row r="2" spans="2:17" x14ac:dyDescent="0.35">
      <c r="O2" s="1" t="s">
        <v>12</v>
      </c>
      <c r="P2" s="1" t="s">
        <v>4</v>
      </c>
      <c r="Q2" s="1" t="s">
        <v>13</v>
      </c>
    </row>
    <row r="3" spans="2:17" x14ac:dyDescent="0.35">
      <c r="B3" s="1" t="s">
        <v>0</v>
      </c>
      <c r="C3" t="s">
        <v>65</v>
      </c>
      <c r="O3" t="s">
        <v>64</v>
      </c>
      <c r="P3" s="12">
        <v>30682</v>
      </c>
      <c r="Q3" s="2"/>
    </row>
    <row r="4" spans="2:17" x14ac:dyDescent="0.35">
      <c r="B4" s="1" t="s">
        <v>1</v>
      </c>
      <c r="C4" t="s">
        <v>66</v>
      </c>
    </row>
    <row r="5" spans="2:17" x14ac:dyDescent="0.35">
      <c r="B5" s="31" t="s">
        <v>2</v>
      </c>
      <c r="C5" s="32"/>
      <c r="D5" s="32"/>
      <c r="E5" s="32"/>
      <c r="F5" s="32"/>
      <c r="G5" s="32"/>
    </row>
    <row r="6" spans="2:17" x14ac:dyDescent="0.35">
      <c r="B6" s="31"/>
      <c r="C6" s="32"/>
      <c r="D6" s="32"/>
      <c r="E6" s="32"/>
      <c r="F6" s="32"/>
      <c r="G6" s="32"/>
    </row>
    <row r="7" spans="2:17" x14ac:dyDescent="0.35">
      <c r="B7" s="31"/>
      <c r="C7" s="32"/>
      <c r="D7" s="32"/>
      <c r="E7" s="32"/>
      <c r="F7" s="32"/>
      <c r="G7" s="32"/>
    </row>
    <row r="8" spans="2:17" x14ac:dyDescent="0.35">
      <c r="B8" s="31"/>
      <c r="C8" s="32"/>
      <c r="D8" s="32"/>
      <c r="E8" s="32"/>
      <c r="F8" s="32"/>
      <c r="G8" s="32"/>
    </row>
    <row r="9" spans="2:17" x14ac:dyDescent="0.35">
      <c r="B9" s="31"/>
      <c r="C9" s="32"/>
      <c r="D9" s="32"/>
      <c r="E9" s="32"/>
      <c r="F9" s="32"/>
      <c r="G9" s="32"/>
    </row>
    <row r="10" spans="2:17" x14ac:dyDescent="0.35">
      <c r="B10" s="31"/>
      <c r="C10" s="32"/>
      <c r="D10" s="32"/>
      <c r="E10" s="32"/>
      <c r="F10" s="32"/>
      <c r="G10" s="32"/>
    </row>
    <row r="11" spans="2:17" x14ac:dyDescent="0.35">
      <c r="B11" s="31"/>
      <c r="C11" s="32"/>
      <c r="D11" s="32"/>
      <c r="E11" s="32"/>
      <c r="F11" s="32"/>
      <c r="G11" s="32"/>
    </row>
    <row r="13" spans="2:17" ht="15" thickBot="1" x14ac:dyDescent="0.4"/>
    <row r="14" spans="2:17" x14ac:dyDescent="0.35">
      <c r="B14" s="3" t="s">
        <v>3</v>
      </c>
      <c r="C14" s="4" t="s">
        <v>4</v>
      </c>
      <c r="D14" s="7" t="s">
        <v>10</v>
      </c>
    </row>
    <row r="15" spans="2:17" x14ac:dyDescent="0.35">
      <c r="B15" s="5" t="s">
        <v>5</v>
      </c>
      <c r="C15" s="33">
        <f ca="1">TODAY()</f>
        <v>44764</v>
      </c>
      <c r="D15" s="8">
        <v>1.59</v>
      </c>
    </row>
    <row r="16" spans="2:17" x14ac:dyDescent="0.35">
      <c r="B16" s="5" t="s">
        <v>6</v>
      </c>
      <c r="C16" s="33"/>
      <c r="D16" s="9"/>
    </row>
    <row r="17" spans="2:4" x14ac:dyDescent="0.35">
      <c r="B17" s="5" t="s">
        <v>7</v>
      </c>
      <c r="C17" s="33"/>
      <c r="D17" s="9">
        <f>D16*D15</f>
        <v>0</v>
      </c>
    </row>
    <row r="18" spans="2:4" x14ac:dyDescent="0.35">
      <c r="B18" s="5" t="s">
        <v>8</v>
      </c>
      <c r="C18" s="33"/>
      <c r="D18" s="9"/>
    </row>
    <row r="19" spans="2:4" x14ac:dyDescent="0.35">
      <c r="B19" s="5" t="s">
        <v>67</v>
      </c>
      <c r="C19" s="33"/>
      <c r="D19" s="9"/>
    </row>
    <row r="20" spans="2:4" ht="15" thickBot="1" x14ac:dyDescent="0.4">
      <c r="B20" s="6" t="s">
        <v>9</v>
      </c>
      <c r="C20" s="34"/>
      <c r="D20" s="10">
        <f>D17-D18+D19</f>
        <v>0</v>
      </c>
    </row>
  </sheetData>
  <mergeCells count="4">
    <mergeCell ref="B5:B11"/>
    <mergeCell ref="C5:G11"/>
    <mergeCell ref="C15:C20"/>
    <mergeCell ref="O1:Q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87268-CCB1-47DF-85F0-906198CADD17}">
  <dimension ref="A1:X5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33" sqref="J33"/>
    </sheetView>
  </sheetViews>
  <sheetFormatPr defaultRowHeight="14.5" x14ac:dyDescent="0.35"/>
  <cols>
    <col min="1" max="1" width="28.36328125" bestFit="1" customWidth="1"/>
  </cols>
  <sheetData>
    <row r="1" spans="1:24" x14ac:dyDescent="0.35">
      <c r="B1" s="11" t="s">
        <v>22</v>
      </c>
      <c r="C1" s="11" t="s">
        <v>23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  <c r="J1" s="11" t="s">
        <v>30</v>
      </c>
      <c r="Q1" s="11" t="s">
        <v>31</v>
      </c>
      <c r="R1" s="11" t="s">
        <v>32</v>
      </c>
      <c r="S1" s="15" t="s">
        <v>33</v>
      </c>
      <c r="T1" s="15" t="s">
        <v>34</v>
      </c>
      <c r="U1" s="15" t="s">
        <v>35</v>
      </c>
      <c r="V1" s="15" t="s">
        <v>36</v>
      </c>
      <c r="W1" s="15" t="s">
        <v>37</v>
      </c>
      <c r="X1" s="15" t="s">
        <v>38</v>
      </c>
    </row>
    <row r="2" spans="1:24" x14ac:dyDescent="0.35">
      <c r="A2" t="s">
        <v>68</v>
      </c>
      <c r="F2">
        <v>5</v>
      </c>
      <c r="J2">
        <v>4.8</v>
      </c>
    </row>
    <row r="3" spans="1:24" x14ac:dyDescent="0.35">
      <c r="A3" t="s">
        <v>69</v>
      </c>
      <c r="F3">
        <v>2</v>
      </c>
      <c r="J3">
        <v>1.5</v>
      </c>
    </row>
    <row r="4" spans="1:24" x14ac:dyDescent="0.35">
      <c r="A4" t="s">
        <v>70</v>
      </c>
      <c r="F4">
        <v>0.5</v>
      </c>
      <c r="J4">
        <v>0.2</v>
      </c>
    </row>
    <row r="5" spans="1:24" x14ac:dyDescent="0.35">
      <c r="A5" t="s">
        <v>71</v>
      </c>
      <c r="F5">
        <v>3.6</v>
      </c>
      <c r="J5">
        <v>4.9000000000000004</v>
      </c>
    </row>
    <row r="6" spans="1:24" x14ac:dyDescent="0.35">
      <c r="A6" t="s">
        <v>72</v>
      </c>
      <c r="F6">
        <v>0.6</v>
      </c>
      <c r="J6">
        <v>0.2</v>
      </c>
    </row>
    <row r="7" spans="1:24" x14ac:dyDescent="0.35">
      <c r="A7" s="13" t="s">
        <v>14</v>
      </c>
      <c r="B7" s="39">
        <f>SUM(B2:B6)</f>
        <v>0</v>
      </c>
      <c r="C7" s="39">
        <f t="shared" ref="C7:J7" si="0">SUM(C2:C6)</f>
        <v>0</v>
      </c>
      <c r="D7" s="39">
        <f t="shared" si="0"/>
        <v>0</v>
      </c>
      <c r="E7" s="39">
        <f t="shared" si="0"/>
        <v>0</v>
      </c>
      <c r="F7" s="39">
        <f t="shared" si="0"/>
        <v>11.7</v>
      </c>
      <c r="G7" s="39">
        <f t="shared" si="0"/>
        <v>0</v>
      </c>
      <c r="H7" s="39">
        <f t="shared" si="0"/>
        <v>0</v>
      </c>
      <c r="I7" s="39">
        <f t="shared" si="0"/>
        <v>0</v>
      </c>
      <c r="J7" s="39">
        <f t="shared" si="0"/>
        <v>11.6</v>
      </c>
    </row>
    <row r="8" spans="1:24" x14ac:dyDescent="0.35">
      <c r="A8" s="14" t="s">
        <v>73</v>
      </c>
      <c r="F8">
        <v>6.3959999999999999</v>
      </c>
      <c r="J8">
        <v>7.782</v>
      </c>
    </row>
    <row r="9" spans="1:24" x14ac:dyDescent="0.35">
      <c r="A9" s="14" t="s">
        <v>15</v>
      </c>
      <c r="B9" s="39">
        <f>B7-B8</f>
        <v>0</v>
      </c>
      <c r="C9" s="39">
        <f t="shared" ref="C9:E9" si="1">C7-C8</f>
        <v>0</v>
      </c>
      <c r="D9" s="39">
        <f t="shared" si="1"/>
        <v>0</v>
      </c>
      <c r="E9" s="39">
        <f t="shared" si="1"/>
        <v>0</v>
      </c>
      <c r="F9" s="39">
        <f>F7-F8</f>
        <v>5.3039999999999994</v>
      </c>
      <c r="G9" s="39">
        <f t="shared" ref="G9:J9" si="2">G7-G8</f>
        <v>0</v>
      </c>
      <c r="H9" s="39">
        <f t="shared" si="2"/>
        <v>0</v>
      </c>
      <c r="I9" s="39">
        <f t="shared" si="2"/>
        <v>0</v>
      </c>
      <c r="J9" s="39">
        <f t="shared" si="2"/>
        <v>3.8179999999999996</v>
      </c>
    </row>
    <row r="10" spans="1:24" x14ac:dyDescent="0.35">
      <c r="A10" t="s">
        <v>71</v>
      </c>
      <c r="F10">
        <v>3.5632999999999999</v>
      </c>
      <c r="J10">
        <v>5.4080000000000004</v>
      </c>
    </row>
    <row r="11" spans="1:24" x14ac:dyDescent="0.35">
      <c r="A11" t="s">
        <v>74</v>
      </c>
      <c r="F11">
        <v>5.9050000000000002</v>
      </c>
      <c r="J11">
        <v>4.4640000000000004</v>
      </c>
    </row>
    <row r="12" spans="1:24" x14ac:dyDescent="0.35">
      <c r="A12" s="14" t="s">
        <v>16</v>
      </c>
      <c r="B12" s="39">
        <f>SUM(B10:B11)</f>
        <v>0</v>
      </c>
      <c r="C12" s="39">
        <f t="shared" ref="C12:J12" si="3">SUM(C10:C11)</f>
        <v>0</v>
      </c>
      <c r="D12" s="39">
        <f t="shared" si="3"/>
        <v>0</v>
      </c>
      <c r="E12" s="39">
        <f t="shared" si="3"/>
        <v>0</v>
      </c>
      <c r="F12" s="39">
        <f t="shared" si="3"/>
        <v>9.4682999999999993</v>
      </c>
      <c r="G12" s="39">
        <f t="shared" si="3"/>
        <v>0</v>
      </c>
      <c r="H12" s="39">
        <f t="shared" si="3"/>
        <v>0</v>
      </c>
      <c r="I12" s="39">
        <f t="shared" si="3"/>
        <v>0</v>
      </c>
      <c r="J12" s="39">
        <f t="shared" si="3"/>
        <v>9.8719999999999999</v>
      </c>
    </row>
    <row r="13" spans="1:24" x14ac:dyDescent="0.35">
      <c r="A13" s="14" t="s">
        <v>17</v>
      </c>
      <c r="B13" s="39">
        <f>B9-B12</f>
        <v>0</v>
      </c>
      <c r="C13" s="39">
        <f t="shared" ref="C13:I13" si="4">C9-C12</f>
        <v>0</v>
      </c>
      <c r="D13" s="39">
        <f t="shared" si="4"/>
        <v>0</v>
      </c>
      <c r="E13" s="39">
        <f t="shared" si="4"/>
        <v>0</v>
      </c>
      <c r="F13" s="39">
        <f t="shared" si="4"/>
        <v>-4.1642999999999999</v>
      </c>
      <c r="G13" s="39">
        <f t="shared" si="4"/>
        <v>0</v>
      </c>
      <c r="H13" s="39">
        <f t="shared" si="4"/>
        <v>0</v>
      </c>
      <c r="I13" s="39">
        <f t="shared" si="4"/>
        <v>0</v>
      </c>
      <c r="J13" s="39">
        <f>J9-J12</f>
        <v>-6.0540000000000003</v>
      </c>
    </row>
    <row r="14" spans="1:24" x14ac:dyDescent="0.35">
      <c r="A14" s="14" t="s">
        <v>75</v>
      </c>
      <c r="F14">
        <f>36585/1000000</f>
        <v>3.6584999999999999E-2</v>
      </c>
      <c r="J14">
        <v>4.74</v>
      </c>
    </row>
    <row r="15" spans="1:24" x14ac:dyDescent="0.35">
      <c r="A15" s="14" t="s">
        <v>18</v>
      </c>
      <c r="B15" s="39">
        <f t="shared" ref="B15:E15" si="5">SUM(B13:B14)</f>
        <v>0</v>
      </c>
      <c r="C15" s="39">
        <f>SUM(C13:C14)</f>
        <v>0</v>
      </c>
      <c r="D15" s="39">
        <f t="shared" si="5"/>
        <v>0</v>
      </c>
      <c r="E15" s="39">
        <f t="shared" si="5"/>
        <v>0</v>
      </c>
      <c r="F15" s="39">
        <f>SUM(F13:F14)</f>
        <v>-4.1277150000000002</v>
      </c>
      <c r="G15" s="39">
        <f t="shared" ref="G15:I15" si="6">SUM(G13:G14)</f>
        <v>0</v>
      </c>
      <c r="H15" s="39">
        <f t="shared" si="6"/>
        <v>0</v>
      </c>
      <c r="I15" s="39">
        <f t="shared" si="6"/>
        <v>0</v>
      </c>
      <c r="J15" s="39">
        <f>SUM(J13:J14)</f>
        <v>-1.3140000000000001</v>
      </c>
    </row>
    <row r="16" spans="1:24" x14ac:dyDescent="0.35">
      <c r="A16" s="14" t="s">
        <v>76</v>
      </c>
      <c r="F16">
        <f>33000/1000000</f>
        <v>3.3000000000000002E-2</v>
      </c>
      <c r="J16">
        <f>36000/1000000</f>
        <v>3.5999999999999997E-2</v>
      </c>
    </row>
    <row r="17" spans="1:10" x14ac:dyDescent="0.35">
      <c r="A17" s="14" t="s">
        <v>19</v>
      </c>
      <c r="B17" s="39">
        <f>B15-B16</f>
        <v>0</v>
      </c>
      <c r="C17" s="39">
        <f>C15-C16</f>
        <v>0</v>
      </c>
      <c r="D17" s="39">
        <f>D15-D16</f>
        <v>0</v>
      </c>
      <c r="E17" s="39">
        <f>E15-E16</f>
        <v>0</v>
      </c>
      <c r="F17" s="39">
        <f>F15-F16</f>
        <v>-4.1607150000000006</v>
      </c>
      <c r="G17" s="39">
        <f t="shared" ref="G17:J17" si="7">G15-G16</f>
        <v>0</v>
      </c>
      <c r="H17" s="39">
        <f t="shared" si="7"/>
        <v>0</v>
      </c>
      <c r="I17" s="39">
        <f t="shared" si="7"/>
        <v>0</v>
      </c>
      <c r="J17" s="39">
        <f t="shared" si="7"/>
        <v>-1.35</v>
      </c>
    </row>
    <row r="18" spans="1:10" x14ac:dyDescent="0.35">
      <c r="A18" s="13" t="s">
        <v>20</v>
      </c>
      <c r="B18" s="39" t="e">
        <f>B17/B19</f>
        <v>#DIV/0!</v>
      </c>
      <c r="C18" s="39" t="e">
        <f t="shared" ref="C18:J18" si="8">C17/C19</f>
        <v>#DIV/0!</v>
      </c>
      <c r="D18" s="39" t="e">
        <f t="shared" si="8"/>
        <v>#DIV/0!</v>
      </c>
      <c r="E18" s="39" t="e">
        <f t="shared" si="8"/>
        <v>#DIV/0!</v>
      </c>
      <c r="F18" s="39">
        <f t="shared" si="8"/>
        <v>-4.7617420861086321E-2</v>
      </c>
      <c r="G18" s="39" t="e">
        <f t="shared" si="8"/>
        <v>#DIV/0!</v>
      </c>
      <c r="H18" s="39" t="e">
        <f t="shared" si="8"/>
        <v>#DIV/0!</v>
      </c>
      <c r="I18" s="39" t="e">
        <f>I17/I19</f>
        <v>#DIV/0!</v>
      </c>
      <c r="J18" s="39">
        <f t="shared" si="8"/>
        <v>-1.4979860409893367E-2</v>
      </c>
    </row>
    <row r="19" spans="1:10" x14ac:dyDescent="0.35">
      <c r="A19" s="14" t="s">
        <v>21</v>
      </c>
      <c r="B19" s="16"/>
      <c r="C19" s="16"/>
      <c r="D19" s="16"/>
      <c r="E19" s="16"/>
      <c r="F19" s="16">
        <v>87.378</v>
      </c>
      <c r="G19" s="16"/>
      <c r="H19" s="16"/>
      <c r="I19" s="16"/>
      <c r="J19" s="16">
        <v>90.120999999999995</v>
      </c>
    </row>
    <row r="25" spans="1:10" x14ac:dyDescent="0.35">
      <c r="A25" t="s">
        <v>8</v>
      </c>
      <c r="B25" s="44"/>
      <c r="C25" s="44"/>
      <c r="D25" s="44"/>
      <c r="E25" s="44"/>
      <c r="F25" s="44"/>
      <c r="G25" s="44"/>
      <c r="H25" s="44"/>
      <c r="I25" s="44">
        <v>29.295466000000001</v>
      </c>
      <c r="J25" s="44">
        <v>26.318580000000001</v>
      </c>
    </row>
    <row r="26" spans="1:10" x14ac:dyDescent="0.35">
      <c r="A26" t="s">
        <v>78</v>
      </c>
      <c r="B26" s="44"/>
      <c r="C26" s="44"/>
      <c r="D26" s="44"/>
      <c r="E26" s="44"/>
      <c r="F26" s="44"/>
      <c r="G26" s="44"/>
      <c r="H26" s="44"/>
      <c r="I26" s="44">
        <v>12.11307</v>
      </c>
      <c r="J26" s="44">
        <v>6.7773099999999999</v>
      </c>
    </row>
    <row r="27" spans="1:10" x14ac:dyDescent="0.35">
      <c r="A27" t="s">
        <v>77</v>
      </c>
      <c r="B27" s="44"/>
      <c r="C27" s="44"/>
      <c r="D27" s="44"/>
      <c r="E27" s="44"/>
      <c r="F27" s="44"/>
      <c r="G27" s="44"/>
      <c r="H27" s="44"/>
      <c r="I27" s="44">
        <v>7.1326169999999998</v>
      </c>
      <c r="J27" s="44">
        <v>7.1326169999999998</v>
      </c>
    </row>
    <row r="28" spans="1:10" x14ac:dyDescent="0.35">
      <c r="A28" t="s">
        <v>79</v>
      </c>
      <c r="B28" s="44"/>
      <c r="C28" s="44"/>
      <c r="D28" s="44"/>
      <c r="E28" s="44"/>
      <c r="F28" s="44"/>
      <c r="G28" s="44"/>
      <c r="H28" s="44"/>
      <c r="I28" s="44">
        <v>2.5522010000000002</v>
      </c>
      <c r="J28" s="44">
        <v>2.5522010000000002</v>
      </c>
    </row>
    <row r="29" spans="1:10" ht="15" thickBot="1" x14ac:dyDescent="0.4">
      <c r="A29" t="s">
        <v>80</v>
      </c>
      <c r="B29" s="44"/>
      <c r="C29" s="44"/>
      <c r="D29" s="44"/>
      <c r="E29" s="44"/>
      <c r="F29" s="44"/>
      <c r="G29" s="44"/>
      <c r="H29" s="44"/>
      <c r="I29" s="44">
        <v>2.2214197000000002</v>
      </c>
      <c r="J29" s="44">
        <v>2.214197</v>
      </c>
    </row>
    <row r="30" spans="1:10" ht="15" thickTop="1" x14ac:dyDescent="0.35">
      <c r="A30" s="41" t="s">
        <v>81</v>
      </c>
      <c r="B30" s="42">
        <f>SUM(B25:B29)</f>
        <v>0</v>
      </c>
      <c r="C30" s="42">
        <f t="shared" ref="C30:J30" si="9">SUM(C25:C29)</f>
        <v>0</v>
      </c>
      <c r="D30" s="42">
        <f t="shared" si="9"/>
        <v>0</v>
      </c>
      <c r="E30" s="42">
        <f t="shared" si="9"/>
        <v>0</v>
      </c>
      <c r="F30" s="42">
        <f t="shared" si="9"/>
        <v>0</v>
      </c>
      <c r="G30" s="42">
        <f t="shared" si="9"/>
        <v>0</v>
      </c>
      <c r="H30" s="42">
        <f t="shared" si="9"/>
        <v>0</v>
      </c>
      <c r="I30" s="42">
        <f>SUM(I25:I29)</f>
        <v>53.314773699999989</v>
      </c>
      <c r="J30" s="42">
        <f>SUM(J25:J29)</f>
        <v>44.994904999999989</v>
      </c>
    </row>
    <row r="32" spans="1:10" x14ac:dyDescent="0.35">
      <c r="A32" t="s">
        <v>82</v>
      </c>
      <c r="I32" s="44">
        <v>1.8889629999999999</v>
      </c>
      <c r="J32" s="44">
        <v>1.939506</v>
      </c>
    </row>
    <row r="33" spans="1:10" x14ac:dyDescent="0.35">
      <c r="A33" t="s">
        <v>83</v>
      </c>
    </row>
    <row r="34" spans="1:10" x14ac:dyDescent="0.35">
      <c r="A34" t="s">
        <v>84</v>
      </c>
    </row>
    <row r="35" spans="1:10" x14ac:dyDescent="0.35">
      <c r="A35" t="s">
        <v>85</v>
      </c>
    </row>
    <row r="36" spans="1:10" ht="15" thickBot="1" x14ac:dyDescent="0.4">
      <c r="A36" s="1" t="s">
        <v>87</v>
      </c>
      <c r="B36" s="43">
        <f>SUM(B32:B35)</f>
        <v>0</v>
      </c>
      <c r="C36" s="43">
        <f t="shared" ref="C36:J36" si="10">SUM(C32:C35)</f>
        <v>0</v>
      </c>
      <c r="D36" s="43">
        <f t="shared" si="10"/>
        <v>0</v>
      </c>
      <c r="E36" s="43">
        <f t="shared" si="10"/>
        <v>0</v>
      </c>
      <c r="F36" s="43">
        <f t="shared" si="10"/>
        <v>0</v>
      </c>
      <c r="G36" s="43">
        <f t="shared" si="10"/>
        <v>0</v>
      </c>
      <c r="H36" s="43">
        <f>SUM(H32:H35)</f>
        <v>0</v>
      </c>
      <c r="I36" s="43">
        <f t="shared" si="10"/>
        <v>1.8889629999999999</v>
      </c>
      <c r="J36" s="43">
        <f>SUM(J32:J35)</f>
        <v>1.939506</v>
      </c>
    </row>
    <row r="37" spans="1:10" ht="15" thickTop="1" x14ac:dyDescent="0.35">
      <c r="A37" s="41" t="s">
        <v>86</v>
      </c>
      <c r="B37" s="40">
        <f>B36+B30</f>
        <v>0</v>
      </c>
      <c r="C37" s="40">
        <f>C36+C30</f>
        <v>0</v>
      </c>
      <c r="D37" s="40">
        <f>D36+D30</f>
        <v>0</v>
      </c>
      <c r="E37" s="40">
        <f>E36+E30</f>
        <v>0</v>
      </c>
      <c r="F37" s="40">
        <f>F36+F30</f>
        <v>0</v>
      </c>
      <c r="G37" s="40">
        <f>G36+G30</f>
        <v>0</v>
      </c>
      <c r="H37" s="40">
        <f>H36+H30</f>
        <v>0</v>
      </c>
      <c r="I37" s="40">
        <f>I36+I30</f>
        <v>55.203736699999986</v>
      </c>
      <c r="J37" s="40">
        <f>J36+J30</f>
        <v>46.93441099999999</v>
      </c>
    </row>
    <row r="39" spans="1:10" x14ac:dyDescent="0.35">
      <c r="A39" t="s">
        <v>88</v>
      </c>
    </row>
    <row r="40" spans="1:10" x14ac:dyDescent="0.35">
      <c r="A40" t="s">
        <v>89</v>
      </c>
    </row>
    <row r="41" spans="1:10" x14ac:dyDescent="0.35">
      <c r="A41" t="s">
        <v>90</v>
      </c>
    </row>
    <row r="42" spans="1:10" x14ac:dyDescent="0.35">
      <c r="A42" t="s">
        <v>91</v>
      </c>
    </row>
    <row r="43" spans="1:10" x14ac:dyDescent="0.35">
      <c r="A43" t="s">
        <v>92</v>
      </c>
    </row>
    <row r="44" spans="1:10" x14ac:dyDescent="0.35">
      <c r="A44" t="s">
        <v>93</v>
      </c>
    </row>
    <row r="45" spans="1:10" x14ac:dyDescent="0.35">
      <c r="A45" s="1" t="s">
        <v>94</v>
      </c>
      <c r="B45" s="43">
        <f>SUM(B39:B44)</f>
        <v>0</v>
      </c>
      <c r="C45" s="43">
        <f t="shared" ref="C45:J45" si="11">SUM(C39:C44)</f>
        <v>0</v>
      </c>
      <c r="D45" s="43">
        <f t="shared" si="11"/>
        <v>0</v>
      </c>
      <c r="E45" s="43">
        <f t="shared" si="11"/>
        <v>0</v>
      </c>
      <c r="F45" s="43">
        <f t="shared" si="11"/>
        <v>0</v>
      </c>
      <c r="G45" s="43">
        <f t="shared" si="11"/>
        <v>0</v>
      </c>
      <c r="H45" s="43">
        <f t="shared" si="11"/>
        <v>0</v>
      </c>
      <c r="I45" s="43">
        <f t="shared" si="11"/>
        <v>0</v>
      </c>
      <c r="J45" s="43">
        <f t="shared" si="11"/>
        <v>0</v>
      </c>
    </row>
    <row r="47" spans="1:10" x14ac:dyDescent="0.35">
      <c r="A47" t="s">
        <v>95</v>
      </c>
    </row>
    <row r="48" spans="1:10" x14ac:dyDescent="0.35">
      <c r="A48" t="s">
        <v>96</v>
      </c>
    </row>
    <row r="49" spans="1:10" ht="15" thickBot="1" x14ac:dyDescent="0.4">
      <c r="A49" s="1" t="s">
        <v>97</v>
      </c>
      <c r="B49" s="43">
        <f>SUM(B47:B48)</f>
        <v>0</v>
      </c>
      <c r="C49" s="43">
        <f t="shared" ref="C49:J49" si="12">SUM(C47:C48)</f>
        <v>0</v>
      </c>
      <c r="D49" s="43">
        <f t="shared" si="12"/>
        <v>0</v>
      </c>
      <c r="E49" s="43">
        <f t="shared" si="12"/>
        <v>0</v>
      </c>
      <c r="F49" s="43">
        <f t="shared" si="12"/>
        <v>0</v>
      </c>
      <c r="G49" s="43">
        <f t="shared" si="12"/>
        <v>0</v>
      </c>
      <c r="H49" s="43">
        <f t="shared" si="12"/>
        <v>0</v>
      </c>
      <c r="I49" s="43">
        <f t="shared" si="12"/>
        <v>0</v>
      </c>
      <c r="J49" s="43">
        <f t="shared" si="12"/>
        <v>0</v>
      </c>
    </row>
    <row r="50" spans="1:10" ht="15" thickTop="1" x14ac:dyDescent="0.35">
      <c r="A50" s="41" t="s">
        <v>98</v>
      </c>
      <c r="B50" s="40">
        <f>B49+B45</f>
        <v>0</v>
      </c>
      <c r="C50" s="40">
        <f t="shared" ref="C50:J50" si="13">C49+C45</f>
        <v>0</v>
      </c>
      <c r="D50" s="40">
        <f t="shared" si="13"/>
        <v>0</v>
      </c>
      <c r="E50" s="40">
        <f t="shared" si="13"/>
        <v>0</v>
      </c>
      <c r="F50" s="40">
        <f t="shared" si="13"/>
        <v>0</v>
      </c>
      <c r="G50" s="40">
        <f t="shared" si="13"/>
        <v>0</v>
      </c>
      <c r="H50" s="40">
        <f t="shared" si="13"/>
        <v>0</v>
      </c>
      <c r="I50" s="40">
        <f t="shared" si="13"/>
        <v>0</v>
      </c>
      <c r="J50" s="40">
        <f t="shared" si="13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0B5DE-A6CC-43AE-A0CA-0BA632C84854}">
  <dimension ref="B2:K33"/>
  <sheetViews>
    <sheetView workbookViewId="0">
      <selection activeCell="E2" sqref="E2"/>
    </sheetView>
  </sheetViews>
  <sheetFormatPr defaultRowHeight="14.5" x14ac:dyDescent="0.35"/>
  <cols>
    <col min="5" max="5" width="10.26953125" bestFit="1" customWidth="1"/>
    <col min="6" max="6" width="10.08984375" bestFit="1" customWidth="1"/>
    <col min="7" max="7" width="12.54296875" bestFit="1" customWidth="1"/>
    <col min="8" max="8" width="12.6328125" bestFit="1" customWidth="1"/>
    <col min="9" max="11" width="12.36328125" bestFit="1" customWidth="1"/>
    <col min="12" max="12" width="12.1796875" bestFit="1" customWidth="1"/>
  </cols>
  <sheetData>
    <row r="2" spans="2:11" x14ac:dyDescent="0.35">
      <c r="B2" t="s">
        <v>39</v>
      </c>
      <c r="C2">
        <v>2</v>
      </c>
    </row>
    <row r="3" spans="2:11" x14ac:dyDescent="0.35">
      <c r="B3" t="s">
        <v>40</v>
      </c>
      <c r="C3" s="17">
        <v>0.1</v>
      </c>
    </row>
    <row r="4" spans="2:11" x14ac:dyDescent="0.35">
      <c r="B4" t="s">
        <v>41</v>
      </c>
      <c r="C4" s="17">
        <v>0.02</v>
      </c>
    </row>
    <row r="5" spans="2:11" x14ac:dyDescent="0.35">
      <c r="G5" s="1">
        <v>1</v>
      </c>
      <c r="H5" s="1">
        <f>G5+1</f>
        <v>2</v>
      </c>
      <c r="I5" s="1">
        <f t="shared" ref="I5:K5" si="0">H5+1</f>
        <v>3</v>
      </c>
      <c r="J5" s="1">
        <f t="shared" si="0"/>
        <v>4</v>
      </c>
      <c r="K5" s="1">
        <f t="shared" si="0"/>
        <v>5</v>
      </c>
    </row>
    <row r="6" spans="2:11" ht="15" thickBot="1" x14ac:dyDescent="0.4"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  <row r="7" spans="2:11" x14ac:dyDescent="0.35">
      <c r="B7" s="18" t="s">
        <v>49</v>
      </c>
      <c r="C7" s="18"/>
      <c r="D7" s="18"/>
      <c r="E7" s="19"/>
      <c r="F7" s="19"/>
      <c r="G7" s="19"/>
      <c r="H7" s="19"/>
      <c r="I7" s="19"/>
      <c r="J7" s="19"/>
      <c r="K7" s="19"/>
    </row>
    <row r="8" spans="2:11" ht="15" thickBot="1" x14ac:dyDescent="0.4">
      <c r="B8" s="20" t="s">
        <v>50</v>
      </c>
      <c r="C8" s="20"/>
      <c r="D8" s="20"/>
      <c r="E8" s="20"/>
      <c r="F8" s="20"/>
      <c r="G8" s="21">
        <f>1/(1+$C$3)^G5</f>
        <v>0.90909090909090906</v>
      </c>
      <c r="H8" s="21">
        <f>1/(1+$C$3)^H5</f>
        <v>0.82644628099173545</v>
      </c>
      <c r="I8" s="21">
        <f>1/(1+$C$3)^I5</f>
        <v>0.75131480090157754</v>
      </c>
      <c r="J8" s="21">
        <f>1/(1+$C$3)^J5</f>
        <v>0.68301345536507052</v>
      </c>
      <c r="K8" s="21">
        <f>1/(1+$C$3)^K5</f>
        <v>0.62092132305915493</v>
      </c>
    </row>
    <row r="9" spans="2:11" x14ac:dyDescent="0.35">
      <c r="B9" s="1" t="s">
        <v>51</v>
      </c>
      <c r="E9">
        <f>E8*E7</f>
        <v>0</v>
      </c>
      <c r="F9">
        <f t="shared" ref="F9:J9" si="1">F8*F7</f>
        <v>0</v>
      </c>
      <c r="G9" s="22">
        <f>G8*G7</f>
        <v>0</v>
      </c>
      <c r="H9" s="22">
        <f t="shared" si="1"/>
        <v>0</v>
      </c>
      <c r="I9" s="22">
        <f t="shared" si="1"/>
        <v>0</v>
      </c>
      <c r="J9" s="22">
        <f t="shared" si="1"/>
        <v>0</v>
      </c>
      <c r="K9" s="22">
        <f>K8*K7</f>
        <v>0</v>
      </c>
    </row>
    <row r="13" spans="2:11" x14ac:dyDescent="0.35">
      <c r="B13" s="36" t="s">
        <v>52</v>
      </c>
      <c r="C13" s="36"/>
      <c r="D13" s="36"/>
      <c r="E13" s="36"/>
      <c r="F13" s="36"/>
      <c r="G13" s="36"/>
      <c r="H13" s="36"/>
      <c r="I13" s="36"/>
      <c r="J13" s="36"/>
      <c r="K13" s="36"/>
    </row>
    <row r="14" spans="2:11" x14ac:dyDescent="0.35">
      <c r="B14" t="s">
        <v>53</v>
      </c>
      <c r="E14" s="16">
        <f>SUM(G9:K9)</f>
        <v>0</v>
      </c>
      <c r="G14" s="23" t="e">
        <f>E14/E17</f>
        <v>#DIV/0!</v>
      </c>
    </row>
    <row r="15" spans="2:11" x14ac:dyDescent="0.35">
      <c r="B15" t="s">
        <v>54</v>
      </c>
      <c r="E15" s="16">
        <f>K7*(1+C4)/(C3-C4)</f>
        <v>0</v>
      </c>
    </row>
    <row r="16" spans="2:11" ht="15" thickBot="1" x14ac:dyDescent="0.4">
      <c r="B16" t="s">
        <v>55</v>
      </c>
      <c r="E16" s="16">
        <f>E15*K8</f>
        <v>0</v>
      </c>
      <c r="G16" s="23" t="e">
        <f>E16/E17</f>
        <v>#DIV/0!</v>
      </c>
    </row>
    <row r="17" spans="2:11" x14ac:dyDescent="0.35">
      <c r="B17" s="24" t="s">
        <v>9</v>
      </c>
      <c r="C17" s="24"/>
      <c r="D17" s="24"/>
      <c r="E17" s="25">
        <f>E16+E14</f>
        <v>0</v>
      </c>
    </row>
    <row r="18" spans="2:11" x14ac:dyDescent="0.35">
      <c r="B18" t="s">
        <v>56</v>
      </c>
      <c r="E18" s="16">
        <f>Main!D19</f>
        <v>0</v>
      </c>
    </row>
    <row r="19" spans="2:11" ht="15" thickBot="1" x14ac:dyDescent="0.4">
      <c r="B19" t="s">
        <v>8</v>
      </c>
      <c r="E19" s="16">
        <f>Main!D18</f>
        <v>0</v>
      </c>
    </row>
    <row r="20" spans="2:11" x14ac:dyDescent="0.35">
      <c r="B20" s="24" t="s">
        <v>57</v>
      </c>
      <c r="C20" s="24"/>
      <c r="D20" s="24"/>
      <c r="E20" s="25">
        <f>SUM(E17:E19)</f>
        <v>0</v>
      </c>
    </row>
    <row r="21" spans="2:11" ht="24.5" customHeight="1" thickBot="1" x14ac:dyDescent="0.4">
      <c r="B21" t="s">
        <v>58</v>
      </c>
    </row>
    <row r="22" spans="2:11" ht="24" customHeight="1" x14ac:dyDescent="0.35">
      <c r="B22" s="24" t="s">
        <v>59</v>
      </c>
      <c r="C22" s="24"/>
      <c r="D22" s="24"/>
      <c r="E22" s="24" t="e">
        <f>(E20/E21)/20</f>
        <v>#DIV/0!</v>
      </c>
      <c r="F22" s="26"/>
    </row>
    <row r="23" spans="2:11" ht="24.5" customHeight="1" x14ac:dyDescent="0.35">
      <c r="B23" s="1" t="s">
        <v>60</v>
      </c>
      <c r="C23" s="1"/>
      <c r="D23" s="1"/>
      <c r="E23" s="27">
        <f>Main!D15</f>
        <v>1.59</v>
      </c>
    </row>
    <row r="24" spans="2:11" ht="24.5" customHeight="1" x14ac:dyDescent="0.35">
      <c r="B24" s="1" t="s">
        <v>61</v>
      </c>
      <c r="C24" s="1"/>
      <c r="D24" s="1"/>
      <c r="E24" s="28" t="e">
        <f>(E22-E23)/E23</f>
        <v>#DIV/0!</v>
      </c>
    </row>
    <row r="25" spans="2:11" ht="24.5" customHeight="1" x14ac:dyDescent="0.35">
      <c r="B25" s="1"/>
      <c r="C25" s="1"/>
      <c r="D25" s="1"/>
      <c r="E25" s="27"/>
    </row>
    <row r="26" spans="2:11" ht="26" customHeight="1" x14ac:dyDescent="0.35"/>
    <row r="27" spans="2:11" x14ac:dyDescent="0.35">
      <c r="B27" s="37" t="s">
        <v>62</v>
      </c>
      <c r="C27" s="37"/>
      <c r="D27" s="37"/>
      <c r="E27" s="37"/>
      <c r="F27" s="37"/>
      <c r="G27" s="37"/>
      <c r="H27" s="37"/>
      <c r="I27" s="37"/>
      <c r="J27" s="37"/>
      <c r="K27" s="37"/>
    </row>
    <row r="28" spans="2:11" x14ac:dyDescent="0.35">
      <c r="F28" s="35" t="s">
        <v>40</v>
      </c>
      <c r="G28" s="35"/>
      <c r="H28" s="35"/>
      <c r="I28" s="35"/>
      <c r="J28" s="35"/>
      <c r="K28" s="35"/>
    </row>
    <row r="29" spans="2:11" x14ac:dyDescent="0.35">
      <c r="F29" s="38" t="s">
        <v>63</v>
      </c>
      <c r="G29" s="29" t="e">
        <f>E22</f>
        <v>#DIV/0!</v>
      </c>
      <c r="H29" s="23">
        <v>0.09</v>
      </c>
      <c r="I29" s="23">
        <v>0.1</v>
      </c>
      <c r="J29" s="23">
        <v>0.11</v>
      </c>
      <c r="K29" s="23">
        <v>0.12</v>
      </c>
    </row>
    <row r="30" spans="2:11" x14ac:dyDescent="0.35">
      <c r="F30" s="38"/>
      <c r="G30" s="23">
        <v>0.01</v>
      </c>
      <c r="H30" s="30" t="e">
        <f t="dataTable" ref="H30:K33" dt2D="1" dtr="1" r1="C3" r2="C4"/>
        <v>#DIV/0!</v>
      </c>
      <c r="I30" s="30" t="e">
        <v>#DIV/0!</v>
      </c>
      <c r="J30" s="30" t="e">
        <v>#DIV/0!</v>
      </c>
      <c r="K30" s="30" t="e">
        <v>#DIV/0!</v>
      </c>
    </row>
    <row r="31" spans="2:11" x14ac:dyDescent="0.35">
      <c r="F31" s="38"/>
      <c r="G31" s="23">
        <v>0.02</v>
      </c>
      <c r="H31" s="30" t="e">
        <v>#DIV/0!</v>
      </c>
      <c r="I31" s="30" t="e">
        <v>#DIV/0!</v>
      </c>
      <c r="J31" s="30" t="e">
        <v>#DIV/0!</v>
      </c>
      <c r="K31" s="30" t="e">
        <v>#DIV/0!</v>
      </c>
    </row>
    <row r="32" spans="2:11" x14ac:dyDescent="0.35">
      <c r="F32" s="38"/>
      <c r="G32" s="23">
        <v>0.03</v>
      </c>
      <c r="H32" s="30" t="e">
        <v>#DIV/0!</v>
      </c>
      <c r="I32" s="30" t="e">
        <v>#DIV/0!</v>
      </c>
      <c r="J32" s="30" t="e">
        <v>#DIV/0!</v>
      </c>
      <c r="K32" s="30" t="e">
        <v>#DIV/0!</v>
      </c>
    </row>
    <row r="33" spans="6:11" x14ac:dyDescent="0.35">
      <c r="F33" s="38"/>
      <c r="G33" s="23">
        <v>0.04</v>
      </c>
      <c r="H33" s="30" t="e">
        <v>#DIV/0!</v>
      </c>
      <c r="I33" s="30" t="e">
        <v>#DIV/0!</v>
      </c>
      <c r="J33" s="30" t="e">
        <v>#DIV/0!</v>
      </c>
      <c r="K33" s="30" t="e">
        <v>#DIV/0!</v>
      </c>
    </row>
  </sheetData>
  <mergeCells count="4">
    <mergeCell ref="B13:K13"/>
    <mergeCell ref="B27:K27"/>
    <mergeCell ref="F28:K28"/>
    <mergeCell ref="F29:F33"/>
  </mergeCells>
  <dataValidations count="1">
    <dataValidation type="list" allowBlank="1" showInputMessage="1" showErrorMessage="1" sqref="C2" xr:uid="{4D5E3BE7-9B09-4851-87CE-68AE32A7FE8C}">
      <formula1>"1,2,3"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650D7-9215-465A-A467-9FE2CDC3EDB2}">
  <dimension ref="A1"/>
  <sheetViews>
    <sheetView workbookViewId="0">
      <selection activeCell="E47" sqref="E47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Model</vt:lpstr>
      <vt:lpstr>DCF</vt:lpstr>
      <vt:lpstr>RV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Arena</dc:creator>
  <cp:lastModifiedBy>Michael Arena</cp:lastModifiedBy>
  <dcterms:created xsi:type="dcterms:W3CDTF">2022-07-22T19:07:42Z</dcterms:created>
  <dcterms:modified xsi:type="dcterms:W3CDTF">2022-07-23T03:44:36Z</dcterms:modified>
</cp:coreProperties>
</file>