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Arena\Desktop\Personal\Models\Microsoft\"/>
    </mc:Choice>
  </mc:AlternateContent>
  <xr:revisionPtr revIDLastSave="0" documentId="13_ncr:1_{6E04194C-EA7A-454A-81F5-285837A07249}" xr6:coauthVersionLast="47" xr6:coauthVersionMax="47" xr10:uidLastSave="{00000000-0000-0000-0000-000000000000}"/>
  <bookViews>
    <workbookView xWindow="19090" yWindow="-10910" windowWidth="38620" windowHeight="21220" activeTab="1" xr2:uid="{C987DCD1-8AE8-4931-81E4-60B3BBA642A5}"/>
  </bookViews>
  <sheets>
    <sheet name="Main" sheetId="1" r:id="rId1"/>
    <sheet name="Model" sheetId="2" r:id="rId2"/>
    <sheet name="DCF" sheetId="5" r:id="rId3"/>
    <sheet name="Relative Valuation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2" l="1"/>
  <c r="J18" i="2"/>
  <c r="J11" i="2"/>
  <c r="F11" i="2"/>
  <c r="C11" i="2"/>
  <c r="I11" i="2"/>
  <c r="H11" i="2"/>
  <c r="G11" i="2"/>
  <c r="E11" i="2"/>
  <c r="D11" i="2"/>
  <c r="B11" i="2"/>
  <c r="E19" i="5" l="1"/>
  <c r="E18" i="5"/>
  <c r="E23" i="5"/>
  <c r="E21" i="5"/>
  <c r="H8" i="5"/>
  <c r="G8" i="5"/>
  <c r="K7" i="5"/>
  <c r="E15" i="5" s="1"/>
  <c r="J7" i="5"/>
  <c r="I7" i="5"/>
  <c r="H7" i="5"/>
  <c r="G7" i="5"/>
  <c r="F7" i="5"/>
  <c r="F9" i="5" s="1"/>
  <c r="E7" i="5"/>
  <c r="E9" i="5" s="1"/>
  <c r="H5" i="5"/>
  <c r="I5" i="5" s="1"/>
  <c r="B4" i="2"/>
  <c r="B7" i="2" s="1"/>
  <c r="B12" i="2" s="1"/>
  <c r="B14" i="2" s="1"/>
  <c r="B16" i="2" s="1"/>
  <c r="B17" i="2" s="1"/>
  <c r="J4" i="2"/>
  <c r="J7" i="2" s="1"/>
  <c r="J12" i="2" s="1"/>
  <c r="J14" i="2" s="1"/>
  <c r="J16" i="2" s="1"/>
  <c r="J17" i="2" s="1"/>
  <c r="I4" i="2"/>
  <c r="I7" i="2" s="1"/>
  <c r="I12" i="2" s="1"/>
  <c r="I14" i="2" s="1"/>
  <c r="I16" i="2" s="1"/>
  <c r="I17" i="2" s="1"/>
  <c r="H4" i="2"/>
  <c r="H7" i="2" s="1"/>
  <c r="H12" i="2" s="1"/>
  <c r="H14" i="2" s="1"/>
  <c r="H16" i="2" s="1"/>
  <c r="H17" i="2" s="1"/>
  <c r="G4" i="2"/>
  <c r="G7" i="2" s="1"/>
  <c r="G12" i="2" s="1"/>
  <c r="G14" i="2" s="1"/>
  <c r="G16" i="2" s="1"/>
  <c r="G17" i="2" s="1"/>
  <c r="F4" i="2"/>
  <c r="F7" i="2" s="1"/>
  <c r="F12" i="2" s="1"/>
  <c r="F14" i="2" s="1"/>
  <c r="F16" i="2" s="1"/>
  <c r="F17" i="2" s="1"/>
  <c r="E4" i="2"/>
  <c r="E7" i="2" s="1"/>
  <c r="E12" i="2" s="1"/>
  <c r="E14" i="2" s="1"/>
  <c r="E16" i="2" s="1"/>
  <c r="E17" i="2" s="1"/>
  <c r="D4" i="2"/>
  <c r="D7" i="2" s="1"/>
  <c r="D12" i="2" s="1"/>
  <c r="D14" i="2" s="1"/>
  <c r="D16" i="2" s="1"/>
  <c r="D17" i="2" s="1"/>
  <c r="C4" i="2"/>
  <c r="C7" i="2" s="1"/>
  <c r="C12" i="2" s="1"/>
  <c r="C14" i="2" s="1"/>
  <c r="C16" i="2" s="1"/>
  <c r="C17" i="2" s="1"/>
  <c r="G9" i="5" l="1"/>
  <c r="H9" i="5"/>
  <c r="J5" i="5"/>
  <c r="I8" i="5"/>
  <c r="I9" i="5" s="1"/>
  <c r="J8" i="5" l="1"/>
  <c r="J9" i="5" s="1"/>
  <c r="K5" i="5"/>
  <c r="K8" i="5" s="1"/>
  <c r="K9" i="5" l="1"/>
  <c r="E16" i="5"/>
  <c r="E14" i="5"/>
  <c r="E17" i="5" l="1"/>
  <c r="E20" i="5" l="1"/>
  <c r="E22" i="5" s="1"/>
  <c r="G16" i="5"/>
  <c r="G14" i="5"/>
  <c r="G29" i="5" l="1"/>
  <c r="E2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tc={C2BC2C1D-70E2-4C8C-A3CB-C39D6A85C65A}</author>
    <author>tc={906A9F80-F6E3-45CB-886E-E89FAF22489B}</author>
  </authors>
  <commentList>
    <comment ref="C2" authorId="0" shapeId="0" xr:uid="{C2BC2C1D-70E2-4C8C-A3CB-C39D6A85C65A}">
      <text>
        <t>[Threaded comment]
Your version of Excel allows you to read this threaded comment; however, any edits to it will get removed if the file is opened in a newer version of Excel. Learn more: https://go.microsoft.com/fwlink/?linkid=870924
Comment:
    1: Bull
2: Base
3: Bear</t>
      </text>
    </comment>
    <comment ref="H30" authorId="1" shapeId="0" xr:uid="{906A9F80-F6E3-45CB-886E-E89FAF22489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Data, what if analysis, data table</t>
      </text>
    </comment>
  </commentList>
</comments>
</file>

<file path=xl/sharedStrings.xml><?xml version="1.0" encoding="utf-8"?>
<sst xmlns="http://schemas.openxmlformats.org/spreadsheetml/2006/main" count="69" uniqueCount="65">
  <si>
    <t>Company Name</t>
  </si>
  <si>
    <t>Symbol</t>
  </si>
  <si>
    <t>Company Description</t>
  </si>
  <si>
    <t>Stat</t>
  </si>
  <si>
    <t>Date</t>
  </si>
  <si>
    <t>Share Price</t>
  </si>
  <si>
    <t>Shares Outstanding (MM)</t>
  </si>
  <si>
    <t>Market Cap</t>
  </si>
  <si>
    <t>Cash</t>
  </si>
  <si>
    <t>Debt</t>
  </si>
  <si>
    <t>Enterprise Value</t>
  </si>
  <si>
    <t>Notes</t>
  </si>
  <si>
    <t>Category</t>
  </si>
  <si>
    <t>Comments</t>
  </si>
  <si>
    <t>Q320</t>
  </si>
  <si>
    <t>Q420</t>
  </si>
  <si>
    <t>Q121</t>
  </si>
  <si>
    <t>Q221</t>
  </si>
  <si>
    <t>Q321</t>
  </si>
  <si>
    <t>Q421</t>
  </si>
  <si>
    <t>Q122</t>
  </si>
  <si>
    <t>Revenue</t>
  </si>
  <si>
    <t>Gross Profit</t>
  </si>
  <si>
    <t>OpEx</t>
  </si>
  <si>
    <t>OpInc</t>
  </si>
  <si>
    <t>Pretax</t>
  </si>
  <si>
    <t>Net Income</t>
  </si>
  <si>
    <t>EPS</t>
  </si>
  <si>
    <t>Shares</t>
  </si>
  <si>
    <t>Product</t>
  </si>
  <si>
    <t>Service and Other</t>
  </si>
  <si>
    <t>CoP</t>
  </si>
  <si>
    <t>CoS&amp;other</t>
  </si>
  <si>
    <t>Q322</t>
  </si>
  <si>
    <t>Q222</t>
  </si>
  <si>
    <t>Case</t>
  </si>
  <si>
    <t>WACC</t>
  </si>
  <si>
    <t>g</t>
  </si>
  <si>
    <t>FY20</t>
  </si>
  <si>
    <t>FY21</t>
  </si>
  <si>
    <t>FY22 Forecast</t>
  </si>
  <si>
    <t>FY23 Forecast</t>
  </si>
  <si>
    <t>FY24 Forecast</t>
  </si>
  <si>
    <t>FY25 Forecast</t>
  </si>
  <si>
    <t>FY26 Forecast</t>
  </si>
  <si>
    <t>FCF</t>
  </si>
  <si>
    <t>Discount Factor</t>
  </si>
  <si>
    <t>Present Value of FCF</t>
  </si>
  <si>
    <t>DCF Valuation</t>
  </si>
  <si>
    <t>PV of Cashflows</t>
  </si>
  <si>
    <t>Continuing Value</t>
  </si>
  <si>
    <t>PV of Continuing Value</t>
  </si>
  <si>
    <t>Financial Liabilities</t>
  </si>
  <si>
    <t>Equity Value</t>
  </si>
  <si>
    <t>Shares Outstanding</t>
  </si>
  <si>
    <t>Projected Share Price</t>
  </si>
  <si>
    <t>Current Share Price</t>
  </si>
  <si>
    <t>Difference</t>
  </si>
  <si>
    <t>Sensitivity Analysis</t>
  </si>
  <si>
    <t>Terminal Growth Rate</t>
  </si>
  <si>
    <t>R&amp;D</t>
  </si>
  <si>
    <t>S&amp;M</t>
  </si>
  <si>
    <t>G&amp;A</t>
  </si>
  <si>
    <t>Other Income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</si>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</sst>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14" fontId="0" fillId="0" borderId="0" xfId="0" applyNumberFormat="1" applyAlignment="1">
      <alignment horizontal="center" vertical="center"/>
    </xf>
    <xf numFmtId="0" fontId="0" fillId="0" borderId="4" xfId="0" applyBorder="1"/>
    <xf numFmtId="14" fontId="0" fillId="0" borderId="5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4" fillId="0" borderId="0" xfId="0" applyNumberFormat="1" applyFont="1"/>
    <xf numFmtId="164" fontId="0" fillId="3" borderId="0" xfId="1" applyNumberFormat="1" applyFont="1" applyFill="1"/>
    <xf numFmtId="3" fontId="0" fillId="0" borderId="0" xfId="0" applyNumberFormat="1"/>
    <xf numFmtId="43" fontId="3" fillId="3" borderId="0" xfId="1" applyFont="1" applyFill="1"/>
    <xf numFmtId="164" fontId="0" fillId="0" borderId="0" xfId="1" applyNumberFormat="1" applyFont="1"/>
    <xf numFmtId="165" fontId="0" fillId="0" borderId="0" xfId="2" applyNumberFormat="1" applyFont="1"/>
    <xf numFmtId="0" fontId="0" fillId="0" borderId="2" xfId="0" applyBorder="1"/>
    <xf numFmtId="164" fontId="0" fillId="0" borderId="2" xfId="1" applyNumberFormat="1" applyFont="1" applyBorder="1"/>
    <xf numFmtId="0" fontId="0" fillId="0" borderId="5" xfId="0" applyBorder="1"/>
    <xf numFmtId="9" fontId="0" fillId="0" borderId="5" xfId="2" applyFont="1" applyBorder="1"/>
    <xf numFmtId="1" fontId="0" fillId="0" borderId="0" xfId="0" applyNumberFormat="1"/>
    <xf numFmtId="0" fontId="2" fillId="4" borderId="0" xfId="0" applyFont="1" applyFill="1" applyAlignment="1">
      <alignment horizontal="center"/>
    </xf>
    <xf numFmtId="10" fontId="0" fillId="0" borderId="0" xfId="2" applyNumberFormat="1" applyFont="1"/>
    <xf numFmtId="0" fontId="3" fillId="0" borderId="2" xfId="0" applyFont="1" applyBorder="1"/>
    <xf numFmtId="164" fontId="3" fillId="0" borderId="2" xfId="1" applyNumberFormat="1" applyFont="1" applyBorder="1"/>
    <xf numFmtId="43" fontId="3" fillId="0" borderId="2" xfId="0" applyNumberFormat="1" applyFont="1" applyBorder="1"/>
    <xf numFmtId="43" fontId="0" fillId="0" borderId="0" xfId="0" applyNumberFormat="1"/>
    <xf numFmtId="43" fontId="3" fillId="0" borderId="0" xfId="0" applyNumberFormat="1" applyFont="1"/>
    <xf numFmtId="10" fontId="3" fillId="0" borderId="0" xfId="2" applyNumberFormat="1" applyFont="1"/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textRotation="90" wrapText="1"/>
    </xf>
    <xf numFmtId="43" fontId="0" fillId="6" borderId="0" xfId="0" applyNumberFormat="1" applyFill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Arena/Desktop/Personal/Models/Google/GO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CF"/>
      <sheetName val="Relative Valuation"/>
    </sheetNames>
    <sheetDataSet>
      <sheetData sheetId="0">
        <row r="13">
          <cell r="D13">
            <v>114.1</v>
          </cell>
        </row>
        <row r="14">
          <cell r="D14">
            <v>13351.02</v>
          </cell>
        </row>
        <row r="16">
          <cell r="D16">
            <v>163519</v>
          </cell>
        </row>
        <row r="17">
          <cell r="D17">
            <v>14791</v>
          </cell>
        </row>
      </sheetData>
      <sheetData sheetId="1">
        <row r="38">
          <cell r="S38">
            <v>42843</v>
          </cell>
          <cell r="T38">
            <v>67012</v>
          </cell>
          <cell r="U38">
            <v>83124.799999999988</v>
          </cell>
          <cell r="V38">
            <v>102704.09599999998</v>
          </cell>
          <cell r="W38">
            <v>126465.14143999995</v>
          </cell>
          <cell r="X38">
            <v>155268.21632959993</v>
          </cell>
          <cell r="Y38">
            <v>190147.81039126392</v>
          </cell>
        </row>
      </sheetData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chael Arena" id="{180EAAF5-AA8D-40B9-82E6-6C249C759605}" userId="S::MichaelArena@nuralogix.ai::dfd37f5d-6bc6-4d88-be05-20d72e1644e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7-21T19:07:02.01" personId="{180EAAF5-AA8D-40B9-82E6-6C249C759605}" id="{C2BC2C1D-70E2-4C8C-A3CB-C39D6A85C65A}">
    <text>1: Bull
2: Base
3: Bear</text>
  </threadedComment>
  <threadedComment ref="H30" dT="2022-07-21T18:17:33.14" personId="{180EAAF5-AA8D-40B9-82E6-6C249C759605}" id="{906A9F80-F6E3-45CB-886E-E89FAF22489B}">
    <text>Data, what if analysis, data table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00E6-400F-4CCF-B439-497F2842A40E}">
  <dimension ref="B1:H19"/>
  <sheetViews>
    <sheetView workbookViewId="0">
      <selection activeCell="B47" sqref="B47"/>
    </sheetView>
  </sheetViews>
  <sheetFormatPr defaultRowHeight="14.5" x14ac:dyDescent="0.35"/>
  <cols>
    <col min="2" max="2" width="22.453125" bestFit="1" customWidth="1"/>
    <col min="3" max="3" width="10.08984375" bestFit="1" customWidth="1"/>
    <col min="6" max="6" width="8.26953125" bestFit="1" customWidth="1"/>
    <col min="7" max="7" width="4.81640625" bestFit="1" customWidth="1"/>
    <col min="8" max="8" width="9.90625" bestFit="1" customWidth="1"/>
  </cols>
  <sheetData>
    <row r="1" spans="2:8" x14ac:dyDescent="0.35">
      <c r="F1" s="9" t="s">
        <v>11</v>
      </c>
      <c r="G1" s="9"/>
      <c r="H1" s="9"/>
    </row>
    <row r="2" spans="2:8" x14ac:dyDescent="0.35">
      <c r="B2" s="1" t="s">
        <v>0</v>
      </c>
      <c r="F2" s="1" t="s">
        <v>12</v>
      </c>
      <c r="G2" s="1" t="s">
        <v>4</v>
      </c>
      <c r="H2" s="1" t="s">
        <v>13</v>
      </c>
    </row>
    <row r="3" spans="2:8" x14ac:dyDescent="0.35">
      <c r="B3" s="1" t="s">
        <v>1</v>
      </c>
    </row>
    <row r="4" spans="2:8" x14ac:dyDescent="0.35">
      <c r="B4" s="2" t="s">
        <v>2</v>
      </c>
    </row>
    <row r="5" spans="2:8" x14ac:dyDescent="0.35">
      <c r="B5" s="2"/>
    </row>
    <row r="6" spans="2:8" x14ac:dyDescent="0.35">
      <c r="B6" s="2"/>
    </row>
    <row r="7" spans="2:8" x14ac:dyDescent="0.35">
      <c r="B7" s="2"/>
    </row>
    <row r="8" spans="2:8" x14ac:dyDescent="0.35">
      <c r="B8" s="2"/>
    </row>
    <row r="9" spans="2:8" x14ac:dyDescent="0.35">
      <c r="B9" s="2"/>
    </row>
    <row r="10" spans="2:8" x14ac:dyDescent="0.35">
      <c r="B10" s="2"/>
    </row>
    <row r="12" spans="2:8" ht="15" thickBot="1" x14ac:dyDescent="0.4"/>
    <row r="13" spans="2:8" x14ac:dyDescent="0.35">
      <c r="B13" s="3" t="s">
        <v>3</v>
      </c>
      <c r="C13" s="4" t="s">
        <v>4</v>
      </c>
    </row>
    <row r="14" spans="2:8" x14ac:dyDescent="0.35">
      <c r="B14" s="5" t="s">
        <v>5</v>
      </c>
      <c r="C14" s="6">
        <v>44764</v>
      </c>
    </row>
    <row r="15" spans="2:8" x14ac:dyDescent="0.35">
      <c r="B15" s="5" t="s">
        <v>6</v>
      </c>
      <c r="C15" s="6"/>
    </row>
    <row r="16" spans="2:8" x14ac:dyDescent="0.35">
      <c r="B16" s="5" t="s">
        <v>7</v>
      </c>
      <c r="C16" s="6"/>
    </row>
    <row r="17" spans="2:3" x14ac:dyDescent="0.35">
      <c r="B17" s="5" t="s">
        <v>8</v>
      </c>
      <c r="C17" s="6"/>
    </row>
    <row r="18" spans="2:3" x14ac:dyDescent="0.35">
      <c r="B18" s="5" t="s">
        <v>9</v>
      </c>
      <c r="C18" s="6"/>
    </row>
    <row r="19" spans="2:3" ht="15" thickBot="1" x14ac:dyDescent="0.4">
      <c r="B19" s="7" t="s">
        <v>10</v>
      </c>
      <c r="C19" s="8"/>
    </row>
  </sheetData>
  <mergeCells count="3">
    <mergeCell ref="B4:B10"/>
    <mergeCell ref="C14:C19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5910-22D2-40E1-B1AF-618978301B1E}">
  <dimension ref="A1:J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4.5" x14ac:dyDescent="0.35"/>
  <cols>
    <col min="1" max="1" width="15.6328125" bestFit="1" customWidth="1"/>
  </cols>
  <sheetData>
    <row r="1" spans="1:10" x14ac:dyDescent="0.35"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34</v>
      </c>
      <c r="J1" s="10" t="s">
        <v>33</v>
      </c>
    </row>
    <row r="2" spans="1:10" x14ac:dyDescent="0.35">
      <c r="A2" t="s">
        <v>29</v>
      </c>
      <c r="F2">
        <v>16873</v>
      </c>
      <c r="J2">
        <v>17366</v>
      </c>
    </row>
    <row r="3" spans="1:10" x14ac:dyDescent="0.35">
      <c r="A3" t="s">
        <v>30</v>
      </c>
      <c r="F3">
        <v>24833</v>
      </c>
      <c r="J3">
        <v>31994</v>
      </c>
    </row>
    <row r="4" spans="1:10" x14ac:dyDescent="0.35">
      <c r="A4" s="11" t="s">
        <v>21</v>
      </c>
      <c r="B4" s="12">
        <f>SUM(B2:B3)</f>
        <v>0</v>
      </c>
      <c r="C4" s="12">
        <f>SUM(C2:C3)</f>
        <v>0</v>
      </c>
      <c r="D4" s="12">
        <f>SUM(D2:D3)</f>
        <v>0</v>
      </c>
      <c r="E4" s="12">
        <f>SUM(E2:E3)</f>
        <v>0</v>
      </c>
      <c r="F4" s="12">
        <f>SUM(F2:F3)</f>
        <v>41706</v>
      </c>
      <c r="G4" s="12">
        <f>SUM(G2:G3)</f>
        <v>0</v>
      </c>
      <c r="H4" s="12">
        <f>SUM(H2:H3)</f>
        <v>0</v>
      </c>
      <c r="I4" s="12">
        <f>SUM(I2:I3)</f>
        <v>0</v>
      </c>
      <c r="J4" s="12">
        <f>SUM(J2:J3)</f>
        <v>49360</v>
      </c>
    </row>
    <row r="5" spans="1:10" x14ac:dyDescent="0.35">
      <c r="A5" t="s">
        <v>31</v>
      </c>
      <c r="F5">
        <v>4277</v>
      </c>
      <c r="J5">
        <v>4584</v>
      </c>
    </row>
    <row r="6" spans="1:10" x14ac:dyDescent="0.35">
      <c r="A6" t="s">
        <v>32</v>
      </c>
      <c r="F6">
        <v>8768</v>
      </c>
      <c r="J6">
        <v>11031</v>
      </c>
    </row>
    <row r="7" spans="1:10" x14ac:dyDescent="0.35">
      <c r="A7" s="13" t="s">
        <v>22</v>
      </c>
      <c r="B7" s="12">
        <f t="shared" ref="B7:E7" si="0">B4-SUM(B5:B6)</f>
        <v>0</v>
      </c>
      <c r="C7" s="12">
        <f t="shared" si="0"/>
        <v>0</v>
      </c>
      <c r="D7" s="12">
        <f t="shared" si="0"/>
        <v>0</v>
      </c>
      <c r="E7" s="12">
        <f t="shared" si="0"/>
        <v>0</v>
      </c>
      <c r="F7" s="12">
        <f>F4-SUM(F5:F6)</f>
        <v>28661</v>
      </c>
      <c r="G7" s="12">
        <f t="shared" ref="G7:J7" si="1">G4-SUM(G5:G6)</f>
        <v>0</v>
      </c>
      <c r="H7" s="12">
        <f t="shared" si="1"/>
        <v>0</v>
      </c>
      <c r="I7" s="12">
        <f t="shared" si="1"/>
        <v>0</v>
      </c>
      <c r="J7" s="12">
        <f t="shared" si="1"/>
        <v>33745</v>
      </c>
    </row>
    <row r="8" spans="1:10" x14ac:dyDescent="0.35">
      <c r="A8" t="s">
        <v>60</v>
      </c>
      <c r="F8">
        <v>5204</v>
      </c>
      <c r="J8">
        <v>6306</v>
      </c>
    </row>
    <row r="9" spans="1:10" x14ac:dyDescent="0.35">
      <c r="A9" t="s">
        <v>61</v>
      </c>
      <c r="F9">
        <v>5082</v>
      </c>
      <c r="J9">
        <v>5595</v>
      </c>
    </row>
    <row r="10" spans="1:10" x14ac:dyDescent="0.35">
      <c r="A10" t="s">
        <v>62</v>
      </c>
      <c r="F10">
        <v>1327</v>
      </c>
      <c r="J10">
        <v>1480</v>
      </c>
    </row>
    <row r="11" spans="1:10" x14ac:dyDescent="0.35">
      <c r="A11" s="13" t="s">
        <v>23</v>
      </c>
      <c r="B11" s="12">
        <f>SUM(B8:B10)</f>
        <v>0</v>
      </c>
      <c r="C11" s="12">
        <f>SUM(C8:C10)</f>
        <v>0</v>
      </c>
      <c r="D11" s="12">
        <f t="shared" ref="D11:I11" si="2">SUM(D8:D10)</f>
        <v>0</v>
      </c>
      <c r="E11" s="12">
        <f t="shared" si="2"/>
        <v>0</v>
      </c>
      <c r="F11" s="12">
        <f>SUM(F8:F10)</f>
        <v>11613</v>
      </c>
      <c r="G11" s="12">
        <f t="shared" si="2"/>
        <v>0</v>
      </c>
      <c r="H11" s="12">
        <f t="shared" si="2"/>
        <v>0</v>
      </c>
      <c r="I11" s="12">
        <f t="shared" si="2"/>
        <v>0</v>
      </c>
      <c r="J11" s="12">
        <f>SUM(J8:J10)</f>
        <v>13381</v>
      </c>
    </row>
    <row r="12" spans="1:10" x14ac:dyDescent="0.35">
      <c r="A12" s="13" t="s">
        <v>24</v>
      </c>
      <c r="B12" s="12">
        <f t="shared" ref="B12:E12" si="3">B7-B11</f>
        <v>0</v>
      </c>
      <c r="C12" s="12">
        <f t="shared" si="3"/>
        <v>0</v>
      </c>
      <c r="D12" s="12">
        <f t="shared" si="3"/>
        <v>0</v>
      </c>
      <c r="E12" s="12">
        <f t="shared" si="3"/>
        <v>0</v>
      </c>
      <c r="F12" s="12">
        <f>F7-F11</f>
        <v>17048</v>
      </c>
      <c r="G12" s="12">
        <f t="shared" ref="G12:J12" si="4">G7-G11</f>
        <v>0</v>
      </c>
      <c r="H12" s="12">
        <f t="shared" si="4"/>
        <v>0</v>
      </c>
      <c r="I12" s="12">
        <f t="shared" si="4"/>
        <v>0</v>
      </c>
      <c r="J12" s="12">
        <f t="shared" si="4"/>
        <v>20364</v>
      </c>
    </row>
    <row r="13" spans="1:10" x14ac:dyDescent="0.35">
      <c r="A13" t="s">
        <v>63</v>
      </c>
      <c r="F13">
        <v>188</v>
      </c>
      <c r="J13">
        <v>-174</v>
      </c>
    </row>
    <row r="14" spans="1:10" x14ac:dyDescent="0.35">
      <c r="A14" s="13" t="s">
        <v>25</v>
      </c>
      <c r="B14" s="12">
        <f t="shared" ref="B14:E14" si="5">SUM(B12:B13)</f>
        <v>0</v>
      </c>
      <c r="C14" s="12">
        <f t="shared" si="5"/>
        <v>0</v>
      </c>
      <c r="D14" s="12">
        <f t="shared" si="5"/>
        <v>0</v>
      </c>
      <c r="E14" s="12">
        <f t="shared" si="5"/>
        <v>0</v>
      </c>
      <c r="F14" s="12">
        <f>SUM(F12:F13)</f>
        <v>17236</v>
      </c>
      <c r="G14" s="12">
        <f t="shared" ref="G14:J14" si="6">SUM(G12:G13)</f>
        <v>0</v>
      </c>
      <c r="H14" s="12">
        <f t="shared" si="6"/>
        <v>0</v>
      </c>
      <c r="I14" s="12">
        <f t="shared" si="6"/>
        <v>0</v>
      </c>
      <c r="J14" s="12">
        <f t="shared" si="6"/>
        <v>20190</v>
      </c>
    </row>
    <row r="15" spans="1:10" x14ac:dyDescent="0.35">
      <c r="A15" s="13" t="s">
        <v>64</v>
      </c>
      <c r="F15">
        <v>1779</v>
      </c>
      <c r="J15">
        <v>3462</v>
      </c>
    </row>
    <row r="16" spans="1:10" x14ac:dyDescent="0.35">
      <c r="A16" s="13" t="s">
        <v>26</v>
      </c>
      <c r="B16" s="12">
        <f t="shared" ref="B16:E16" si="7">B14-B15</f>
        <v>0</v>
      </c>
      <c r="C16" s="12">
        <f t="shared" si="7"/>
        <v>0</v>
      </c>
      <c r="D16" s="12">
        <f t="shared" si="7"/>
        <v>0</v>
      </c>
      <c r="E16" s="12">
        <f t="shared" si="7"/>
        <v>0</v>
      </c>
      <c r="F16" s="12">
        <f>F14-F15</f>
        <v>15457</v>
      </c>
      <c r="G16" s="12">
        <f t="shared" ref="G16:I16" si="8">G14-G15</f>
        <v>0</v>
      </c>
      <c r="H16" s="12">
        <f t="shared" si="8"/>
        <v>0</v>
      </c>
      <c r="I16" s="12">
        <f t="shared" si="8"/>
        <v>0</v>
      </c>
      <c r="J16" s="12">
        <f>J14-J15</f>
        <v>16728</v>
      </c>
    </row>
    <row r="17" spans="1:10" x14ac:dyDescent="0.35">
      <c r="A17" s="11" t="s">
        <v>27</v>
      </c>
      <c r="B17" s="14" t="e">
        <f t="shared" ref="B17:E17" si="9">B16/B18</f>
        <v>#DIV/0!</v>
      </c>
      <c r="C17" s="14" t="e">
        <f t="shared" si="9"/>
        <v>#DIV/0!</v>
      </c>
      <c r="D17" s="14" t="e">
        <f t="shared" si="9"/>
        <v>#DIV/0!</v>
      </c>
      <c r="E17" s="14" t="e">
        <f t="shared" si="9"/>
        <v>#DIV/0!</v>
      </c>
      <c r="F17" s="14">
        <f>F16/F18</f>
        <v>2.0346189285244174</v>
      </c>
      <c r="G17" s="14" t="e">
        <f t="shared" ref="G17:J17" si="10">G16/G18</f>
        <v>#DIV/0!</v>
      </c>
      <c r="H17" s="14" t="e">
        <f t="shared" si="10"/>
        <v>#DIV/0!</v>
      </c>
      <c r="I17" s="14" t="e">
        <f t="shared" si="10"/>
        <v>#DIV/0!</v>
      </c>
      <c r="J17" s="14">
        <f t="shared" si="10"/>
        <v>2.2203344836740113</v>
      </c>
    </row>
    <row r="18" spans="1:10" x14ac:dyDescent="0.35">
      <c r="A18" s="13" t="s">
        <v>28</v>
      </c>
      <c r="F18">
        <f>7539+58</f>
        <v>7597</v>
      </c>
      <c r="J18">
        <f>7493+41</f>
        <v>7534</v>
      </c>
    </row>
    <row r="25" spans="1:10" x14ac:dyDescent="0.35">
      <c r="B25" s="15"/>
      <c r="C25" s="15"/>
      <c r="D25" s="15"/>
      <c r="E25" s="15"/>
      <c r="F25" s="15"/>
      <c r="G25" s="15"/>
      <c r="H25" s="15"/>
      <c r="I25" s="15"/>
      <c r="J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34AB-D94C-4C7E-A70F-1B4C98FE88C0}">
  <dimension ref="B2:K33"/>
  <sheetViews>
    <sheetView workbookViewId="0">
      <selection activeCell="E16" sqref="E16"/>
    </sheetView>
  </sheetViews>
  <sheetFormatPr defaultRowHeight="14.5" x14ac:dyDescent="0.35"/>
  <cols>
    <col min="5" max="5" width="10.26953125" bestFit="1" customWidth="1"/>
    <col min="6" max="6" width="10.08984375" bestFit="1" customWidth="1"/>
    <col min="7" max="7" width="12.54296875" bestFit="1" customWidth="1"/>
    <col min="8" max="8" width="12.6328125" bestFit="1" customWidth="1"/>
    <col min="9" max="11" width="12.36328125" bestFit="1" customWidth="1"/>
    <col min="12" max="12" width="12.1796875" bestFit="1" customWidth="1"/>
  </cols>
  <sheetData>
    <row r="2" spans="2:11" x14ac:dyDescent="0.35">
      <c r="B2" t="s">
        <v>35</v>
      </c>
      <c r="C2">
        <v>2</v>
      </c>
    </row>
    <row r="3" spans="2:11" x14ac:dyDescent="0.35">
      <c r="B3" t="s">
        <v>36</v>
      </c>
      <c r="C3" s="16">
        <v>0.1</v>
      </c>
    </row>
    <row r="4" spans="2:11" x14ac:dyDescent="0.35">
      <c r="B4" t="s">
        <v>37</v>
      </c>
      <c r="C4" s="16">
        <v>0.02</v>
      </c>
    </row>
    <row r="5" spans="2:11" x14ac:dyDescent="0.35">
      <c r="G5" s="1">
        <v>1</v>
      </c>
      <c r="H5" s="1">
        <f>G5+1</f>
        <v>2</v>
      </c>
      <c r="I5" s="1">
        <f t="shared" ref="I5:K5" si="0">H5+1</f>
        <v>3</v>
      </c>
      <c r="J5" s="1">
        <f t="shared" si="0"/>
        <v>4</v>
      </c>
      <c r="K5" s="1">
        <f t="shared" si="0"/>
        <v>5</v>
      </c>
    </row>
    <row r="6" spans="2:11" ht="15" thickBot="1" x14ac:dyDescent="0.4"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 spans="2:11" x14ac:dyDescent="0.35">
      <c r="B7" s="17" t="s">
        <v>45</v>
      </c>
      <c r="C7" s="17"/>
      <c r="D7" s="17"/>
      <c r="E7" s="18">
        <f>[1]Model!S38</f>
        <v>42843</v>
      </c>
      <c r="F7" s="18">
        <f>[1]Model!T38</f>
        <v>67012</v>
      </c>
      <c r="G7" s="18">
        <f>[1]Model!U38</f>
        <v>83124.799999999988</v>
      </c>
      <c r="H7" s="18">
        <f>[1]Model!V38</f>
        <v>102704.09599999998</v>
      </c>
      <c r="I7" s="18">
        <f>[1]Model!W38</f>
        <v>126465.14143999995</v>
      </c>
      <c r="J7" s="18">
        <f>[1]Model!X38</f>
        <v>155268.21632959993</v>
      </c>
      <c r="K7" s="18">
        <f>[1]Model!Y38</f>
        <v>190147.81039126392</v>
      </c>
    </row>
    <row r="8" spans="2:11" ht="15" thickBot="1" x14ac:dyDescent="0.4">
      <c r="B8" s="19" t="s">
        <v>46</v>
      </c>
      <c r="C8" s="19"/>
      <c r="D8" s="19"/>
      <c r="E8" s="19"/>
      <c r="F8" s="19"/>
      <c r="G8" s="20">
        <f>1/(1+$C$3)^G5</f>
        <v>0.90909090909090906</v>
      </c>
      <c r="H8" s="20">
        <f>1/(1+$C$3)^H5</f>
        <v>0.82644628099173545</v>
      </c>
      <c r="I8" s="20">
        <f>1/(1+$C$3)^I5</f>
        <v>0.75131480090157754</v>
      </c>
      <c r="J8" s="20">
        <f>1/(1+$C$3)^J5</f>
        <v>0.68301345536507052</v>
      </c>
      <c r="K8" s="20">
        <f>1/(1+$C$3)^K5</f>
        <v>0.62092132305915493</v>
      </c>
    </row>
    <row r="9" spans="2:11" x14ac:dyDescent="0.35">
      <c r="B9" s="1" t="s">
        <v>47</v>
      </c>
      <c r="E9">
        <f>E8*E7</f>
        <v>0</v>
      </c>
      <c r="F9">
        <f t="shared" ref="F9:J9" si="1">F8*F7</f>
        <v>0</v>
      </c>
      <c r="G9" s="21">
        <f>G8*G7</f>
        <v>75567.999999999985</v>
      </c>
      <c r="H9" s="21">
        <f t="shared" si="1"/>
        <v>84879.418181818153</v>
      </c>
      <c r="I9" s="21">
        <f t="shared" si="1"/>
        <v>95015.13256198341</v>
      </c>
      <c r="J9" s="21">
        <f t="shared" si="1"/>
        <v>106050.28094365132</v>
      </c>
      <c r="K9" s="21">
        <f>K8*K7</f>
        <v>118066.83000494492</v>
      </c>
    </row>
    <row r="13" spans="2:11" x14ac:dyDescent="0.35">
      <c r="B13" s="22" t="s">
        <v>48</v>
      </c>
      <c r="C13" s="22"/>
      <c r="D13" s="22"/>
      <c r="E13" s="22"/>
      <c r="F13" s="22"/>
      <c r="G13" s="22"/>
      <c r="H13" s="22"/>
      <c r="I13" s="22"/>
      <c r="J13" s="22"/>
      <c r="K13" s="22"/>
    </row>
    <row r="14" spans="2:11" x14ac:dyDescent="0.35">
      <c r="B14" t="s">
        <v>49</v>
      </c>
      <c r="E14" s="15">
        <f>SUM(G9:K9)</f>
        <v>479579.66169239784</v>
      </c>
      <c r="G14" s="23">
        <f>E14/E17</f>
        <v>0.24161015263136401</v>
      </c>
    </row>
    <row r="15" spans="2:11" x14ac:dyDescent="0.35">
      <c r="B15" t="s">
        <v>50</v>
      </c>
      <c r="E15" s="15">
        <f>K7*(1+C4)/(C3-C4)</f>
        <v>2424384.5824886151</v>
      </c>
    </row>
    <row r="16" spans="2:11" ht="15" thickBot="1" x14ac:dyDescent="0.4">
      <c r="B16" t="s">
        <v>51</v>
      </c>
      <c r="E16" s="15">
        <f>E15*K8</f>
        <v>1505352.0825630478</v>
      </c>
      <c r="G16" s="23">
        <f>E16/E17</f>
        <v>0.75838984736863591</v>
      </c>
    </row>
    <row r="17" spans="2:11" x14ac:dyDescent="0.35">
      <c r="B17" s="24" t="s">
        <v>10</v>
      </c>
      <c r="C17" s="24"/>
      <c r="D17" s="24"/>
      <c r="E17" s="25">
        <f>E16+E14</f>
        <v>1984931.7442554457</v>
      </c>
    </row>
    <row r="18" spans="2:11" x14ac:dyDescent="0.35">
      <c r="B18" t="s">
        <v>52</v>
      </c>
      <c r="E18" s="15">
        <f>-[1]Main!D17</f>
        <v>-14791</v>
      </c>
    </row>
    <row r="19" spans="2:11" ht="15" thickBot="1" x14ac:dyDescent="0.4">
      <c r="B19" t="s">
        <v>8</v>
      </c>
      <c r="E19" s="15">
        <f>[1]Main!D16</f>
        <v>163519</v>
      </c>
    </row>
    <row r="20" spans="2:11" x14ac:dyDescent="0.35">
      <c r="B20" s="24" t="s">
        <v>53</v>
      </c>
      <c r="C20" s="24"/>
      <c r="D20" s="24"/>
      <c r="E20" s="25">
        <f>SUM(E17:E19)</f>
        <v>2133659.7442554459</v>
      </c>
    </row>
    <row r="21" spans="2:11" ht="24.5" customHeight="1" thickBot="1" x14ac:dyDescent="0.4">
      <c r="B21" t="s">
        <v>54</v>
      </c>
      <c r="E21">
        <f>[1]Main!D14/20</f>
        <v>667.55100000000004</v>
      </c>
    </row>
    <row r="22" spans="2:11" ht="24" customHeight="1" x14ac:dyDescent="0.35">
      <c r="B22" s="24" t="s">
        <v>55</v>
      </c>
      <c r="C22" s="24"/>
      <c r="D22" s="24"/>
      <c r="E22" s="26">
        <f>(E20/E21)/20</f>
        <v>159.81248955176801</v>
      </c>
      <c r="F22" s="27"/>
    </row>
    <row r="23" spans="2:11" ht="24.5" customHeight="1" x14ac:dyDescent="0.35">
      <c r="B23" s="1" t="s">
        <v>56</v>
      </c>
      <c r="C23" s="1"/>
      <c r="D23" s="1"/>
      <c r="E23" s="28">
        <f>[1]Main!D13</f>
        <v>114.1</v>
      </c>
    </row>
    <row r="24" spans="2:11" ht="24.5" customHeight="1" x14ac:dyDescent="0.35">
      <c r="B24" s="1" t="s">
        <v>57</v>
      </c>
      <c r="C24" s="1"/>
      <c r="D24" s="1"/>
      <c r="E24" s="29">
        <f>(E22-E23)/E23</f>
        <v>0.40063531596641561</v>
      </c>
    </row>
    <row r="25" spans="2:11" ht="24.5" customHeight="1" x14ac:dyDescent="0.35">
      <c r="B25" s="1"/>
      <c r="C25" s="1"/>
      <c r="D25" s="1"/>
      <c r="E25" s="28"/>
    </row>
    <row r="26" spans="2:11" ht="26" customHeight="1" x14ac:dyDescent="0.35"/>
    <row r="27" spans="2:11" x14ac:dyDescent="0.35">
      <c r="B27" s="30" t="s">
        <v>58</v>
      </c>
      <c r="C27" s="30"/>
      <c r="D27" s="30"/>
      <c r="E27" s="30"/>
      <c r="F27" s="30"/>
      <c r="G27" s="30"/>
      <c r="H27" s="30"/>
      <c r="I27" s="30"/>
      <c r="J27" s="30"/>
      <c r="K27" s="30"/>
    </row>
    <row r="28" spans="2:11" x14ac:dyDescent="0.35">
      <c r="F28" s="9" t="s">
        <v>36</v>
      </c>
      <c r="G28" s="9"/>
      <c r="H28" s="9"/>
      <c r="I28" s="9"/>
      <c r="J28" s="9"/>
      <c r="K28" s="9"/>
    </row>
    <row r="29" spans="2:11" x14ac:dyDescent="0.35">
      <c r="F29" s="31" t="s">
        <v>59</v>
      </c>
      <c r="G29" s="32">
        <f>E22</f>
        <v>159.81248955176801</v>
      </c>
      <c r="H29" s="23">
        <v>0.09</v>
      </c>
      <c r="I29" s="23">
        <v>0.1</v>
      </c>
      <c r="J29" s="23">
        <v>0.11</v>
      </c>
      <c r="K29" s="23">
        <v>0.12</v>
      </c>
    </row>
    <row r="30" spans="2:11" x14ac:dyDescent="0.35">
      <c r="F30" s="31"/>
      <c r="G30" s="23">
        <v>0.01</v>
      </c>
      <c r="H30" s="33">
        <f t="dataTable" ref="H30:K33" dt2D="1" dtr="1" r1="C3" r2="C4"/>
        <v>164.99879882264918</v>
      </c>
      <c r="I30" s="33">
        <v>146.30192038370282</v>
      </c>
      <c r="J30" s="33">
        <v>131.39706809405618</v>
      </c>
      <c r="K30" s="33">
        <v>119.24780323184594</v>
      </c>
    </row>
    <row r="31" spans="2:11" x14ac:dyDescent="0.35">
      <c r="F31" s="31"/>
      <c r="G31" s="23">
        <v>0.02</v>
      </c>
      <c r="H31" s="33">
        <v>183.01581479248523</v>
      </c>
      <c r="I31" s="33">
        <v>159.81248955176801</v>
      </c>
      <c r="J31" s="33">
        <v>141.82126143247413</v>
      </c>
      <c r="K31" s="33">
        <v>127.47614091505068</v>
      </c>
    </row>
    <row r="32" spans="2:11" x14ac:dyDescent="0.35">
      <c r="F32" s="31"/>
      <c r="G32" s="23">
        <v>0.03</v>
      </c>
      <c r="H32" s="33">
        <v>207.03850275226654</v>
      </c>
      <c r="I32" s="33">
        <v>177.18322133928032</v>
      </c>
      <c r="J32" s="33">
        <v>154.8515031054965</v>
      </c>
      <c r="K32" s="33">
        <v>137.53299808341202</v>
      </c>
    </row>
    <row r="33" spans="6:11" x14ac:dyDescent="0.35">
      <c r="F33" s="31"/>
      <c r="G33" s="23">
        <v>0.04</v>
      </c>
      <c r="H33" s="33">
        <v>240.67026589596048</v>
      </c>
      <c r="I33" s="33">
        <v>200.34419705596343</v>
      </c>
      <c r="J33" s="33">
        <v>171.60467097081104</v>
      </c>
      <c r="K33" s="33">
        <v>150.10406954386374</v>
      </c>
    </row>
  </sheetData>
  <mergeCells count="4">
    <mergeCell ref="B13:K13"/>
    <mergeCell ref="B27:K27"/>
    <mergeCell ref="F28:K28"/>
    <mergeCell ref="F29:F33"/>
  </mergeCells>
  <dataValidations count="1">
    <dataValidation type="list" allowBlank="1" showInputMessage="1" showErrorMessage="1" sqref="C2" xr:uid="{51FFD771-D80F-4C67-9320-F724D51C9A1F}">
      <formula1>"1,2,3"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425A-86C1-4962-928B-60F77E7137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DCF</vt:lpstr>
      <vt:lpstr>Relative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Arena</dc:creator>
  <cp:lastModifiedBy>Michael Arena</cp:lastModifiedBy>
  <dcterms:created xsi:type="dcterms:W3CDTF">2022-07-22T18:18:36Z</dcterms:created>
  <dcterms:modified xsi:type="dcterms:W3CDTF">2022-07-22T19:07:11Z</dcterms:modified>
</cp:coreProperties>
</file>