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4.xml" ContentType="application/vnd.openxmlformats-officedocument.spreadsheetml.table+xml"/>
  <Override PartName="/xl/slicers/slicer4.xml" ContentType="application/vnd.ms-excel.slicer+xml"/>
  <Override PartName="/xl/comments3.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slicers/slicer5.xml" ContentType="application/vnd.ms-excel.slicer+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E:\"/>
    </mc:Choice>
  </mc:AlternateContent>
  <xr:revisionPtr revIDLastSave="0" documentId="8_{B1DFBE8D-997F-41CE-A367-E30AB74FED53}" xr6:coauthVersionLast="47" xr6:coauthVersionMax="47" xr10:uidLastSave="{00000000-0000-0000-0000-000000000000}"/>
  <bookViews>
    <workbookView xWindow="-120" yWindow="-120" windowWidth="29040" windowHeight="15720" tabRatio="601" xr2:uid="{5E4E4770-BC8C-48F8-A1D7-73076CB60E73}"/>
  </bookViews>
  <sheets>
    <sheet name="Dashboard" sheetId="32" r:id="rId1"/>
    <sheet name="CoinCollection" sheetId="1" r:id="rId2"/>
    <sheet name="CoinSearch" sheetId="23" r:id="rId3"/>
    <sheet name="PenneyWantList" sheetId="2" r:id="rId4"/>
    <sheet name="Indian Head Penneies" sheetId="33" r:id="rId5"/>
    <sheet name="Lincoln Cents" sheetId="34" r:id="rId6"/>
    <sheet name="Liberty V Nickels" sheetId="35" r:id="rId7"/>
    <sheet name="Buffalo Nickels" sheetId="36" r:id="rId8"/>
    <sheet name="Jefferson Nickels" sheetId="37" r:id="rId9"/>
    <sheet name="Mercury Dimes" sheetId="42" r:id="rId10"/>
    <sheet name="Roosevelt Dimes" sheetId="41" r:id="rId11"/>
    <sheet name="Washington Quarters" sheetId="40" r:id="rId12"/>
    <sheet name="Walking Liberty Half" sheetId="43" r:id="rId13"/>
    <sheet name="Franklin Halves" sheetId="39" r:id="rId14"/>
    <sheet name="Kennedy Halves" sheetId="38" r:id="rId15"/>
    <sheet name="SBA Dollar" sheetId="46" r:id="rId16"/>
    <sheet name="Eagle Dollar" sheetId="49" r:id="rId17"/>
    <sheet name="Eisenhower Dollar" sheetId="48" r:id="rId18"/>
    <sheet name="Presidential Dollar" sheetId="50" r:id="rId19"/>
    <sheet name="Sacagawea Dollars" sheetId="44" r:id="rId20"/>
    <sheet name="Sheet2" sheetId="30" r:id="rId21"/>
    <sheet name="CoinLegacy" sheetId="28" r:id="rId22"/>
    <sheet name="QuickKeys" sheetId="29" r:id="rId23"/>
    <sheet name="NickelMintage" sheetId="5" r:id="rId24"/>
    <sheet name="DimeMintage" sheetId="8" r:id="rId25"/>
    <sheet name="DimeWantList" sheetId="27" r:id="rId26"/>
    <sheet name="QuarterMintage" sheetId="12" r:id="rId27"/>
    <sheet name="HalfMintage" sheetId="17" r:id="rId28"/>
    <sheet name="HalvesWork" sheetId="25" r:id="rId29"/>
    <sheet name="Dollar_Year_Sets" sheetId="21" r:id="rId30"/>
    <sheet name="Dollar_Want_List" sheetId="22" r:id="rId31"/>
    <sheet name="Nickels" sheetId="3" r:id="rId32"/>
    <sheet name="NickelWork" sheetId="4" r:id="rId33"/>
    <sheet name="Dimes" sheetId="6" r:id="rId34"/>
    <sheet name="Quarters" sheetId="9" r:id="rId35"/>
    <sheet name="DimeSearch" sheetId="7" r:id="rId36"/>
    <sheet name="QuarterSearch" sheetId="10" r:id="rId37"/>
    <sheet name="Halves" sheetId="13" r:id="rId38"/>
    <sheet name="HalveSearch" sheetId="16" r:id="rId39"/>
    <sheet name="SILVER DOLLARS" sheetId="18" r:id="rId40"/>
    <sheet name="DollarSearch" sheetId="19" r:id="rId41"/>
    <sheet name="Dollar_Bills" sheetId="20" r:id="rId42"/>
  </sheets>
  <externalReferences>
    <externalReference r:id="rId43"/>
    <externalReference r:id="rId44"/>
    <externalReference r:id="rId45"/>
    <externalReference r:id="rId46"/>
    <externalReference r:id="rId47"/>
    <externalReference r:id="rId48"/>
  </externalReferences>
  <definedNames>
    <definedName name="_xlnm._FilterDatabase" localSheetId="1" hidden="1">CoinCollection!$A$1:$V$3256</definedName>
    <definedName name="_xlnm._FilterDatabase" localSheetId="2" hidden="1">CoinSearch!$A$4:$K$11</definedName>
    <definedName name="_xlnm._FilterDatabase" localSheetId="24" hidden="1">DimeMintage!$A$1:$F$340</definedName>
    <definedName name="_xlnm._FilterDatabase" localSheetId="27" hidden="1">HalfMintage!$A$1:$C$125</definedName>
    <definedName name="_xlnm._FilterDatabase" localSheetId="23" hidden="1">NickelMintage!$A$2:$D$446</definedName>
    <definedName name="_xlnm._FilterDatabase" localSheetId="32" hidden="1">NickelWork!$A$3:$K$4</definedName>
    <definedName name="_xlpm.stacked_data" hidden="1" xlm="1">#NAME?</definedName>
    <definedName name="Book_1880">'[1]1880'!$I:$I</definedName>
    <definedName name="CoinType">Dashboard!$A$8:$B$18</definedName>
    <definedName name="Desc">'[1]1880'!$F:$F&amp;'[1]1900'!$E:$E</definedName>
    <definedName name="Excel_BuiltIn__FilterDatabase" localSheetId="27">HalfMintage!$A$1:$C$125</definedName>
    <definedName name="Excel_BuiltIn__FilterDatabase" localSheetId="37">Halves!$A$1:$Q$185</definedName>
    <definedName name="Excel_BuiltIn__FilterDatabase" localSheetId="23">NickelMintage!$G$3:$G$186</definedName>
    <definedName name="ExternalData_3" localSheetId="11" hidden="1">'Washington Quarters'!#REF!</definedName>
    <definedName name="Paid_1880">'[1]1880'!$H:$H</definedName>
    <definedName name="Paid_Price">'[1]1880'!$H:$H+'[1]1900'!$G:$G+'[1]1920'!$G:$G+'[1]1930'!$G:$G+'[1]1940'!$G:$G+'[1]1950'!$G:$G+'[1]1960'!$G:$G+'[1]1970'!$G:$G+'[1]1980'!$G:$G+'[1]1990'!$G:$G+'[1]2000'!$G:$G+'[1]2010'!$G:$G</definedName>
    <definedName name="_xlnm.Print_Area" localSheetId="6">'Liberty V Nickels'!$A$1:$J$21</definedName>
    <definedName name="QtySearch">CoinSearch!$AA$1</definedName>
    <definedName name="Slicer_Book1">#N/A</definedName>
    <definedName name="Slicer_Comments">#N/A</definedName>
    <definedName name="Slicer_Comments2">#N/A</definedName>
    <definedName name="Slicer_Condition">#N/A</definedName>
    <definedName name="Slicer_Condition2">#N/A</definedName>
    <definedName name="Slicer_Condition3">#N/A</definedName>
    <definedName name="Slicer_Condition4">#N/A</definedName>
    <definedName name="Slicer_CONDITION5">#N/A</definedName>
    <definedName name="Slicer_Condition6">#N/A</definedName>
    <definedName name="Slicer_Date">#N/A</definedName>
    <definedName name="Slicer_Date2">#N/A</definedName>
    <definedName name="Slicer_Date3">#N/A</definedName>
    <definedName name="Slicer_Date4">#N/A</definedName>
    <definedName name="Slicer_DATE5">#N/A</definedName>
    <definedName name="Slicer_Date6">#N/A</definedName>
    <definedName name="Slicer_DESC">#N/A</definedName>
    <definedName name="Slicer_DESC2">#N/A</definedName>
    <definedName name="Slicer_Description">#N/A</definedName>
    <definedName name="Slicer_Description1">#N/A</definedName>
    <definedName name="Slicer_Description2">#N/A</definedName>
    <definedName name="Slicer_Description3">#N/A</definedName>
    <definedName name="Slicer_ID">#N/A</definedName>
    <definedName name="Slicer_Mint">#N/A</definedName>
    <definedName name="Slicer_Mint2">#N/A</definedName>
    <definedName name="Slicer_Mint3">#N/A</definedName>
    <definedName name="Slicer_Mint4">#N/A</definedName>
    <definedName name="Slicer_MINT5">#N/A</definedName>
    <definedName name="Slicer_Mint6">#N/A</definedName>
    <definedName name="Slicer_Number">#N/A</definedName>
    <definedName name="Slicer_Paid1">#N/A</definedName>
    <definedName name="Slicer_Photo_Bacl">#N/A</definedName>
    <definedName name="Slicer_Photo_Front">#N/A</definedName>
    <definedName name="Slicer_Serial">#N/A</definedName>
    <definedName name="Slicer_Serial2">#N/A</definedName>
    <definedName name="Slicer_Serial3">#N/A</definedName>
    <definedName name="Slicer_Serial4">#N/A</definedName>
    <definedName name="TypeYearSearch">CoinSearch!$N$1</definedName>
    <definedName name="ValueSearch">CoinSearch!$AN$1:$AO$1</definedName>
    <definedName name="YearSearch">CoinSearch!$A$1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248" i="1" l="1"/>
  <c r="O1247" i="1"/>
  <c r="Q1248" i="1"/>
  <c r="N5" i="23" a="1"/>
  <c r="N5" i="23" s="1"/>
  <c r="O3" i="1"/>
  <c r="J4" i="44"/>
  <c r="J5" i="44"/>
  <c r="J6" i="44"/>
  <c r="J7" i="44"/>
  <c r="J8" i="44"/>
  <c r="J9" i="44"/>
  <c r="J10" i="44"/>
  <c r="J11" i="44"/>
  <c r="J12" i="44"/>
  <c r="J13" i="44"/>
  <c r="J14" i="44"/>
  <c r="J15" i="44"/>
  <c r="J16" i="44"/>
  <c r="J17" i="44"/>
  <c r="J18" i="44"/>
  <c r="J19" i="44"/>
  <c r="J20" i="44"/>
  <c r="J21" i="44"/>
  <c r="J22" i="44"/>
  <c r="J23" i="44"/>
  <c r="J24" i="44"/>
  <c r="J25" i="44"/>
  <c r="J26" i="44"/>
  <c r="J27" i="44"/>
  <c r="J3" i="44"/>
  <c r="A4" i="44"/>
  <c r="A5" i="44"/>
  <c r="A6" i="44"/>
  <c r="A7" i="44"/>
  <c r="A8" i="44"/>
  <c r="A9" i="44"/>
  <c r="A10" i="44"/>
  <c r="A11" i="44"/>
  <c r="A12" i="44"/>
  <c r="A13" i="44"/>
  <c r="A14" i="44"/>
  <c r="A15" i="44"/>
  <c r="A16" i="44"/>
  <c r="A17" i="44"/>
  <c r="A18" i="44"/>
  <c r="A19" i="44"/>
  <c r="A20" i="44"/>
  <c r="A21" i="44"/>
  <c r="A22" i="44"/>
  <c r="A23" i="44"/>
  <c r="A24" i="44"/>
  <c r="A25" i="44"/>
  <c r="A26" i="44"/>
  <c r="A27" i="44"/>
  <c r="R4" i="50"/>
  <c r="G4" i="50" s="1"/>
  <c r="R5" i="50"/>
  <c r="G5" i="50" s="1"/>
  <c r="R6" i="50"/>
  <c r="G6" i="50" s="1"/>
  <c r="R7" i="50"/>
  <c r="G7" i="50" s="1"/>
  <c r="R8" i="50"/>
  <c r="G8" i="50" s="1"/>
  <c r="R9" i="50"/>
  <c r="G9" i="50" s="1"/>
  <c r="R10" i="50"/>
  <c r="G10" i="50" s="1"/>
  <c r="R11" i="50"/>
  <c r="G11" i="50" s="1"/>
  <c r="R12" i="50"/>
  <c r="G12" i="50" s="1"/>
  <c r="R13" i="50"/>
  <c r="G13" i="50" s="1"/>
  <c r="R14" i="50"/>
  <c r="G14" i="50" s="1"/>
  <c r="R15" i="50"/>
  <c r="G15" i="50" s="1"/>
  <c r="R16" i="50"/>
  <c r="G16" i="50" s="1"/>
  <c r="R17" i="50"/>
  <c r="G17" i="50" s="1"/>
  <c r="R18" i="50"/>
  <c r="G18" i="50" s="1"/>
  <c r="R19" i="50"/>
  <c r="G19" i="50" s="1"/>
  <c r="R20" i="50"/>
  <c r="G20" i="50" s="1"/>
  <c r="R21" i="50"/>
  <c r="G21" i="50" s="1"/>
  <c r="R22" i="50"/>
  <c r="G22" i="50" s="1"/>
  <c r="R23" i="50"/>
  <c r="G23" i="50" s="1"/>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Q38" i="41"/>
  <c r="AF36" i="41"/>
  <c r="AD36" i="41"/>
  <c r="AB36" i="41"/>
  <c r="Z36" i="41"/>
  <c r="X36" i="41"/>
  <c r="V36" i="41"/>
  <c r="B38" i="41"/>
  <c r="E21" i="32"/>
  <c r="E25" i="32" s="1"/>
  <c r="T2445" i="1" a="1"/>
  <c r="T2445" i="1" s="1"/>
  <c r="T2444" i="1" a="1"/>
  <c r="T2444" i="1" s="1"/>
  <c r="T2443" i="1" a="1"/>
  <c r="T2443" i="1" s="1"/>
  <c r="AA23" i="37"/>
  <c r="AA27" i="37" s="1"/>
  <c r="T2442" i="1" a="1"/>
  <c r="T2442" i="1" s="1"/>
  <c r="T2441" i="1" a="1"/>
  <c r="T2441" i="1" s="1"/>
  <c r="T2440" i="1" a="1"/>
  <c r="T2440" i="1" s="1"/>
  <c r="T2439" i="1" a="1"/>
  <c r="T2439" i="1" s="1"/>
  <c r="T2438" i="1" a="1"/>
  <c r="T2438" i="1" s="1"/>
  <c r="T2437" i="1" a="1"/>
  <c r="T2437" i="1" s="1"/>
  <c r="T2436" i="1" a="1"/>
  <c r="T2436" i="1" s="1"/>
  <c r="T2435" i="1" a="1"/>
  <c r="T2435" i="1" s="1"/>
  <c r="T2434" i="1" a="1"/>
  <c r="T2434" i="1" s="1"/>
  <c r="T2433" i="1" a="1"/>
  <c r="T2433" i="1" s="1"/>
  <c r="T2432" i="1" a="1"/>
  <c r="T2432" i="1" s="1"/>
  <c r="T2431" i="1" a="1"/>
  <c r="T2431" i="1" s="1"/>
  <c r="T2430" i="1" a="1"/>
  <c r="T2430" i="1" s="1"/>
  <c r="T2429" i="1" a="1"/>
  <c r="T2429" i="1" s="1"/>
  <c r="T2428" i="1" a="1"/>
  <c r="T2428" i="1" s="1"/>
  <c r="T2427" i="1" a="1"/>
  <c r="T2427" i="1" s="1"/>
  <c r="T2426" i="1" a="1"/>
  <c r="T2426" i="1" s="1"/>
  <c r="T2425" i="1" a="1"/>
  <c r="T2425" i="1" s="1"/>
  <c r="T2424" i="1" a="1"/>
  <c r="T2424" i="1" s="1"/>
  <c r="T2423" i="1" a="1"/>
  <c r="T2423" i="1" s="1"/>
  <c r="T2422" i="1" a="1"/>
  <c r="T2422" i="1" s="1"/>
  <c r="T2421" i="1" a="1"/>
  <c r="T2421" i="1" s="1"/>
  <c r="T2420" i="1" a="1"/>
  <c r="T2420" i="1" s="1"/>
  <c r="T2419" i="1" a="1"/>
  <c r="T2419" i="1" s="1"/>
  <c r="T2418" i="1" a="1"/>
  <c r="T2418" i="1" s="1"/>
  <c r="T2417" i="1" a="1"/>
  <c r="T2417" i="1" s="1"/>
  <c r="T2416" i="1" a="1"/>
  <c r="T2416" i="1" s="1"/>
  <c r="T2415" i="1" a="1"/>
  <c r="T2415" i="1" s="1"/>
  <c r="T2414" i="1" a="1"/>
  <c r="T2414" i="1" s="1"/>
  <c r="T2413" i="1" a="1"/>
  <c r="T2413" i="1" s="1"/>
  <c r="T2412" i="1" a="1"/>
  <c r="T2412" i="1" s="1"/>
  <c r="T2411" i="1" a="1"/>
  <c r="T2411" i="1" s="1"/>
  <c r="T2410" i="1" a="1"/>
  <c r="T2410" i="1" s="1"/>
  <c r="T2409" i="1" a="1"/>
  <c r="T2409" i="1" s="1"/>
  <c r="T2408" i="1" a="1"/>
  <c r="T2408" i="1" s="1"/>
  <c r="T2407" i="1" a="1"/>
  <c r="T2407" i="1" s="1"/>
  <c r="T2406" i="1" a="1"/>
  <c r="T2406" i="1" s="1"/>
  <c r="T2405" i="1" a="1"/>
  <c r="T2405" i="1" s="1"/>
  <c r="T2404" i="1" a="1"/>
  <c r="T2404" i="1" s="1"/>
  <c r="T2403" i="1" a="1"/>
  <c r="T2403" i="1" s="1"/>
  <c r="T2402" i="1" a="1"/>
  <c r="T2402" i="1" s="1"/>
  <c r="T2401" i="1" a="1"/>
  <c r="T2401" i="1" s="1"/>
  <c r="T2400" i="1" a="1"/>
  <c r="T2400" i="1" s="1"/>
  <c r="T2399" i="1" a="1"/>
  <c r="T2399" i="1" s="1"/>
  <c r="T2398" i="1" a="1"/>
  <c r="T2398" i="1" s="1"/>
  <c r="T2397" i="1" a="1"/>
  <c r="T2397" i="1" s="1"/>
  <c r="T2396" i="1" a="1"/>
  <c r="T2396" i="1" s="1"/>
  <c r="T2395" i="1" a="1"/>
  <c r="T2395" i="1" s="1"/>
  <c r="T2394" i="1" a="1"/>
  <c r="T2394" i="1" s="1"/>
  <c r="T2393" i="1" a="1"/>
  <c r="T2393" i="1" s="1"/>
  <c r="T2392" i="1" a="1"/>
  <c r="T2392" i="1" s="1"/>
  <c r="T2391" i="1" a="1"/>
  <c r="T2391" i="1" s="1"/>
  <c r="T2390" i="1" a="1"/>
  <c r="T2390" i="1" s="1"/>
  <c r="T2389" i="1" a="1"/>
  <c r="T2389" i="1" s="1"/>
  <c r="T2388" i="1" a="1"/>
  <c r="T2388" i="1" s="1"/>
  <c r="T2387" i="1" a="1"/>
  <c r="T2387" i="1" s="1"/>
  <c r="T2386" i="1" a="1"/>
  <c r="T2386" i="1" s="1"/>
  <c r="T2385" i="1" a="1"/>
  <c r="T2385" i="1" s="1"/>
  <c r="T2384" i="1" a="1"/>
  <c r="T2384" i="1" s="1"/>
  <c r="T2383" i="1" a="1"/>
  <c r="T2383" i="1" s="1"/>
  <c r="T2382" i="1" a="1"/>
  <c r="T2382" i="1" s="1"/>
  <c r="T2381" i="1" a="1"/>
  <c r="T2381" i="1" s="1"/>
  <c r="T2380" i="1" a="1"/>
  <c r="T2380" i="1" s="1"/>
  <c r="T2379" i="1" a="1"/>
  <c r="T2379" i="1" s="1"/>
  <c r="T2378" i="1" a="1"/>
  <c r="T2378" i="1" s="1"/>
  <c r="T2377" i="1" a="1"/>
  <c r="T2377" i="1" s="1"/>
  <c r="T2376" i="1" a="1"/>
  <c r="T2376" i="1" s="1"/>
  <c r="T2375" i="1" a="1"/>
  <c r="T2375" i="1" s="1"/>
  <c r="T2374" i="1" a="1"/>
  <c r="T2374" i="1" s="1"/>
  <c r="T2373" i="1" a="1"/>
  <c r="T2373" i="1" s="1"/>
  <c r="T2372" i="1" a="1"/>
  <c r="T2372" i="1" s="1"/>
  <c r="T2371" i="1" a="1"/>
  <c r="T2371" i="1" s="1"/>
  <c r="T2370" i="1" a="1"/>
  <c r="T2370" i="1" s="1"/>
  <c r="T2369" i="1" a="1"/>
  <c r="T2369" i="1" s="1"/>
  <c r="T2368" i="1" a="1"/>
  <c r="T2368" i="1" s="1"/>
  <c r="T2367" i="1" a="1"/>
  <c r="T2367" i="1" s="1"/>
  <c r="T2366" i="1" a="1"/>
  <c r="T2366" i="1" s="1"/>
  <c r="T2365" i="1" a="1"/>
  <c r="T2365" i="1" s="1"/>
  <c r="T2364" i="1" a="1"/>
  <c r="T2364" i="1" s="1"/>
  <c r="T2363" i="1" a="1"/>
  <c r="T2363" i="1" s="1"/>
  <c r="AF35" i="41"/>
  <c r="AF34" i="41"/>
  <c r="T2362" i="1" a="1"/>
  <c r="T2362" i="1" s="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7" i="1"/>
  <c r="O2446"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2226" i="1"/>
  <c r="Q4" i="50"/>
  <c r="Q5" i="50"/>
  <c r="Q6" i="50"/>
  <c r="Q7" i="50"/>
  <c r="Q8" i="50"/>
  <c r="Q9" i="50"/>
  <c r="Q10" i="50"/>
  <c r="Q11" i="50"/>
  <c r="Q12" i="50"/>
  <c r="Q13" i="50"/>
  <c r="Q14" i="50"/>
  <c r="Q15" i="50"/>
  <c r="Q16" i="50"/>
  <c r="Q17" i="50"/>
  <c r="Q18" i="50"/>
  <c r="Q19" i="50"/>
  <c r="Q20" i="50"/>
  <c r="Q21" i="50"/>
  <c r="Q22" i="50"/>
  <c r="Q23" i="50"/>
  <c r="Q3" i="50"/>
  <c r="R3" i="50" s="1"/>
  <c r="G3" i="50" s="1"/>
  <c r="O4" i="50"/>
  <c r="O5" i="50"/>
  <c r="O6" i="50"/>
  <c r="O7" i="50"/>
  <c r="O8" i="50"/>
  <c r="O9" i="50"/>
  <c r="O10" i="50"/>
  <c r="O11" i="50"/>
  <c r="O12" i="50"/>
  <c r="O13" i="50"/>
  <c r="O14" i="50"/>
  <c r="O15" i="50"/>
  <c r="O16" i="50"/>
  <c r="O17" i="50"/>
  <c r="O18" i="50"/>
  <c r="O19" i="50"/>
  <c r="O20" i="50"/>
  <c r="O21" i="50"/>
  <c r="O22" i="50"/>
  <c r="O23" i="50"/>
  <c r="O24" i="50"/>
  <c r="O25" i="50"/>
  <c r="O26" i="50"/>
  <c r="O27" i="50"/>
  <c r="O28" i="50"/>
  <c r="O29" i="50"/>
  <c r="O30" i="50"/>
  <c r="O31" i="50"/>
  <c r="O32" i="50"/>
  <c r="O33" i="50"/>
  <c r="O34" i="50"/>
  <c r="O35" i="50"/>
  <c r="O36" i="50"/>
  <c r="O37" i="50"/>
  <c r="O38" i="50"/>
  <c r="O39" i="50"/>
  <c r="O40" i="50"/>
  <c r="O41" i="50"/>
  <c r="O42" i="50"/>
  <c r="O43" i="50"/>
  <c r="O44" i="50"/>
  <c r="O45" i="50"/>
  <c r="O46" i="50"/>
  <c r="O47" i="50"/>
  <c r="O48" i="50"/>
  <c r="O49" i="50"/>
  <c r="O50" i="50"/>
  <c r="O3" i="50"/>
  <c r="M4" i="50"/>
  <c r="M5" i="50"/>
  <c r="M6" i="50"/>
  <c r="M7" i="50"/>
  <c r="M8" i="50"/>
  <c r="M9" i="50"/>
  <c r="M10" i="50"/>
  <c r="M11" i="50"/>
  <c r="M12" i="50"/>
  <c r="M13" i="50"/>
  <c r="M14" i="50"/>
  <c r="M15" i="50"/>
  <c r="M16" i="50"/>
  <c r="M17" i="50"/>
  <c r="M18" i="50"/>
  <c r="M19" i="50"/>
  <c r="M20" i="50"/>
  <c r="M21" i="50"/>
  <c r="M22" i="50"/>
  <c r="M23" i="50"/>
  <c r="M24" i="50"/>
  <c r="M25" i="50"/>
  <c r="M26" i="50"/>
  <c r="M27" i="50"/>
  <c r="M28" i="50"/>
  <c r="M29" i="50"/>
  <c r="M30" i="50"/>
  <c r="M31" i="50"/>
  <c r="M32" i="50"/>
  <c r="M33" i="50"/>
  <c r="M34" i="50"/>
  <c r="M35" i="50"/>
  <c r="M36" i="50"/>
  <c r="M37" i="50"/>
  <c r="M38" i="50"/>
  <c r="M39" i="50"/>
  <c r="M40" i="50"/>
  <c r="M41" i="50"/>
  <c r="M42" i="50"/>
  <c r="M43" i="50"/>
  <c r="M44" i="50"/>
  <c r="M45" i="50"/>
  <c r="M46" i="50"/>
  <c r="M47" i="50"/>
  <c r="M48" i="50"/>
  <c r="M49" i="50"/>
  <c r="M50" i="50"/>
  <c r="M3" i="50"/>
  <c r="Q4" i="48"/>
  <c r="S5" i="48"/>
  <c r="S6" i="48"/>
  <c r="S7" i="48"/>
  <c r="S8" i="48"/>
  <c r="S9" i="48"/>
  <c r="S4" i="48"/>
  <c r="Q5" i="48"/>
  <c r="Q6" i="48"/>
  <c r="Q7" i="48"/>
  <c r="Q8" i="48"/>
  <c r="Q9" i="48"/>
  <c r="Q10" i="48"/>
  <c r="O5" i="48"/>
  <c r="O6" i="48"/>
  <c r="O7" i="48"/>
  <c r="O8" i="48"/>
  <c r="O9" i="48"/>
  <c r="O10" i="48"/>
  <c r="O11" i="48"/>
  <c r="O12" i="48"/>
  <c r="O4" i="48"/>
  <c r="M5" i="48"/>
  <c r="M6" i="48"/>
  <c r="M7" i="48"/>
  <c r="M8" i="48"/>
  <c r="M9" i="48"/>
  <c r="M10" i="48"/>
  <c r="M11" i="48"/>
  <c r="M12" i="48"/>
  <c r="M4" i="48"/>
  <c r="A31" i="49"/>
  <c r="S2213" i="1" a="1"/>
  <c r="S2213" i="1" s="1"/>
  <c r="O2213" i="1"/>
  <c r="S2216" i="1" a="1"/>
  <c r="S2216" i="1" s="1"/>
  <c r="O2216"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4" i="1"/>
  <c r="O2215" i="1"/>
  <c r="O2217" i="1"/>
  <c r="O2219" i="1"/>
  <c r="O2220" i="1"/>
  <c r="O2221" i="1"/>
  <c r="O2222" i="1"/>
  <c r="O2223" i="1"/>
  <c r="O2224" i="1"/>
  <c r="O2225" i="1"/>
  <c r="O2227" i="1"/>
  <c r="O2228" i="1"/>
  <c r="O2229" i="1"/>
  <c r="O2230" i="1"/>
  <c r="O2231" i="1"/>
  <c r="O2232" i="1"/>
  <c r="O2233" i="1"/>
  <c r="O2234" i="1"/>
  <c r="O2235" i="1"/>
  <c r="O2236" i="1"/>
  <c r="O2237" i="1"/>
  <c r="O2238" i="1"/>
  <c r="O2240" i="1"/>
  <c r="O2241" i="1"/>
  <c r="O2242" i="1"/>
  <c r="O2243" i="1"/>
  <c r="O2244" i="1"/>
  <c r="O2245" i="1"/>
  <c r="O2246" i="1"/>
  <c r="O2247" i="1"/>
  <c r="O2248" i="1"/>
  <c r="O2249" i="1"/>
  <c r="O2250" i="1"/>
  <c r="O2251" i="1"/>
  <c r="T4" i="43"/>
  <c r="T5" i="43"/>
  <c r="T6" i="43"/>
  <c r="T7" i="43"/>
  <c r="T8" i="43"/>
  <c r="T9" i="43"/>
  <c r="T10" i="43"/>
  <c r="T11" i="43"/>
  <c r="T12" i="43"/>
  <c r="T13" i="43"/>
  <c r="T14" i="43"/>
  <c r="T15" i="43"/>
  <c r="T3" i="43"/>
  <c r="R4" i="43"/>
  <c r="R5" i="43"/>
  <c r="R6" i="43"/>
  <c r="R7" i="43"/>
  <c r="R8" i="43"/>
  <c r="R9" i="43"/>
  <c r="R10" i="43"/>
  <c r="R11" i="43"/>
  <c r="R12" i="43"/>
  <c r="R13" i="43"/>
  <c r="R14" i="43"/>
  <c r="R15" i="43"/>
  <c r="R3" i="43"/>
  <c r="P4" i="43"/>
  <c r="P5" i="43"/>
  <c r="P6" i="43"/>
  <c r="P7" i="43"/>
  <c r="P8" i="43"/>
  <c r="P9" i="43"/>
  <c r="P10" i="43"/>
  <c r="P11" i="43"/>
  <c r="P12" i="43"/>
  <c r="P13" i="43"/>
  <c r="P14" i="43"/>
  <c r="P15" i="43"/>
  <c r="P3" i="43"/>
  <c r="N4" i="43"/>
  <c r="N5" i="43"/>
  <c r="N6" i="43"/>
  <c r="N7" i="43"/>
  <c r="N8" i="43"/>
  <c r="N9" i="43"/>
  <c r="N10" i="43"/>
  <c r="N11" i="43"/>
  <c r="N12" i="43"/>
  <c r="N13" i="43"/>
  <c r="N14" i="43"/>
  <c r="N15" i="43"/>
  <c r="N3" i="43"/>
  <c r="L4" i="43"/>
  <c r="L5" i="43"/>
  <c r="L6" i="43"/>
  <c r="L7" i="43"/>
  <c r="L8" i="43"/>
  <c r="L9" i="43"/>
  <c r="L10" i="43"/>
  <c r="L11" i="43"/>
  <c r="L12" i="43"/>
  <c r="L13" i="43"/>
  <c r="L14" i="43"/>
  <c r="L15" i="43"/>
  <c r="L3" i="43"/>
  <c r="AB18" i="38"/>
  <c r="O568" i="1"/>
  <c r="U35" i="34"/>
  <c r="AO34" i="34"/>
  <c r="AO31" i="34"/>
  <c r="AO28" i="34"/>
  <c r="AO25" i="34"/>
  <c r="AO22" i="34"/>
  <c r="AO19" i="34"/>
  <c r="AO13" i="34"/>
  <c r="AO10" i="34"/>
  <c r="AO7" i="34"/>
  <c r="AO4" i="34"/>
  <c r="AM42" i="34"/>
  <c r="AM39" i="34"/>
  <c r="AM36" i="34"/>
  <c r="AM33" i="34"/>
  <c r="AM30" i="34"/>
  <c r="AM27" i="34"/>
  <c r="AM23" i="34"/>
  <c r="AM19" i="34"/>
  <c r="AM15" i="34"/>
  <c r="AM11" i="34"/>
  <c r="AM6" i="34"/>
  <c r="AM3" i="34"/>
  <c r="AK41" i="34"/>
  <c r="AK38" i="34"/>
  <c r="AK35" i="34"/>
  <c r="AK32" i="34"/>
  <c r="AK29" i="34"/>
  <c r="AK26" i="34"/>
  <c r="AK23" i="34"/>
  <c r="AK20" i="34"/>
  <c r="AK17" i="34"/>
  <c r="AK14" i="34"/>
  <c r="AK11" i="34"/>
  <c r="AK8" i="34"/>
  <c r="AK5" i="34"/>
  <c r="AI43" i="34"/>
  <c r="AI40" i="34"/>
  <c r="AI37" i="34"/>
  <c r="AI34" i="34"/>
  <c r="AI31" i="34"/>
  <c r="AI28" i="34"/>
  <c r="AI25" i="34"/>
  <c r="AI22" i="34"/>
  <c r="AI19" i="34"/>
  <c r="AI16" i="34"/>
  <c r="AI13" i="34"/>
  <c r="AI10" i="34"/>
  <c r="AG39" i="34"/>
  <c r="AG32" i="34"/>
  <c r="AG29" i="34"/>
  <c r="AG26" i="34"/>
  <c r="AG23" i="34"/>
  <c r="AG20" i="34"/>
  <c r="AG17" i="34"/>
  <c r="AG14" i="34"/>
  <c r="AG6" i="34"/>
  <c r="AG3" i="34"/>
  <c r="AG11" i="34"/>
  <c r="T4" i="39"/>
  <c r="T5" i="39"/>
  <c r="T6" i="39"/>
  <c r="T7" i="39"/>
  <c r="T8" i="39"/>
  <c r="T9" i="39"/>
  <c r="T10" i="39"/>
  <c r="T11" i="39"/>
  <c r="T3" i="39"/>
  <c r="R4" i="39"/>
  <c r="R5" i="39"/>
  <c r="R6" i="39"/>
  <c r="R7" i="39"/>
  <c r="R8" i="39"/>
  <c r="R9" i="39"/>
  <c r="R10" i="39"/>
  <c r="R11" i="39"/>
  <c r="R12" i="39"/>
  <c r="R3" i="39"/>
  <c r="P4" i="39"/>
  <c r="P5" i="39"/>
  <c r="P6" i="39"/>
  <c r="P7" i="39"/>
  <c r="P8" i="39"/>
  <c r="P9" i="39"/>
  <c r="P10" i="39"/>
  <c r="P11" i="39"/>
  <c r="P12" i="39"/>
  <c r="P3" i="39"/>
  <c r="N4" i="39"/>
  <c r="N5" i="39"/>
  <c r="N6" i="39"/>
  <c r="N7" i="39"/>
  <c r="N8" i="39"/>
  <c r="N9" i="39"/>
  <c r="N10" i="39"/>
  <c r="N11" i="39"/>
  <c r="N12" i="39"/>
  <c r="N3" i="39"/>
  <c r="L4" i="39"/>
  <c r="L5" i="39"/>
  <c r="L6" i="39"/>
  <c r="L7" i="39"/>
  <c r="L8" i="39"/>
  <c r="L9" i="39"/>
  <c r="L10" i="39"/>
  <c r="L11" i="39"/>
  <c r="L12" i="39"/>
  <c r="L3" i="39"/>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AB5" i="38"/>
  <c r="AB6" i="38"/>
  <c r="AB7" i="38"/>
  <c r="AB8" i="38"/>
  <c r="AB9" i="38"/>
  <c r="AB10" i="38"/>
  <c r="AB11" i="38"/>
  <c r="AB12" i="38"/>
  <c r="AB13" i="38"/>
  <c r="AB14" i="38"/>
  <c r="AB15" i="38"/>
  <c r="AB16" i="38"/>
  <c r="AB17" i="38"/>
  <c r="AB4" i="38"/>
  <c r="Z5" i="38"/>
  <c r="Z6" i="38"/>
  <c r="Z7" i="38"/>
  <c r="Z8" i="38"/>
  <c r="Z9" i="38"/>
  <c r="Z10" i="38"/>
  <c r="Z11" i="38"/>
  <c r="Z12" i="38"/>
  <c r="Z13" i="38"/>
  <c r="Z14" i="38"/>
  <c r="Z15" i="38"/>
  <c r="Z16" i="38"/>
  <c r="Z17" i="38"/>
  <c r="Z18" i="38"/>
  <c r="Z19" i="38"/>
  <c r="Z20" i="38"/>
  <c r="Z21" i="38"/>
  <c r="Z22" i="38"/>
  <c r="Z23" i="38"/>
  <c r="Z24" i="38"/>
  <c r="Z25" i="38"/>
  <c r="Z26" i="38"/>
  <c r="Z27" i="38"/>
  <c r="Z28" i="38"/>
  <c r="Z29" i="38"/>
  <c r="Z30" i="38"/>
  <c r="Z31" i="38"/>
  <c r="Z32" i="38"/>
  <c r="Z33" i="38"/>
  <c r="Z34" i="38"/>
  <c r="Z35" i="38"/>
  <c r="Z36" i="38"/>
  <c r="Z4" i="38"/>
  <c r="X5" i="38"/>
  <c r="X6" i="38"/>
  <c r="X7" i="38"/>
  <c r="X8" i="38"/>
  <c r="X9" i="38"/>
  <c r="X10" i="38"/>
  <c r="X11" i="38"/>
  <c r="X12" i="38"/>
  <c r="X13" i="38"/>
  <c r="X14" i="38"/>
  <c r="X15" i="38"/>
  <c r="X16" i="38"/>
  <c r="X17" i="38"/>
  <c r="X18" i="38"/>
  <c r="X19" i="38"/>
  <c r="X20" i="38"/>
  <c r="X21" i="38"/>
  <c r="X22" i="38"/>
  <c r="X23" i="38"/>
  <c r="X24" i="38"/>
  <c r="X25" i="38"/>
  <c r="X26" i="38"/>
  <c r="X27" i="38"/>
  <c r="X28" i="38"/>
  <c r="X29" i="38"/>
  <c r="X30" i="38"/>
  <c r="X31" i="38"/>
  <c r="X32" i="38"/>
  <c r="X33" i="38"/>
  <c r="X34" i="38"/>
  <c r="X35" i="38"/>
  <c r="X36" i="38"/>
  <c r="X4" i="38"/>
  <c r="V5" i="38"/>
  <c r="V6" i="38"/>
  <c r="V7" i="38"/>
  <c r="V8" i="38"/>
  <c r="V9" i="38"/>
  <c r="V10" i="38"/>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4" i="38"/>
  <c r="T5" i="38"/>
  <c r="T6" i="38"/>
  <c r="T7" i="38"/>
  <c r="T8" i="38"/>
  <c r="T9" i="38"/>
  <c r="T10" i="38"/>
  <c r="T11" i="38"/>
  <c r="T12" i="38"/>
  <c r="T13" i="38"/>
  <c r="T14" i="38"/>
  <c r="T15" i="38"/>
  <c r="T16" i="38"/>
  <c r="T17" i="38"/>
  <c r="T18" i="38"/>
  <c r="T19" i="38"/>
  <c r="T20" i="38"/>
  <c r="T21" i="38"/>
  <c r="T22" i="38"/>
  <c r="T23" i="38"/>
  <c r="T24" i="38"/>
  <c r="T25" i="38"/>
  <c r="T26" i="38"/>
  <c r="T27" i="38"/>
  <c r="T28" i="38"/>
  <c r="T29" i="38"/>
  <c r="T30" i="38"/>
  <c r="T31" i="38"/>
  <c r="T32" i="38"/>
  <c r="T33" i="38"/>
  <c r="T34" i="38"/>
  <c r="T35" i="38"/>
  <c r="T36" i="38"/>
  <c r="T4" i="38"/>
  <c r="R5" i="38"/>
  <c r="R6" i="38"/>
  <c r="R7" i="38"/>
  <c r="R8" i="38"/>
  <c r="R9" i="38"/>
  <c r="R10" i="38"/>
  <c r="R11" i="38"/>
  <c r="R12" i="38"/>
  <c r="R13" i="38"/>
  <c r="R14" i="38"/>
  <c r="R15" i="38"/>
  <c r="R16" i="38"/>
  <c r="R17" i="38"/>
  <c r="R18" i="38"/>
  <c r="R19" i="38"/>
  <c r="R20" i="38"/>
  <c r="R21" i="38"/>
  <c r="R22" i="38"/>
  <c r="R23" i="38"/>
  <c r="R24" i="38"/>
  <c r="R25" i="38"/>
  <c r="R26" i="38"/>
  <c r="R27" i="38"/>
  <c r="R28" i="38"/>
  <c r="R29" i="38"/>
  <c r="R30" i="38"/>
  <c r="R31" i="38"/>
  <c r="R32" i="38"/>
  <c r="R33" i="38"/>
  <c r="R34" i="38"/>
  <c r="R35" i="38"/>
  <c r="R36" i="38"/>
  <c r="R37" i="38"/>
  <c r="R38" i="38"/>
  <c r="R4" i="38"/>
  <c r="P5" i="38"/>
  <c r="P6" i="38"/>
  <c r="P8" i="38"/>
  <c r="P9" i="38"/>
  <c r="P10" i="38"/>
  <c r="P11" i="38"/>
  <c r="P12" i="38"/>
  <c r="P13" i="38"/>
  <c r="P14" i="38"/>
  <c r="P15" i="38"/>
  <c r="P16" i="38"/>
  <c r="P17" i="38"/>
  <c r="P18" i="38"/>
  <c r="P19" i="38"/>
  <c r="P21" i="38"/>
  <c r="P22" i="38"/>
  <c r="P23" i="38"/>
  <c r="P24" i="38"/>
  <c r="P25" i="38"/>
  <c r="P26" i="38"/>
  <c r="P27" i="38"/>
  <c r="P28" i="38"/>
  <c r="P29" i="38"/>
  <c r="P30" i="38"/>
  <c r="P31" i="38"/>
  <c r="P32" i="38"/>
  <c r="P34" i="38"/>
  <c r="P35" i="38"/>
  <c r="P36" i="38"/>
  <c r="P37" i="38"/>
  <c r="P38" i="38"/>
  <c r="P4" i="38"/>
  <c r="X4" i="40"/>
  <c r="X5" i="40"/>
  <c r="X6" i="40"/>
  <c r="X7" i="40"/>
  <c r="X8" i="40"/>
  <c r="X9" i="40"/>
  <c r="X10" i="40"/>
  <c r="X11" i="40"/>
  <c r="X12" i="40"/>
  <c r="X13" i="40"/>
  <c r="X14" i="40"/>
  <c r="X15" i="40"/>
  <c r="X16" i="40"/>
  <c r="X17" i="40"/>
  <c r="X18" i="40"/>
  <c r="X19" i="40"/>
  <c r="X20" i="40"/>
  <c r="X21" i="40"/>
  <c r="X22" i="40"/>
  <c r="X23" i="40"/>
  <c r="X24" i="40"/>
  <c r="X25" i="40"/>
  <c r="X26" i="40"/>
  <c r="X27" i="40"/>
  <c r="X30" i="40"/>
  <c r="X31" i="40"/>
  <c r="X32" i="40"/>
  <c r="X33" i="40"/>
  <c r="X3" i="40"/>
  <c r="V34" i="40"/>
  <c r="V4" i="40"/>
  <c r="V5" i="40"/>
  <c r="V6" i="40"/>
  <c r="V7" i="40"/>
  <c r="V8" i="40"/>
  <c r="V9" i="40"/>
  <c r="V10" i="40"/>
  <c r="V11" i="40"/>
  <c r="V12" i="40"/>
  <c r="V13" i="40"/>
  <c r="V14" i="40"/>
  <c r="V15" i="40"/>
  <c r="V16" i="40"/>
  <c r="V17" i="40"/>
  <c r="V18" i="40"/>
  <c r="V19" i="40"/>
  <c r="V20" i="40"/>
  <c r="V21" i="40"/>
  <c r="V22" i="40"/>
  <c r="V23" i="40"/>
  <c r="V24" i="40"/>
  <c r="V25" i="40"/>
  <c r="V26" i="40"/>
  <c r="V27" i="40"/>
  <c r="V28" i="40"/>
  <c r="V29" i="40"/>
  <c r="V30" i="40"/>
  <c r="V31" i="40"/>
  <c r="V32" i="40"/>
  <c r="V33" i="40"/>
  <c r="V3" i="40"/>
  <c r="T4" i="40"/>
  <c r="T5" i="40"/>
  <c r="T6" i="40"/>
  <c r="T7" i="40"/>
  <c r="T8" i="40"/>
  <c r="T9" i="40"/>
  <c r="T10" i="40"/>
  <c r="T11" i="40"/>
  <c r="T12" i="40"/>
  <c r="T13" i="40"/>
  <c r="T14" i="40"/>
  <c r="T15" i="40"/>
  <c r="T16" i="40"/>
  <c r="T17" i="40"/>
  <c r="T18" i="40"/>
  <c r="T19" i="40"/>
  <c r="T20" i="40"/>
  <c r="T21" i="40"/>
  <c r="T22" i="40"/>
  <c r="T23" i="40"/>
  <c r="T24" i="40"/>
  <c r="T25" i="40"/>
  <c r="T26" i="40"/>
  <c r="T27" i="40"/>
  <c r="T28" i="40"/>
  <c r="T29" i="40"/>
  <c r="T30" i="40"/>
  <c r="T31" i="40"/>
  <c r="T32" i="40"/>
  <c r="T33" i="40"/>
  <c r="T3" i="40"/>
  <c r="R4" i="40"/>
  <c r="R5" i="40"/>
  <c r="R6" i="40"/>
  <c r="R7" i="40"/>
  <c r="R8" i="40"/>
  <c r="R9" i="40"/>
  <c r="R10" i="40"/>
  <c r="R11" i="40"/>
  <c r="R12" i="40"/>
  <c r="R13" i="40"/>
  <c r="R14" i="40"/>
  <c r="R15" i="40"/>
  <c r="R16" i="40"/>
  <c r="R17" i="40"/>
  <c r="R18" i="40"/>
  <c r="R19" i="40"/>
  <c r="R20" i="40"/>
  <c r="R21" i="40"/>
  <c r="R22" i="40"/>
  <c r="R23" i="40"/>
  <c r="R24" i="40"/>
  <c r="R25" i="40"/>
  <c r="R26" i="40"/>
  <c r="R27" i="40"/>
  <c r="R28" i="40"/>
  <c r="R29" i="40"/>
  <c r="R30" i="40"/>
  <c r="R31" i="40"/>
  <c r="R32" i="40"/>
  <c r="R33" i="40"/>
  <c r="R34" i="40"/>
  <c r="R3" i="40"/>
  <c r="P4" i="40"/>
  <c r="P5" i="40"/>
  <c r="P6" i="40"/>
  <c r="P7" i="40"/>
  <c r="P8" i="40"/>
  <c r="P9" i="40"/>
  <c r="P10" i="40"/>
  <c r="P11" i="40"/>
  <c r="P12" i="40"/>
  <c r="P13" i="40"/>
  <c r="P14" i="40"/>
  <c r="P15" i="40"/>
  <c r="P16" i="40"/>
  <c r="P17" i="40"/>
  <c r="P18" i="40"/>
  <c r="P19" i="40"/>
  <c r="P20" i="40"/>
  <c r="P21" i="40"/>
  <c r="P22" i="40"/>
  <c r="P23" i="40"/>
  <c r="P24" i="40"/>
  <c r="P25" i="40"/>
  <c r="P26" i="40"/>
  <c r="P27" i="40"/>
  <c r="P28" i="40"/>
  <c r="P29" i="40"/>
  <c r="P30" i="40"/>
  <c r="P31" i="40"/>
  <c r="P32" i="40"/>
  <c r="P33" i="40"/>
  <c r="P34" i="40"/>
  <c r="P35" i="40"/>
  <c r="P36" i="40"/>
  <c r="P3" i="40"/>
  <c r="N4" i="40"/>
  <c r="N5" i="40"/>
  <c r="N6" i="40"/>
  <c r="N7" i="40"/>
  <c r="N8" i="40"/>
  <c r="N9" i="40"/>
  <c r="N10" i="40"/>
  <c r="N11" i="40"/>
  <c r="N12" i="40"/>
  <c r="N13" i="40"/>
  <c r="N14" i="40"/>
  <c r="N15" i="40"/>
  <c r="N16" i="40"/>
  <c r="N17" i="40"/>
  <c r="N18" i="40"/>
  <c r="N19" i="40"/>
  <c r="N20" i="40"/>
  <c r="N21" i="40"/>
  <c r="N22" i="40"/>
  <c r="N23" i="40"/>
  <c r="N24" i="40"/>
  <c r="N25" i="40"/>
  <c r="N26" i="40"/>
  <c r="N27" i="40"/>
  <c r="N28" i="40"/>
  <c r="N29" i="40"/>
  <c r="N30" i="40"/>
  <c r="N31" i="40"/>
  <c r="N32" i="40"/>
  <c r="N33" i="40"/>
  <c r="N34" i="40"/>
  <c r="N35" i="40"/>
  <c r="N36" i="40"/>
  <c r="N3" i="40"/>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AF26" i="41"/>
  <c r="AF27" i="41"/>
  <c r="AF28" i="41"/>
  <c r="AF29" i="41"/>
  <c r="AF30" i="41"/>
  <c r="AF31" i="41"/>
  <c r="AF32" i="41"/>
  <c r="AF33" i="41"/>
  <c r="AF4" i="41"/>
  <c r="AF5" i="41"/>
  <c r="AF6" i="41"/>
  <c r="AF7" i="41"/>
  <c r="AF8" i="41"/>
  <c r="AF9" i="41"/>
  <c r="AF10" i="41"/>
  <c r="AF11" i="41"/>
  <c r="AF12" i="41"/>
  <c r="AF13" i="41"/>
  <c r="AF14" i="41"/>
  <c r="AF15" i="41"/>
  <c r="AF16" i="41"/>
  <c r="AF17" i="41"/>
  <c r="AF18" i="41"/>
  <c r="AF19" i="41"/>
  <c r="AF20" i="41"/>
  <c r="AF21" i="41"/>
  <c r="AF22" i="41"/>
  <c r="AF23" i="41"/>
  <c r="AF24" i="41"/>
  <c r="AF25" i="41"/>
  <c r="AF3" i="41"/>
  <c r="AD4" i="41"/>
  <c r="AD5" i="41"/>
  <c r="AD6" i="41"/>
  <c r="AD7" i="41"/>
  <c r="AD8" i="41"/>
  <c r="AD9" i="41"/>
  <c r="AD10" i="41"/>
  <c r="AD11" i="41"/>
  <c r="AD12" i="41"/>
  <c r="AD13" i="41"/>
  <c r="AD14" i="41"/>
  <c r="AD15" i="41"/>
  <c r="AD16" i="41"/>
  <c r="AD17" i="41"/>
  <c r="AD18" i="41"/>
  <c r="AD19" i="41"/>
  <c r="AD20" i="41"/>
  <c r="AD21" i="41"/>
  <c r="AD22" i="41"/>
  <c r="AD23" i="41"/>
  <c r="AD24" i="41"/>
  <c r="AD25" i="41"/>
  <c r="AD26" i="41"/>
  <c r="AD27" i="41"/>
  <c r="AD28" i="41"/>
  <c r="AD29" i="41"/>
  <c r="AD30" i="41"/>
  <c r="AD31" i="41"/>
  <c r="AD32" i="41"/>
  <c r="AD33" i="41"/>
  <c r="AD34" i="41"/>
  <c r="AD35" i="41"/>
  <c r="AD3" i="41"/>
  <c r="AB4" i="41"/>
  <c r="AB5" i="41"/>
  <c r="AB6" i="41"/>
  <c r="AB7"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 i="41"/>
  <c r="Z4" i="41"/>
  <c r="Z5" i="41"/>
  <c r="Z6" i="41"/>
  <c r="Z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 i="41"/>
  <c r="X4" i="41"/>
  <c r="X5" i="41"/>
  <c r="X6" i="41"/>
  <c r="X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 i="41"/>
  <c r="V4" i="41"/>
  <c r="V5" i="41"/>
  <c r="V6" i="41"/>
  <c r="V7" i="41"/>
  <c r="V8" i="41"/>
  <c r="V9" i="41"/>
  <c r="V10" i="41"/>
  <c r="V11" i="41"/>
  <c r="V12" i="41"/>
  <c r="V13" i="41"/>
  <c r="V14" i="41"/>
  <c r="V15" i="41"/>
  <c r="V16" i="41"/>
  <c r="V17" i="41"/>
  <c r="V18" i="41"/>
  <c r="V19" i="41"/>
  <c r="V20" i="41"/>
  <c r="V21" i="41"/>
  <c r="V22" i="41"/>
  <c r="V23" i="41"/>
  <c r="V24" i="41"/>
  <c r="V25" i="41"/>
  <c r="V26" i="41"/>
  <c r="V27" i="41"/>
  <c r="V28" i="41"/>
  <c r="V29" i="41"/>
  <c r="V30" i="41"/>
  <c r="V31" i="41"/>
  <c r="V32" i="41"/>
  <c r="V33" i="41"/>
  <c r="V34" i="41"/>
  <c r="V35" i="41"/>
  <c r="V3" i="41"/>
  <c r="T4" i="41"/>
  <c r="T5" i="41"/>
  <c r="T6" i="41"/>
  <c r="T7" i="41"/>
  <c r="T8" i="41"/>
  <c r="T9" i="41"/>
  <c r="T10" i="41"/>
  <c r="T11" i="41"/>
  <c r="T12" i="41"/>
  <c r="T13" i="41"/>
  <c r="T14" i="41"/>
  <c r="T15" i="41"/>
  <c r="T16" i="41"/>
  <c r="T17" i="41"/>
  <c r="T18" i="41"/>
  <c r="T19" i="41"/>
  <c r="T20" i="41"/>
  <c r="T21" i="41"/>
  <c r="T22" i="41"/>
  <c r="T23" i="41"/>
  <c r="T24" i="41"/>
  <c r="T25" i="41"/>
  <c r="T26" i="41"/>
  <c r="T27" i="41"/>
  <c r="T28" i="41"/>
  <c r="T29" i="41"/>
  <c r="T30" i="41"/>
  <c r="T31" i="41"/>
  <c r="T32" i="41"/>
  <c r="T33" i="41"/>
  <c r="T34" i="41"/>
  <c r="T35" i="41"/>
  <c r="T36" i="41"/>
  <c r="T3" i="41"/>
  <c r="R5" i="41"/>
  <c r="R6" i="41"/>
  <c r="R7" i="41"/>
  <c r="R8" i="41"/>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4" i="41"/>
  <c r="P188" i="41"/>
  <c r="N188" i="41"/>
  <c r="L188" i="41"/>
  <c r="J188" i="41"/>
  <c r="H188" i="41"/>
  <c r="F188" i="41"/>
  <c r="D188" i="41"/>
  <c r="B188" i="41"/>
  <c r="Q36" i="41"/>
  <c r="Q37" i="41"/>
  <c r="P38" i="41"/>
  <c r="U4" i="42"/>
  <c r="U5" i="42"/>
  <c r="U6" i="42"/>
  <c r="U7" i="42"/>
  <c r="U8" i="42"/>
  <c r="U9" i="42"/>
  <c r="U10" i="42"/>
  <c r="U11" i="42"/>
  <c r="U12" i="42"/>
  <c r="U13" i="42"/>
  <c r="U14" i="42"/>
  <c r="U15" i="42"/>
  <c r="U16" i="42"/>
  <c r="U17" i="42"/>
  <c r="U18" i="42"/>
  <c r="U3" i="42"/>
  <c r="S4" i="42"/>
  <c r="S5" i="42"/>
  <c r="S6" i="42"/>
  <c r="S7" i="42"/>
  <c r="S8" i="42"/>
  <c r="S9" i="42"/>
  <c r="S10" i="42"/>
  <c r="S11" i="42"/>
  <c r="S12" i="42"/>
  <c r="S13" i="42"/>
  <c r="S14" i="42"/>
  <c r="S15" i="42"/>
  <c r="S16" i="42"/>
  <c r="S17" i="42"/>
  <c r="S18" i="42"/>
  <c r="S3" i="42"/>
  <c r="Q4" i="42"/>
  <c r="Q5" i="42"/>
  <c r="Q6" i="42"/>
  <c r="Q7" i="42"/>
  <c r="Q8" i="42"/>
  <c r="Q9" i="42"/>
  <c r="Q10" i="42"/>
  <c r="Q11" i="42"/>
  <c r="Q12" i="42"/>
  <c r="Q13" i="42"/>
  <c r="Q14" i="42"/>
  <c r="Q15" i="42"/>
  <c r="Q16" i="42"/>
  <c r="Q17" i="42"/>
  <c r="Q18" i="42"/>
  <c r="Q3" i="42"/>
  <c r="O4" i="42"/>
  <c r="O5" i="42"/>
  <c r="O6" i="42"/>
  <c r="O7" i="42"/>
  <c r="O8" i="42"/>
  <c r="O9" i="42"/>
  <c r="O10" i="42"/>
  <c r="O11" i="42"/>
  <c r="O12" i="42"/>
  <c r="O13" i="42"/>
  <c r="O14" i="42"/>
  <c r="O15" i="42"/>
  <c r="O16" i="42"/>
  <c r="O17" i="42"/>
  <c r="O18" i="42"/>
  <c r="O3" i="42"/>
  <c r="M4" i="42"/>
  <c r="M5" i="42"/>
  <c r="M6" i="42"/>
  <c r="M7" i="42"/>
  <c r="M8" i="42"/>
  <c r="M9" i="42"/>
  <c r="M10" i="42"/>
  <c r="M11" i="42"/>
  <c r="M12" i="42"/>
  <c r="M13" i="42"/>
  <c r="M14" i="42"/>
  <c r="M15" i="42"/>
  <c r="M16" i="42"/>
  <c r="M17" i="42"/>
  <c r="M18" i="42"/>
  <c r="M3" i="42"/>
  <c r="T9" i="36"/>
  <c r="T4" i="36"/>
  <c r="T5" i="36"/>
  <c r="T6" i="36"/>
  <c r="T7" i="36"/>
  <c r="T8" i="36"/>
  <c r="T3" i="36"/>
  <c r="R4" i="36"/>
  <c r="R5" i="36"/>
  <c r="R6" i="36"/>
  <c r="R7" i="36"/>
  <c r="R8" i="36"/>
  <c r="R9" i="36"/>
  <c r="R10" i="36"/>
  <c r="R11" i="36"/>
  <c r="R12" i="36"/>
  <c r="R13" i="36"/>
  <c r="R14" i="36"/>
  <c r="R15" i="36"/>
  <c r="R16" i="36"/>
  <c r="R17" i="36"/>
  <c r="R3" i="36"/>
  <c r="P4" i="36"/>
  <c r="P5" i="36"/>
  <c r="P6" i="36"/>
  <c r="P7" i="36"/>
  <c r="P8" i="36"/>
  <c r="P9" i="36"/>
  <c r="P10" i="36"/>
  <c r="P11" i="36"/>
  <c r="P12" i="36"/>
  <c r="P13" i="36"/>
  <c r="P14" i="36"/>
  <c r="P15" i="36"/>
  <c r="P16" i="36"/>
  <c r="P17" i="36"/>
  <c r="P3" i="36"/>
  <c r="N4" i="36"/>
  <c r="N5" i="36"/>
  <c r="N6" i="36"/>
  <c r="N7" i="36"/>
  <c r="N8" i="36"/>
  <c r="N9" i="36"/>
  <c r="N10" i="36"/>
  <c r="N11" i="36"/>
  <c r="N12" i="36"/>
  <c r="N13" i="36"/>
  <c r="N14" i="36"/>
  <c r="N15" i="36"/>
  <c r="N16" i="36"/>
  <c r="N3" i="36"/>
  <c r="L10" i="36"/>
  <c r="L11" i="36"/>
  <c r="L12" i="36"/>
  <c r="L13" i="36"/>
  <c r="L14" i="36"/>
  <c r="L15" i="36"/>
  <c r="L16" i="36"/>
  <c r="L17" i="36"/>
  <c r="L9" i="36"/>
  <c r="L4" i="36"/>
  <c r="L5" i="36"/>
  <c r="L6" i="36"/>
  <c r="L7" i="36"/>
  <c r="L8" i="36"/>
  <c r="L3" i="36"/>
  <c r="L4" i="35"/>
  <c r="L7" i="35"/>
  <c r="L6" i="35"/>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P4" i="35"/>
  <c r="P5" i="35"/>
  <c r="P6" i="35"/>
  <c r="P7" i="35"/>
  <c r="P8" i="35"/>
  <c r="P9" i="35"/>
  <c r="P10" i="35"/>
  <c r="P11" i="35"/>
  <c r="P12" i="35"/>
  <c r="P13" i="35"/>
  <c r="P3" i="35"/>
  <c r="N4" i="35"/>
  <c r="N5" i="35"/>
  <c r="N6" i="35"/>
  <c r="N7" i="35"/>
  <c r="N8" i="35"/>
  <c r="N9" i="35"/>
  <c r="N10" i="35"/>
  <c r="N11" i="35"/>
  <c r="N12" i="35"/>
  <c r="N13" i="35"/>
  <c r="N3" i="35"/>
  <c r="L5" i="35"/>
  <c r="L8" i="35"/>
  <c r="L9" i="35"/>
  <c r="L10" i="35"/>
  <c r="L11" i="35"/>
  <c r="L12" i="35"/>
  <c r="L13" i="35"/>
  <c r="L3" i="35"/>
  <c r="AO5" i="34"/>
  <c r="AO6" i="34"/>
  <c r="AO8" i="34"/>
  <c r="AO9" i="34"/>
  <c r="AO11" i="34"/>
  <c r="AO12" i="34"/>
  <c r="AO14" i="34"/>
  <c r="AO15" i="34"/>
  <c r="AO16" i="34"/>
  <c r="AO17" i="34"/>
  <c r="AO18" i="34"/>
  <c r="AO20" i="34"/>
  <c r="AO21" i="34"/>
  <c r="AO23" i="34"/>
  <c r="AO24" i="34"/>
  <c r="AO26" i="34"/>
  <c r="AO27" i="34"/>
  <c r="AO29" i="34"/>
  <c r="AO30" i="34"/>
  <c r="AO32" i="34"/>
  <c r="AO33" i="34"/>
  <c r="AO3" i="34"/>
  <c r="AM26" i="34"/>
  <c r="AM28" i="34"/>
  <c r="AM29" i="34"/>
  <c r="AM31" i="34"/>
  <c r="AM32" i="34"/>
  <c r="AM34" i="34"/>
  <c r="AM35" i="34"/>
  <c r="AM37" i="34"/>
  <c r="AM38" i="34"/>
  <c r="AM40" i="34"/>
  <c r="AM41" i="34"/>
  <c r="AM43" i="34"/>
  <c r="AM25" i="34"/>
  <c r="AM4" i="34"/>
  <c r="AM5" i="34"/>
  <c r="AM7" i="34"/>
  <c r="AM8" i="34"/>
  <c r="AM9" i="34"/>
  <c r="AM10" i="34"/>
  <c r="AM12" i="34"/>
  <c r="AM13" i="34"/>
  <c r="AM14" i="34"/>
  <c r="AM16" i="34"/>
  <c r="AM17" i="34"/>
  <c r="AM18" i="34"/>
  <c r="AM20" i="34"/>
  <c r="AM21" i="34"/>
  <c r="AM22" i="34"/>
  <c r="AM24" i="34"/>
  <c r="AK4" i="34"/>
  <c r="AK6" i="34"/>
  <c r="AK7" i="34"/>
  <c r="AK9" i="34"/>
  <c r="AK10" i="34"/>
  <c r="AK12" i="34"/>
  <c r="AK13" i="34"/>
  <c r="AK15" i="34"/>
  <c r="AK16" i="34"/>
  <c r="AK18" i="34"/>
  <c r="AK19" i="34"/>
  <c r="AK21" i="34"/>
  <c r="AK22" i="34"/>
  <c r="AK24" i="34"/>
  <c r="AK25" i="34"/>
  <c r="AK27" i="34"/>
  <c r="AK28" i="34"/>
  <c r="AK30" i="34"/>
  <c r="AK31" i="34"/>
  <c r="AK33" i="34"/>
  <c r="AK34" i="34"/>
  <c r="AK36" i="34"/>
  <c r="AK37" i="34"/>
  <c r="AK39" i="34"/>
  <c r="AK40" i="34"/>
  <c r="AK42" i="34"/>
  <c r="AK43" i="34"/>
  <c r="AK3" i="34"/>
  <c r="AI4" i="34"/>
  <c r="AI5" i="34"/>
  <c r="AI6" i="34"/>
  <c r="AI7" i="34"/>
  <c r="AI8" i="34"/>
  <c r="AI9" i="34"/>
  <c r="AI11" i="34"/>
  <c r="AI12" i="34"/>
  <c r="AI14" i="34"/>
  <c r="AI15" i="34"/>
  <c r="AI17" i="34"/>
  <c r="AI18" i="34"/>
  <c r="AI20" i="34"/>
  <c r="AI21" i="34"/>
  <c r="AI23" i="34"/>
  <c r="AI24" i="34"/>
  <c r="AI26" i="34"/>
  <c r="AI27" i="34"/>
  <c r="AI29" i="34"/>
  <c r="AI30" i="34"/>
  <c r="AI32" i="34"/>
  <c r="AI33" i="34"/>
  <c r="AI35" i="34"/>
  <c r="AI36" i="34"/>
  <c r="AI38" i="34"/>
  <c r="AI39" i="34"/>
  <c r="AI41" i="34"/>
  <c r="AI42" i="34"/>
  <c r="AI3" i="34"/>
  <c r="AG4" i="34"/>
  <c r="AG5" i="34"/>
  <c r="AG7" i="34"/>
  <c r="AG8" i="34"/>
  <c r="AG9" i="34"/>
  <c r="AG10" i="34"/>
  <c r="AG12" i="34"/>
  <c r="AG13" i="34"/>
  <c r="AG15" i="34"/>
  <c r="AG16" i="34"/>
  <c r="AG18" i="34"/>
  <c r="AG19" i="34"/>
  <c r="AG21" i="34"/>
  <c r="AG22" i="34"/>
  <c r="AG24" i="34"/>
  <c r="AG25" i="34"/>
  <c r="AG27" i="34"/>
  <c r="AG28" i="34"/>
  <c r="AG30" i="34"/>
  <c r="AG31" i="34"/>
  <c r="AG33" i="34"/>
  <c r="AG34" i="34"/>
  <c r="AG35" i="34"/>
  <c r="AG36" i="34"/>
  <c r="AG37" i="34"/>
  <c r="AG38" i="34"/>
  <c r="AG40" i="34"/>
  <c r="AG41" i="34"/>
  <c r="AG42" i="34"/>
  <c r="AG43" i="34"/>
  <c r="AE23" i="34"/>
  <c r="AE24" i="34"/>
  <c r="AE25" i="34"/>
  <c r="AE26" i="34"/>
  <c r="AE27" i="34"/>
  <c r="AE28" i="34"/>
  <c r="AE29" i="34"/>
  <c r="AE30" i="34"/>
  <c r="AE31" i="34"/>
  <c r="AE32" i="34"/>
  <c r="AE33" i="34"/>
  <c r="AE34" i="34"/>
  <c r="AE35" i="34"/>
  <c r="AE36" i="34"/>
  <c r="AE37" i="34"/>
  <c r="AE38" i="34"/>
  <c r="AE39" i="34"/>
  <c r="AE40" i="34"/>
  <c r="AE41" i="34"/>
  <c r="AE42" i="34"/>
  <c r="AE22" i="34"/>
  <c r="AC19" i="34"/>
  <c r="AC17" i="34"/>
  <c r="AC18" i="34"/>
  <c r="O179"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AE4" i="34"/>
  <c r="AE5" i="34"/>
  <c r="AE6" i="34"/>
  <c r="AE7" i="34"/>
  <c r="AE8" i="34"/>
  <c r="AE9" i="34"/>
  <c r="AE10" i="34"/>
  <c r="AE11" i="34"/>
  <c r="AE12" i="34"/>
  <c r="AE13" i="34"/>
  <c r="AE14" i="34"/>
  <c r="AE15" i="34"/>
  <c r="AE16" i="34"/>
  <c r="AE17" i="34"/>
  <c r="AE18" i="34"/>
  <c r="AE19" i="34"/>
  <c r="AE20" i="34"/>
  <c r="AE21" i="34"/>
  <c r="AE3" i="34"/>
  <c r="AC4" i="34"/>
  <c r="AC5" i="34"/>
  <c r="AC6" i="34"/>
  <c r="AC7" i="34"/>
  <c r="AC8" i="34"/>
  <c r="AC9" i="34"/>
  <c r="AC10" i="34"/>
  <c r="AC11" i="34"/>
  <c r="AC12" i="34"/>
  <c r="AC13" i="34"/>
  <c r="AC14" i="34"/>
  <c r="AC15" i="34"/>
  <c r="AC16" i="34"/>
  <c r="AC20" i="34"/>
  <c r="AC21" i="34"/>
  <c r="AC22" i="34"/>
  <c r="AC23" i="34"/>
  <c r="AC24" i="34"/>
  <c r="AC25" i="34"/>
  <c r="AC26" i="34"/>
  <c r="AC27" i="34"/>
  <c r="AC28" i="34"/>
  <c r="AC29" i="34"/>
  <c r="AC30" i="34"/>
  <c r="AC31" i="34"/>
  <c r="AC32" i="34"/>
  <c r="AC33" i="34"/>
  <c r="AC34" i="34"/>
  <c r="AC35" i="34"/>
  <c r="AC36" i="34"/>
  <c r="AC37" i="34"/>
  <c r="AC38" i="34"/>
  <c r="AC39" i="34"/>
  <c r="AC40" i="34"/>
  <c r="AC41" i="34"/>
  <c r="AC42" i="34"/>
  <c r="AC43" i="34"/>
  <c r="AC3" i="34"/>
  <c r="AA4" i="34"/>
  <c r="AA5" i="34"/>
  <c r="AA6" i="34"/>
  <c r="AA7" i="34"/>
  <c r="AA8" i="34"/>
  <c r="AA9" i="34"/>
  <c r="AA10" i="34"/>
  <c r="AA11" i="34"/>
  <c r="AA12" i="34"/>
  <c r="AA13" i="34"/>
  <c r="AA14" i="34"/>
  <c r="AA15" i="34"/>
  <c r="AA16" i="34"/>
  <c r="AA17" i="34"/>
  <c r="AA18" i="34"/>
  <c r="AA19" i="34"/>
  <c r="AA20" i="34"/>
  <c r="AA21" i="34"/>
  <c r="AA22" i="34"/>
  <c r="AA23" i="34"/>
  <c r="AA24" i="34"/>
  <c r="AA25" i="34"/>
  <c r="AA26" i="34"/>
  <c r="AA27" i="34"/>
  <c r="AA28" i="34"/>
  <c r="AA29" i="34"/>
  <c r="AA30" i="34"/>
  <c r="AA31" i="34"/>
  <c r="AA32" i="34"/>
  <c r="AA33" i="34"/>
  <c r="AA34" i="34"/>
  <c r="AA35" i="34"/>
  <c r="AA36" i="34"/>
  <c r="AA37" i="34"/>
  <c r="AA38" i="34"/>
  <c r="AA39" i="34"/>
  <c r="AA40" i="34"/>
  <c r="AA41" i="34"/>
  <c r="AA42" i="34"/>
  <c r="AA43" i="34"/>
  <c r="AA3" i="34"/>
  <c r="Y4" i="34"/>
  <c r="Y5" i="34"/>
  <c r="Y6" i="34"/>
  <c r="Y7" i="34"/>
  <c r="Y8" i="34"/>
  <c r="Y9" i="34"/>
  <c r="Y10" i="34"/>
  <c r="Y11" i="34"/>
  <c r="Y12" i="34"/>
  <c r="Y13" i="34"/>
  <c r="Y14" i="34"/>
  <c r="Y15" i="34"/>
  <c r="Y16" i="34"/>
  <c r="Y17" i="34"/>
  <c r="Y18" i="34"/>
  <c r="Y19" i="34"/>
  <c r="Y20" i="34"/>
  <c r="Y21" i="34"/>
  <c r="Y22" i="34"/>
  <c r="Y23" i="34"/>
  <c r="Y24" i="34"/>
  <c r="Y25" i="34"/>
  <c r="Y26" i="34"/>
  <c r="Y27" i="34"/>
  <c r="Y28" i="34"/>
  <c r="Y29" i="34"/>
  <c r="Y30" i="34"/>
  <c r="Y31" i="34"/>
  <c r="Y32" i="34"/>
  <c r="Y33" i="34"/>
  <c r="Y34" i="34"/>
  <c r="Y35" i="34"/>
  <c r="Y36" i="34"/>
  <c r="Y37" i="34"/>
  <c r="Y38" i="34"/>
  <c r="Y39" i="34"/>
  <c r="Y40" i="34"/>
  <c r="Y41" i="34"/>
  <c r="Y42" i="34"/>
  <c r="Y43" i="34"/>
  <c r="Y3" i="34"/>
  <c r="R4" i="33"/>
  <c r="R5" i="33"/>
  <c r="R6" i="33"/>
  <c r="R7" i="33"/>
  <c r="R8" i="33"/>
  <c r="R9" i="33"/>
  <c r="R10" i="33"/>
  <c r="R11" i="33"/>
  <c r="R12" i="33"/>
  <c r="R13" i="33"/>
  <c r="R14" i="33"/>
  <c r="R3" i="33"/>
  <c r="O4" i="33"/>
  <c r="O5" i="33"/>
  <c r="O6" i="33"/>
  <c r="O7" i="33"/>
  <c r="O8" i="33"/>
  <c r="O9" i="33"/>
  <c r="O10" i="33"/>
  <c r="O11" i="33"/>
  <c r="O12" i="33"/>
  <c r="O13" i="33"/>
  <c r="O14" i="33"/>
  <c r="O15" i="33"/>
  <c r="O3" i="33"/>
  <c r="L3" i="33"/>
  <c r="L4" i="33"/>
  <c r="L5" i="33"/>
  <c r="L6" i="33"/>
  <c r="L7" i="33"/>
  <c r="L8" i="33"/>
  <c r="L9" i="33"/>
  <c r="L10" i="33"/>
  <c r="L11" i="33"/>
  <c r="L12" i="33"/>
  <c r="L13" i="33"/>
  <c r="L14" i="33"/>
  <c r="L15" i="33"/>
  <c r="O2"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K20" i="42"/>
  <c r="N38" i="41"/>
  <c r="L38" i="41"/>
  <c r="J38" i="41"/>
  <c r="H38" i="41"/>
  <c r="F38" i="41"/>
  <c r="D38" i="41"/>
  <c r="BA5" i="23" a="1"/>
  <c r="BU4" i="23" a="1"/>
  <c r="BU4" i="23" s="1"/>
  <c r="S1089" i="1" a="1"/>
  <c r="S1089" i="1" s="1"/>
  <c r="S1088" i="1" a="1"/>
  <c r="S1088" i="1" s="1"/>
  <c r="A2" i="32"/>
  <c r="M2003" i="1"/>
  <c r="S1923" i="1" a="1"/>
  <c r="S1923" i="1" s="1"/>
  <c r="M1942" i="1"/>
  <c r="S1862" i="1" a="1"/>
  <c r="S1862" i="1" s="1"/>
  <c r="M1872" i="1"/>
  <c r="S1792" i="1" a="1"/>
  <c r="S1792" i="1" s="1"/>
  <c r="M1834" i="1"/>
  <c r="S1756" i="1" a="1"/>
  <c r="S1756" i="1" s="1"/>
  <c r="M1723" i="1"/>
  <c r="S1645" i="1" a="1"/>
  <c r="S1645" i="1" s="1"/>
  <c r="V2" i="1" a="1"/>
  <c r="V2" i="1" s="1"/>
  <c r="S3" i="1" a="1"/>
  <c r="S3" i="1" s="1"/>
  <c r="S4" i="1" a="1"/>
  <c r="S4" i="1" s="1"/>
  <c r="S5" i="1" a="1"/>
  <c r="S5" i="1" s="1"/>
  <c r="S6" i="1" a="1"/>
  <c r="S6" i="1" s="1"/>
  <c r="S7" i="1" a="1"/>
  <c r="S7" i="1" s="1"/>
  <c r="S8" i="1" a="1"/>
  <c r="S8" i="1" s="1"/>
  <c r="S9" i="1" a="1"/>
  <c r="S9" i="1" s="1"/>
  <c r="S10" i="1" a="1"/>
  <c r="S10" i="1" s="1"/>
  <c r="S11" i="1" a="1"/>
  <c r="S11" i="1" s="1"/>
  <c r="S12" i="1" a="1"/>
  <c r="S12" i="1" s="1"/>
  <c r="S13" i="1" a="1"/>
  <c r="S13" i="1" s="1"/>
  <c r="S14" i="1" a="1"/>
  <c r="S14" i="1" s="1"/>
  <c r="S15" i="1" a="1"/>
  <c r="S15" i="1" s="1"/>
  <c r="S16" i="1" a="1"/>
  <c r="S16" i="1" s="1"/>
  <c r="S17" i="1" a="1"/>
  <c r="S17" i="1" s="1"/>
  <c r="S18" i="1" a="1"/>
  <c r="S18" i="1" s="1"/>
  <c r="S19" i="1" a="1"/>
  <c r="S19" i="1" s="1"/>
  <c r="S20" i="1" a="1"/>
  <c r="S20" i="1" s="1"/>
  <c r="S21" i="1" a="1"/>
  <c r="S21" i="1" s="1"/>
  <c r="S22" i="1" a="1"/>
  <c r="S22" i="1" s="1"/>
  <c r="S23" i="1" a="1"/>
  <c r="S23" i="1" s="1"/>
  <c r="S24" i="1" a="1"/>
  <c r="S24" i="1" s="1"/>
  <c r="S25" i="1" a="1"/>
  <c r="S25" i="1" s="1"/>
  <c r="S26" i="1" a="1"/>
  <c r="S26" i="1" s="1"/>
  <c r="S27" i="1" a="1"/>
  <c r="S27" i="1" s="1"/>
  <c r="S28" i="1" a="1"/>
  <c r="S28" i="1" s="1"/>
  <c r="S29" i="1" a="1"/>
  <c r="S29" i="1" s="1"/>
  <c r="S30" i="1" a="1"/>
  <c r="S30" i="1" s="1"/>
  <c r="S31" i="1" a="1"/>
  <c r="S31" i="1" s="1"/>
  <c r="S32" i="1" a="1"/>
  <c r="S32" i="1" s="1"/>
  <c r="S33" i="1" a="1"/>
  <c r="S33" i="1" s="1"/>
  <c r="S34" i="1" a="1"/>
  <c r="S34" i="1" s="1"/>
  <c r="S35" i="1" a="1"/>
  <c r="S35" i="1" s="1"/>
  <c r="S36" i="1" a="1"/>
  <c r="S36" i="1" s="1"/>
  <c r="S37" i="1" a="1"/>
  <c r="S37" i="1" s="1"/>
  <c r="S38" i="1" a="1"/>
  <c r="S38" i="1" s="1"/>
  <c r="S39" i="1" a="1"/>
  <c r="S39" i="1" s="1"/>
  <c r="S40" i="1" a="1"/>
  <c r="S40" i="1" s="1"/>
  <c r="S41" i="1" a="1"/>
  <c r="S41" i="1" s="1"/>
  <c r="S42" i="1" a="1"/>
  <c r="S42" i="1" s="1"/>
  <c r="S43" i="1" a="1"/>
  <c r="S43" i="1" s="1"/>
  <c r="S44" i="1" a="1"/>
  <c r="S44" i="1" s="1"/>
  <c r="S45" i="1" a="1"/>
  <c r="S45" i="1" s="1"/>
  <c r="S46" i="1" a="1"/>
  <c r="S46" i="1" s="1"/>
  <c r="S47" i="1" a="1"/>
  <c r="S47" i="1" s="1"/>
  <c r="S48" i="1" a="1"/>
  <c r="S48" i="1" s="1"/>
  <c r="S49" i="1" a="1"/>
  <c r="S49" i="1" s="1"/>
  <c r="S50" i="1" a="1"/>
  <c r="S50" i="1" s="1"/>
  <c r="S51" i="1" a="1"/>
  <c r="S51" i="1" s="1"/>
  <c r="S52" i="1" a="1"/>
  <c r="S52" i="1" s="1"/>
  <c r="S53" i="1" a="1"/>
  <c r="S53" i="1" s="1"/>
  <c r="S54" i="1" a="1"/>
  <c r="S54" i="1" s="1"/>
  <c r="S55" i="1" a="1"/>
  <c r="S55" i="1" s="1"/>
  <c r="S56" i="1" a="1"/>
  <c r="S56" i="1" s="1"/>
  <c r="S57" i="1" a="1"/>
  <c r="S57" i="1" s="1"/>
  <c r="S58" i="1" a="1"/>
  <c r="S58" i="1" s="1"/>
  <c r="S59" i="1" a="1"/>
  <c r="S59" i="1" s="1"/>
  <c r="S60" i="1" a="1"/>
  <c r="S60" i="1" s="1"/>
  <c r="S61" i="1" a="1"/>
  <c r="S61" i="1" s="1"/>
  <c r="S62" i="1" a="1"/>
  <c r="S62" i="1" s="1"/>
  <c r="S63" i="1" a="1"/>
  <c r="S63" i="1" s="1"/>
  <c r="S64" i="1" a="1"/>
  <c r="S64" i="1" s="1"/>
  <c r="S65" i="1" a="1"/>
  <c r="S65" i="1" s="1"/>
  <c r="S66" i="1" a="1"/>
  <c r="S66" i="1" s="1"/>
  <c r="S67" i="1" a="1"/>
  <c r="S67" i="1" s="1"/>
  <c r="S68" i="1" a="1"/>
  <c r="S68" i="1" s="1"/>
  <c r="S69" i="1" a="1"/>
  <c r="S69" i="1" s="1"/>
  <c r="S70" i="1" a="1"/>
  <c r="S70" i="1" s="1"/>
  <c r="S71" i="1" a="1"/>
  <c r="S71" i="1" s="1"/>
  <c r="S72" i="1" a="1"/>
  <c r="S72" i="1" s="1"/>
  <c r="S73" i="1" a="1"/>
  <c r="S73" i="1" s="1"/>
  <c r="S74" i="1" a="1"/>
  <c r="S74" i="1" s="1"/>
  <c r="S75" i="1" a="1"/>
  <c r="S75" i="1" s="1"/>
  <c r="S76" i="1" a="1"/>
  <c r="S76" i="1" s="1"/>
  <c r="S77" i="1" a="1"/>
  <c r="S77" i="1" s="1"/>
  <c r="S78" i="1" a="1"/>
  <c r="S78" i="1" s="1"/>
  <c r="S79" i="1" a="1"/>
  <c r="S79" i="1" s="1"/>
  <c r="S80" i="1" a="1"/>
  <c r="S80" i="1" s="1"/>
  <c r="S81" i="1" a="1"/>
  <c r="S81" i="1" s="1"/>
  <c r="S82" i="1" a="1"/>
  <c r="S82" i="1" s="1"/>
  <c r="S83" i="1" a="1"/>
  <c r="S83" i="1" s="1"/>
  <c r="S84" i="1" a="1"/>
  <c r="S84" i="1" s="1"/>
  <c r="S85" i="1" a="1"/>
  <c r="S85" i="1" s="1"/>
  <c r="S86" i="1" a="1"/>
  <c r="S86" i="1" s="1"/>
  <c r="S87" i="1" a="1"/>
  <c r="S87" i="1" s="1"/>
  <c r="S88" i="1" a="1"/>
  <c r="S88" i="1" s="1"/>
  <c r="S89" i="1" a="1"/>
  <c r="S89" i="1" s="1"/>
  <c r="S90" i="1" a="1"/>
  <c r="S90" i="1" s="1"/>
  <c r="S91" i="1" a="1"/>
  <c r="S91" i="1" s="1"/>
  <c r="S92" i="1" a="1"/>
  <c r="S92" i="1" s="1"/>
  <c r="S93" i="1" a="1"/>
  <c r="S93" i="1" s="1"/>
  <c r="S94" i="1" a="1"/>
  <c r="S94" i="1" s="1"/>
  <c r="S95" i="1" a="1"/>
  <c r="S95" i="1" s="1"/>
  <c r="S96" i="1" a="1"/>
  <c r="S96" i="1" s="1"/>
  <c r="S97" i="1" a="1"/>
  <c r="S97" i="1" s="1"/>
  <c r="S98" i="1" a="1"/>
  <c r="S98" i="1" s="1"/>
  <c r="S99" i="1" a="1"/>
  <c r="S99" i="1" s="1"/>
  <c r="S100" i="1" a="1"/>
  <c r="S100" i="1" s="1"/>
  <c r="S101" i="1" a="1"/>
  <c r="S101" i="1" s="1"/>
  <c r="S102" i="1" a="1"/>
  <c r="S102" i="1" s="1"/>
  <c r="S103" i="1" a="1"/>
  <c r="S103" i="1" s="1"/>
  <c r="S104" i="1" a="1"/>
  <c r="S104" i="1" s="1"/>
  <c r="S105" i="1" a="1"/>
  <c r="S105" i="1" s="1"/>
  <c r="S106" i="1" a="1"/>
  <c r="S106" i="1" s="1"/>
  <c r="S107" i="1" a="1"/>
  <c r="S107" i="1" s="1"/>
  <c r="S108" i="1" a="1"/>
  <c r="S108" i="1" s="1"/>
  <c r="S109" i="1" a="1"/>
  <c r="S109" i="1" s="1"/>
  <c r="S110" i="1" a="1"/>
  <c r="S110" i="1" s="1"/>
  <c r="S111" i="1" a="1"/>
  <c r="S111" i="1" s="1"/>
  <c r="S112" i="1" a="1"/>
  <c r="S112" i="1" s="1"/>
  <c r="S113" i="1" a="1"/>
  <c r="S113" i="1" s="1"/>
  <c r="S114" i="1" a="1"/>
  <c r="S114" i="1" s="1"/>
  <c r="S115" i="1" a="1"/>
  <c r="S115" i="1" s="1"/>
  <c r="S116" i="1" a="1"/>
  <c r="S116" i="1" s="1"/>
  <c r="S117" i="1" a="1"/>
  <c r="S117" i="1" s="1"/>
  <c r="S118" i="1" a="1"/>
  <c r="S118" i="1" s="1"/>
  <c r="S119" i="1" a="1"/>
  <c r="S119" i="1" s="1"/>
  <c r="S120" i="1" a="1"/>
  <c r="S120" i="1" s="1"/>
  <c r="S121" i="1" a="1"/>
  <c r="S121" i="1" s="1"/>
  <c r="S122" i="1" a="1"/>
  <c r="S122" i="1" s="1"/>
  <c r="S123" i="1" a="1"/>
  <c r="S123" i="1" s="1"/>
  <c r="S124" i="1" a="1"/>
  <c r="S124" i="1" s="1"/>
  <c r="S125" i="1" a="1"/>
  <c r="S125" i="1" s="1"/>
  <c r="S126" i="1" a="1"/>
  <c r="S126" i="1" s="1"/>
  <c r="S127" i="1" a="1"/>
  <c r="S127" i="1" s="1"/>
  <c r="S128" i="1" a="1"/>
  <c r="S128" i="1" s="1"/>
  <c r="S129" i="1" a="1"/>
  <c r="S129" i="1" s="1"/>
  <c r="S130" i="1" a="1"/>
  <c r="S130" i="1" s="1"/>
  <c r="S131" i="1" a="1"/>
  <c r="S131" i="1" s="1"/>
  <c r="S132" i="1" a="1"/>
  <c r="S132" i="1" s="1"/>
  <c r="S133" i="1" a="1"/>
  <c r="S133" i="1" s="1"/>
  <c r="S134" i="1" a="1"/>
  <c r="S134" i="1" s="1"/>
  <c r="S135" i="1" a="1"/>
  <c r="S135" i="1" s="1"/>
  <c r="S136" i="1" a="1"/>
  <c r="S136" i="1" s="1"/>
  <c r="S137" i="1" a="1"/>
  <c r="S137" i="1" s="1"/>
  <c r="S138" i="1" a="1"/>
  <c r="S138" i="1" s="1"/>
  <c r="S139" i="1" a="1"/>
  <c r="S139" i="1" s="1"/>
  <c r="S140" i="1" a="1"/>
  <c r="S140" i="1" s="1"/>
  <c r="S141" i="1" a="1"/>
  <c r="S141" i="1" s="1"/>
  <c r="S142" i="1" a="1"/>
  <c r="S142" i="1" s="1"/>
  <c r="S143" i="1" a="1"/>
  <c r="S143" i="1" s="1"/>
  <c r="S144" i="1" a="1"/>
  <c r="S144" i="1" s="1"/>
  <c r="S145" i="1" a="1"/>
  <c r="S145" i="1" s="1"/>
  <c r="S146" i="1" a="1"/>
  <c r="S146" i="1" s="1"/>
  <c r="S147" i="1" a="1"/>
  <c r="S147" i="1" s="1"/>
  <c r="S148" i="1" a="1"/>
  <c r="S148" i="1" s="1"/>
  <c r="S149" i="1" a="1"/>
  <c r="S149" i="1" s="1"/>
  <c r="S150" i="1" a="1"/>
  <c r="S150" i="1" s="1"/>
  <c r="S151" i="1" a="1"/>
  <c r="S151" i="1" s="1"/>
  <c r="S152" i="1" a="1"/>
  <c r="S152" i="1" s="1"/>
  <c r="S153" i="1" a="1"/>
  <c r="S153" i="1" s="1"/>
  <c r="S154" i="1" a="1"/>
  <c r="S154" i="1" s="1"/>
  <c r="S155" i="1" a="1"/>
  <c r="S155" i="1" s="1"/>
  <c r="S156" i="1" a="1"/>
  <c r="S156" i="1" s="1"/>
  <c r="S157" i="1" a="1"/>
  <c r="S157" i="1" s="1"/>
  <c r="S158" i="1" a="1"/>
  <c r="S158" i="1" s="1"/>
  <c r="S159" i="1" a="1"/>
  <c r="S159" i="1" s="1"/>
  <c r="S160" i="1" a="1"/>
  <c r="S160" i="1" s="1"/>
  <c r="S161" i="1" a="1"/>
  <c r="S161" i="1" s="1"/>
  <c r="S162" i="1" a="1"/>
  <c r="S162" i="1" s="1"/>
  <c r="S163" i="1" a="1"/>
  <c r="S163" i="1" s="1"/>
  <c r="S164" i="1" a="1"/>
  <c r="S164" i="1" s="1"/>
  <c r="S165" i="1" a="1"/>
  <c r="S165" i="1" s="1"/>
  <c r="S166" i="1" a="1"/>
  <c r="S166" i="1" s="1"/>
  <c r="S167" i="1" a="1"/>
  <c r="S167" i="1" s="1"/>
  <c r="S168" i="1" a="1"/>
  <c r="S168" i="1" s="1"/>
  <c r="S169" i="1" a="1"/>
  <c r="S169" i="1" s="1"/>
  <c r="S170" i="1" a="1"/>
  <c r="S170" i="1" s="1"/>
  <c r="S171" i="1" a="1"/>
  <c r="S171" i="1" s="1"/>
  <c r="S172" i="1" a="1"/>
  <c r="S172" i="1" s="1"/>
  <c r="S173" i="1" a="1"/>
  <c r="S173" i="1" s="1"/>
  <c r="S174" i="1" a="1"/>
  <c r="S174" i="1" s="1"/>
  <c r="S175" i="1" a="1"/>
  <c r="S175" i="1" s="1"/>
  <c r="S176" i="1" a="1"/>
  <c r="S176" i="1" s="1"/>
  <c r="S177" i="1" a="1"/>
  <c r="S177" i="1" s="1"/>
  <c r="S178" i="1" a="1"/>
  <c r="S178" i="1" s="1"/>
  <c r="S179" i="1" a="1"/>
  <c r="S179" i="1" s="1"/>
  <c r="S180" i="1" a="1"/>
  <c r="S180" i="1" s="1"/>
  <c r="S181" i="1" a="1"/>
  <c r="S181" i="1" s="1"/>
  <c r="S182" i="1" a="1"/>
  <c r="S182" i="1" s="1"/>
  <c r="S183" i="1" a="1"/>
  <c r="S183" i="1" s="1"/>
  <c r="S184" i="1" a="1"/>
  <c r="S184" i="1" s="1"/>
  <c r="S185" i="1" a="1"/>
  <c r="S185" i="1" s="1"/>
  <c r="S186" i="1" a="1"/>
  <c r="S186" i="1" s="1"/>
  <c r="S187" i="1" a="1"/>
  <c r="S187" i="1" s="1"/>
  <c r="S188" i="1" a="1"/>
  <c r="S188" i="1" s="1"/>
  <c r="S189" i="1" a="1"/>
  <c r="S189" i="1" s="1"/>
  <c r="S190" i="1" a="1"/>
  <c r="S190" i="1" s="1"/>
  <c r="S191" i="1" a="1"/>
  <c r="S191" i="1" s="1"/>
  <c r="S192" i="1" a="1"/>
  <c r="S192" i="1" s="1"/>
  <c r="S193" i="1" a="1"/>
  <c r="S193" i="1" s="1"/>
  <c r="S194" i="1" a="1"/>
  <c r="S194" i="1" s="1"/>
  <c r="S195" i="1" a="1"/>
  <c r="S195" i="1" s="1"/>
  <c r="S196" i="1" a="1"/>
  <c r="S196" i="1" s="1"/>
  <c r="S197" i="1" a="1"/>
  <c r="S197" i="1" s="1"/>
  <c r="S198" i="1" a="1"/>
  <c r="S198" i="1" s="1"/>
  <c r="S199" i="1" a="1"/>
  <c r="S199" i="1" s="1"/>
  <c r="S200" i="1" a="1"/>
  <c r="S200" i="1" s="1"/>
  <c r="S201" i="1" a="1"/>
  <c r="S201" i="1" s="1"/>
  <c r="S202" i="1" a="1"/>
  <c r="S202" i="1" s="1"/>
  <c r="S203" i="1" a="1"/>
  <c r="S203" i="1" s="1"/>
  <c r="S204" i="1" a="1"/>
  <c r="S204" i="1" s="1"/>
  <c r="S205" i="1" a="1"/>
  <c r="S205" i="1" s="1"/>
  <c r="S206" i="1" a="1"/>
  <c r="S206" i="1" s="1"/>
  <c r="S207" i="1" a="1"/>
  <c r="S207" i="1" s="1"/>
  <c r="S208" i="1" a="1"/>
  <c r="S208" i="1" s="1"/>
  <c r="S209" i="1" a="1"/>
  <c r="S209" i="1" s="1"/>
  <c r="S210" i="1" a="1"/>
  <c r="S210" i="1" s="1"/>
  <c r="S211" i="1" a="1"/>
  <c r="S211" i="1" s="1"/>
  <c r="S212" i="1" a="1"/>
  <c r="S212" i="1" s="1"/>
  <c r="S213" i="1" a="1"/>
  <c r="S213" i="1" s="1"/>
  <c r="S214" i="1" a="1"/>
  <c r="S214" i="1" s="1"/>
  <c r="S215" i="1" a="1"/>
  <c r="S215" i="1" s="1"/>
  <c r="S216" i="1" a="1"/>
  <c r="S216" i="1" s="1"/>
  <c r="S217" i="1" a="1"/>
  <c r="S217" i="1" s="1"/>
  <c r="S218" i="1" a="1"/>
  <c r="S218" i="1" s="1"/>
  <c r="S219" i="1" a="1"/>
  <c r="S219" i="1" s="1"/>
  <c r="S220" i="1" a="1"/>
  <c r="S220" i="1" s="1"/>
  <c r="S221" i="1" a="1"/>
  <c r="S221" i="1" s="1"/>
  <c r="S222" i="1" a="1"/>
  <c r="S222" i="1" s="1"/>
  <c r="S223" i="1" a="1"/>
  <c r="S223" i="1" s="1"/>
  <c r="S224" i="1" a="1"/>
  <c r="S224" i="1" s="1"/>
  <c r="S225" i="1" a="1"/>
  <c r="S225" i="1" s="1"/>
  <c r="S226" i="1" a="1"/>
  <c r="S226" i="1" s="1"/>
  <c r="S227" i="1" a="1"/>
  <c r="S227" i="1" s="1"/>
  <c r="S228" i="1" a="1"/>
  <c r="S228" i="1" s="1"/>
  <c r="S229" i="1" a="1"/>
  <c r="S229" i="1" s="1"/>
  <c r="S230" i="1" a="1"/>
  <c r="S230" i="1" s="1"/>
  <c r="S231" i="1" a="1"/>
  <c r="S231" i="1" s="1"/>
  <c r="S232" i="1" a="1"/>
  <c r="S232" i="1" s="1"/>
  <c r="S233" i="1" a="1"/>
  <c r="S233" i="1" s="1"/>
  <c r="S234" i="1" a="1"/>
  <c r="S234" i="1" s="1"/>
  <c r="S235" i="1" a="1"/>
  <c r="S235" i="1" s="1"/>
  <c r="S236" i="1" a="1"/>
  <c r="S236" i="1" s="1"/>
  <c r="S237" i="1" a="1"/>
  <c r="S237" i="1" s="1"/>
  <c r="S238" i="1" a="1"/>
  <c r="S238" i="1" s="1"/>
  <c r="S239" i="1" a="1"/>
  <c r="S239" i="1" s="1"/>
  <c r="S240" i="1" a="1"/>
  <c r="S240" i="1" s="1"/>
  <c r="S241" i="1" a="1"/>
  <c r="S241" i="1" s="1"/>
  <c r="S242" i="1" a="1"/>
  <c r="S242" i="1" s="1"/>
  <c r="S243" i="1" a="1"/>
  <c r="S243" i="1" s="1"/>
  <c r="S244" i="1" a="1"/>
  <c r="S244" i="1" s="1"/>
  <c r="S245" i="1" a="1"/>
  <c r="S245" i="1" s="1"/>
  <c r="S246" i="1" a="1"/>
  <c r="S246" i="1" s="1"/>
  <c r="S247" i="1" a="1"/>
  <c r="S247" i="1" s="1"/>
  <c r="S248" i="1" a="1"/>
  <c r="S248" i="1" s="1"/>
  <c r="S249" i="1" a="1"/>
  <c r="S249" i="1" s="1"/>
  <c r="S250" i="1" a="1"/>
  <c r="S250" i="1" s="1"/>
  <c r="S251" i="1" a="1"/>
  <c r="S251" i="1" s="1"/>
  <c r="S252" i="1" a="1"/>
  <c r="S252" i="1" s="1"/>
  <c r="S253" i="1" a="1"/>
  <c r="S253" i="1" s="1"/>
  <c r="S254" i="1" a="1"/>
  <c r="S254" i="1" s="1"/>
  <c r="S255" i="1" a="1"/>
  <c r="S255" i="1" s="1"/>
  <c r="S256" i="1" a="1"/>
  <c r="S256" i="1" s="1"/>
  <c r="S257" i="1" a="1"/>
  <c r="S257" i="1" s="1"/>
  <c r="S258" i="1" a="1"/>
  <c r="S258" i="1" s="1"/>
  <c r="S259" i="1" a="1"/>
  <c r="S259" i="1" s="1"/>
  <c r="S260" i="1" a="1"/>
  <c r="S260" i="1" s="1"/>
  <c r="S261" i="1" a="1"/>
  <c r="S261" i="1" s="1"/>
  <c r="S262" i="1" a="1"/>
  <c r="S262" i="1" s="1"/>
  <c r="S263" i="1" a="1"/>
  <c r="S263" i="1" s="1"/>
  <c r="S264" i="1" a="1"/>
  <c r="S264" i="1" s="1"/>
  <c r="S265" i="1" a="1"/>
  <c r="S265" i="1" s="1"/>
  <c r="S266" i="1" a="1"/>
  <c r="S266" i="1" s="1"/>
  <c r="S267" i="1" a="1"/>
  <c r="S267" i="1" s="1"/>
  <c r="S268" i="1" a="1"/>
  <c r="S268" i="1" s="1"/>
  <c r="S269" i="1" a="1"/>
  <c r="S269" i="1" s="1"/>
  <c r="S270" i="1" a="1"/>
  <c r="S270" i="1" s="1"/>
  <c r="S271" i="1" a="1"/>
  <c r="S271" i="1" s="1"/>
  <c r="S272" i="1" a="1"/>
  <c r="S272" i="1" s="1"/>
  <c r="S273" i="1" a="1"/>
  <c r="S273" i="1" s="1"/>
  <c r="S274" i="1" a="1"/>
  <c r="S274" i="1" s="1"/>
  <c r="S275" i="1" a="1"/>
  <c r="S275" i="1" s="1"/>
  <c r="S276" i="1" a="1"/>
  <c r="S276" i="1" s="1"/>
  <c r="S277" i="1" a="1"/>
  <c r="S277" i="1" s="1"/>
  <c r="S278" i="1" a="1"/>
  <c r="S278" i="1" s="1"/>
  <c r="S279" i="1" a="1"/>
  <c r="S279" i="1" s="1"/>
  <c r="S280" i="1" a="1"/>
  <c r="S280" i="1" s="1"/>
  <c r="S281" i="1" a="1"/>
  <c r="S281" i="1" s="1"/>
  <c r="S282" i="1" a="1"/>
  <c r="S282" i="1" s="1"/>
  <c r="S283" i="1" a="1"/>
  <c r="S283" i="1" s="1"/>
  <c r="S284" i="1" a="1"/>
  <c r="S284" i="1" s="1"/>
  <c r="S285" i="1" a="1"/>
  <c r="S285" i="1" s="1"/>
  <c r="S286" i="1" a="1"/>
  <c r="S286" i="1" s="1"/>
  <c r="S287" i="1" a="1"/>
  <c r="S287" i="1" s="1"/>
  <c r="S288" i="1" a="1"/>
  <c r="S288" i="1" s="1"/>
  <c r="S289" i="1" a="1"/>
  <c r="S289" i="1" s="1"/>
  <c r="S290" i="1" a="1"/>
  <c r="S290" i="1" s="1"/>
  <c r="S291" i="1" a="1"/>
  <c r="S291" i="1" s="1"/>
  <c r="S292" i="1" a="1"/>
  <c r="S292" i="1" s="1"/>
  <c r="S293" i="1" a="1"/>
  <c r="S293" i="1" s="1"/>
  <c r="S294" i="1" a="1"/>
  <c r="S294" i="1" s="1"/>
  <c r="S295" i="1" a="1"/>
  <c r="S295" i="1" s="1"/>
  <c r="S296" i="1" a="1"/>
  <c r="S296" i="1" s="1"/>
  <c r="S297" i="1" a="1"/>
  <c r="S297" i="1" s="1"/>
  <c r="S298" i="1" a="1"/>
  <c r="S298" i="1" s="1"/>
  <c r="S299" i="1" a="1"/>
  <c r="S299" i="1" s="1"/>
  <c r="S300" i="1" a="1"/>
  <c r="S300" i="1" s="1"/>
  <c r="S301" i="1" a="1"/>
  <c r="S301" i="1" s="1"/>
  <c r="S302" i="1" a="1"/>
  <c r="S302" i="1" s="1"/>
  <c r="S303" i="1" a="1"/>
  <c r="S303" i="1" s="1"/>
  <c r="S304" i="1" a="1"/>
  <c r="S304" i="1" s="1"/>
  <c r="S305" i="1" a="1"/>
  <c r="S305" i="1" s="1"/>
  <c r="S306" i="1" a="1"/>
  <c r="S306" i="1" s="1"/>
  <c r="S307" i="1" a="1"/>
  <c r="S307" i="1" s="1"/>
  <c r="S308" i="1" a="1"/>
  <c r="S308" i="1" s="1"/>
  <c r="S309" i="1" a="1"/>
  <c r="S309" i="1" s="1"/>
  <c r="S310" i="1" a="1"/>
  <c r="S310" i="1" s="1"/>
  <c r="S311" i="1" a="1"/>
  <c r="S311" i="1" s="1"/>
  <c r="S312" i="1" a="1"/>
  <c r="S312" i="1" s="1"/>
  <c r="S313" i="1" a="1"/>
  <c r="S313" i="1" s="1"/>
  <c r="S314" i="1" a="1"/>
  <c r="S314" i="1" s="1"/>
  <c r="S315" i="1" a="1"/>
  <c r="S315" i="1" s="1"/>
  <c r="S316" i="1" a="1"/>
  <c r="S316" i="1" s="1"/>
  <c r="S317" i="1" a="1"/>
  <c r="S317" i="1" s="1"/>
  <c r="S318" i="1" a="1"/>
  <c r="S318" i="1" s="1"/>
  <c r="S319" i="1" a="1"/>
  <c r="S319" i="1" s="1"/>
  <c r="S320" i="1" a="1"/>
  <c r="S320" i="1" s="1"/>
  <c r="S321" i="1" a="1"/>
  <c r="S321" i="1" s="1"/>
  <c r="S322" i="1" a="1"/>
  <c r="S322" i="1" s="1"/>
  <c r="S323" i="1" a="1"/>
  <c r="S323" i="1" s="1"/>
  <c r="S324" i="1" a="1"/>
  <c r="S324" i="1" s="1"/>
  <c r="S325" i="1" a="1"/>
  <c r="S325" i="1" s="1"/>
  <c r="S326" i="1" a="1"/>
  <c r="S326" i="1" s="1"/>
  <c r="S327" i="1" a="1"/>
  <c r="S327" i="1" s="1"/>
  <c r="S328" i="1" a="1"/>
  <c r="S328" i="1" s="1"/>
  <c r="S329" i="1" a="1"/>
  <c r="S329" i="1" s="1"/>
  <c r="S330" i="1" a="1"/>
  <c r="S330" i="1" s="1"/>
  <c r="S331" i="1" a="1"/>
  <c r="S331" i="1" s="1"/>
  <c r="S332" i="1" a="1"/>
  <c r="S332" i="1" s="1"/>
  <c r="S333" i="1" a="1"/>
  <c r="S333" i="1" s="1"/>
  <c r="S334" i="1" a="1"/>
  <c r="S334" i="1" s="1"/>
  <c r="S335" i="1" a="1"/>
  <c r="S335" i="1" s="1"/>
  <c r="S336" i="1" a="1"/>
  <c r="S336" i="1" s="1"/>
  <c r="S337" i="1" a="1"/>
  <c r="S337" i="1" s="1"/>
  <c r="S338" i="1" a="1"/>
  <c r="S338" i="1" s="1"/>
  <c r="S339" i="1" a="1"/>
  <c r="S339" i="1" s="1"/>
  <c r="S340" i="1" a="1"/>
  <c r="S340" i="1" s="1"/>
  <c r="S341" i="1" a="1"/>
  <c r="S341" i="1" s="1"/>
  <c r="S342" i="1" a="1"/>
  <c r="S342" i="1" s="1"/>
  <c r="S343" i="1" a="1"/>
  <c r="S343" i="1" s="1"/>
  <c r="S344" i="1" a="1"/>
  <c r="S344" i="1" s="1"/>
  <c r="S345" i="1" a="1"/>
  <c r="S345" i="1" s="1"/>
  <c r="S346" i="1" a="1"/>
  <c r="S346" i="1" s="1"/>
  <c r="S347" i="1" a="1"/>
  <c r="S347" i="1" s="1"/>
  <c r="S348" i="1" a="1"/>
  <c r="S348" i="1" s="1"/>
  <c r="S349" i="1" a="1"/>
  <c r="S349" i="1" s="1"/>
  <c r="S350" i="1" a="1"/>
  <c r="S350" i="1" s="1"/>
  <c r="S351" i="1" a="1"/>
  <c r="S351" i="1" s="1"/>
  <c r="S352" i="1" a="1"/>
  <c r="S352" i="1" s="1"/>
  <c r="S353" i="1" a="1"/>
  <c r="S353" i="1" s="1"/>
  <c r="S354" i="1" a="1"/>
  <c r="S354" i="1" s="1"/>
  <c r="S355" i="1" a="1"/>
  <c r="S355" i="1" s="1"/>
  <c r="S356" i="1" a="1"/>
  <c r="S356" i="1" s="1"/>
  <c r="S357" i="1" a="1"/>
  <c r="S357" i="1" s="1"/>
  <c r="S358" i="1" a="1"/>
  <c r="S358" i="1" s="1"/>
  <c r="S359" i="1" a="1"/>
  <c r="S359" i="1" s="1"/>
  <c r="S360" i="1" a="1"/>
  <c r="S360" i="1" s="1"/>
  <c r="S361" i="1" a="1"/>
  <c r="S361" i="1" s="1"/>
  <c r="S362" i="1" a="1"/>
  <c r="S362" i="1" s="1"/>
  <c r="S363" i="1" a="1"/>
  <c r="S363" i="1" s="1"/>
  <c r="S364" i="1" a="1"/>
  <c r="S364" i="1" s="1"/>
  <c r="S365" i="1" a="1"/>
  <c r="S365" i="1" s="1"/>
  <c r="S366" i="1" a="1"/>
  <c r="S366" i="1" s="1"/>
  <c r="S367" i="1" a="1"/>
  <c r="S367" i="1" s="1"/>
  <c r="S368" i="1" a="1"/>
  <c r="S368" i="1" s="1"/>
  <c r="S369" i="1" a="1"/>
  <c r="S369" i="1" s="1"/>
  <c r="S370" i="1" a="1"/>
  <c r="S370" i="1" s="1"/>
  <c r="S371" i="1" a="1"/>
  <c r="S371" i="1" s="1"/>
  <c r="S372" i="1" a="1"/>
  <c r="S372" i="1" s="1"/>
  <c r="S373" i="1" a="1"/>
  <c r="S373" i="1" s="1"/>
  <c r="S374" i="1" a="1"/>
  <c r="S374" i="1" s="1"/>
  <c r="S375" i="1" a="1"/>
  <c r="S375" i="1" s="1"/>
  <c r="S376" i="1" a="1"/>
  <c r="S376" i="1" s="1"/>
  <c r="S377" i="1" a="1"/>
  <c r="S377" i="1" s="1"/>
  <c r="S378" i="1" a="1"/>
  <c r="S378" i="1" s="1"/>
  <c r="S379" i="1" a="1"/>
  <c r="S379" i="1" s="1"/>
  <c r="S380" i="1" a="1"/>
  <c r="S380" i="1" s="1"/>
  <c r="S381" i="1" a="1"/>
  <c r="S381" i="1" s="1"/>
  <c r="S382" i="1" a="1"/>
  <c r="S382" i="1" s="1"/>
  <c r="S383" i="1" a="1"/>
  <c r="S383" i="1" s="1"/>
  <c r="S384" i="1" a="1"/>
  <c r="S384" i="1" s="1"/>
  <c r="S385" i="1" a="1"/>
  <c r="S385" i="1" s="1"/>
  <c r="S386" i="1" a="1"/>
  <c r="S386" i="1" s="1"/>
  <c r="S387" i="1" a="1"/>
  <c r="S387" i="1" s="1"/>
  <c r="S388" i="1" a="1"/>
  <c r="S388" i="1" s="1"/>
  <c r="S389" i="1" a="1"/>
  <c r="S389" i="1" s="1"/>
  <c r="S390" i="1" a="1"/>
  <c r="S390" i="1" s="1"/>
  <c r="S391" i="1" a="1"/>
  <c r="S391" i="1" s="1"/>
  <c r="S392" i="1" a="1"/>
  <c r="S392" i="1" s="1"/>
  <c r="S393" i="1" a="1"/>
  <c r="S393" i="1" s="1"/>
  <c r="S394" i="1" a="1"/>
  <c r="S394" i="1" s="1"/>
  <c r="S395" i="1" a="1"/>
  <c r="S395" i="1" s="1"/>
  <c r="S396" i="1" a="1"/>
  <c r="S396" i="1" s="1"/>
  <c r="S397" i="1" a="1"/>
  <c r="S397" i="1" s="1"/>
  <c r="S398" i="1" a="1"/>
  <c r="S398" i="1" s="1"/>
  <c r="S399" i="1" a="1"/>
  <c r="S399" i="1" s="1"/>
  <c r="S400" i="1" a="1"/>
  <c r="S400" i="1" s="1"/>
  <c r="S401" i="1" a="1"/>
  <c r="S401" i="1" s="1"/>
  <c r="S402" i="1" a="1"/>
  <c r="S402" i="1" s="1"/>
  <c r="S403" i="1" a="1"/>
  <c r="S403" i="1" s="1"/>
  <c r="S404" i="1" a="1"/>
  <c r="S404" i="1" s="1"/>
  <c r="S405" i="1" a="1"/>
  <c r="S405" i="1" s="1"/>
  <c r="S406" i="1" a="1"/>
  <c r="S406" i="1" s="1"/>
  <c r="S407" i="1" a="1"/>
  <c r="S407" i="1" s="1"/>
  <c r="S408" i="1" a="1"/>
  <c r="S408" i="1" s="1"/>
  <c r="S409" i="1" a="1"/>
  <c r="S409" i="1" s="1"/>
  <c r="S410" i="1" a="1"/>
  <c r="S410" i="1" s="1"/>
  <c r="S411" i="1" a="1"/>
  <c r="S411" i="1" s="1"/>
  <c r="S412" i="1" a="1"/>
  <c r="S412" i="1" s="1"/>
  <c r="S413" i="1" a="1"/>
  <c r="S413" i="1" s="1"/>
  <c r="S414" i="1" a="1"/>
  <c r="S414" i="1" s="1"/>
  <c r="S415" i="1" a="1"/>
  <c r="S415" i="1" s="1"/>
  <c r="S416" i="1" a="1"/>
  <c r="S416" i="1" s="1"/>
  <c r="S417" i="1" a="1"/>
  <c r="S417" i="1" s="1"/>
  <c r="S418" i="1" a="1"/>
  <c r="S418" i="1" s="1"/>
  <c r="S419" i="1" a="1"/>
  <c r="S419" i="1" s="1"/>
  <c r="S420" i="1" a="1"/>
  <c r="S420" i="1" s="1"/>
  <c r="S421" i="1" a="1"/>
  <c r="S421" i="1" s="1"/>
  <c r="S422" i="1" a="1"/>
  <c r="S422" i="1" s="1"/>
  <c r="S423" i="1" a="1"/>
  <c r="S423" i="1" s="1"/>
  <c r="S424" i="1" a="1"/>
  <c r="S424" i="1" s="1"/>
  <c r="S425" i="1" a="1"/>
  <c r="S425" i="1" s="1"/>
  <c r="S426" i="1" a="1"/>
  <c r="S426" i="1" s="1"/>
  <c r="S427" i="1" a="1"/>
  <c r="S427" i="1" s="1"/>
  <c r="S428" i="1" a="1"/>
  <c r="S428" i="1" s="1"/>
  <c r="S429" i="1" a="1"/>
  <c r="S429" i="1" s="1"/>
  <c r="S430" i="1" a="1"/>
  <c r="S430" i="1" s="1"/>
  <c r="S431" i="1" a="1"/>
  <c r="S431" i="1" s="1"/>
  <c r="S432" i="1" a="1"/>
  <c r="S432" i="1" s="1"/>
  <c r="S433" i="1" a="1"/>
  <c r="S433" i="1" s="1"/>
  <c r="S434" i="1" a="1"/>
  <c r="S434" i="1" s="1"/>
  <c r="S435" i="1" a="1"/>
  <c r="S435" i="1" s="1"/>
  <c r="S436" i="1" a="1"/>
  <c r="S436" i="1" s="1"/>
  <c r="S437" i="1" a="1"/>
  <c r="S437" i="1" s="1"/>
  <c r="S438" i="1" a="1"/>
  <c r="S438" i="1" s="1"/>
  <c r="S439" i="1" a="1"/>
  <c r="S439" i="1" s="1"/>
  <c r="S440" i="1" a="1"/>
  <c r="S440" i="1" s="1"/>
  <c r="S441" i="1" a="1"/>
  <c r="S441" i="1" s="1"/>
  <c r="S442" i="1" a="1"/>
  <c r="S442" i="1" s="1"/>
  <c r="S443" i="1" a="1"/>
  <c r="S443" i="1" s="1"/>
  <c r="S444" i="1" a="1"/>
  <c r="S444" i="1" s="1"/>
  <c r="S445" i="1" a="1"/>
  <c r="S445" i="1" s="1"/>
  <c r="S446" i="1" a="1"/>
  <c r="S446" i="1" s="1"/>
  <c r="S447" i="1" a="1"/>
  <c r="S447" i="1" s="1"/>
  <c r="S448" i="1" a="1"/>
  <c r="S448" i="1" s="1"/>
  <c r="S449" i="1" a="1"/>
  <c r="S449" i="1" s="1"/>
  <c r="S450" i="1" a="1"/>
  <c r="S450" i="1" s="1"/>
  <c r="S451" i="1" a="1"/>
  <c r="S451" i="1" s="1"/>
  <c r="S452" i="1" a="1"/>
  <c r="S452" i="1" s="1"/>
  <c r="S453" i="1" a="1"/>
  <c r="S453" i="1" s="1"/>
  <c r="S454" i="1" a="1"/>
  <c r="S454" i="1" s="1"/>
  <c r="S455" i="1" a="1"/>
  <c r="S455" i="1" s="1"/>
  <c r="S456" i="1" a="1"/>
  <c r="S456" i="1" s="1"/>
  <c r="S457" i="1" a="1"/>
  <c r="S457" i="1" s="1"/>
  <c r="S458" i="1" a="1"/>
  <c r="S458" i="1" s="1"/>
  <c r="S459" i="1" a="1"/>
  <c r="S459" i="1" s="1"/>
  <c r="S460" i="1" a="1"/>
  <c r="S460" i="1" s="1"/>
  <c r="S461" i="1" a="1"/>
  <c r="S461" i="1" s="1"/>
  <c r="S462" i="1" a="1"/>
  <c r="S462" i="1" s="1"/>
  <c r="S463" i="1" a="1"/>
  <c r="S463" i="1" s="1"/>
  <c r="S464" i="1" a="1"/>
  <c r="S464" i="1" s="1"/>
  <c r="S465" i="1" a="1"/>
  <c r="S465" i="1" s="1"/>
  <c r="S466" i="1" a="1"/>
  <c r="S466" i="1" s="1"/>
  <c r="S467" i="1" a="1"/>
  <c r="S467" i="1" s="1"/>
  <c r="S468" i="1" a="1"/>
  <c r="S468" i="1" s="1"/>
  <c r="S469" i="1" a="1"/>
  <c r="S469" i="1" s="1"/>
  <c r="S470" i="1" a="1"/>
  <c r="S470" i="1" s="1"/>
  <c r="S471" i="1" a="1"/>
  <c r="S471" i="1" s="1"/>
  <c r="S472" i="1" a="1"/>
  <c r="S472" i="1" s="1"/>
  <c r="S473" i="1" a="1"/>
  <c r="S473" i="1" s="1"/>
  <c r="S474" i="1" a="1"/>
  <c r="S474" i="1" s="1"/>
  <c r="S475" i="1" a="1"/>
  <c r="S475" i="1" s="1"/>
  <c r="S476" i="1" a="1"/>
  <c r="S476" i="1" s="1"/>
  <c r="S477" i="1" a="1"/>
  <c r="S477" i="1" s="1"/>
  <c r="S478" i="1" a="1"/>
  <c r="S478" i="1" s="1"/>
  <c r="S479" i="1" a="1"/>
  <c r="S479" i="1" s="1"/>
  <c r="S480" i="1" a="1"/>
  <c r="S480" i="1" s="1"/>
  <c r="S481" i="1" a="1"/>
  <c r="S481" i="1" s="1"/>
  <c r="S482" i="1" a="1"/>
  <c r="S482" i="1" s="1"/>
  <c r="S483" i="1" a="1"/>
  <c r="S483" i="1" s="1"/>
  <c r="S484" i="1" a="1"/>
  <c r="S484" i="1" s="1"/>
  <c r="S485" i="1" a="1"/>
  <c r="S485" i="1" s="1"/>
  <c r="S486" i="1" a="1"/>
  <c r="S486" i="1" s="1"/>
  <c r="S487" i="1" a="1"/>
  <c r="S487" i="1" s="1"/>
  <c r="S488" i="1" a="1"/>
  <c r="S488" i="1" s="1"/>
  <c r="S489" i="1" a="1"/>
  <c r="S489" i="1" s="1"/>
  <c r="S490" i="1" a="1"/>
  <c r="S490" i="1" s="1"/>
  <c r="S491" i="1" a="1"/>
  <c r="S491" i="1" s="1"/>
  <c r="S492" i="1" a="1"/>
  <c r="S492" i="1" s="1"/>
  <c r="S493" i="1" a="1"/>
  <c r="S493" i="1" s="1"/>
  <c r="S494" i="1" a="1"/>
  <c r="S494" i="1" s="1"/>
  <c r="S495" i="1" a="1"/>
  <c r="S495" i="1" s="1"/>
  <c r="S496" i="1" a="1"/>
  <c r="S496" i="1" s="1"/>
  <c r="S497" i="1" a="1"/>
  <c r="S497" i="1" s="1"/>
  <c r="S498" i="1" a="1"/>
  <c r="S498" i="1" s="1"/>
  <c r="S499" i="1" a="1"/>
  <c r="S499" i="1" s="1"/>
  <c r="S500" i="1" a="1"/>
  <c r="S500" i="1" s="1"/>
  <c r="S501" i="1" a="1"/>
  <c r="S501" i="1" s="1"/>
  <c r="S502" i="1" a="1"/>
  <c r="S502" i="1" s="1"/>
  <c r="S503" i="1" a="1"/>
  <c r="S503" i="1" s="1"/>
  <c r="S504" i="1" a="1"/>
  <c r="S504" i="1" s="1"/>
  <c r="S505" i="1" a="1"/>
  <c r="S505" i="1" s="1"/>
  <c r="S506" i="1" a="1"/>
  <c r="S506" i="1" s="1"/>
  <c r="S507" i="1" a="1"/>
  <c r="S507" i="1" s="1"/>
  <c r="S508" i="1" a="1"/>
  <c r="S508" i="1" s="1"/>
  <c r="S509" i="1" a="1"/>
  <c r="S509" i="1" s="1"/>
  <c r="S510" i="1" a="1"/>
  <c r="S510" i="1" s="1"/>
  <c r="S511" i="1" a="1"/>
  <c r="S511" i="1" s="1"/>
  <c r="S512" i="1" a="1"/>
  <c r="S512" i="1" s="1"/>
  <c r="S513" i="1" a="1"/>
  <c r="S513" i="1" s="1"/>
  <c r="S514" i="1" a="1"/>
  <c r="S514" i="1" s="1"/>
  <c r="S515" i="1" a="1"/>
  <c r="S515" i="1" s="1"/>
  <c r="S516" i="1" a="1"/>
  <c r="S516" i="1" s="1"/>
  <c r="S517" i="1" a="1"/>
  <c r="S517" i="1" s="1"/>
  <c r="S518" i="1" a="1"/>
  <c r="S518" i="1" s="1"/>
  <c r="S519" i="1" a="1"/>
  <c r="S519" i="1" s="1"/>
  <c r="S520" i="1" a="1"/>
  <c r="S520" i="1" s="1"/>
  <c r="S521" i="1" a="1"/>
  <c r="S521" i="1" s="1"/>
  <c r="S522" i="1" a="1"/>
  <c r="S522" i="1" s="1"/>
  <c r="S523" i="1" a="1"/>
  <c r="S523" i="1" s="1"/>
  <c r="S524" i="1" a="1"/>
  <c r="S524" i="1" s="1"/>
  <c r="S525" i="1" a="1"/>
  <c r="S525" i="1" s="1"/>
  <c r="S526" i="1" a="1"/>
  <c r="S526" i="1" s="1"/>
  <c r="S527" i="1" a="1"/>
  <c r="S527" i="1" s="1"/>
  <c r="S528" i="1" a="1"/>
  <c r="S528" i="1" s="1"/>
  <c r="S529" i="1" a="1"/>
  <c r="S529" i="1" s="1"/>
  <c r="S530" i="1" a="1"/>
  <c r="S530" i="1" s="1"/>
  <c r="S531" i="1" a="1"/>
  <c r="S531" i="1" s="1"/>
  <c r="S532" i="1" a="1"/>
  <c r="S532" i="1" s="1"/>
  <c r="S533" i="1" a="1"/>
  <c r="S533" i="1" s="1"/>
  <c r="S534" i="1" a="1"/>
  <c r="S534" i="1" s="1"/>
  <c r="S535" i="1" a="1"/>
  <c r="S535" i="1" s="1"/>
  <c r="S536" i="1" a="1"/>
  <c r="S536" i="1" s="1"/>
  <c r="S537" i="1" a="1"/>
  <c r="S537" i="1" s="1"/>
  <c r="S538" i="1" a="1"/>
  <c r="S538" i="1" s="1"/>
  <c r="S539" i="1" a="1"/>
  <c r="S539" i="1" s="1"/>
  <c r="S540" i="1" a="1"/>
  <c r="S540" i="1" s="1"/>
  <c r="S541" i="1" a="1"/>
  <c r="S541" i="1" s="1"/>
  <c r="S542" i="1" a="1"/>
  <c r="S542" i="1" s="1"/>
  <c r="S543" i="1" a="1"/>
  <c r="S543" i="1" s="1"/>
  <c r="S544" i="1" a="1"/>
  <c r="S544" i="1" s="1"/>
  <c r="S545" i="1" a="1"/>
  <c r="S545" i="1" s="1"/>
  <c r="S546" i="1" a="1"/>
  <c r="S546" i="1" s="1"/>
  <c r="S547" i="1" a="1"/>
  <c r="S547" i="1" s="1"/>
  <c r="S548" i="1" a="1"/>
  <c r="S548" i="1" s="1"/>
  <c r="S549" i="1" a="1"/>
  <c r="S549" i="1" s="1"/>
  <c r="S550" i="1" a="1"/>
  <c r="S550" i="1" s="1"/>
  <c r="S551" i="1" a="1"/>
  <c r="S551" i="1" s="1"/>
  <c r="S552" i="1" a="1"/>
  <c r="S552" i="1" s="1"/>
  <c r="S553" i="1" a="1"/>
  <c r="S553" i="1" s="1"/>
  <c r="S554" i="1" a="1"/>
  <c r="S554" i="1" s="1"/>
  <c r="S555" i="1" a="1"/>
  <c r="S555" i="1" s="1"/>
  <c r="S556" i="1" a="1"/>
  <c r="S556" i="1" s="1"/>
  <c r="S557" i="1" a="1"/>
  <c r="S557" i="1" s="1"/>
  <c r="S558" i="1" a="1"/>
  <c r="S558" i="1" s="1"/>
  <c r="S559" i="1" a="1"/>
  <c r="S559" i="1" s="1"/>
  <c r="S560" i="1" a="1"/>
  <c r="S560" i="1" s="1"/>
  <c r="S561" i="1" a="1"/>
  <c r="S561" i="1" s="1"/>
  <c r="S562" i="1" a="1"/>
  <c r="S562" i="1" s="1"/>
  <c r="S563" i="1" a="1"/>
  <c r="S563" i="1" s="1"/>
  <c r="S564" i="1" a="1"/>
  <c r="S564" i="1" s="1"/>
  <c r="S565" i="1" a="1"/>
  <c r="S565" i="1" s="1"/>
  <c r="S566" i="1" a="1"/>
  <c r="S566" i="1" s="1"/>
  <c r="S567" i="1" a="1"/>
  <c r="S567" i="1" s="1"/>
  <c r="S568" i="1" a="1"/>
  <c r="S568" i="1" s="1"/>
  <c r="S569" i="1" a="1"/>
  <c r="S569" i="1" s="1"/>
  <c r="S570" i="1" a="1"/>
  <c r="S570" i="1" s="1"/>
  <c r="S571" i="1" a="1"/>
  <c r="S571" i="1" s="1"/>
  <c r="S572" i="1" a="1"/>
  <c r="S572" i="1" s="1"/>
  <c r="S573" i="1" a="1"/>
  <c r="S573" i="1" s="1"/>
  <c r="S574" i="1" a="1"/>
  <c r="S574" i="1" s="1"/>
  <c r="S575" i="1" a="1"/>
  <c r="S575" i="1" s="1"/>
  <c r="S576" i="1" a="1"/>
  <c r="S576" i="1" s="1"/>
  <c r="S577" i="1" a="1"/>
  <c r="S577" i="1" s="1"/>
  <c r="S578" i="1" a="1"/>
  <c r="S578" i="1" s="1"/>
  <c r="S579" i="1" a="1"/>
  <c r="S579" i="1" s="1"/>
  <c r="S580" i="1" a="1"/>
  <c r="S580" i="1" s="1"/>
  <c r="S581" i="1" a="1"/>
  <c r="S581" i="1" s="1"/>
  <c r="S582" i="1" a="1"/>
  <c r="S582" i="1" s="1"/>
  <c r="S583" i="1" a="1"/>
  <c r="S583" i="1" s="1"/>
  <c r="S584" i="1" a="1"/>
  <c r="S584" i="1" s="1"/>
  <c r="S585" i="1" a="1"/>
  <c r="S585" i="1" s="1"/>
  <c r="S586" i="1" a="1"/>
  <c r="S586" i="1" s="1"/>
  <c r="S587" i="1" a="1"/>
  <c r="S587" i="1" s="1"/>
  <c r="S588" i="1" a="1"/>
  <c r="S588" i="1" s="1"/>
  <c r="S589" i="1" a="1"/>
  <c r="S589" i="1" s="1"/>
  <c r="S590" i="1" a="1"/>
  <c r="S590" i="1" s="1"/>
  <c r="S591" i="1" a="1"/>
  <c r="S591" i="1" s="1"/>
  <c r="S592" i="1" a="1"/>
  <c r="S592" i="1" s="1"/>
  <c r="S593" i="1" a="1"/>
  <c r="S593" i="1" s="1"/>
  <c r="S594" i="1" a="1"/>
  <c r="S594" i="1" s="1"/>
  <c r="S595" i="1" a="1"/>
  <c r="S595" i="1" s="1"/>
  <c r="S596" i="1" a="1"/>
  <c r="S596" i="1" s="1"/>
  <c r="S597" i="1" a="1"/>
  <c r="S597" i="1" s="1"/>
  <c r="S598" i="1" a="1"/>
  <c r="S598" i="1" s="1"/>
  <c r="S599" i="1" a="1"/>
  <c r="S599" i="1" s="1"/>
  <c r="S600" i="1" a="1"/>
  <c r="S600" i="1" s="1"/>
  <c r="S601" i="1" a="1"/>
  <c r="S601" i="1" s="1"/>
  <c r="S602" i="1" a="1"/>
  <c r="S602" i="1" s="1"/>
  <c r="S603" i="1" a="1"/>
  <c r="S603" i="1" s="1"/>
  <c r="S604" i="1" a="1"/>
  <c r="S604" i="1" s="1"/>
  <c r="S605" i="1" a="1"/>
  <c r="S605" i="1" s="1"/>
  <c r="S606" i="1" a="1"/>
  <c r="S606" i="1" s="1"/>
  <c r="S607" i="1" a="1"/>
  <c r="S607" i="1" s="1"/>
  <c r="S608" i="1" a="1"/>
  <c r="S608" i="1" s="1"/>
  <c r="S609" i="1" a="1"/>
  <c r="S609" i="1" s="1"/>
  <c r="S610" i="1" a="1"/>
  <c r="S610" i="1" s="1"/>
  <c r="S611" i="1" a="1"/>
  <c r="S611" i="1" s="1"/>
  <c r="S612" i="1" a="1"/>
  <c r="S612" i="1" s="1"/>
  <c r="S613" i="1" a="1"/>
  <c r="S613" i="1" s="1"/>
  <c r="S614" i="1" a="1"/>
  <c r="S614" i="1" s="1"/>
  <c r="S615" i="1" a="1"/>
  <c r="S615" i="1" s="1"/>
  <c r="S616" i="1" a="1"/>
  <c r="S616" i="1" s="1"/>
  <c r="S617" i="1" a="1"/>
  <c r="S617" i="1" s="1"/>
  <c r="S618" i="1" a="1"/>
  <c r="S618" i="1" s="1"/>
  <c r="S619" i="1" a="1"/>
  <c r="S619" i="1" s="1"/>
  <c r="S620" i="1" a="1"/>
  <c r="S620" i="1" s="1"/>
  <c r="S621" i="1" a="1"/>
  <c r="S621" i="1" s="1"/>
  <c r="S622" i="1" a="1"/>
  <c r="S622" i="1" s="1"/>
  <c r="S623" i="1" a="1"/>
  <c r="S623" i="1" s="1"/>
  <c r="S624" i="1" a="1"/>
  <c r="S624" i="1" s="1"/>
  <c r="S625" i="1" a="1"/>
  <c r="S625" i="1" s="1"/>
  <c r="S626" i="1" a="1"/>
  <c r="S626" i="1" s="1"/>
  <c r="S627" i="1" a="1"/>
  <c r="S627" i="1" s="1"/>
  <c r="S628" i="1" a="1"/>
  <c r="S628" i="1" s="1"/>
  <c r="S629" i="1" a="1"/>
  <c r="S629" i="1" s="1"/>
  <c r="S630" i="1" a="1"/>
  <c r="S630" i="1" s="1"/>
  <c r="S631" i="1" a="1"/>
  <c r="S631" i="1" s="1"/>
  <c r="S632" i="1" a="1"/>
  <c r="S632" i="1" s="1"/>
  <c r="S633" i="1" a="1"/>
  <c r="S633" i="1" s="1"/>
  <c r="S634" i="1" a="1"/>
  <c r="S634" i="1" s="1"/>
  <c r="S635" i="1" a="1"/>
  <c r="S635" i="1" s="1"/>
  <c r="S636" i="1" a="1"/>
  <c r="S636" i="1" s="1"/>
  <c r="S637" i="1" a="1"/>
  <c r="S637" i="1" s="1"/>
  <c r="S638" i="1" a="1"/>
  <c r="S638" i="1" s="1"/>
  <c r="S639" i="1" a="1"/>
  <c r="S639" i="1" s="1"/>
  <c r="S640" i="1" a="1"/>
  <c r="S640" i="1" s="1"/>
  <c r="S641" i="1" a="1"/>
  <c r="S641" i="1" s="1"/>
  <c r="S642" i="1" a="1"/>
  <c r="S642" i="1" s="1"/>
  <c r="S643" i="1" a="1"/>
  <c r="S643" i="1" s="1"/>
  <c r="S644" i="1" a="1"/>
  <c r="S644" i="1" s="1"/>
  <c r="S645" i="1" a="1"/>
  <c r="S645" i="1" s="1"/>
  <c r="S646" i="1" a="1"/>
  <c r="S646" i="1" s="1"/>
  <c r="S647" i="1" a="1"/>
  <c r="S647" i="1" s="1"/>
  <c r="S648" i="1" a="1"/>
  <c r="S648" i="1" s="1"/>
  <c r="S649" i="1" a="1"/>
  <c r="S649" i="1" s="1"/>
  <c r="S650" i="1" a="1"/>
  <c r="S650" i="1" s="1"/>
  <c r="S651" i="1" a="1"/>
  <c r="S651" i="1" s="1"/>
  <c r="S652" i="1" a="1"/>
  <c r="S652" i="1" s="1"/>
  <c r="S653" i="1" a="1"/>
  <c r="S653" i="1" s="1"/>
  <c r="S654" i="1" a="1"/>
  <c r="S654" i="1" s="1"/>
  <c r="S655" i="1" a="1"/>
  <c r="S655" i="1" s="1"/>
  <c r="S656" i="1" a="1"/>
  <c r="S656" i="1" s="1"/>
  <c r="S657" i="1" a="1"/>
  <c r="S657" i="1" s="1"/>
  <c r="S658" i="1" a="1"/>
  <c r="S658" i="1" s="1"/>
  <c r="S659" i="1" a="1"/>
  <c r="S659" i="1" s="1"/>
  <c r="S660" i="1" a="1"/>
  <c r="S660" i="1" s="1"/>
  <c r="S661" i="1" a="1"/>
  <c r="S661" i="1" s="1"/>
  <c r="S662" i="1" a="1"/>
  <c r="S662" i="1" s="1"/>
  <c r="S663" i="1" a="1"/>
  <c r="S663" i="1" s="1"/>
  <c r="S664" i="1" a="1"/>
  <c r="S664" i="1" s="1"/>
  <c r="S665" i="1" a="1"/>
  <c r="S665" i="1" s="1"/>
  <c r="S666" i="1" a="1"/>
  <c r="S666" i="1" s="1"/>
  <c r="S667" i="1" a="1"/>
  <c r="S667" i="1" s="1"/>
  <c r="S668" i="1" a="1"/>
  <c r="S668" i="1" s="1"/>
  <c r="S669" i="1" a="1"/>
  <c r="S669" i="1" s="1"/>
  <c r="S670" i="1" a="1"/>
  <c r="S670" i="1" s="1"/>
  <c r="S671" i="1" a="1"/>
  <c r="S671" i="1" s="1"/>
  <c r="S672" i="1" a="1"/>
  <c r="S672" i="1" s="1"/>
  <c r="S673" i="1" a="1"/>
  <c r="S673" i="1" s="1"/>
  <c r="S674" i="1" a="1"/>
  <c r="S674" i="1" s="1"/>
  <c r="S675" i="1" a="1"/>
  <c r="S675" i="1" s="1"/>
  <c r="S676" i="1" a="1"/>
  <c r="S676" i="1" s="1"/>
  <c r="S677" i="1" a="1"/>
  <c r="S677" i="1" s="1"/>
  <c r="S678" i="1" a="1"/>
  <c r="S678" i="1" s="1"/>
  <c r="S679" i="1" a="1"/>
  <c r="S679" i="1" s="1"/>
  <c r="S680" i="1" a="1"/>
  <c r="S680" i="1" s="1"/>
  <c r="S681" i="1" a="1"/>
  <c r="S681" i="1" s="1"/>
  <c r="S682" i="1" a="1"/>
  <c r="S682" i="1" s="1"/>
  <c r="S683" i="1" a="1"/>
  <c r="S683" i="1" s="1"/>
  <c r="S684" i="1" a="1"/>
  <c r="S684" i="1" s="1"/>
  <c r="S685" i="1" a="1"/>
  <c r="S685" i="1" s="1"/>
  <c r="S686" i="1" a="1"/>
  <c r="S686" i="1" s="1"/>
  <c r="S687" i="1" a="1"/>
  <c r="S687" i="1" s="1"/>
  <c r="S688" i="1" a="1"/>
  <c r="S688" i="1" s="1"/>
  <c r="S689" i="1" a="1"/>
  <c r="S689" i="1" s="1"/>
  <c r="S690" i="1" a="1"/>
  <c r="S690" i="1" s="1"/>
  <c r="S691" i="1" a="1"/>
  <c r="S691" i="1" s="1"/>
  <c r="S692" i="1" a="1"/>
  <c r="S692" i="1" s="1"/>
  <c r="S693" i="1" a="1"/>
  <c r="S693" i="1" s="1"/>
  <c r="S694" i="1" a="1"/>
  <c r="S694" i="1" s="1"/>
  <c r="S695" i="1" a="1"/>
  <c r="S695" i="1" s="1"/>
  <c r="S696" i="1" a="1"/>
  <c r="S696" i="1" s="1"/>
  <c r="S697" i="1" a="1"/>
  <c r="S697" i="1" s="1"/>
  <c r="S698" i="1" a="1"/>
  <c r="S698" i="1" s="1"/>
  <c r="S699" i="1" a="1"/>
  <c r="S699" i="1" s="1"/>
  <c r="S700" i="1" a="1"/>
  <c r="S700" i="1" s="1"/>
  <c r="S701" i="1" a="1"/>
  <c r="S701" i="1" s="1"/>
  <c r="S702" i="1" a="1"/>
  <c r="S702" i="1" s="1"/>
  <c r="S703" i="1" a="1"/>
  <c r="S703" i="1" s="1"/>
  <c r="S704" i="1" a="1"/>
  <c r="S704" i="1" s="1"/>
  <c r="S705" i="1" a="1"/>
  <c r="S705" i="1" s="1"/>
  <c r="S706" i="1" a="1"/>
  <c r="S706" i="1" s="1"/>
  <c r="S707" i="1" a="1"/>
  <c r="S707" i="1" s="1"/>
  <c r="S708" i="1" a="1"/>
  <c r="S708" i="1" s="1"/>
  <c r="S709" i="1" a="1"/>
  <c r="S709" i="1" s="1"/>
  <c r="S710" i="1" a="1"/>
  <c r="S710" i="1" s="1"/>
  <c r="S711" i="1" a="1"/>
  <c r="S711" i="1" s="1"/>
  <c r="S712" i="1" a="1"/>
  <c r="S712" i="1" s="1"/>
  <c r="S713" i="1" a="1"/>
  <c r="S713" i="1" s="1"/>
  <c r="S714" i="1" a="1"/>
  <c r="S714" i="1" s="1"/>
  <c r="S715" i="1" a="1"/>
  <c r="S715" i="1" s="1"/>
  <c r="S716" i="1" a="1"/>
  <c r="S716" i="1" s="1"/>
  <c r="S717" i="1" a="1"/>
  <c r="S717" i="1" s="1"/>
  <c r="S718" i="1" a="1"/>
  <c r="S718" i="1" s="1"/>
  <c r="S719" i="1" a="1"/>
  <c r="S719" i="1" s="1"/>
  <c r="S720" i="1" a="1"/>
  <c r="S720" i="1" s="1"/>
  <c r="S721" i="1" a="1"/>
  <c r="S721" i="1" s="1"/>
  <c r="S722" i="1" a="1"/>
  <c r="S722" i="1" s="1"/>
  <c r="S723" i="1" a="1"/>
  <c r="S723" i="1" s="1"/>
  <c r="S724" i="1" a="1"/>
  <c r="S724" i="1" s="1"/>
  <c r="S725" i="1" a="1"/>
  <c r="S725" i="1" s="1"/>
  <c r="S726" i="1" a="1"/>
  <c r="S726" i="1" s="1"/>
  <c r="S727" i="1" a="1"/>
  <c r="S727" i="1" s="1"/>
  <c r="S728" i="1" a="1"/>
  <c r="S728" i="1" s="1"/>
  <c r="S729" i="1" a="1"/>
  <c r="S729" i="1" s="1"/>
  <c r="S730" i="1" a="1"/>
  <c r="S730" i="1" s="1"/>
  <c r="S731" i="1" a="1"/>
  <c r="S731" i="1" s="1"/>
  <c r="S732" i="1" a="1"/>
  <c r="S732" i="1" s="1"/>
  <c r="S733" i="1" a="1"/>
  <c r="S733" i="1" s="1"/>
  <c r="S734" i="1" a="1"/>
  <c r="S734" i="1" s="1"/>
  <c r="S735" i="1" a="1"/>
  <c r="S735" i="1" s="1"/>
  <c r="S736" i="1" a="1"/>
  <c r="S736" i="1" s="1"/>
  <c r="S737" i="1" a="1"/>
  <c r="S737" i="1" s="1"/>
  <c r="S738" i="1" a="1"/>
  <c r="S738" i="1" s="1"/>
  <c r="S739" i="1" a="1"/>
  <c r="S739" i="1" s="1"/>
  <c r="S740" i="1" a="1"/>
  <c r="S740" i="1" s="1"/>
  <c r="S741" i="1" a="1"/>
  <c r="S741" i="1" s="1"/>
  <c r="S742" i="1" a="1"/>
  <c r="S742" i="1" s="1"/>
  <c r="S743" i="1" a="1"/>
  <c r="S743" i="1" s="1"/>
  <c r="S744" i="1" a="1"/>
  <c r="S744" i="1" s="1"/>
  <c r="S745" i="1" a="1"/>
  <c r="S745" i="1" s="1"/>
  <c r="S746" i="1" a="1"/>
  <c r="S746" i="1" s="1"/>
  <c r="S747" i="1" a="1"/>
  <c r="S747" i="1" s="1"/>
  <c r="S748" i="1" a="1"/>
  <c r="S748" i="1" s="1"/>
  <c r="S749" i="1" a="1"/>
  <c r="S749" i="1" s="1"/>
  <c r="S750" i="1" a="1"/>
  <c r="S750" i="1" s="1"/>
  <c r="S751" i="1" a="1"/>
  <c r="S751" i="1" s="1"/>
  <c r="S752" i="1" a="1"/>
  <c r="S752" i="1" s="1"/>
  <c r="S753" i="1" a="1"/>
  <c r="S753" i="1" s="1"/>
  <c r="S754" i="1" a="1"/>
  <c r="S754" i="1" s="1"/>
  <c r="S755" i="1" a="1"/>
  <c r="S755" i="1" s="1"/>
  <c r="S756" i="1" a="1"/>
  <c r="S756" i="1" s="1"/>
  <c r="S757" i="1" a="1"/>
  <c r="S757" i="1" s="1"/>
  <c r="S758" i="1" a="1"/>
  <c r="S758" i="1" s="1"/>
  <c r="S759" i="1" a="1"/>
  <c r="S759" i="1" s="1"/>
  <c r="S760" i="1" a="1"/>
  <c r="S760" i="1" s="1"/>
  <c r="S761" i="1" a="1"/>
  <c r="S761" i="1" s="1"/>
  <c r="S762" i="1" a="1"/>
  <c r="S762" i="1" s="1"/>
  <c r="S763" i="1" a="1"/>
  <c r="S763" i="1" s="1"/>
  <c r="S764" i="1" a="1"/>
  <c r="S764" i="1" s="1"/>
  <c r="S765" i="1" a="1"/>
  <c r="S765" i="1" s="1"/>
  <c r="S766" i="1" a="1"/>
  <c r="S766" i="1" s="1"/>
  <c r="S767" i="1" a="1"/>
  <c r="S767" i="1" s="1"/>
  <c r="S768" i="1" a="1"/>
  <c r="S768" i="1" s="1"/>
  <c r="S769" i="1" a="1"/>
  <c r="S769" i="1" s="1"/>
  <c r="S770" i="1" a="1"/>
  <c r="S770" i="1" s="1"/>
  <c r="S771" i="1" a="1"/>
  <c r="S771" i="1" s="1"/>
  <c r="S772" i="1" a="1"/>
  <c r="S772" i="1" s="1"/>
  <c r="S773" i="1" a="1"/>
  <c r="S773" i="1" s="1"/>
  <c r="S774" i="1" a="1"/>
  <c r="S774" i="1" s="1"/>
  <c r="S775" i="1" a="1"/>
  <c r="S775" i="1" s="1"/>
  <c r="S776" i="1" a="1"/>
  <c r="S776" i="1" s="1"/>
  <c r="S777" i="1" a="1"/>
  <c r="S777" i="1" s="1"/>
  <c r="S778" i="1" a="1"/>
  <c r="S778" i="1" s="1"/>
  <c r="S779" i="1" a="1"/>
  <c r="S779" i="1" s="1"/>
  <c r="S780" i="1" a="1"/>
  <c r="S780" i="1" s="1"/>
  <c r="S781" i="1" a="1"/>
  <c r="S781" i="1" s="1"/>
  <c r="S782" i="1" a="1"/>
  <c r="S782" i="1" s="1"/>
  <c r="S783" i="1" a="1"/>
  <c r="S783" i="1" s="1"/>
  <c r="S784" i="1" a="1"/>
  <c r="S784" i="1" s="1"/>
  <c r="S785" i="1" a="1"/>
  <c r="S785" i="1" s="1"/>
  <c r="S786" i="1" a="1"/>
  <c r="S786" i="1" s="1"/>
  <c r="S787" i="1" a="1"/>
  <c r="S787" i="1" s="1"/>
  <c r="S788" i="1" a="1"/>
  <c r="S788" i="1" s="1"/>
  <c r="S789" i="1" a="1"/>
  <c r="S789" i="1" s="1"/>
  <c r="S790" i="1" a="1"/>
  <c r="S790" i="1" s="1"/>
  <c r="S791" i="1" a="1"/>
  <c r="S791" i="1" s="1"/>
  <c r="S792" i="1" a="1"/>
  <c r="S792" i="1" s="1"/>
  <c r="S793" i="1" a="1"/>
  <c r="S793" i="1" s="1"/>
  <c r="S794" i="1" a="1"/>
  <c r="S794" i="1" s="1"/>
  <c r="S795" i="1" a="1"/>
  <c r="S795" i="1" s="1"/>
  <c r="S796" i="1" a="1"/>
  <c r="S796" i="1" s="1"/>
  <c r="S797" i="1" a="1"/>
  <c r="S797" i="1" s="1"/>
  <c r="S798" i="1" a="1"/>
  <c r="S798" i="1" s="1"/>
  <c r="S799" i="1" a="1"/>
  <c r="S799" i="1" s="1"/>
  <c r="S800" i="1" a="1"/>
  <c r="S800" i="1" s="1"/>
  <c r="S801" i="1" a="1"/>
  <c r="S801" i="1" s="1"/>
  <c r="S802" i="1" a="1"/>
  <c r="S802" i="1" s="1"/>
  <c r="S803" i="1" a="1"/>
  <c r="S803" i="1" s="1"/>
  <c r="S804" i="1" a="1"/>
  <c r="S804" i="1" s="1"/>
  <c r="S805" i="1" a="1"/>
  <c r="S805" i="1" s="1"/>
  <c r="S806" i="1" a="1"/>
  <c r="S806" i="1" s="1"/>
  <c r="S807" i="1" a="1"/>
  <c r="S807" i="1" s="1"/>
  <c r="S808" i="1" a="1"/>
  <c r="S808" i="1" s="1"/>
  <c r="S809" i="1" a="1"/>
  <c r="S809" i="1" s="1"/>
  <c r="S810" i="1" a="1"/>
  <c r="S810" i="1" s="1"/>
  <c r="S811" i="1" a="1"/>
  <c r="S811" i="1" s="1"/>
  <c r="S812" i="1" a="1"/>
  <c r="S812" i="1" s="1"/>
  <c r="S813" i="1" a="1"/>
  <c r="S813" i="1" s="1"/>
  <c r="S814" i="1" a="1"/>
  <c r="S814" i="1" s="1"/>
  <c r="S815" i="1" a="1"/>
  <c r="S815" i="1" s="1"/>
  <c r="S816" i="1" a="1"/>
  <c r="S816" i="1" s="1"/>
  <c r="S817" i="1" a="1"/>
  <c r="S817" i="1" s="1"/>
  <c r="S818" i="1" a="1"/>
  <c r="S818" i="1" s="1"/>
  <c r="S819" i="1" a="1"/>
  <c r="S819" i="1" s="1"/>
  <c r="S820" i="1" a="1"/>
  <c r="S820" i="1" s="1"/>
  <c r="S821" i="1" a="1"/>
  <c r="S821" i="1" s="1"/>
  <c r="S822" i="1" a="1"/>
  <c r="S822" i="1" s="1"/>
  <c r="S823" i="1" a="1"/>
  <c r="S823" i="1" s="1"/>
  <c r="S824" i="1" a="1"/>
  <c r="S824" i="1" s="1"/>
  <c r="S825" i="1" a="1"/>
  <c r="S825" i="1" s="1"/>
  <c r="S826" i="1" a="1"/>
  <c r="S826" i="1" s="1"/>
  <c r="S827" i="1" a="1"/>
  <c r="S827" i="1" s="1"/>
  <c r="S828" i="1" a="1"/>
  <c r="S828" i="1" s="1"/>
  <c r="S829" i="1" a="1"/>
  <c r="S829" i="1" s="1"/>
  <c r="S830" i="1" a="1"/>
  <c r="S830" i="1" s="1"/>
  <c r="S831" i="1" a="1"/>
  <c r="S831" i="1" s="1"/>
  <c r="S832" i="1" a="1"/>
  <c r="S832" i="1" s="1"/>
  <c r="S833" i="1" a="1"/>
  <c r="S833" i="1" s="1"/>
  <c r="S834" i="1" a="1"/>
  <c r="S834" i="1" s="1"/>
  <c r="S835" i="1" a="1"/>
  <c r="S835" i="1" s="1"/>
  <c r="S836" i="1" a="1"/>
  <c r="S836" i="1" s="1"/>
  <c r="S837" i="1" a="1"/>
  <c r="S837" i="1" s="1"/>
  <c r="S838" i="1" a="1"/>
  <c r="S838" i="1" s="1"/>
  <c r="S839" i="1" a="1"/>
  <c r="S839" i="1" s="1"/>
  <c r="S840" i="1" a="1"/>
  <c r="S840" i="1" s="1"/>
  <c r="S841" i="1" a="1"/>
  <c r="S841" i="1" s="1"/>
  <c r="S842" i="1" a="1"/>
  <c r="S842" i="1" s="1"/>
  <c r="S843" i="1" a="1"/>
  <c r="S843" i="1" s="1"/>
  <c r="S844" i="1" a="1"/>
  <c r="S844" i="1" s="1"/>
  <c r="S845" i="1" a="1"/>
  <c r="S845" i="1" s="1"/>
  <c r="S846" i="1" a="1"/>
  <c r="S846" i="1" s="1"/>
  <c r="S847" i="1" a="1"/>
  <c r="S847" i="1" s="1"/>
  <c r="S848" i="1" a="1"/>
  <c r="S848" i="1" s="1"/>
  <c r="S849" i="1" a="1"/>
  <c r="S849" i="1" s="1"/>
  <c r="S850" i="1" a="1"/>
  <c r="S850" i="1" s="1"/>
  <c r="S851" i="1" a="1"/>
  <c r="S851" i="1" s="1"/>
  <c r="S852" i="1" a="1"/>
  <c r="S852" i="1" s="1"/>
  <c r="S853" i="1" a="1"/>
  <c r="S853" i="1" s="1"/>
  <c r="S854" i="1" a="1"/>
  <c r="S854" i="1" s="1"/>
  <c r="S855" i="1" a="1"/>
  <c r="S855" i="1" s="1"/>
  <c r="S856" i="1" a="1"/>
  <c r="S856" i="1" s="1"/>
  <c r="S857" i="1" a="1"/>
  <c r="S857" i="1" s="1"/>
  <c r="S858" i="1" a="1"/>
  <c r="S858" i="1" s="1"/>
  <c r="S859" i="1" a="1"/>
  <c r="S859" i="1" s="1"/>
  <c r="S860" i="1" a="1"/>
  <c r="S860" i="1" s="1"/>
  <c r="S861" i="1" a="1"/>
  <c r="S861" i="1" s="1"/>
  <c r="S862" i="1" a="1"/>
  <c r="S862" i="1" s="1"/>
  <c r="S863" i="1" a="1"/>
  <c r="S863" i="1" s="1"/>
  <c r="S864" i="1" a="1"/>
  <c r="S864" i="1" s="1"/>
  <c r="S865" i="1" a="1"/>
  <c r="S865" i="1" s="1"/>
  <c r="S866" i="1" a="1"/>
  <c r="S866" i="1" s="1"/>
  <c r="S867" i="1" a="1"/>
  <c r="S867" i="1" s="1"/>
  <c r="S868" i="1" a="1"/>
  <c r="S868" i="1" s="1"/>
  <c r="S869" i="1" a="1"/>
  <c r="S869" i="1" s="1"/>
  <c r="S870" i="1" a="1"/>
  <c r="S870" i="1" s="1"/>
  <c r="S871" i="1" a="1"/>
  <c r="S871" i="1" s="1"/>
  <c r="S872" i="1" a="1"/>
  <c r="S872" i="1" s="1"/>
  <c r="S873" i="1" a="1"/>
  <c r="S873" i="1" s="1"/>
  <c r="S874" i="1" a="1"/>
  <c r="S874" i="1" s="1"/>
  <c r="S875" i="1" a="1"/>
  <c r="S875" i="1" s="1"/>
  <c r="S876" i="1" a="1"/>
  <c r="S876" i="1" s="1"/>
  <c r="S877" i="1" a="1"/>
  <c r="S877" i="1" s="1"/>
  <c r="S878" i="1" a="1"/>
  <c r="S878" i="1" s="1"/>
  <c r="S879" i="1" a="1"/>
  <c r="S879" i="1" s="1"/>
  <c r="S880" i="1" a="1"/>
  <c r="S880" i="1" s="1"/>
  <c r="S881" i="1" a="1"/>
  <c r="S881" i="1" s="1"/>
  <c r="S882" i="1" a="1"/>
  <c r="S882" i="1" s="1"/>
  <c r="S883" i="1" a="1"/>
  <c r="S883" i="1" s="1"/>
  <c r="S884" i="1" a="1"/>
  <c r="S884" i="1" s="1"/>
  <c r="S885" i="1" a="1"/>
  <c r="S885" i="1" s="1"/>
  <c r="S886" i="1" a="1"/>
  <c r="S886" i="1" s="1"/>
  <c r="S887" i="1" a="1"/>
  <c r="S887" i="1" s="1"/>
  <c r="S888" i="1" a="1"/>
  <c r="S888" i="1" s="1"/>
  <c r="S889" i="1" a="1"/>
  <c r="S889" i="1" s="1"/>
  <c r="S890" i="1" a="1"/>
  <c r="S890" i="1" s="1"/>
  <c r="S891" i="1" a="1"/>
  <c r="S891" i="1" s="1"/>
  <c r="S892" i="1" a="1"/>
  <c r="S892" i="1" s="1"/>
  <c r="S893" i="1" a="1"/>
  <c r="S893" i="1" s="1"/>
  <c r="S894" i="1" a="1"/>
  <c r="S894" i="1" s="1"/>
  <c r="S895" i="1" a="1"/>
  <c r="S895" i="1" s="1"/>
  <c r="S896" i="1" a="1"/>
  <c r="S896" i="1" s="1"/>
  <c r="S897" i="1" a="1"/>
  <c r="S897" i="1" s="1"/>
  <c r="S898" i="1" a="1"/>
  <c r="S898" i="1" s="1"/>
  <c r="S899" i="1" a="1"/>
  <c r="S899" i="1" s="1"/>
  <c r="S900" i="1" a="1"/>
  <c r="S900" i="1" s="1"/>
  <c r="S901" i="1" a="1"/>
  <c r="S901" i="1" s="1"/>
  <c r="S902" i="1" a="1"/>
  <c r="S902" i="1" s="1"/>
  <c r="S903" i="1" a="1"/>
  <c r="S903" i="1" s="1"/>
  <c r="S904" i="1" a="1"/>
  <c r="S904" i="1" s="1"/>
  <c r="S905" i="1" a="1"/>
  <c r="S905" i="1" s="1"/>
  <c r="S906" i="1" a="1"/>
  <c r="S906" i="1" s="1"/>
  <c r="S907" i="1" a="1"/>
  <c r="S907" i="1" s="1"/>
  <c r="S908" i="1" a="1"/>
  <c r="S908" i="1" s="1"/>
  <c r="S909" i="1" a="1"/>
  <c r="S909" i="1" s="1"/>
  <c r="S910" i="1" a="1"/>
  <c r="S910" i="1" s="1"/>
  <c r="S911" i="1" a="1"/>
  <c r="S911" i="1" s="1"/>
  <c r="S912" i="1" a="1"/>
  <c r="S912" i="1" s="1"/>
  <c r="S913" i="1" a="1"/>
  <c r="S913" i="1" s="1"/>
  <c r="S914" i="1" a="1"/>
  <c r="S914" i="1" s="1"/>
  <c r="S915" i="1" a="1"/>
  <c r="S915" i="1" s="1"/>
  <c r="S916" i="1" a="1"/>
  <c r="S916" i="1" s="1"/>
  <c r="S917" i="1" a="1"/>
  <c r="S917" i="1" s="1"/>
  <c r="S918" i="1" a="1"/>
  <c r="S918" i="1" s="1"/>
  <c r="S919" i="1" a="1"/>
  <c r="S919" i="1" s="1"/>
  <c r="S920" i="1" a="1"/>
  <c r="S920" i="1" s="1"/>
  <c r="S921" i="1" a="1"/>
  <c r="S921" i="1" s="1"/>
  <c r="S922" i="1" a="1"/>
  <c r="S922" i="1" s="1"/>
  <c r="S923" i="1" a="1"/>
  <c r="S923" i="1" s="1"/>
  <c r="S924" i="1" a="1"/>
  <c r="S924" i="1" s="1"/>
  <c r="S925" i="1" a="1"/>
  <c r="S925" i="1" s="1"/>
  <c r="S926" i="1" a="1"/>
  <c r="S926" i="1" s="1"/>
  <c r="S927" i="1" a="1"/>
  <c r="S927" i="1" s="1"/>
  <c r="S928" i="1" a="1"/>
  <c r="S928" i="1" s="1"/>
  <c r="S929" i="1" a="1"/>
  <c r="S929" i="1" s="1"/>
  <c r="S930" i="1" a="1"/>
  <c r="S930" i="1" s="1"/>
  <c r="S931" i="1" a="1"/>
  <c r="S931" i="1" s="1"/>
  <c r="S932" i="1" a="1"/>
  <c r="S932" i="1" s="1"/>
  <c r="S933" i="1" a="1"/>
  <c r="S933" i="1" s="1"/>
  <c r="S934" i="1" a="1"/>
  <c r="S934" i="1" s="1"/>
  <c r="S935" i="1" a="1"/>
  <c r="S935" i="1" s="1"/>
  <c r="S936" i="1" a="1"/>
  <c r="S936" i="1" s="1"/>
  <c r="S937" i="1" a="1"/>
  <c r="S937" i="1" s="1"/>
  <c r="S938" i="1" a="1"/>
  <c r="S938" i="1" s="1"/>
  <c r="S939" i="1" a="1"/>
  <c r="S939" i="1" s="1"/>
  <c r="S940" i="1" a="1"/>
  <c r="S940" i="1" s="1"/>
  <c r="S941" i="1" a="1"/>
  <c r="S941" i="1" s="1"/>
  <c r="S942" i="1" a="1"/>
  <c r="S942" i="1" s="1"/>
  <c r="S943" i="1" a="1"/>
  <c r="S943" i="1" s="1"/>
  <c r="S944" i="1" a="1"/>
  <c r="S944" i="1" s="1"/>
  <c r="S945" i="1" a="1"/>
  <c r="S945" i="1" s="1"/>
  <c r="S946" i="1" a="1"/>
  <c r="S946" i="1" s="1"/>
  <c r="S947" i="1" a="1"/>
  <c r="S947" i="1" s="1"/>
  <c r="S948" i="1" a="1"/>
  <c r="S948" i="1" s="1"/>
  <c r="S949" i="1" a="1"/>
  <c r="S949" i="1" s="1"/>
  <c r="S950" i="1" a="1"/>
  <c r="S950" i="1" s="1"/>
  <c r="S951" i="1" a="1"/>
  <c r="S951" i="1" s="1"/>
  <c r="S952" i="1" a="1"/>
  <c r="S952" i="1" s="1"/>
  <c r="S953" i="1" a="1"/>
  <c r="S953" i="1" s="1"/>
  <c r="S954" i="1" a="1"/>
  <c r="S954" i="1" s="1"/>
  <c r="S955" i="1" a="1"/>
  <c r="S955" i="1" s="1"/>
  <c r="S956" i="1" a="1"/>
  <c r="S956" i="1" s="1"/>
  <c r="S957" i="1" a="1"/>
  <c r="S957" i="1" s="1"/>
  <c r="S958" i="1" a="1"/>
  <c r="S958" i="1" s="1"/>
  <c r="S959" i="1" a="1"/>
  <c r="S959" i="1" s="1"/>
  <c r="S960" i="1" a="1"/>
  <c r="S960" i="1" s="1"/>
  <c r="S961" i="1" a="1"/>
  <c r="S961" i="1" s="1"/>
  <c r="S962" i="1" a="1"/>
  <c r="S962" i="1" s="1"/>
  <c r="S963" i="1" a="1"/>
  <c r="S963" i="1" s="1"/>
  <c r="S964" i="1" a="1"/>
  <c r="S964" i="1" s="1"/>
  <c r="S965" i="1" a="1"/>
  <c r="S965" i="1" s="1"/>
  <c r="S966" i="1" a="1"/>
  <c r="S966" i="1" s="1"/>
  <c r="S967" i="1" a="1"/>
  <c r="S967" i="1" s="1"/>
  <c r="S968" i="1" a="1"/>
  <c r="S968" i="1" s="1"/>
  <c r="S969" i="1" a="1"/>
  <c r="S969" i="1" s="1"/>
  <c r="S970" i="1" a="1"/>
  <c r="S970" i="1" s="1"/>
  <c r="S971" i="1" a="1"/>
  <c r="S971" i="1" s="1"/>
  <c r="S972" i="1" a="1"/>
  <c r="S972" i="1" s="1"/>
  <c r="S973" i="1" a="1"/>
  <c r="S973" i="1" s="1"/>
  <c r="S974" i="1" a="1"/>
  <c r="S974" i="1" s="1"/>
  <c r="S975" i="1" a="1"/>
  <c r="S975" i="1" s="1"/>
  <c r="S976" i="1" a="1"/>
  <c r="S976" i="1" s="1"/>
  <c r="S977" i="1" a="1"/>
  <c r="S977" i="1" s="1"/>
  <c r="S978" i="1" a="1"/>
  <c r="S978" i="1" s="1"/>
  <c r="S979" i="1" a="1"/>
  <c r="S979" i="1" s="1"/>
  <c r="S980" i="1" a="1"/>
  <c r="S980" i="1" s="1"/>
  <c r="S981" i="1" a="1"/>
  <c r="S981" i="1" s="1"/>
  <c r="S982" i="1" a="1"/>
  <c r="S982" i="1" s="1"/>
  <c r="S983" i="1" a="1"/>
  <c r="S983" i="1" s="1"/>
  <c r="S984" i="1" a="1"/>
  <c r="S984" i="1" s="1"/>
  <c r="S985" i="1" a="1"/>
  <c r="S985" i="1" s="1"/>
  <c r="S986" i="1" a="1"/>
  <c r="S986" i="1" s="1"/>
  <c r="S987" i="1" a="1"/>
  <c r="S987" i="1" s="1"/>
  <c r="S988" i="1" a="1"/>
  <c r="S988" i="1" s="1"/>
  <c r="S989" i="1" a="1"/>
  <c r="S989" i="1" s="1"/>
  <c r="S990" i="1" a="1"/>
  <c r="S990" i="1" s="1"/>
  <c r="S991" i="1" a="1"/>
  <c r="S991" i="1" s="1"/>
  <c r="S992" i="1" a="1"/>
  <c r="S992" i="1" s="1"/>
  <c r="S993" i="1" a="1"/>
  <c r="S993" i="1" s="1"/>
  <c r="S994" i="1" a="1"/>
  <c r="S994" i="1" s="1"/>
  <c r="S995" i="1" a="1"/>
  <c r="S995" i="1" s="1"/>
  <c r="S996" i="1" a="1"/>
  <c r="S996" i="1" s="1"/>
  <c r="S997" i="1" a="1"/>
  <c r="S997" i="1" s="1"/>
  <c r="S998" i="1" a="1"/>
  <c r="S998" i="1" s="1"/>
  <c r="S999" i="1" a="1"/>
  <c r="S999" i="1" s="1"/>
  <c r="S1000" i="1" a="1"/>
  <c r="S1000" i="1" s="1"/>
  <c r="S1001" i="1" a="1"/>
  <c r="S1001" i="1" s="1"/>
  <c r="S1002" i="1" a="1"/>
  <c r="S1002" i="1" s="1"/>
  <c r="S1003" i="1" a="1"/>
  <c r="S1003" i="1" s="1"/>
  <c r="S1004" i="1" a="1"/>
  <c r="S1004" i="1" s="1"/>
  <c r="S1005" i="1" a="1"/>
  <c r="S1005" i="1" s="1"/>
  <c r="S1006" i="1" a="1"/>
  <c r="S1006" i="1" s="1"/>
  <c r="S1007" i="1" a="1"/>
  <c r="S1007" i="1" s="1"/>
  <c r="S1008" i="1" a="1"/>
  <c r="S1008" i="1" s="1"/>
  <c r="S1009" i="1" a="1"/>
  <c r="S1009" i="1" s="1"/>
  <c r="S1010" i="1" a="1"/>
  <c r="S1010" i="1" s="1"/>
  <c r="S1011" i="1" a="1"/>
  <c r="S1011" i="1" s="1"/>
  <c r="S1012" i="1" a="1"/>
  <c r="S1012" i="1" s="1"/>
  <c r="S1013" i="1" a="1"/>
  <c r="S1013" i="1" s="1"/>
  <c r="S1014" i="1" a="1"/>
  <c r="S1014" i="1" s="1"/>
  <c r="S1015" i="1" a="1"/>
  <c r="S1015" i="1" s="1"/>
  <c r="S1016" i="1" a="1"/>
  <c r="S1016" i="1" s="1"/>
  <c r="S1017" i="1" a="1"/>
  <c r="S1017" i="1" s="1"/>
  <c r="S1018" i="1" a="1"/>
  <c r="S1018" i="1" s="1"/>
  <c r="S1019" i="1" a="1"/>
  <c r="S1019" i="1" s="1"/>
  <c r="S1020" i="1" a="1"/>
  <c r="S1020" i="1" s="1"/>
  <c r="S1021" i="1" a="1"/>
  <c r="S1021" i="1" s="1"/>
  <c r="S1022" i="1" a="1"/>
  <c r="S1022" i="1" s="1"/>
  <c r="S1023" i="1" a="1"/>
  <c r="S1023" i="1" s="1"/>
  <c r="S1024" i="1" a="1"/>
  <c r="S1024" i="1" s="1"/>
  <c r="S1025" i="1" a="1"/>
  <c r="S1025" i="1" s="1"/>
  <c r="S1026" i="1" a="1"/>
  <c r="S1026" i="1" s="1"/>
  <c r="S1027" i="1" a="1"/>
  <c r="S1027" i="1" s="1"/>
  <c r="S1028" i="1" a="1"/>
  <c r="S1028" i="1" s="1"/>
  <c r="S1029" i="1" a="1"/>
  <c r="S1029" i="1" s="1"/>
  <c r="S1030" i="1" a="1"/>
  <c r="S1030" i="1" s="1"/>
  <c r="S1031" i="1" a="1"/>
  <c r="S1031" i="1" s="1"/>
  <c r="S1032" i="1" a="1"/>
  <c r="S1032" i="1" s="1"/>
  <c r="S1033" i="1" a="1"/>
  <c r="S1033" i="1" s="1"/>
  <c r="S1034" i="1" a="1"/>
  <c r="S1034" i="1" s="1"/>
  <c r="S1035" i="1" a="1"/>
  <c r="S1035" i="1" s="1"/>
  <c r="S1036" i="1" a="1"/>
  <c r="S1036" i="1" s="1"/>
  <c r="S1037" i="1" a="1"/>
  <c r="S1037" i="1" s="1"/>
  <c r="S1038" i="1" a="1"/>
  <c r="S1038" i="1" s="1"/>
  <c r="S1039" i="1" a="1"/>
  <c r="S1039" i="1" s="1"/>
  <c r="S1040" i="1" a="1"/>
  <c r="S1040" i="1" s="1"/>
  <c r="S1041" i="1" a="1"/>
  <c r="S1041" i="1" s="1"/>
  <c r="S1042" i="1" a="1"/>
  <c r="S1042" i="1" s="1"/>
  <c r="S1043" i="1" a="1"/>
  <c r="S1043" i="1" s="1"/>
  <c r="S1044" i="1" a="1"/>
  <c r="S1044" i="1" s="1"/>
  <c r="S1045" i="1" a="1"/>
  <c r="S1045" i="1" s="1"/>
  <c r="S1046" i="1" a="1"/>
  <c r="S1046" i="1" s="1"/>
  <c r="S1047" i="1" a="1"/>
  <c r="S1047" i="1" s="1"/>
  <c r="S1048" i="1" a="1"/>
  <c r="S1048" i="1" s="1"/>
  <c r="S1049" i="1" a="1"/>
  <c r="S1049" i="1" s="1"/>
  <c r="S1050" i="1" a="1"/>
  <c r="S1050" i="1" s="1"/>
  <c r="S1051" i="1" a="1"/>
  <c r="S1051" i="1" s="1"/>
  <c r="S1052" i="1" a="1"/>
  <c r="S1052" i="1" s="1"/>
  <c r="S1053" i="1" a="1"/>
  <c r="S1053" i="1" s="1"/>
  <c r="S1054" i="1" a="1"/>
  <c r="S1054" i="1" s="1"/>
  <c r="S1055" i="1" a="1"/>
  <c r="S1055" i="1" s="1"/>
  <c r="S1056" i="1" a="1"/>
  <c r="S1056" i="1" s="1"/>
  <c r="S1057" i="1" a="1"/>
  <c r="S1057" i="1" s="1"/>
  <c r="S1058" i="1" a="1"/>
  <c r="S1058" i="1" s="1"/>
  <c r="S1059" i="1" a="1"/>
  <c r="S1059" i="1" s="1"/>
  <c r="S1060" i="1" a="1"/>
  <c r="S1060" i="1" s="1"/>
  <c r="S1061" i="1" a="1"/>
  <c r="S1061" i="1" s="1"/>
  <c r="S1062" i="1" a="1"/>
  <c r="S1062" i="1" s="1"/>
  <c r="S1063" i="1" a="1"/>
  <c r="S1063" i="1" s="1"/>
  <c r="S1064" i="1" a="1"/>
  <c r="S1064" i="1" s="1"/>
  <c r="S1065" i="1" a="1"/>
  <c r="S1065" i="1" s="1"/>
  <c r="S1066" i="1" a="1"/>
  <c r="S1066" i="1" s="1"/>
  <c r="S1067" i="1" a="1"/>
  <c r="S1067" i="1" s="1"/>
  <c r="S1068" i="1" a="1"/>
  <c r="S1068" i="1" s="1"/>
  <c r="S1069" i="1" a="1"/>
  <c r="S1069" i="1" s="1"/>
  <c r="S1070" i="1" a="1"/>
  <c r="S1070" i="1" s="1"/>
  <c r="S1071" i="1" a="1"/>
  <c r="S1071" i="1" s="1"/>
  <c r="S1072" i="1" a="1"/>
  <c r="S1072" i="1" s="1"/>
  <c r="S1073" i="1" a="1"/>
  <c r="S1073" i="1" s="1"/>
  <c r="S1074" i="1" a="1"/>
  <c r="S1074" i="1" s="1"/>
  <c r="S1075" i="1" a="1"/>
  <c r="S1075" i="1" s="1"/>
  <c r="S1076" i="1" a="1"/>
  <c r="S1076" i="1" s="1"/>
  <c r="S1077" i="1" a="1"/>
  <c r="S1077" i="1" s="1"/>
  <c r="S1078" i="1" a="1"/>
  <c r="S1078" i="1" s="1"/>
  <c r="S1079" i="1" a="1"/>
  <c r="S1079" i="1" s="1"/>
  <c r="S1080" i="1" a="1"/>
  <c r="S1080" i="1" s="1"/>
  <c r="S1081" i="1" a="1"/>
  <c r="S1081" i="1" s="1"/>
  <c r="S1082" i="1" a="1"/>
  <c r="S1082" i="1" s="1"/>
  <c r="S1083" i="1" a="1"/>
  <c r="S1083" i="1" s="1"/>
  <c r="S1084" i="1" a="1"/>
  <c r="S1084" i="1" s="1"/>
  <c r="S1085" i="1" a="1"/>
  <c r="S1085" i="1" s="1"/>
  <c r="S1086" i="1" a="1"/>
  <c r="S1086" i="1" s="1"/>
  <c r="S1087" i="1" a="1"/>
  <c r="S1087" i="1" s="1"/>
  <c r="S1090" i="1" a="1"/>
  <c r="S1090" i="1" s="1"/>
  <c r="S1091" i="1" a="1"/>
  <c r="S1091" i="1" s="1"/>
  <c r="S1092" i="1" a="1"/>
  <c r="S1092" i="1" s="1"/>
  <c r="S1093" i="1" a="1"/>
  <c r="S1093" i="1" s="1"/>
  <c r="S1094" i="1" a="1"/>
  <c r="S1094" i="1" s="1"/>
  <c r="S1095" i="1" a="1"/>
  <c r="S1095" i="1" s="1"/>
  <c r="S1096" i="1" a="1"/>
  <c r="S1096" i="1" s="1"/>
  <c r="S1097" i="1" a="1"/>
  <c r="S1097" i="1" s="1"/>
  <c r="S1098" i="1" a="1"/>
  <c r="S1098" i="1" s="1"/>
  <c r="S1099" i="1" a="1"/>
  <c r="S1099" i="1" s="1"/>
  <c r="S1100" i="1" a="1"/>
  <c r="S1100" i="1" s="1"/>
  <c r="S1101" i="1" a="1"/>
  <c r="S1101" i="1" s="1"/>
  <c r="S1102" i="1" a="1"/>
  <c r="S1102" i="1" s="1"/>
  <c r="S1103" i="1" a="1"/>
  <c r="S1103" i="1" s="1"/>
  <c r="S1104" i="1" a="1"/>
  <c r="S1104" i="1" s="1"/>
  <c r="S1105" i="1" a="1"/>
  <c r="S1105" i="1" s="1"/>
  <c r="S1106" i="1" a="1"/>
  <c r="S1106" i="1" s="1"/>
  <c r="S1107" i="1" a="1"/>
  <c r="S1107" i="1" s="1"/>
  <c r="S1108" i="1" a="1"/>
  <c r="S1108" i="1" s="1"/>
  <c r="S1109" i="1" a="1"/>
  <c r="S1109" i="1" s="1"/>
  <c r="S1110" i="1" a="1"/>
  <c r="S1110" i="1" s="1"/>
  <c r="S1111" i="1" a="1"/>
  <c r="S1111" i="1" s="1"/>
  <c r="S1112" i="1" a="1"/>
  <c r="S1112" i="1" s="1"/>
  <c r="S1113" i="1" a="1"/>
  <c r="S1113" i="1" s="1"/>
  <c r="S1114" i="1" a="1"/>
  <c r="S1114" i="1" s="1"/>
  <c r="S1115" i="1" a="1"/>
  <c r="S1115" i="1" s="1"/>
  <c r="S1116" i="1" a="1"/>
  <c r="S1116" i="1" s="1"/>
  <c r="S1117" i="1" a="1"/>
  <c r="S1117" i="1" s="1"/>
  <c r="S1118" i="1" a="1"/>
  <c r="S1118" i="1" s="1"/>
  <c r="S1119" i="1" a="1"/>
  <c r="S1119" i="1" s="1"/>
  <c r="S1120" i="1" a="1"/>
  <c r="S1120" i="1" s="1"/>
  <c r="S1121" i="1" a="1"/>
  <c r="S1121" i="1" s="1"/>
  <c r="S1122" i="1" a="1"/>
  <c r="S1122" i="1" s="1"/>
  <c r="S1123" i="1" a="1"/>
  <c r="S1123" i="1" s="1"/>
  <c r="S1124" i="1" a="1"/>
  <c r="S1124" i="1" s="1"/>
  <c r="S1125" i="1" a="1"/>
  <c r="S1125" i="1" s="1"/>
  <c r="S1126" i="1" a="1"/>
  <c r="S1126" i="1" s="1"/>
  <c r="S1127" i="1" a="1"/>
  <c r="S1127" i="1" s="1"/>
  <c r="S1128" i="1" a="1"/>
  <c r="S1128" i="1" s="1"/>
  <c r="S1129" i="1" a="1"/>
  <c r="S1129" i="1" s="1"/>
  <c r="S1130" i="1" a="1"/>
  <c r="S1130" i="1" s="1"/>
  <c r="S1131" i="1" a="1"/>
  <c r="S1131" i="1" s="1"/>
  <c r="S1132" i="1" a="1"/>
  <c r="S1132" i="1" s="1"/>
  <c r="S1133" i="1" a="1"/>
  <c r="S1133" i="1" s="1"/>
  <c r="S1134" i="1" a="1"/>
  <c r="S1134" i="1" s="1"/>
  <c r="S1135" i="1" a="1"/>
  <c r="S1135" i="1" s="1"/>
  <c r="S1136" i="1" a="1"/>
  <c r="S1136" i="1" s="1"/>
  <c r="S1137" i="1" a="1"/>
  <c r="S1137" i="1" s="1"/>
  <c r="S1138" i="1" a="1"/>
  <c r="S1138" i="1" s="1"/>
  <c r="S1139" i="1" a="1"/>
  <c r="S1139" i="1" s="1"/>
  <c r="S1140" i="1" a="1"/>
  <c r="S1140" i="1" s="1"/>
  <c r="S1141" i="1" a="1"/>
  <c r="S1141" i="1" s="1"/>
  <c r="S1142" i="1" a="1"/>
  <c r="S1142" i="1" s="1"/>
  <c r="S1143" i="1" a="1"/>
  <c r="S1143" i="1" s="1"/>
  <c r="S1144" i="1" a="1"/>
  <c r="S1144" i="1" s="1"/>
  <c r="S1145" i="1" a="1"/>
  <c r="S1145" i="1" s="1"/>
  <c r="S1146" i="1" a="1"/>
  <c r="S1146" i="1" s="1"/>
  <c r="S1147" i="1" a="1"/>
  <c r="S1147" i="1" s="1"/>
  <c r="S1148" i="1" a="1"/>
  <c r="S1148" i="1" s="1"/>
  <c r="S1149" i="1" a="1"/>
  <c r="S1149" i="1" s="1"/>
  <c r="S1150" i="1" a="1"/>
  <c r="S1150" i="1" s="1"/>
  <c r="S1151" i="1" a="1"/>
  <c r="S1151" i="1" s="1"/>
  <c r="S1152" i="1" a="1"/>
  <c r="S1152" i="1" s="1"/>
  <c r="S1153" i="1" a="1"/>
  <c r="S1153" i="1" s="1"/>
  <c r="S1154" i="1" a="1"/>
  <c r="S1154" i="1" s="1"/>
  <c r="S1155" i="1" a="1"/>
  <c r="S1155" i="1" s="1"/>
  <c r="S1156" i="1" a="1"/>
  <c r="S1156" i="1" s="1"/>
  <c r="S1157" i="1" a="1"/>
  <c r="S1157" i="1" s="1"/>
  <c r="S1158" i="1" a="1"/>
  <c r="S1158" i="1" s="1"/>
  <c r="S1159" i="1" a="1"/>
  <c r="S1159" i="1" s="1"/>
  <c r="S1160" i="1" a="1"/>
  <c r="S1160" i="1" s="1"/>
  <c r="S1161" i="1" a="1"/>
  <c r="S1161" i="1" s="1"/>
  <c r="S1162" i="1" a="1"/>
  <c r="S1162" i="1" s="1"/>
  <c r="S1163" i="1" a="1"/>
  <c r="S1163" i="1" s="1"/>
  <c r="S1164" i="1" a="1"/>
  <c r="S1164" i="1" s="1"/>
  <c r="S1165" i="1" a="1"/>
  <c r="S1165" i="1" s="1"/>
  <c r="S1166" i="1" a="1"/>
  <c r="S1166" i="1" s="1"/>
  <c r="S1167" i="1" a="1"/>
  <c r="S1167" i="1" s="1"/>
  <c r="S1168" i="1" a="1"/>
  <c r="S1168" i="1" s="1"/>
  <c r="S1169" i="1" a="1"/>
  <c r="S1169" i="1" s="1"/>
  <c r="S1170" i="1" a="1"/>
  <c r="S1170" i="1" s="1"/>
  <c r="S1171" i="1" a="1"/>
  <c r="S1171" i="1" s="1"/>
  <c r="S1172" i="1" a="1"/>
  <c r="S1172" i="1" s="1"/>
  <c r="S1173" i="1" a="1"/>
  <c r="S1173" i="1" s="1"/>
  <c r="S1174" i="1" a="1"/>
  <c r="S1174" i="1" s="1"/>
  <c r="S1175" i="1" a="1"/>
  <c r="S1175" i="1" s="1"/>
  <c r="S1176" i="1" a="1"/>
  <c r="S1176" i="1" s="1"/>
  <c r="S1177" i="1" a="1"/>
  <c r="S1177" i="1" s="1"/>
  <c r="S1178" i="1" a="1"/>
  <c r="S1178" i="1" s="1"/>
  <c r="S1179" i="1" a="1"/>
  <c r="S1179" i="1" s="1"/>
  <c r="S1180" i="1" a="1"/>
  <c r="S1180" i="1" s="1"/>
  <c r="S1181" i="1" a="1"/>
  <c r="S1181" i="1" s="1"/>
  <c r="S1182" i="1" a="1"/>
  <c r="S1182" i="1" s="1"/>
  <c r="S1183" i="1" a="1"/>
  <c r="S1183" i="1" s="1"/>
  <c r="S1184" i="1" a="1"/>
  <c r="S1184" i="1" s="1"/>
  <c r="S1185" i="1" a="1"/>
  <c r="S1185" i="1" s="1"/>
  <c r="S1186" i="1" a="1"/>
  <c r="S1186" i="1" s="1"/>
  <c r="S1187" i="1" a="1"/>
  <c r="S1187" i="1" s="1"/>
  <c r="S1188" i="1" a="1"/>
  <c r="S1188" i="1" s="1"/>
  <c r="S1189" i="1" a="1"/>
  <c r="S1189" i="1" s="1"/>
  <c r="S1190" i="1" a="1"/>
  <c r="S1190" i="1" s="1"/>
  <c r="S1191" i="1" a="1"/>
  <c r="S1191" i="1" s="1"/>
  <c r="S1192" i="1" a="1"/>
  <c r="S1192" i="1" s="1"/>
  <c r="S1193" i="1" a="1"/>
  <c r="S1193" i="1" s="1"/>
  <c r="S1194" i="1" a="1"/>
  <c r="S1194" i="1" s="1"/>
  <c r="S1195" i="1" a="1"/>
  <c r="S1195" i="1" s="1"/>
  <c r="S1196" i="1" a="1"/>
  <c r="S1196" i="1" s="1"/>
  <c r="S1197" i="1" a="1"/>
  <c r="S1197" i="1" s="1"/>
  <c r="S1198" i="1" a="1"/>
  <c r="S1198" i="1" s="1"/>
  <c r="S1199" i="1" a="1"/>
  <c r="S1199" i="1" s="1"/>
  <c r="S1200" i="1" a="1"/>
  <c r="S1200" i="1" s="1"/>
  <c r="S1201" i="1" a="1"/>
  <c r="S1201" i="1" s="1"/>
  <c r="S1202" i="1" a="1"/>
  <c r="S1202" i="1" s="1"/>
  <c r="S1203" i="1" a="1"/>
  <c r="S1203" i="1" s="1"/>
  <c r="S1204" i="1" a="1"/>
  <c r="S1204" i="1" s="1"/>
  <c r="S1205" i="1" a="1"/>
  <c r="S1205" i="1" s="1"/>
  <c r="S1206" i="1" a="1"/>
  <c r="S1206" i="1" s="1"/>
  <c r="S1207" i="1" a="1"/>
  <c r="S1207" i="1" s="1"/>
  <c r="S1208" i="1" a="1"/>
  <c r="S1208" i="1" s="1"/>
  <c r="S1209" i="1" a="1"/>
  <c r="S1209" i="1" s="1"/>
  <c r="S1210" i="1" a="1"/>
  <c r="S1210" i="1" s="1"/>
  <c r="S1211" i="1" a="1"/>
  <c r="S1211" i="1" s="1"/>
  <c r="S1212" i="1" a="1"/>
  <c r="S1212" i="1" s="1"/>
  <c r="S1213" i="1" a="1"/>
  <c r="S1213" i="1" s="1"/>
  <c r="S1214" i="1" a="1"/>
  <c r="S1214" i="1" s="1"/>
  <c r="S1215" i="1" a="1"/>
  <c r="S1215" i="1" s="1"/>
  <c r="S1216" i="1" a="1"/>
  <c r="S1216" i="1" s="1"/>
  <c r="S1217" i="1" a="1"/>
  <c r="S1217" i="1" s="1"/>
  <c r="S1218" i="1" a="1"/>
  <c r="S1218" i="1" s="1"/>
  <c r="S1219" i="1" a="1"/>
  <c r="S1219" i="1" s="1"/>
  <c r="S1220" i="1" a="1"/>
  <c r="S1220" i="1" s="1"/>
  <c r="S1221" i="1" a="1"/>
  <c r="S1221" i="1" s="1"/>
  <c r="S1222" i="1" a="1"/>
  <c r="S1222" i="1" s="1"/>
  <c r="S1223" i="1" a="1"/>
  <c r="S1223" i="1" s="1"/>
  <c r="S1224" i="1" a="1"/>
  <c r="S1224" i="1" s="1"/>
  <c r="S1225" i="1" a="1"/>
  <c r="S1225" i="1" s="1"/>
  <c r="S1226" i="1" a="1"/>
  <c r="S1226" i="1" s="1"/>
  <c r="S1227" i="1" a="1"/>
  <c r="S1227" i="1" s="1"/>
  <c r="S1228" i="1" a="1"/>
  <c r="S1228" i="1" s="1"/>
  <c r="S1229" i="1" a="1"/>
  <c r="S1229" i="1" s="1"/>
  <c r="S1230" i="1" a="1"/>
  <c r="S1230" i="1" s="1"/>
  <c r="S1231" i="1" a="1"/>
  <c r="S1231" i="1" s="1"/>
  <c r="S1232" i="1" a="1"/>
  <c r="S1232" i="1" s="1"/>
  <c r="S1233" i="1" a="1"/>
  <c r="S1233" i="1" s="1"/>
  <c r="S1234" i="1" a="1"/>
  <c r="S1234" i="1" s="1"/>
  <c r="S1235" i="1" a="1"/>
  <c r="S1235" i="1" s="1"/>
  <c r="S1236" i="1" a="1"/>
  <c r="S1236" i="1" s="1"/>
  <c r="S1237" i="1" a="1"/>
  <c r="S1237" i="1" s="1"/>
  <c r="S1238" i="1" a="1"/>
  <c r="S1238" i="1" s="1"/>
  <c r="S1239" i="1" a="1"/>
  <c r="S1239" i="1" s="1"/>
  <c r="S1240" i="1" a="1"/>
  <c r="S1240" i="1" s="1"/>
  <c r="S1241" i="1" a="1"/>
  <c r="S1241" i="1" s="1"/>
  <c r="S1242" i="1" a="1"/>
  <c r="S1242" i="1" s="1"/>
  <c r="S1243" i="1" a="1"/>
  <c r="S1243" i="1" s="1"/>
  <c r="S1244" i="1" a="1"/>
  <c r="S1244" i="1" s="1"/>
  <c r="S1245" i="1" a="1"/>
  <c r="S1245" i="1" s="1"/>
  <c r="S1246" i="1" a="1"/>
  <c r="S1246" i="1" s="1"/>
  <c r="S1247" i="1" a="1"/>
  <c r="S1247" i="1" s="1"/>
  <c r="S1248" i="1" a="1"/>
  <c r="S1248" i="1" s="1"/>
  <c r="S1249" i="1" a="1"/>
  <c r="S1249" i="1" s="1"/>
  <c r="S1250" i="1" a="1"/>
  <c r="S1250" i="1" s="1"/>
  <c r="S1251" i="1" a="1"/>
  <c r="S1251" i="1" s="1"/>
  <c r="S1252" i="1" a="1"/>
  <c r="S1252" i="1" s="1"/>
  <c r="S1253" i="1" a="1"/>
  <c r="S1253" i="1" s="1"/>
  <c r="S1254" i="1" a="1"/>
  <c r="S1254" i="1" s="1"/>
  <c r="S1255" i="1" a="1"/>
  <c r="S1255" i="1" s="1"/>
  <c r="S1256" i="1" a="1"/>
  <c r="S1256" i="1" s="1"/>
  <c r="S1257" i="1" a="1"/>
  <c r="S1257" i="1" s="1"/>
  <c r="S1258" i="1" a="1"/>
  <c r="S1258" i="1" s="1"/>
  <c r="S1259" i="1" a="1"/>
  <c r="S1259" i="1" s="1"/>
  <c r="S1260" i="1" a="1"/>
  <c r="S1260" i="1" s="1"/>
  <c r="S1261" i="1" a="1"/>
  <c r="S1261" i="1" s="1"/>
  <c r="S1262" i="1" a="1"/>
  <c r="S1262" i="1" s="1"/>
  <c r="S1263" i="1" a="1"/>
  <c r="S1263" i="1" s="1"/>
  <c r="S1264" i="1" a="1"/>
  <c r="S1264" i="1" s="1"/>
  <c r="S1265" i="1" a="1"/>
  <c r="S1265" i="1" s="1"/>
  <c r="S1266" i="1" a="1"/>
  <c r="S1266" i="1" s="1"/>
  <c r="S1267" i="1" a="1"/>
  <c r="S1267" i="1" s="1"/>
  <c r="S1268" i="1" a="1"/>
  <c r="S1268" i="1" s="1"/>
  <c r="S1269" i="1" a="1"/>
  <c r="S1269" i="1" s="1"/>
  <c r="S1270" i="1" a="1"/>
  <c r="S1270" i="1" s="1"/>
  <c r="S1271" i="1" a="1"/>
  <c r="S1271" i="1" s="1"/>
  <c r="S1272" i="1" a="1"/>
  <c r="S1272" i="1" s="1"/>
  <c r="S1273" i="1" a="1"/>
  <c r="S1273" i="1" s="1"/>
  <c r="S1274" i="1" a="1"/>
  <c r="S1274" i="1" s="1"/>
  <c r="S1275" i="1" a="1"/>
  <c r="S1275" i="1" s="1"/>
  <c r="S1276" i="1" a="1"/>
  <c r="S1276" i="1" s="1"/>
  <c r="S1277" i="1" a="1"/>
  <c r="S1277" i="1" s="1"/>
  <c r="S1278" i="1" a="1"/>
  <c r="S1278" i="1" s="1"/>
  <c r="S1279" i="1" a="1"/>
  <c r="S1279" i="1" s="1"/>
  <c r="S1280" i="1" a="1"/>
  <c r="S1280" i="1" s="1"/>
  <c r="S1281" i="1" a="1"/>
  <c r="S1281" i="1" s="1"/>
  <c r="S1282" i="1" a="1"/>
  <c r="S1282" i="1" s="1"/>
  <c r="S1283" i="1" a="1"/>
  <c r="S1283" i="1" s="1"/>
  <c r="S1284" i="1" a="1"/>
  <c r="S1284" i="1" s="1"/>
  <c r="S1285" i="1" a="1"/>
  <c r="S1285" i="1" s="1"/>
  <c r="S1286" i="1" a="1"/>
  <c r="S1286" i="1" s="1"/>
  <c r="S1287" i="1" a="1"/>
  <c r="S1287" i="1" s="1"/>
  <c r="S1288" i="1" a="1"/>
  <c r="S1288" i="1" s="1"/>
  <c r="S1289" i="1" a="1"/>
  <c r="S1289" i="1" s="1"/>
  <c r="S1290" i="1" a="1"/>
  <c r="S1290" i="1" s="1"/>
  <c r="S1291" i="1" a="1"/>
  <c r="S1291" i="1" s="1"/>
  <c r="S1292" i="1" a="1"/>
  <c r="S1292" i="1" s="1"/>
  <c r="S1293" i="1" a="1"/>
  <c r="S1293" i="1" s="1"/>
  <c r="S1294" i="1" a="1"/>
  <c r="S1294" i="1" s="1"/>
  <c r="S1295" i="1" a="1"/>
  <c r="S1295" i="1" s="1"/>
  <c r="S1296" i="1" a="1"/>
  <c r="S1296" i="1" s="1"/>
  <c r="S1297" i="1" a="1"/>
  <c r="S1297" i="1" s="1"/>
  <c r="S1298" i="1" a="1"/>
  <c r="S1298" i="1" s="1"/>
  <c r="S1299" i="1" a="1"/>
  <c r="S1299" i="1" s="1"/>
  <c r="S1300" i="1" a="1"/>
  <c r="S1300" i="1" s="1"/>
  <c r="S1301" i="1" a="1"/>
  <c r="S1301" i="1" s="1"/>
  <c r="S1302" i="1" a="1"/>
  <c r="S1302" i="1" s="1"/>
  <c r="S1303" i="1" a="1"/>
  <c r="S1303" i="1" s="1"/>
  <c r="S1304" i="1" a="1"/>
  <c r="S1304" i="1" s="1"/>
  <c r="S1305" i="1" a="1"/>
  <c r="S1305" i="1" s="1"/>
  <c r="S1306" i="1" a="1"/>
  <c r="S1306" i="1" s="1"/>
  <c r="S1307" i="1" a="1"/>
  <c r="S1307" i="1" s="1"/>
  <c r="S1308" i="1" a="1"/>
  <c r="S1308" i="1" s="1"/>
  <c r="S1309" i="1" a="1"/>
  <c r="S1309" i="1" s="1"/>
  <c r="S1310" i="1" a="1"/>
  <c r="S1310" i="1" s="1"/>
  <c r="S1311" i="1" a="1"/>
  <c r="S1311" i="1" s="1"/>
  <c r="S1312" i="1" a="1"/>
  <c r="S1312" i="1" s="1"/>
  <c r="S1313" i="1" a="1"/>
  <c r="S1313" i="1" s="1"/>
  <c r="S1314" i="1" a="1"/>
  <c r="S1314" i="1" s="1"/>
  <c r="S1315" i="1" a="1"/>
  <c r="S1315" i="1" s="1"/>
  <c r="S1316" i="1" a="1"/>
  <c r="S1316" i="1" s="1"/>
  <c r="S1317" i="1" a="1"/>
  <c r="S1317" i="1" s="1"/>
  <c r="S1318" i="1" a="1"/>
  <c r="S1318" i="1" s="1"/>
  <c r="S1319" i="1" a="1"/>
  <c r="S1319" i="1" s="1"/>
  <c r="S1320" i="1" a="1"/>
  <c r="S1320" i="1" s="1"/>
  <c r="S1321" i="1" a="1"/>
  <c r="S1321" i="1" s="1"/>
  <c r="S1322" i="1" a="1"/>
  <c r="S1322" i="1" s="1"/>
  <c r="S1323" i="1" a="1"/>
  <c r="S1323" i="1" s="1"/>
  <c r="S1324" i="1" a="1"/>
  <c r="S1324" i="1" s="1"/>
  <c r="S1325" i="1" a="1"/>
  <c r="S1325" i="1" s="1"/>
  <c r="S1326" i="1" a="1"/>
  <c r="S1326" i="1" s="1"/>
  <c r="S1327" i="1" a="1"/>
  <c r="S1327" i="1" s="1"/>
  <c r="S1328" i="1" a="1"/>
  <c r="S1328" i="1" s="1"/>
  <c r="S1329" i="1" a="1"/>
  <c r="S1329" i="1" s="1"/>
  <c r="S1330" i="1" a="1"/>
  <c r="S1330" i="1" s="1"/>
  <c r="S1331" i="1" a="1"/>
  <c r="S1331" i="1" s="1"/>
  <c r="S1332" i="1" a="1"/>
  <c r="S1332" i="1" s="1"/>
  <c r="S1333" i="1" a="1"/>
  <c r="S1333" i="1" s="1"/>
  <c r="S1334" i="1" a="1"/>
  <c r="S1334" i="1" s="1"/>
  <c r="S1335" i="1" a="1"/>
  <c r="S1335" i="1" s="1"/>
  <c r="S1336" i="1" a="1"/>
  <c r="S1336" i="1" s="1"/>
  <c r="S1337" i="1" a="1"/>
  <c r="S1337" i="1" s="1"/>
  <c r="S1338" i="1" a="1"/>
  <c r="S1338" i="1" s="1"/>
  <c r="S1339" i="1" a="1"/>
  <c r="S1339" i="1" s="1"/>
  <c r="S1340" i="1" a="1"/>
  <c r="S1340" i="1" s="1"/>
  <c r="S1341" i="1" a="1"/>
  <c r="S1341" i="1" s="1"/>
  <c r="S1342" i="1" a="1"/>
  <c r="S1342" i="1" s="1"/>
  <c r="S1343" i="1" a="1"/>
  <c r="S1343" i="1" s="1"/>
  <c r="S1344" i="1" a="1"/>
  <c r="S1344" i="1" s="1"/>
  <c r="S1345" i="1" a="1"/>
  <c r="S1345" i="1" s="1"/>
  <c r="S1346" i="1" a="1"/>
  <c r="S1346" i="1" s="1"/>
  <c r="S1347" i="1" a="1"/>
  <c r="S1347" i="1" s="1"/>
  <c r="S1348" i="1" a="1"/>
  <c r="S1348" i="1" s="1"/>
  <c r="S1349" i="1" a="1"/>
  <c r="S1349" i="1" s="1"/>
  <c r="S1350" i="1" a="1"/>
  <c r="S1350" i="1" s="1"/>
  <c r="S1351" i="1" a="1"/>
  <c r="S1351" i="1" s="1"/>
  <c r="S1352" i="1" a="1"/>
  <c r="S1352" i="1" s="1"/>
  <c r="S1353" i="1" a="1"/>
  <c r="S1353" i="1" s="1"/>
  <c r="S1354" i="1" a="1"/>
  <c r="S1354" i="1" s="1"/>
  <c r="S1355" i="1" a="1"/>
  <c r="S1355" i="1" s="1"/>
  <c r="S1356" i="1" a="1"/>
  <c r="S1356" i="1" s="1"/>
  <c r="S1357" i="1" a="1"/>
  <c r="S1357" i="1" s="1"/>
  <c r="S1358" i="1" a="1"/>
  <c r="S1358" i="1" s="1"/>
  <c r="S1359" i="1" a="1"/>
  <c r="S1359" i="1" s="1"/>
  <c r="S1360" i="1" a="1"/>
  <c r="S1360" i="1" s="1"/>
  <c r="S1361" i="1" a="1"/>
  <c r="S1361" i="1" s="1"/>
  <c r="S1362" i="1" a="1"/>
  <c r="S1362" i="1" s="1"/>
  <c r="S1363" i="1" a="1"/>
  <c r="S1363" i="1" s="1"/>
  <c r="S1364" i="1" a="1"/>
  <c r="S1364" i="1" s="1"/>
  <c r="S1365" i="1" a="1"/>
  <c r="S1365" i="1" s="1"/>
  <c r="S1366" i="1" a="1"/>
  <c r="S1366" i="1" s="1"/>
  <c r="S1367" i="1" a="1"/>
  <c r="S1367" i="1" s="1"/>
  <c r="S1368" i="1" a="1"/>
  <c r="S1368" i="1" s="1"/>
  <c r="S1369" i="1" a="1"/>
  <c r="S1369" i="1" s="1"/>
  <c r="S1370" i="1" a="1"/>
  <c r="S1370" i="1" s="1"/>
  <c r="S1371" i="1" a="1"/>
  <c r="S1371" i="1" s="1"/>
  <c r="S1372" i="1" a="1"/>
  <c r="S1372" i="1" s="1"/>
  <c r="S1373" i="1" a="1"/>
  <c r="S1373" i="1" s="1"/>
  <c r="S1374" i="1" a="1"/>
  <c r="S1374" i="1" s="1"/>
  <c r="S1375" i="1" a="1"/>
  <c r="S1375" i="1" s="1"/>
  <c r="S1376" i="1" a="1"/>
  <c r="S1376" i="1" s="1"/>
  <c r="S1377" i="1" a="1"/>
  <c r="S1377" i="1" s="1"/>
  <c r="S1378" i="1" a="1"/>
  <c r="S1378" i="1" s="1"/>
  <c r="S1379" i="1" a="1"/>
  <c r="S1379" i="1" s="1"/>
  <c r="S1380" i="1" a="1"/>
  <c r="S1380" i="1" s="1"/>
  <c r="S1381" i="1" a="1"/>
  <c r="S1381" i="1" s="1"/>
  <c r="S1382" i="1" a="1"/>
  <c r="S1382" i="1" s="1"/>
  <c r="S1383" i="1" a="1"/>
  <c r="S1383" i="1" s="1"/>
  <c r="S1384" i="1" a="1"/>
  <c r="S1384" i="1" s="1"/>
  <c r="S1385" i="1" a="1"/>
  <c r="S1385" i="1" s="1"/>
  <c r="S1386" i="1" a="1"/>
  <c r="S1386" i="1" s="1"/>
  <c r="S1387" i="1" a="1"/>
  <c r="S1387" i="1" s="1"/>
  <c r="S1388" i="1" a="1"/>
  <c r="S1388" i="1" s="1"/>
  <c r="S1389" i="1" a="1"/>
  <c r="S1389" i="1" s="1"/>
  <c r="S1390" i="1" a="1"/>
  <c r="S1390" i="1" s="1"/>
  <c r="S1391" i="1" a="1"/>
  <c r="S1391" i="1" s="1"/>
  <c r="S1392" i="1" a="1"/>
  <c r="S1392" i="1" s="1"/>
  <c r="S1393" i="1" a="1"/>
  <c r="S1393" i="1" s="1"/>
  <c r="S1394" i="1" a="1"/>
  <c r="S1394" i="1" s="1"/>
  <c r="S1395" i="1" a="1"/>
  <c r="S1395" i="1" s="1"/>
  <c r="S1396" i="1" a="1"/>
  <c r="S1396" i="1" s="1"/>
  <c r="S1397" i="1" a="1"/>
  <c r="S1397" i="1" s="1"/>
  <c r="S1398" i="1" a="1"/>
  <c r="S1398" i="1" s="1"/>
  <c r="S1399" i="1" a="1"/>
  <c r="S1399" i="1" s="1"/>
  <c r="S1400" i="1" a="1"/>
  <c r="S1400" i="1" s="1"/>
  <c r="S1401" i="1" a="1"/>
  <c r="S1401" i="1" s="1"/>
  <c r="S1402" i="1" a="1"/>
  <c r="S1402" i="1" s="1"/>
  <c r="S1403" i="1" a="1"/>
  <c r="S1403" i="1" s="1"/>
  <c r="S1404" i="1" a="1"/>
  <c r="S1404" i="1" s="1"/>
  <c r="S1405" i="1" a="1"/>
  <c r="S1405" i="1" s="1"/>
  <c r="S1406" i="1" a="1"/>
  <c r="S1406" i="1" s="1"/>
  <c r="S1407" i="1" a="1"/>
  <c r="S1407" i="1" s="1"/>
  <c r="S1408" i="1" a="1"/>
  <c r="S1408" i="1" s="1"/>
  <c r="S1409" i="1" a="1"/>
  <c r="S1409" i="1" s="1"/>
  <c r="S1410" i="1" a="1"/>
  <c r="S1410" i="1" s="1"/>
  <c r="S1411" i="1" a="1"/>
  <c r="S1411" i="1" s="1"/>
  <c r="S1412" i="1" a="1"/>
  <c r="S1412" i="1" s="1"/>
  <c r="S1413" i="1" a="1"/>
  <c r="S1413" i="1" s="1"/>
  <c r="S1414" i="1" a="1"/>
  <c r="S1414" i="1" s="1"/>
  <c r="S1415" i="1" a="1"/>
  <c r="S1415" i="1" s="1"/>
  <c r="S1416" i="1" a="1"/>
  <c r="S1416" i="1" s="1"/>
  <c r="S1417" i="1" a="1"/>
  <c r="S1417" i="1" s="1"/>
  <c r="S1418" i="1" a="1"/>
  <c r="S1418" i="1" s="1"/>
  <c r="S1419" i="1" a="1"/>
  <c r="S1419" i="1" s="1"/>
  <c r="S1420" i="1" a="1"/>
  <c r="S1420" i="1" s="1"/>
  <c r="S1421" i="1" a="1"/>
  <c r="S1421" i="1" s="1"/>
  <c r="S1422" i="1" a="1"/>
  <c r="S1422" i="1" s="1"/>
  <c r="S1423" i="1" a="1"/>
  <c r="S1423" i="1" s="1"/>
  <c r="S1424" i="1" a="1"/>
  <c r="S1424" i="1" s="1"/>
  <c r="S1425" i="1" a="1"/>
  <c r="S1425" i="1" s="1"/>
  <c r="S1426" i="1" a="1"/>
  <c r="S1426" i="1" s="1"/>
  <c r="S1427" i="1" a="1"/>
  <c r="S1427" i="1" s="1"/>
  <c r="S1428" i="1" a="1"/>
  <c r="S1428" i="1" s="1"/>
  <c r="S1429" i="1" a="1"/>
  <c r="S1429" i="1" s="1"/>
  <c r="S1430" i="1" a="1"/>
  <c r="S1430" i="1" s="1"/>
  <c r="S1431" i="1" a="1"/>
  <c r="S1431" i="1" s="1"/>
  <c r="S1432" i="1" a="1"/>
  <c r="S1432" i="1" s="1"/>
  <c r="S1433" i="1" a="1"/>
  <c r="S1433" i="1" s="1"/>
  <c r="S1434" i="1" a="1"/>
  <c r="S1434" i="1" s="1"/>
  <c r="S1435" i="1" a="1"/>
  <c r="S1435" i="1" s="1"/>
  <c r="S1436" i="1" a="1"/>
  <c r="S1436" i="1" s="1"/>
  <c r="S1437" i="1" a="1"/>
  <c r="S1437" i="1" s="1"/>
  <c r="S1438" i="1" a="1"/>
  <c r="S1438" i="1" s="1"/>
  <c r="S1439" i="1" a="1"/>
  <c r="S1439" i="1" s="1"/>
  <c r="S1440" i="1" a="1"/>
  <c r="S1440" i="1" s="1"/>
  <c r="S1441" i="1" a="1"/>
  <c r="S1441" i="1" s="1"/>
  <c r="S1442" i="1" a="1"/>
  <c r="S1442" i="1" s="1"/>
  <c r="S1443" i="1" a="1"/>
  <c r="S1443" i="1" s="1"/>
  <c r="S1444" i="1" a="1"/>
  <c r="S1444" i="1" s="1"/>
  <c r="S1445" i="1" a="1"/>
  <c r="S1445" i="1" s="1"/>
  <c r="S1446" i="1" a="1"/>
  <c r="S1446" i="1" s="1"/>
  <c r="S1447" i="1" a="1"/>
  <c r="S1447" i="1" s="1"/>
  <c r="S1448" i="1" a="1"/>
  <c r="S1448" i="1" s="1"/>
  <c r="S1449" i="1" a="1"/>
  <c r="S1449" i="1" s="1"/>
  <c r="S1450" i="1" a="1"/>
  <c r="S1450" i="1" s="1"/>
  <c r="S1451" i="1" a="1"/>
  <c r="S1451" i="1" s="1"/>
  <c r="S1452" i="1" a="1"/>
  <c r="S1452" i="1" s="1"/>
  <c r="S1453" i="1" a="1"/>
  <c r="S1453" i="1" s="1"/>
  <c r="S1454" i="1" a="1"/>
  <c r="S1454" i="1" s="1"/>
  <c r="S1455" i="1" a="1"/>
  <c r="S1455" i="1" s="1"/>
  <c r="S1456" i="1" a="1"/>
  <c r="S1456" i="1" s="1"/>
  <c r="S1457" i="1" a="1"/>
  <c r="S1457" i="1" s="1"/>
  <c r="S1458" i="1" a="1"/>
  <c r="S1458" i="1" s="1"/>
  <c r="S1459" i="1" a="1"/>
  <c r="S1459" i="1" s="1"/>
  <c r="S1460" i="1" a="1"/>
  <c r="S1460" i="1" s="1"/>
  <c r="S1461" i="1" a="1"/>
  <c r="S1461" i="1" s="1"/>
  <c r="S1462" i="1" a="1"/>
  <c r="S1462" i="1" s="1"/>
  <c r="S1463" i="1" a="1"/>
  <c r="S1463" i="1" s="1"/>
  <c r="S1464" i="1" a="1"/>
  <c r="S1464" i="1" s="1"/>
  <c r="S1465" i="1" a="1"/>
  <c r="S1465" i="1" s="1"/>
  <c r="S1466" i="1" a="1"/>
  <c r="S1466" i="1" s="1"/>
  <c r="S1467" i="1" a="1"/>
  <c r="S1467" i="1" s="1"/>
  <c r="S1468" i="1" a="1"/>
  <c r="S1468" i="1" s="1"/>
  <c r="S1469" i="1" a="1"/>
  <c r="S1469" i="1" s="1"/>
  <c r="S1470" i="1" a="1"/>
  <c r="S1470" i="1" s="1"/>
  <c r="S1471" i="1" a="1"/>
  <c r="S1471" i="1" s="1"/>
  <c r="S1472" i="1" a="1"/>
  <c r="S1472" i="1" s="1"/>
  <c r="S1473" i="1" a="1"/>
  <c r="S1473" i="1" s="1"/>
  <c r="S1474" i="1" a="1"/>
  <c r="S1474" i="1" s="1"/>
  <c r="S1475" i="1" a="1"/>
  <c r="S1475" i="1" s="1"/>
  <c r="S1476" i="1" a="1"/>
  <c r="S1476" i="1" s="1"/>
  <c r="S1477" i="1" a="1"/>
  <c r="S1477" i="1" s="1"/>
  <c r="S1478" i="1" a="1"/>
  <c r="S1478" i="1" s="1"/>
  <c r="S1479" i="1" a="1"/>
  <c r="S1479" i="1" s="1"/>
  <c r="S1480" i="1" a="1"/>
  <c r="S1480" i="1" s="1"/>
  <c r="S1481" i="1" a="1"/>
  <c r="S1481" i="1" s="1"/>
  <c r="S1482" i="1" a="1"/>
  <c r="S1482" i="1" s="1"/>
  <c r="S1483" i="1" a="1"/>
  <c r="S1483" i="1" s="1"/>
  <c r="S1484" i="1" a="1"/>
  <c r="S1484" i="1" s="1"/>
  <c r="S1485" i="1" a="1"/>
  <c r="S1485" i="1" s="1"/>
  <c r="S1486" i="1" a="1"/>
  <c r="S1486" i="1" s="1"/>
  <c r="S1487" i="1" a="1"/>
  <c r="S1487" i="1" s="1"/>
  <c r="S1488" i="1" a="1"/>
  <c r="S1488" i="1" s="1"/>
  <c r="S1489" i="1" a="1"/>
  <c r="S1489" i="1" s="1"/>
  <c r="S1490" i="1" a="1"/>
  <c r="S1490" i="1" s="1"/>
  <c r="S1491" i="1" a="1"/>
  <c r="S1491" i="1" s="1"/>
  <c r="S1492" i="1" a="1"/>
  <c r="S1492" i="1" s="1"/>
  <c r="S1493" i="1" a="1"/>
  <c r="S1493" i="1" s="1"/>
  <c r="S1494" i="1" a="1"/>
  <c r="S1494" i="1" s="1"/>
  <c r="S1495" i="1" a="1"/>
  <c r="S1495" i="1" s="1"/>
  <c r="S1496" i="1" a="1"/>
  <c r="S1496" i="1" s="1"/>
  <c r="S1497" i="1" a="1"/>
  <c r="S1497" i="1" s="1"/>
  <c r="S1498" i="1" a="1"/>
  <c r="S1498" i="1" s="1"/>
  <c r="S1499" i="1" a="1"/>
  <c r="S1499" i="1" s="1"/>
  <c r="S1500" i="1" a="1"/>
  <c r="S1500" i="1" s="1"/>
  <c r="S1501" i="1" a="1"/>
  <c r="S1501" i="1" s="1"/>
  <c r="S1502" i="1" a="1"/>
  <c r="S1502" i="1" s="1"/>
  <c r="S1503" i="1" a="1"/>
  <c r="S1503" i="1" s="1"/>
  <c r="S1504" i="1" a="1"/>
  <c r="S1504" i="1" s="1"/>
  <c r="S1505" i="1" a="1"/>
  <c r="S1505" i="1" s="1"/>
  <c r="S1506" i="1" a="1"/>
  <c r="S1506" i="1" s="1"/>
  <c r="S1507" i="1" a="1"/>
  <c r="S1507" i="1" s="1"/>
  <c r="S1508" i="1" a="1"/>
  <c r="S1508" i="1" s="1"/>
  <c r="S1509" i="1" a="1"/>
  <c r="S1509" i="1" s="1"/>
  <c r="S1510" i="1" a="1"/>
  <c r="S1510" i="1" s="1"/>
  <c r="S1511" i="1" a="1"/>
  <c r="S1511" i="1" s="1"/>
  <c r="S1512" i="1" a="1"/>
  <c r="S1512" i="1" s="1"/>
  <c r="S1513" i="1" a="1"/>
  <c r="S1513" i="1" s="1"/>
  <c r="S1514" i="1" a="1"/>
  <c r="S1514" i="1" s="1"/>
  <c r="S1515" i="1" a="1"/>
  <c r="S1515" i="1" s="1"/>
  <c r="S1516" i="1" a="1"/>
  <c r="S1516" i="1" s="1"/>
  <c r="S1517" i="1" a="1"/>
  <c r="S1517" i="1" s="1"/>
  <c r="S1518" i="1" a="1"/>
  <c r="S1518" i="1" s="1"/>
  <c r="S1519" i="1" a="1"/>
  <c r="S1519" i="1" s="1"/>
  <c r="S1520" i="1" a="1"/>
  <c r="S1520" i="1" s="1"/>
  <c r="S1521" i="1" a="1"/>
  <c r="S1521" i="1" s="1"/>
  <c r="S1522" i="1" a="1"/>
  <c r="S1522" i="1" s="1"/>
  <c r="S1523" i="1" a="1"/>
  <c r="S1523" i="1" s="1"/>
  <c r="S1524" i="1" a="1"/>
  <c r="S1524" i="1" s="1"/>
  <c r="S1525" i="1" a="1"/>
  <c r="S1525" i="1" s="1"/>
  <c r="S1526" i="1" a="1"/>
  <c r="S1526" i="1" s="1"/>
  <c r="S1527" i="1" a="1"/>
  <c r="S1527" i="1" s="1"/>
  <c r="S1528" i="1" a="1"/>
  <c r="S1528" i="1" s="1"/>
  <c r="S1529" i="1" a="1"/>
  <c r="S1529" i="1" s="1"/>
  <c r="S1530" i="1" a="1"/>
  <c r="S1530" i="1" s="1"/>
  <c r="S1531" i="1" a="1"/>
  <c r="S1531" i="1" s="1"/>
  <c r="S1532" i="1" a="1"/>
  <c r="S1532" i="1" s="1"/>
  <c r="S1533" i="1" a="1"/>
  <c r="S1533" i="1" s="1"/>
  <c r="S1534" i="1" a="1"/>
  <c r="S1534" i="1" s="1"/>
  <c r="S1535" i="1" a="1"/>
  <c r="S1535" i="1" s="1"/>
  <c r="S1536" i="1" a="1"/>
  <c r="S1536" i="1" s="1"/>
  <c r="S1537" i="1" a="1"/>
  <c r="S1537" i="1" s="1"/>
  <c r="S1538" i="1" a="1"/>
  <c r="S1538" i="1" s="1"/>
  <c r="S1539" i="1" a="1"/>
  <c r="S1539" i="1" s="1"/>
  <c r="S1540" i="1" a="1"/>
  <c r="S1540" i="1" s="1"/>
  <c r="S1541" i="1" a="1"/>
  <c r="S1541" i="1" s="1"/>
  <c r="S1542" i="1" a="1"/>
  <c r="S1542" i="1" s="1"/>
  <c r="S1543" i="1" a="1"/>
  <c r="S1543" i="1" s="1"/>
  <c r="S1544" i="1" a="1"/>
  <c r="S1544" i="1" s="1"/>
  <c r="S1545" i="1" a="1"/>
  <c r="S1545" i="1" s="1"/>
  <c r="S1546" i="1" a="1"/>
  <c r="S1546" i="1" s="1"/>
  <c r="S1547" i="1" a="1"/>
  <c r="S1547" i="1" s="1"/>
  <c r="S1548" i="1" a="1"/>
  <c r="S1548" i="1" s="1"/>
  <c r="S1549" i="1" a="1"/>
  <c r="S1549" i="1" s="1"/>
  <c r="S1550" i="1" a="1"/>
  <c r="S1550" i="1" s="1"/>
  <c r="S1551" i="1" a="1"/>
  <c r="S1551" i="1" s="1"/>
  <c r="S1552" i="1" a="1"/>
  <c r="S1552" i="1" s="1"/>
  <c r="S1553" i="1" a="1"/>
  <c r="S1553" i="1" s="1"/>
  <c r="S1554" i="1" a="1"/>
  <c r="S1554" i="1" s="1"/>
  <c r="S1555" i="1" a="1"/>
  <c r="S1555" i="1" s="1"/>
  <c r="S1556" i="1" a="1"/>
  <c r="S1556" i="1" s="1"/>
  <c r="S1557" i="1" a="1"/>
  <c r="S1557" i="1" s="1"/>
  <c r="S1558" i="1" a="1"/>
  <c r="S1558" i="1" s="1"/>
  <c r="S1559" i="1" a="1"/>
  <c r="S1559" i="1" s="1"/>
  <c r="S1560" i="1" a="1"/>
  <c r="S1560" i="1" s="1"/>
  <c r="S1561" i="1" a="1"/>
  <c r="S1561" i="1" s="1"/>
  <c r="S1562" i="1" a="1"/>
  <c r="S1562" i="1" s="1"/>
  <c r="S1563" i="1" a="1"/>
  <c r="S1563" i="1" s="1"/>
  <c r="S1564" i="1" a="1"/>
  <c r="S1564" i="1" s="1"/>
  <c r="S1565" i="1" a="1"/>
  <c r="S1565" i="1" s="1"/>
  <c r="S1566" i="1" a="1"/>
  <c r="S1566" i="1" s="1"/>
  <c r="S1567" i="1" a="1"/>
  <c r="S1567" i="1" s="1"/>
  <c r="S1568" i="1" a="1"/>
  <c r="S1568" i="1" s="1"/>
  <c r="S1569" i="1" a="1"/>
  <c r="S1569" i="1" s="1"/>
  <c r="S1570" i="1" a="1"/>
  <c r="S1570" i="1" s="1"/>
  <c r="S1571" i="1" a="1"/>
  <c r="S1571" i="1" s="1"/>
  <c r="S1572" i="1" a="1"/>
  <c r="S1572" i="1" s="1"/>
  <c r="S1573" i="1" a="1"/>
  <c r="S1573" i="1" s="1"/>
  <c r="S1574" i="1" a="1"/>
  <c r="S1574" i="1" s="1"/>
  <c r="S1575" i="1" a="1"/>
  <c r="S1575" i="1" s="1"/>
  <c r="S1576" i="1" a="1"/>
  <c r="S1576" i="1" s="1"/>
  <c r="S1577" i="1" a="1"/>
  <c r="S1577" i="1" s="1"/>
  <c r="S1578" i="1" a="1"/>
  <c r="S1578" i="1" s="1"/>
  <c r="S1579" i="1" a="1"/>
  <c r="S1579" i="1" s="1"/>
  <c r="S1580" i="1" a="1"/>
  <c r="S1580" i="1" s="1"/>
  <c r="S1581" i="1" a="1"/>
  <c r="S1581" i="1" s="1"/>
  <c r="S1582" i="1" a="1"/>
  <c r="S1582" i="1" s="1"/>
  <c r="S1583" i="1" a="1"/>
  <c r="S1583" i="1" s="1"/>
  <c r="S1584" i="1" a="1"/>
  <c r="S1584" i="1" s="1"/>
  <c r="S1585" i="1" a="1"/>
  <c r="S1585" i="1" s="1"/>
  <c r="S1586" i="1" a="1"/>
  <c r="S1586" i="1" s="1"/>
  <c r="S1587" i="1" a="1"/>
  <c r="S1587" i="1" s="1"/>
  <c r="S1588" i="1" a="1"/>
  <c r="S1588" i="1" s="1"/>
  <c r="S1589" i="1" a="1"/>
  <c r="S1589" i="1" s="1"/>
  <c r="S1590" i="1" a="1"/>
  <c r="S1590" i="1" s="1"/>
  <c r="S1591" i="1" a="1"/>
  <c r="S1591" i="1" s="1"/>
  <c r="S1592" i="1" a="1"/>
  <c r="S1592" i="1" s="1"/>
  <c r="S1593" i="1" a="1"/>
  <c r="S1593" i="1" s="1"/>
  <c r="S1594" i="1" a="1"/>
  <c r="S1594" i="1" s="1"/>
  <c r="S1595" i="1" a="1"/>
  <c r="S1595" i="1" s="1"/>
  <c r="S1596" i="1" a="1"/>
  <c r="S1596" i="1" s="1"/>
  <c r="S1597" i="1" a="1"/>
  <c r="S1597" i="1" s="1"/>
  <c r="S1598" i="1" a="1"/>
  <c r="S1598" i="1" s="1"/>
  <c r="S1599" i="1" a="1"/>
  <c r="S1599" i="1" s="1"/>
  <c r="S1600" i="1" a="1"/>
  <c r="S1600" i="1" s="1"/>
  <c r="S1601" i="1" a="1"/>
  <c r="S1601" i="1" s="1"/>
  <c r="S1602" i="1" a="1"/>
  <c r="S1602" i="1" s="1"/>
  <c r="S1603" i="1" a="1"/>
  <c r="S1603" i="1" s="1"/>
  <c r="S1604" i="1" a="1"/>
  <c r="S1604" i="1" s="1"/>
  <c r="S1605" i="1" a="1"/>
  <c r="S1605" i="1" s="1"/>
  <c r="S1606" i="1" a="1"/>
  <c r="S1606" i="1" s="1"/>
  <c r="S1607" i="1" a="1"/>
  <c r="S1607" i="1" s="1"/>
  <c r="S1608" i="1" a="1"/>
  <c r="S1608" i="1" s="1"/>
  <c r="S1609" i="1" a="1"/>
  <c r="S1609" i="1" s="1"/>
  <c r="S1610" i="1" a="1"/>
  <c r="S1610" i="1" s="1"/>
  <c r="S1611" i="1" a="1"/>
  <c r="S1611" i="1" s="1"/>
  <c r="S1612" i="1" a="1"/>
  <c r="S1612" i="1" s="1"/>
  <c r="S1613" i="1" a="1"/>
  <c r="S1613" i="1" s="1"/>
  <c r="S1614" i="1" a="1"/>
  <c r="S1614" i="1" s="1"/>
  <c r="S1615" i="1" a="1"/>
  <c r="S1615" i="1" s="1"/>
  <c r="S1616" i="1" a="1"/>
  <c r="S1616" i="1" s="1"/>
  <c r="S1617" i="1" a="1"/>
  <c r="S1617" i="1" s="1"/>
  <c r="S1618" i="1" a="1"/>
  <c r="S1618" i="1" s="1"/>
  <c r="S1619" i="1" a="1"/>
  <c r="S1619" i="1" s="1"/>
  <c r="S1620" i="1" a="1"/>
  <c r="S1620" i="1" s="1"/>
  <c r="S1621" i="1" a="1"/>
  <c r="S1621" i="1" s="1"/>
  <c r="S1622" i="1" a="1"/>
  <c r="S1622" i="1" s="1"/>
  <c r="S1623" i="1" a="1"/>
  <c r="S1623" i="1" s="1"/>
  <c r="S1624" i="1" a="1"/>
  <c r="S1624" i="1" s="1"/>
  <c r="S1625" i="1" a="1"/>
  <c r="S1625" i="1" s="1"/>
  <c r="S1626" i="1" a="1"/>
  <c r="S1626" i="1" s="1"/>
  <c r="S1627" i="1" a="1"/>
  <c r="S1627" i="1" s="1"/>
  <c r="S1628" i="1" a="1"/>
  <c r="S1628" i="1" s="1"/>
  <c r="S1629" i="1" a="1"/>
  <c r="S1629" i="1" s="1"/>
  <c r="S1630" i="1" a="1"/>
  <c r="S1630" i="1" s="1"/>
  <c r="S1631" i="1" a="1"/>
  <c r="S1631" i="1" s="1"/>
  <c r="S1632" i="1" a="1"/>
  <c r="S1632" i="1" s="1"/>
  <c r="S1633" i="1" a="1"/>
  <c r="S1633" i="1" s="1"/>
  <c r="S1634" i="1" a="1"/>
  <c r="S1634" i="1" s="1"/>
  <c r="S1635" i="1" a="1"/>
  <c r="S1635" i="1" s="1"/>
  <c r="S1636" i="1" a="1"/>
  <c r="S1636" i="1" s="1"/>
  <c r="S1637" i="1" a="1"/>
  <c r="S1637" i="1" s="1"/>
  <c r="S1638" i="1" a="1"/>
  <c r="S1638" i="1" s="1"/>
  <c r="S1639" i="1" a="1"/>
  <c r="S1639" i="1" s="1"/>
  <c r="S1640" i="1" a="1"/>
  <c r="S1640" i="1" s="1"/>
  <c r="S1641" i="1" a="1"/>
  <c r="S1641" i="1" s="1"/>
  <c r="S1642" i="1" a="1"/>
  <c r="S1642" i="1" s="1"/>
  <c r="S1643" i="1" a="1"/>
  <c r="S1643" i="1" s="1"/>
  <c r="S1644" i="1" a="1"/>
  <c r="S1644" i="1" s="1"/>
  <c r="S1646" i="1" a="1"/>
  <c r="S1646" i="1" s="1"/>
  <c r="S1647" i="1" a="1"/>
  <c r="S1647" i="1" s="1"/>
  <c r="S1648" i="1" a="1"/>
  <c r="S1648" i="1" s="1"/>
  <c r="S1649" i="1" a="1"/>
  <c r="S1649" i="1" s="1"/>
  <c r="S1650" i="1" a="1"/>
  <c r="S1650" i="1" s="1"/>
  <c r="S1651" i="1" a="1"/>
  <c r="S1651" i="1" s="1"/>
  <c r="S1652" i="1" a="1"/>
  <c r="S1652" i="1" s="1"/>
  <c r="S1653" i="1" a="1"/>
  <c r="S1653" i="1" s="1"/>
  <c r="S1654" i="1" a="1"/>
  <c r="S1654" i="1" s="1"/>
  <c r="S1655" i="1" a="1"/>
  <c r="S1655" i="1" s="1"/>
  <c r="S1656" i="1" a="1"/>
  <c r="S1656" i="1" s="1"/>
  <c r="S1657" i="1" a="1"/>
  <c r="S1657" i="1" s="1"/>
  <c r="S1658" i="1" a="1"/>
  <c r="S1658" i="1" s="1"/>
  <c r="S1659" i="1" a="1"/>
  <c r="S1659" i="1" s="1"/>
  <c r="S1660" i="1" a="1"/>
  <c r="S1660" i="1" s="1"/>
  <c r="S1661" i="1" a="1"/>
  <c r="S1661" i="1" s="1"/>
  <c r="S1662" i="1" a="1"/>
  <c r="S1662" i="1" s="1"/>
  <c r="S1663" i="1" a="1"/>
  <c r="S1663" i="1" s="1"/>
  <c r="S1664" i="1" a="1"/>
  <c r="S1664" i="1" s="1"/>
  <c r="S1665" i="1" a="1"/>
  <c r="S1665" i="1" s="1"/>
  <c r="S1666" i="1" a="1"/>
  <c r="S1666" i="1" s="1"/>
  <c r="S1667" i="1" a="1"/>
  <c r="S1667" i="1" s="1"/>
  <c r="S1668" i="1" a="1"/>
  <c r="S1668" i="1" s="1"/>
  <c r="S1669" i="1" a="1"/>
  <c r="S1669" i="1" s="1"/>
  <c r="S1670" i="1" a="1"/>
  <c r="S1670" i="1" s="1"/>
  <c r="S1671" i="1" a="1"/>
  <c r="S1671" i="1" s="1"/>
  <c r="S1672" i="1" a="1"/>
  <c r="S1672" i="1" s="1"/>
  <c r="S1673" i="1" a="1"/>
  <c r="S1673" i="1" s="1"/>
  <c r="S1674" i="1" a="1"/>
  <c r="S1674" i="1" s="1"/>
  <c r="S1675" i="1" a="1"/>
  <c r="S1675" i="1" s="1"/>
  <c r="S1676" i="1" a="1"/>
  <c r="S1676" i="1" s="1"/>
  <c r="S1677" i="1" a="1"/>
  <c r="S1677" i="1" s="1"/>
  <c r="S1678" i="1" a="1"/>
  <c r="S1678" i="1" s="1"/>
  <c r="S1679" i="1" a="1"/>
  <c r="S1679" i="1" s="1"/>
  <c r="S1680" i="1" a="1"/>
  <c r="S1680" i="1" s="1"/>
  <c r="S1681" i="1" a="1"/>
  <c r="S1681" i="1" s="1"/>
  <c r="S1682" i="1" a="1"/>
  <c r="S1682" i="1" s="1"/>
  <c r="S1683" i="1" a="1"/>
  <c r="S1683" i="1" s="1"/>
  <c r="S1684" i="1" a="1"/>
  <c r="S1684" i="1" s="1"/>
  <c r="S1685" i="1" a="1"/>
  <c r="S1685" i="1" s="1"/>
  <c r="S1686" i="1" a="1"/>
  <c r="S1686" i="1" s="1"/>
  <c r="S1687" i="1" a="1"/>
  <c r="S1687" i="1" s="1"/>
  <c r="S1688" i="1" a="1"/>
  <c r="S1688" i="1" s="1"/>
  <c r="S1689" i="1" a="1"/>
  <c r="S1689" i="1" s="1"/>
  <c r="S1690" i="1" a="1"/>
  <c r="S1690" i="1" s="1"/>
  <c r="S1691" i="1" a="1"/>
  <c r="S1691" i="1" s="1"/>
  <c r="S1692" i="1" a="1"/>
  <c r="S1692" i="1" s="1"/>
  <c r="S1693" i="1" a="1"/>
  <c r="S1693" i="1" s="1"/>
  <c r="S1694" i="1" a="1"/>
  <c r="S1694" i="1" s="1"/>
  <c r="S1695" i="1" a="1"/>
  <c r="S1695" i="1" s="1"/>
  <c r="S1696" i="1" a="1"/>
  <c r="S1696" i="1" s="1"/>
  <c r="S1697" i="1" a="1"/>
  <c r="S1697" i="1" s="1"/>
  <c r="S1698" i="1" a="1"/>
  <c r="S1698" i="1" s="1"/>
  <c r="S1699" i="1" a="1"/>
  <c r="S1699" i="1" s="1"/>
  <c r="S1700" i="1" a="1"/>
  <c r="S1700" i="1" s="1"/>
  <c r="S1701" i="1" a="1"/>
  <c r="S1701" i="1" s="1"/>
  <c r="S1702" i="1" a="1"/>
  <c r="S1702" i="1" s="1"/>
  <c r="S1703" i="1" a="1"/>
  <c r="S1703" i="1" s="1"/>
  <c r="S1704" i="1" a="1"/>
  <c r="S1704" i="1" s="1"/>
  <c r="S1705" i="1" a="1"/>
  <c r="S1705" i="1" s="1"/>
  <c r="S1706" i="1" a="1"/>
  <c r="S1706" i="1" s="1"/>
  <c r="S1707" i="1" a="1"/>
  <c r="S1707" i="1" s="1"/>
  <c r="S1708" i="1" a="1"/>
  <c r="S1708" i="1" s="1"/>
  <c r="S1709" i="1" a="1"/>
  <c r="S1709" i="1" s="1"/>
  <c r="S1710" i="1" a="1"/>
  <c r="S1710" i="1" s="1"/>
  <c r="S1711" i="1" a="1"/>
  <c r="S1711" i="1" s="1"/>
  <c r="S1712" i="1" a="1"/>
  <c r="S1712" i="1" s="1"/>
  <c r="S1713" i="1" a="1"/>
  <c r="S1713" i="1" s="1"/>
  <c r="S1714" i="1" a="1"/>
  <c r="S1714" i="1" s="1"/>
  <c r="S1715" i="1" a="1"/>
  <c r="S1715" i="1" s="1"/>
  <c r="S1716" i="1" a="1"/>
  <c r="S1716" i="1" s="1"/>
  <c r="S1717" i="1" a="1"/>
  <c r="S1717" i="1" s="1"/>
  <c r="S1718" i="1" a="1"/>
  <c r="S1718" i="1" s="1"/>
  <c r="S1719" i="1" a="1"/>
  <c r="S1719" i="1" s="1"/>
  <c r="S1720" i="1" a="1"/>
  <c r="S1720" i="1" s="1"/>
  <c r="S1721" i="1" a="1"/>
  <c r="S1721" i="1" s="1"/>
  <c r="S1722" i="1" a="1"/>
  <c r="S1722" i="1" s="1"/>
  <c r="S1723" i="1" a="1"/>
  <c r="S1723" i="1" s="1"/>
  <c r="S1724" i="1" a="1"/>
  <c r="S1724" i="1" s="1"/>
  <c r="S1725" i="1" a="1"/>
  <c r="S1725" i="1" s="1"/>
  <c r="S1726" i="1" a="1"/>
  <c r="S1726" i="1" s="1"/>
  <c r="S1727" i="1" a="1"/>
  <c r="S1727" i="1" s="1"/>
  <c r="S1728" i="1" a="1"/>
  <c r="S1728" i="1" s="1"/>
  <c r="S1729" i="1" a="1"/>
  <c r="S1729" i="1" s="1"/>
  <c r="S1730" i="1" a="1"/>
  <c r="S1730" i="1" s="1"/>
  <c r="S1731" i="1" a="1"/>
  <c r="S1731" i="1" s="1"/>
  <c r="S1732" i="1" a="1"/>
  <c r="S1732" i="1" s="1"/>
  <c r="S1733" i="1" a="1"/>
  <c r="S1733" i="1" s="1"/>
  <c r="S1734" i="1" a="1"/>
  <c r="S1734" i="1" s="1"/>
  <c r="S1735" i="1" a="1"/>
  <c r="S1735" i="1" s="1"/>
  <c r="S1736" i="1" a="1"/>
  <c r="S1736" i="1" s="1"/>
  <c r="S1737" i="1" a="1"/>
  <c r="S1737" i="1" s="1"/>
  <c r="S1738" i="1" a="1"/>
  <c r="S1738" i="1" s="1"/>
  <c r="S1739" i="1" a="1"/>
  <c r="S1739" i="1" s="1"/>
  <c r="S1740" i="1" a="1"/>
  <c r="S1740" i="1" s="1"/>
  <c r="S1741" i="1" a="1"/>
  <c r="S1741" i="1" s="1"/>
  <c r="S1742" i="1" a="1"/>
  <c r="S1742" i="1" s="1"/>
  <c r="S1743" i="1" a="1"/>
  <c r="S1743" i="1" s="1"/>
  <c r="S1744" i="1" a="1"/>
  <c r="S1744" i="1" s="1"/>
  <c r="S1745" i="1" a="1"/>
  <c r="S1745" i="1" s="1"/>
  <c r="S1746" i="1" a="1"/>
  <c r="S1746" i="1" s="1"/>
  <c r="S1747" i="1" a="1"/>
  <c r="S1747" i="1" s="1"/>
  <c r="S1748" i="1" a="1"/>
  <c r="S1748" i="1" s="1"/>
  <c r="S1749" i="1" a="1"/>
  <c r="S1749" i="1" s="1"/>
  <c r="S1750" i="1" a="1"/>
  <c r="S1750" i="1" s="1"/>
  <c r="S1751" i="1" a="1"/>
  <c r="S1751" i="1" s="1"/>
  <c r="S1752" i="1" a="1"/>
  <c r="S1752" i="1" s="1"/>
  <c r="S1753" i="1" a="1"/>
  <c r="S1753" i="1" s="1"/>
  <c r="S1754" i="1" a="1"/>
  <c r="S1754" i="1" s="1"/>
  <c r="S1755" i="1" a="1"/>
  <c r="S1755" i="1" s="1"/>
  <c r="S1757" i="1" a="1"/>
  <c r="S1757" i="1" s="1"/>
  <c r="S1758" i="1" a="1"/>
  <c r="S1758" i="1" s="1"/>
  <c r="S1759" i="1" a="1"/>
  <c r="S1759" i="1" s="1"/>
  <c r="S1760" i="1" a="1"/>
  <c r="S1760" i="1" s="1"/>
  <c r="S1761" i="1" a="1"/>
  <c r="S1761" i="1" s="1"/>
  <c r="S1762" i="1" a="1"/>
  <c r="S1762" i="1" s="1"/>
  <c r="S1763" i="1" a="1"/>
  <c r="S1763" i="1" s="1"/>
  <c r="S1764" i="1" a="1"/>
  <c r="S1764" i="1" s="1"/>
  <c r="S1765" i="1" a="1"/>
  <c r="S1765" i="1" s="1"/>
  <c r="S1766" i="1" a="1"/>
  <c r="S1766" i="1" s="1"/>
  <c r="S1767" i="1" a="1"/>
  <c r="S1767" i="1" s="1"/>
  <c r="S1768" i="1" a="1"/>
  <c r="S1768" i="1" s="1"/>
  <c r="S1769" i="1" a="1"/>
  <c r="S1769" i="1" s="1"/>
  <c r="S1770" i="1" a="1"/>
  <c r="S1770" i="1" s="1"/>
  <c r="S1771" i="1" a="1"/>
  <c r="S1771" i="1" s="1"/>
  <c r="S1772" i="1" a="1"/>
  <c r="S1772" i="1" s="1"/>
  <c r="S1773" i="1" a="1"/>
  <c r="S1773" i="1" s="1"/>
  <c r="S1774" i="1" a="1"/>
  <c r="S1774" i="1" s="1"/>
  <c r="S1775" i="1" a="1"/>
  <c r="S1775" i="1" s="1"/>
  <c r="S1776" i="1" a="1"/>
  <c r="S1776" i="1" s="1"/>
  <c r="S1777" i="1" a="1"/>
  <c r="S1777" i="1" s="1"/>
  <c r="S1778" i="1" a="1"/>
  <c r="S1778" i="1" s="1"/>
  <c r="S1779" i="1" a="1"/>
  <c r="S1779" i="1" s="1"/>
  <c r="S1780" i="1" a="1"/>
  <c r="S1780" i="1" s="1"/>
  <c r="S1781" i="1" a="1"/>
  <c r="S1781" i="1" s="1"/>
  <c r="S1782" i="1" a="1"/>
  <c r="S1782" i="1" s="1"/>
  <c r="S1783" i="1" a="1"/>
  <c r="S1783" i="1" s="1"/>
  <c r="S1784" i="1" a="1"/>
  <c r="S1784" i="1" s="1"/>
  <c r="S1785" i="1" a="1"/>
  <c r="S1785" i="1" s="1"/>
  <c r="S1786" i="1" a="1"/>
  <c r="S1786" i="1" s="1"/>
  <c r="S1787" i="1" a="1"/>
  <c r="S1787" i="1" s="1"/>
  <c r="S1788" i="1" a="1"/>
  <c r="S1788" i="1" s="1"/>
  <c r="S1789" i="1" a="1"/>
  <c r="S1789" i="1" s="1"/>
  <c r="S1790" i="1" a="1"/>
  <c r="S1790" i="1" s="1"/>
  <c r="S1791" i="1" a="1"/>
  <c r="S1791" i="1" s="1"/>
  <c r="S1793" i="1" a="1"/>
  <c r="S1793" i="1" s="1"/>
  <c r="S1794" i="1" a="1"/>
  <c r="S1794" i="1" s="1"/>
  <c r="S1795" i="1" a="1"/>
  <c r="S1795" i="1" s="1"/>
  <c r="S1796" i="1" a="1"/>
  <c r="S1796" i="1" s="1"/>
  <c r="S1797" i="1" a="1"/>
  <c r="S1797" i="1" s="1"/>
  <c r="S1798" i="1" a="1"/>
  <c r="S1798" i="1" s="1"/>
  <c r="S1799" i="1" a="1"/>
  <c r="S1799" i="1" s="1"/>
  <c r="S1800" i="1" a="1"/>
  <c r="S1800" i="1" s="1"/>
  <c r="S1801" i="1" a="1"/>
  <c r="S1801" i="1" s="1"/>
  <c r="S1802" i="1" a="1"/>
  <c r="S1802" i="1" s="1"/>
  <c r="S1803" i="1" a="1"/>
  <c r="S1803" i="1" s="1"/>
  <c r="S1804" i="1" a="1"/>
  <c r="S1804" i="1" s="1"/>
  <c r="S1805" i="1" a="1"/>
  <c r="S1805" i="1" s="1"/>
  <c r="S1806" i="1" a="1"/>
  <c r="S1806" i="1" s="1"/>
  <c r="S1807" i="1" a="1"/>
  <c r="S1807" i="1" s="1"/>
  <c r="S1808" i="1" a="1"/>
  <c r="S1808" i="1" s="1"/>
  <c r="S1809" i="1" a="1"/>
  <c r="S1809" i="1" s="1"/>
  <c r="S1810" i="1" a="1"/>
  <c r="S1810" i="1" s="1"/>
  <c r="S1811" i="1" a="1"/>
  <c r="S1811" i="1" s="1"/>
  <c r="S1812" i="1" a="1"/>
  <c r="S1812" i="1" s="1"/>
  <c r="S1813" i="1" a="1"/>
  <c r="S1813" i="1" s="1"/>
  <c r="S1814" i="1" a="1"/>
  <c r="S1814" i="1" s="1"/>
  <c r="S1815" i="1" a="1"/>
  <c r="S1815" i="1" s="1"/>
  <c r="S1816" i="1" a="1"/>
  <c r="S1816" i="1" s="1"/>
  <c r="S1817" i="1" a="1"/>
  <c r="S1817" i="1" s="1"/>
  <c r="S1818" i="1" a="1"/>
  <c r="S1818" i="1" s="1"/>
  <c r="S1819" i="1" a="1"/>
  <c r="S1819" i="1" s="1"/>
  <c r="S1820" i="1" a="1"/>
  <c r="S1820" i="1" s="1"/>
  <c r="S1821" i="1" a="1"/>
  <c r="S1821" i="1" s="1"/>
  <c r="S1822" i="1" a="1"/>
  <c r="S1822" i="1" s="1"/>
  <c r="S1823" i="1" a="1"/>
  <c r="S1823" i="1" s="1"/>
  <c r="S1824" i="1" a="1"/>
  <c r="S1824" i="1" s="1"/>
  <c r="S1825" i="1" a="1"/>
  <c r="S1825" i="1" s="1"/>
  <c r="S1826" i="1" a="1"/>
  <c r="S1826" i="1" s="1"/>
  <c r="S1827" i="1" a="1"/>
  <c r="S1827" i="1" s="1"/>
  <c r="S1828" i="1" a="1"/>
  <c r="S1828" i="1" s="1"/>
  <c r="S1829" i="1" a="1"/>
  <c r="S1829" i="1" s="1"/>
  <c r="S1830" i="1" a="1"/>
  <c r="S1830" i="1" s="1"/>
  <c r="S1831" i="1" a="1"/>
  <c r="S1831" i="1" s="1"/>
  <c r="S1832" i="1" a="1"/>
  <c r="S1832" i="1" s="1"/>
  <c r="S1833" i="1" a="1"/>
  <c r="S1833" i="1" s="1"/>
  <c r="S1834" i="1" a="1"/>
  <c r="S1834" i="1" s="1"/>
  <c r="S1835" i="1" a="1"/>
  <c r="S1835" i="1" s="1"/>
  <c r="S1836" i="1" a="1"/>
  <c r="S1836" i="1" s="1"/>
  <c r="S1837" i="1" a="1"/>
  <c r="S1837" i="1" s="1"/>
  <c r="S1838" i="1" a="1"/>
  <c r="S1838" i="1" s="1"/>
  <c r="S1839" i="1" a="1"/>
  <c r="S1839" i="1" s="1"/>
  <c r="S1840" i="1" a="1"/>
  <c r="S1840" i="1" s="1"/>
  <c r="S1841" i="1" a="1"/>
  <c r="S1841" i="1" s="1"/>
  <c r="S1842" i="1" a="1"/>
  <c r="S1842" i="1" s="1"/>
  <c r="S1843" i="1" a="1"/>
  <c r="S1843" i="1" s="1"/>
  <c r="S1844" i="1" a="1"/>
  <c r="S1844" i="1" s="1"/>
  <c r="S1845" i="1" a="1"/>
  <c r="S1845" i="1" s="1"/>
  <c r="S1846" i="1" a="1"/>
  <c r="S1846" i="1" s="1"/>
  <c r="S1847" i="1" a="1"/>
  <c r="S1847" i="1" s="1"/>
  <c r="S1848" i="1" a="1"/>
  <c r="S1848" i="1" s="1"/>
  <c r="S1849" i="1" a="1"/>
  <c r="S1849" i="1" s="1"/>
  <c r="S1850" i="1" a="1"/>
  <c r="S1850" i="1" s="1"/>
  <c r="S1851" i="1" a="1"/>
  <c r="S1851" i="1" s="1"/>
  <c r="S1852" i="1" a="1"/>
  <c r="S1852" i="1" s="1"/>
  <c r="S1853" i="1" a="1"/>
  <c r="S1853" i="1" s="1"/>
  <c r="S1854" i="1" a="1"/>
  <c r="S1854" i="1" s="1"/>
  <c r="S1855" i="1" a="1"/>
  <c r="S1855" i="1" s="1"/>
  <c r="S1856" i="1" a="1"/>
  <c r="S1856" i="1" s="1"/>
  <c r="S1857" i="1" a="1"/>
  <c r="S1857" i="1" s="1"/>
  <c r="S1858" i="1" a="1"/>
  <c r="S1858" i="1" s="1"/>
  <c r="S1859" i="1" a="1"/>
  <c r="S1859" i="1" s="1"/>
  <c r="S1860" i="1" a="1"/>
  <c r="S1860" i="1" s="1"/>
  <c r="S1861" i="1" a="1"/>
  <c r="S1861" i="1" s="1"/>
  <c r="S1863" i="1" a="1"/>
  <c r="S1863" i="1" s="1"/>
  <c r="S1864" i="1" a="1"/>
  <c r="S1864" i="1" s="1"/>
  <c r="S1865" i="1" a="1"/>
  <c r="S1865" i="1" s="1"/>
  <c r="S1866" i="1" a="1"/>
  <c r="S1866" i="1" s="1"/>
  <c r="S1867" i="1" a="1"/>
  <c r="S1867" i="1" s="1"/>
  <c r="S1868" i="1" a="1"/>
  <c r="S1868" i="1" s="1"/>
  <c r="S1869" i="1" a="1"/>
  <c r="S1869" i="1" s="1"/>
  <c r="S1870" i="1" a="1"/>
  <c r="S1870" i="1" s="1"/>
  <c r="S1871" i="1" a="1"/>
  <c r="S1871" i="1" s="1"/>
  <c r="S1872" i="1" a="1"/>
  <c r="S1872" i="1" s="1"/>
  <c r="S1873" i="1" a="1"/>
  <c r="S1873" i="1" s="1"/>
  <c r="S1874" i="1" a="1"/>
  <c r="S1874" i="1" s="1"/>
  <c r="S1875" i="1" a="1"/>
  <c r="S1875" i="1" s="1"/>
  <c r="S1876" i="1" a="1"/>
  <c r="S1876" i="1" s="1"/>
  <c r="S1877" i="1" a="1"/>
  <c r="S1877" i="1" s="1"/>
  <c r="S1878" i="1" a="1"/>
  <c r="S1878" i="1" s="1"/>
  <c r="S1879" i="1" a="1"/>
  <c r="S1879" i="1" s="1"/>
  <c r="S1880" i="1" a="1"/>
  <c r="S1880" i="1" s="1"/>
  <c r="S1881" i="1" a="1"/>
  <c r="S1881" i="1" s="1"/>
  <c r="S1882" i="1" a="1"/>
  <c r="S1882" i="1" s="1"/>
  <c r="S1883" i="1" a="1"/>
  <c r="S1883" i="1" s="1"/>
  <c r="S1884" i="1" a="1"/>
  <c r="S1884" i="1" s="1"/>
  <c r="S1885" i="1" a="1"/>
  <c r="S1885" i="1" s="1"/>
  <c r="S1886" i="1" a="1"/>
  <c r="S1886" i="1" s="1"/>
  <c r="S1887" i="1" a="1"/>
  <c r="S1887" i="1" s="1"/>
  <c r="S1888" i="1" a="1"/>
  <c r="S1888" i="1" s="1"/>
  <c r="S1889" i="1" a="1"/>
  <c r="S1889" i="1" s="1"/>
  <c r="S1890" i="1" a="1"/>
  <c r="S1890" i="1" s="1"/>
  <c r="S1891" i="1" a="1"/>
  <c r="S1891" i="1" s="1"/>
  <c r="S1892" i="1" a="1"/>
  <c r="S1892" i="1" s="1"/>
  <c r="S1893" i="1" a="1"/>
  <c r="S1893" i="1" s="1"/>
  <c r="S1894" i="1" a="1"/>
  <c r="S1894" i="1" s="1"/>
  <c r="S1895" i="1" a="1"/>
  <c r="S1895" i="1" s="1"/>
  <c r="S1896" i="1" a="1"/>
  <c r="S1896" i="1" s="1"/>
  <c r="S1897" i="1" a="1"/>
  <c r="S1897" i="1" s="1"/>
  <c r="S1898" i="1" a="1"/>
  <c r="S1898" i="1" s="1"/>
  <c r="S1899" i="1" a="1"/>
  <c r="S1899" i="1" s="1"/>
  <c r="S1900" i="1" a="1"/>
  <c r="S1900" i="1" s="1"/>
  <c r="S1901" i="1" a="1"/>
  <c r="S1901" i="1" s="1"/>
  <c r="S1902" i="1" a="1"/>
  <c r="S1902" i="1" s="1"/>
  <c r="S1903" i="1" a="1"/>
  <c r="S1903" i="1" s="1"/>
  <c r="S1904" i="1" a="1"/>
  <c r="S1904" i="1" s="1"/>
  <c r="S1905" i="1" a="1"/>
  <c r="S1905" i="1" s="1"/>
  <c r="S1906" i="1" a="1"/>
  <c r="S1906" i="1" s="1"/>
  <c r="S1907" i="1" a="1"/>
  <c r="S1907" i="1" s="1"/>
  <c r="S1908" i="1" a="1"/>
  <c r="S1908" i="1" s="1"/>
  <c r="S1909" i="1" a="1"/>
  <c r="S1909" i="1" s="1"/>
  <c r="S1910" i="1" a="1"/>
  <c r="S1910" i="1" s="1"/>
  <c r="S1911" i="1" a="1"/>
  <c r="S1911" i="1" s="1"/>
  <c r="S1912" i="1" a="1"/>
  <c r="S1912" i="1" s="1"/>
  <c r="S1913" i="1" a="1"/>
  <c r="S1913" i="1" s="1"/>
  <c r="S1914" i="1" a="1"/>
  <c r="S1914" i="1" s="1"/>
  <c r="S1915" i="1" a="1"/>
  <c r="S1915" i="1" s="1"/>
  <c r="S1916" i="1" a="1"/>
  <c r="S1916" i="1" s="1"/>
  <c r="S1917" i="1" a="1"/>
  <c r="S1917" i="1" s="1"/>
  <c r="S1918" i="1" a="1"/>
  <c r="S1918" i="1" s="1"/>
  <c r="S1919" i="1" a="1"/>
  <c r="S1919" i="1" s="1"/>
  <c r="S1920" i="1" a="1"/>
  <c r="S1920" i="1" s="1"/>
  <c r="S1921" i="1" a="1"/>
  <c r="S1921" i="1" s="1"/>
  <c r="S1922" i="1" a="1"/>
  <c r="S1922" i="1" s="1"/>
  <c r="S1924" i="1" a="1"/>
  <c r="S1924" i="1" s="1"/>
  <c r="S1925" i="1" a="1"/>
  <c r="S1925" i="1" s="1"/>
  <c r="S1926" i="1" a="1"/>
  <c r="S1926" i="1" s="1"/>
  <c r="S1927" i="1" a="1"/>
  <c r="S1927" i="1" s="1"/>
  <c r="S1928" i="1" a="1"/>
  <c r="S1928" i="1" s="1"/>
  <c r="S1929" i="1" a="1"/>
  <c r="S1929" i="1" s="1"/>
  <c r="S1930" i="1" a="1"/>
  <c r="S1930" i="1" s="1"/>
  <c r="S1931" i="1" a="1"/>
  <c r="S1931" i="1" s="1"/>
  <c r="S1932" i="1" a="1"/>
  <c r="S1932" i="1" s="1"/>
  <c r="S1933" i="1" a="1"/>
  <c r="S1933" i="1" s="1"/>
  <c r="S1934" i="1" a="1"/>
  <c r="S1934" i="1" s="1"/>
  <c r="S1935" i="1" a="1"/>
  <c r="S1935" i="1" s="1"/>
  <c r="S1936" i="1" a="1"/>
  <c r="S1936" i="1" s="1"/>
  <c r="S1937" i="1" a="1"/>
  <c r="S1937" i="1" s="1"/>
  <c r="S1938" i="1" a="1"/>
  <c r="S1938" i="1" s="1"/>
  <c r="S1939" i="1" a="1"/>
  <c r="S1939" i="1" s="1"/>
  <c r="S1940" i="1" a="1"/>
  <c r="S1940" i="1" s="1"/>
  <c r="S1941" i="1" a="1"/>
  <c r="S1941" i="1" s="1"/>
  <c r="S1942" i="1" a="1"/>
  <c r="S1942" i="1" s="1"/>
  <c r="S1943" i="1" a="1"/>
  <c r="S1943" i="1" s="1"/>
  <c r="S1944" i="1" a="1"/>
  <c r="S1944" i="1" s="1"/>
  <c r="S1945" i="1" a="1"/>
  <c r="S1945" i="1" s="1"/>
  <c r="S1946" i="1" a="1"/>
  <c r="S1946" i="1" s="1"/>
  <c r="S1947" i="1" a="1"/>
  <c r="S1947" i="1" s="1"/>
  <c r="S1948" i="1" a="1"/>
  <c r="S1948" i="1" s="1"/>
  <c r="S1949" i="1" a="1"/>
  <c r="S1949" i="1" s="1"/>
  <c r="S1950" i="1" a="1"/>
  <c r="S1950" i="1" s="1"/>
  <c r="S1951" i="1" a="1"/>
  <c r="S1951" i="1" s="1"/>
  <c r="S1952" i="1" a="1"/>
  <c r="S1952" i="1" s="1"/>
  <c r="S1953" i="1" a="1"/>
  <c r="S1953" i="1" s="1"/>
  <c r="S1954" i="1" a="1"/>
  <c r="S1954" i="1" s="1"/>
  <c r="S1955" i="1" a="1"/>
  <c r="S1955" i="1" s="1"/>
  <c r="S1956" i="1" a="1"/>
  <c r="S1956" i="1" s="1"/>
  <c r="S1957" i="1" a="1"/>
  <c r="S1957" i="1" s="1"/>
  <c r="S1958" i="1" a="1"/>
  <c r="S1958" i="1" s="1"/>
  <c r="S1959" i="1" a="1"/>
  <c r="S1959" i="1" s="1"/>
  <c r="S1960" i="1" a="1"/>
  <c r="S1960" i="1" s="1"/>
  <c r="S1961" i="1" a="1"/>
  <c r="S1961" i="1" s="1"/>
  <c r="S1962" i="1" a="1"/>
  <c r="S1962" i="1" s="1"/>
  <c r="S1963" i="1" a="1"/>
  <c r="S1963" i="1" s="1"/>
  <c r="S1964" i="1" a="1"/>
  <c r="S1964" i="1" s="1"/>
  <c r="S1965" i="1" a="1"/>
  <c r="S1965" i="1" s="1"/>
  <c r="S1966" i="1" a="1"/>
  <c r="S1966" i="1" s="1"/>
  <c r="S1967" i="1" a="1"/>
  <c r="S1967" i="1" s="1"/>
  <c r="S1968" i="1" a="1"/>
  <c r="S1968" i="1" s="1"/>
  <c r="S1969" i="1" a="1"/>
  <c r="S1969" i="1" s="1"/>
  <c r="S1970" i="1" a="1"/>
  <c r="S1970" i="1" s="1"/>
  <c r="S1971" i="1" a="1"/>
  <c r="S1971" i="1" s="1"/>
  <c r="S1972" i="1" a="1"/>
  <c r="S1972" i="1" s="1"/>
  <c r="S1973" i="1" a="1"/>
  <c r="S1973" i="1" s="1"/>
  <c r="S1974" i="1" a="1"/>
  <c r="S1974" i="1" s="1"/>
  <c r="S1975" i="1" a="1"/>
  <c r="S1975" i="1" s="1"/>
  <c r="S1976" i="1" a="1"/>
  <c r="S1976" i="1" s="1"/>
  <c r="S1977" i="1" a="1"/>
  <c r="S1977" i="1" s="1"/>
  <c r="S1978" i="1" a="1"/>
  <c r="S1978" i="1" s="1"/>
  <c r="S1979" i="1" a="1"/>
  <c r="S1979" i="1" s="1"/>
  <c r="S1980" i="1" a="1"/>
  <c r="S1980" i="1" s="1"/>
  <c r="S1981" i="1" a="1"/>
  <c r="S1981" i="1" s="1"/>
  <c r="S1982" i="1" a="1"/>
  <c r="S1982" i="1" s="1"/>
  <c r="S1983" i="1" a="1"/>
  <c r="S1983" i="1" s="1"/>
  <c r="S1984" i="1" a="1"/>
  <c r="S1984" i="1" s="1"/>
  <c r="S1985" i="1" a="1"/>
  <c r="S1985" i="1" s="1"/>
  <c r="S1986" i="1" a="1"/>
  <c r="S1986" i="1" s="1"/>
  <c r="S1987" i="1" a="1"/>
  <c r="S1987" i="1" s="1"/>
  <c r="S1988" i="1" a="1"/>
  <c r="S1988" i="1" s="1"/>
  <c r="S1989" i="1" a="1"/>
  <c r="S1989" i="1" s="1"/>
  <c r="S1990" i="1" a="1"/>
  <c r="S1990" i="1" s="1"/>
  <c r="S1991" i="1" a="1"/>
  <c r="S1991" i="1" s="1"/>
  <c r="S1992" i="1" a="1"/>
  <c r="S1992" i="1" s="1"/>
  <c r="S1993" i="1" a="1"/>
  <c r="S1993" i="1" s="1"/>
  <c r="S1994" i="1" a="1"/>
  <c r="S1994" i="1" s="1"/>
  <c r="S1995" i="1" a="1"/>
  <c r="S1995" i="1" s="1"/>
  <c r="S1996" i="1" a="1"/>
  <c r="S1996" i="1" s="1"/>
  <c r="S1997" i="1" a="1"/>
  <c r="S1997" i="1" s="1"/>
  <c r="S1998" i="1" a="1"/>
  <c r="S1998" i="1" s="1"/>
  <c r="S1999" i="1" a="1"/>
  <c r="S1999" i="1" s="1"/>
  <c r="S2000" i="1" a="1"/>
  <c r="S2000" i="1" s="1"/>
  <c r="S2001" i="1" a="1"/>
  <c r="S2001" i="1" s="1"/>
  <c r="S2002" i="1" a="1"/>
  <c r="S2002" i="1" s="1"/>
  <c r="S2003" i="1" a="1"/>
  <c r="S2003" i="1" s="1"/>
  <c r="S2004" i="1" a="1"/>
  <c r="S2004" i="1" s="1"/>
  <c r="S2005" i="1" a="1"/>
  <c r="S2005" i="1" s="1"/>
  <c r="S2006" i="1" a="1"/>
  <c r="S2006" i="1" s="1"/>
  <c r="S2007" i="1" a="1"/>
  <c r="S2007" i="1" s="1"/>
  <c r="S2008" i="1" a="1"/>
  <c r="S2008" i="1" s="1"/>
  <c r="S2009" i="1" a="1"/>
  <c r="S2009" i="1" s="1"/>
  <c r="S2010" i="1" a="1"/>
  <c r="S2010" i="1" s="1"/>
  <c r="S2011" i="1" a="1"/>
  <c r="S2011" i="1" s="1"/>
  <c r="S2012" i="1" a="1"/>
  <c r="S2012" i="1" s="1"/>
  <c r="S2013" i="1" a="1"/>
  <c r="S2013" i="1" s="1"/>
  <c r="S2014" i="1" a="1"/>
  <c r="S2014" i="1" s="1"/>
  <c r="S2015" i="1" a="1"/>
  <c r="S2015" i="1" s="1"/>
  <c r="S2016" i="1" a="1"/>
  <c r="S2016" i="1" s="1"/>
  <c r="S2017" i="1" a="1"/>
  <c r="S2017" i="1" s="1"/>
  <c r="S2018" i="1" a="1"/>
  <c r="S2018" i="1" s="1"/>
  <c r="S2019" i="1" a="1"/>
  <c r="S2019" i="1" s="1"/>
  <c r="S2020" i="1" a="1"/>
  <c r="S2020" i="1" s="1"/>
  <c r="S2021" i="1" a="1"/>
  <c r="S2021" i="1" s="1"/>
  <c r="S2022" i="1" a="1"/>
  <c r="S2022" i="1" s="1"/>
  <c r="S2023" i="1" a="1"/>
  <c r="S2023" i="1" s="1"/>
  <c r="S2024" i="1" a="1"/>
  <c r="S2024" i="1" s="1"/>
  <c r="S2025" i="1" a="1"/>
  <c r="S2025" i="1" s="1"/>
  <c r="S2026" i="1" a="1"/>
  <c r="S2026" i="1" s="1"/>
  <c r="S2027" i="1" a="1"/>
  <c r="S2027" i="1" s="1"/>
  <c r="S2028" i="1" a="1"/>
  <c r="S2028" i="1" s="1"/>
  <c r="S2029" i="1" a="1"/>
  <c r="S2029" i="1" s="1"/>
  <c r="S2030" i="1" a="1"/>
  <c r="S2030" i="1" s="1"/>
  <c r="S2031" i="1" a="1"/>
  <c r="S2031" i="1" s="1"/>
  <c r="S2032" i="1" a="1"/>
  <c r="S2032" i="1" s="1"/>
  <c r="S2033" i="1" a="1"/>
  <c r="S2033" i="1" s="1"/>
  <c r="S2034" i="1" a="1"/>
  <c r="S2034" i="1" s="1"/>
  <c r="S2035" i="1" a="1"/>
  <c r="S2035" i="1" s="1"/>
  <c r="S2036" i="1" a="1"/>
  <c r="S2036" i="1" s="1"/>
  <c r="S2037" i="1" a="1"/>
  <c r="S2037" i="1" s="1"/>
  <c r="S2038" i="1" a="1"/>
  <c r="S2038" i="1" s="1"/>
  <c r="S2039" i="1" a="1"/>
  <c r="S2039" i="1" s="1"/>
  <c r="S2040" i="1" a="1"/>
  <c r="S2040" i="1" s="1"/>
  <c r="S2041" i="1" a="1"/>
  <c r="S2041" i="1" s="1"/>
  <c r="S2042" i="1" a="1"/>
  <c r="S2042" i="1" s="1"/>
  <c r="S2043" i="1" a="1"/>
  <c r="S2043" i="1" s="1"/>
  <c r="S2044" i="1" a="1"/>
  <c r="S2044" i="1" s="1"/>
  <c r="S2045" i="1" a="1"/>
  <c r="S2045" i="1" s="1"/>
  <c r="S2046" i="1" a="1"/>
  <c r="S2046" i="1" s="1"/>
  <c r="S2047" i="1" a="1"/>
  <c r="S2047" i="1" s="1"/>
  <c r="S2048" i="1" a="1"/>
  <c r="S2048" i="1" s="1"/>
  <c r="S2049" i="1" a="1"/>
  <c r="S2049" i="1" s="1"/>
  <c r="S2050" i="1" a="1"/>
  <c r="S2050" i="1" s="1"/>
  <c r="S2051" i="1" a="1"/>
  <c r="S2051" i="1" s="1"/>
  <c r="S2052" i="1" a="1"/>
  <c r="S2052" i="1" s="1"/>
  <c r="S2053" i="1" a="1"/>
  <c r="S2053" i="1" s="1"/>
  <c r="S2054" i="1" a="1"/>
  <c r="S2054" i="1" s="1"/>
  <c r="S2055" i="1" a="1"/>
  <c r="S2055" i="1" s="1"/>
  <c r="S2056" i="1" a="1"/>
  <c r="S2056" i="1" s="1"/>
  <c r="S2057" i="1" a="1"/>
  <c r="S2057" i="1" s="1"/>
  <c r="S2058" i="1" a="1"/>
  <c r="S2058" i="1" s="1"/>
  <c r="S2059" i="1" a="1"/>
  <c r="S2059" i="1" s="1"/>
  <c r="S2060" i="1" a="1"/>
  <c r="S2060" i="1" s="1"/>
  <c r="S2061" i="1" a="1"/>
  <c r="S2061" i="1" s="1"/>
  <c r="S2062" i="1" a="1"/>
  <c r="S2062" i="1" s="1"/>
  <c r="S2063" i="1" a="1"/>
  <c r="S2063" i="1" s="1"/>
  <c r="S2064" i="1" a="1"/>
  <c r="S2064" i="1" s="1"/>
  <c r="S2065" i="1" a="1"/>
  <c r="S2065" i="1" s="1"/>
  <c r="S2066" i="1" a="1"/>
  <c r="S2066" i="1" s="1"/>
  <c r="S2067" i="1" a="1"/>
  <c r="S2067" i="1" s="1"/>
  <c r="S2068" i="1" a="1"/>
  <c r="S2068" i="1" s="1"/>
  <c r="S2069" i="1" a="1"/>
  <c r="S2069" i="1" s="1"/>
  <c r="S2070" i="1" a="1"/>
  <c r="S2070" i="1" s="1"/>
  <c r="S2071" i="1" a="1"/>
  <c r="S2071" i="1" s="1"/>
  <c r="S2072" i="1" a="1"/>
  <c r="S2072" i="1" s="1"/>
  <c r="S2073" i="1" a="1"/>
  <c r="S2073" i="1" s="1"/>
  <c r="S2074" i="1" a="1"/>
  <c r="S2074" i="1" s="1"/>
  <c r="S2075" i="1" a="1"/>
  <c r="S2075" i="1" s="1"/>
  <c r="S2076" i="1" a="1"/>
  <c r="S2076" i="1" s="1"/>
  <c r="S2077" i="1" a="1"/>
  <c r="S2077" i="1" s="1"/>
  <c r="S2078" i="1" a="1"/>
  <c r="S2078" i="1" s="1"/>
  <c r="S2079" i="1" a="1"/>
  <c r="S2079" i="1" s="1"/>
  <c r="S2080" i="1" a="1"/>
  <c r="S2080" i="1" s="1"/>
  <c r="S2081" i="1" a="1"/>
  <c r="S2081" i="1" s="1"/>
  <c r="S2082" i="1" a="1"/>
  <c r="S2082" i="1" s="1"/>
  <c r="S2083" i="1" a="1"/>
  <c r="S2083" i="1" s="1"/>
  <c r="S2084" i="1" a="1"/>
  <c r="S2084" i="1" s="1"/>
  <c r="S2085" i="1" a="1"/>
  <c r="S2085" i="1" s="1"/>
  <c r="S2086" i="1" a="1"/>
  <c r="S2086" i="1" s="1"/>
  <c r="S2087" i="1" a="1"/>
  <c r="S2087" i="1" s="1"/>
  <c r="S2088" i="1" a="1"/>
  <c r="S2088" i="1" s="1"/>
  <c r="S2089" i="1" a="1"/>
  <c r="S2089" i="1" s="1"/>
  <c r="S2090" i="1" a="1"/>
  <c r="S2090" i="1" s="1"/>
  <c r="S2091" i="1" a="1"/>
  <c r="S2091" i="1" s="1"/>
  <c r="S2092" i="1" a="1"/>
  <c r="S2092" i="1" s="1"/>
  <c r="S2093" i="1" a="1"/>
  <c r="S2093" i="1" s="1"/>
  <c r="S2094" i="1" a="1"/>
  <c r="S2094" i="1" s="1"/>
  <c r="S2095" i="1" a="1"/>
  <c r="S2095" i="1" s="1"/>
  <c r="S2096" i="1" a="1"/>
  <c r="S2096" i="1" s="1"/>
  <c r="S2097" i="1" a="1"/>
  <c r="S2097" i="1" s="1"/>
  <c r="S2098" i="1" a="1"/>
  <c r="S2098" i="1" s="1"/>
  <c r="S2099" i="1" a="1"/>
  <c r="S2099" i="1" s="1"/>
  <c r="S2100" i="1" a="1"/>
  <c r="S2100" i="1" s="1"/>
  <c r="S2101" i="1" a="1"/>
  <c r="S2101" i="1" s="1"/>
  <c r="S2102" i="1" a="1"/>
  <c r="S2102" i="1" s="1"/>
  <c r="S2103" i="1" a="1"/>
  <c r="S2103" i="1" s="1"/>
  <c r="S2104" i="1" a="1"/>
  <c r="S2104" i="1" s="1"/>
  <c r="S2105" i="1" a="1"/>
  <c r="S2105" i="1" s="1"/>
  <c r="S2106" i="1" a="1"/>
  <c r="S2106" i="1" s="1"/>
  <c r="S2107" i="1" a="1"/>
  <c r="S2107" i="1" s="1"/>
  <c r="S2108" i="1" a="1"/>
  <c r="S2108" i="1" s="1"/>
  <c r="S2109" i="1" a="1"/>
  <c r="S2109" i="1" s="1"/>
  <c r="S2110" i="1" a="1"/>
  <c r="S2110" i="1" s="1"/>
  <c r="S2111" i="1" a="1"/>
  <c r="S2111" i="1" s="1"/>
  <c r="S2112" i="1" a="1"/>
  <c r="S2112" i="1" s="1"/>
  <c r="S2113" i="1" a="1"/>
  <c r="S2113" i="1" s="1"/>
  <c r="S2114" i="1" a="1"/>
  <c r="S2114" i="1" s="1"/>
  <c r="S2115" i="1" a="1"/>
  <c r="S2115" i="1" s="1"/>
  <c r="S2116" i="1" a="1"/>
  <c r="S2116" i="1" s="1"/>
  <c r="S2117" i="1" a="1"/>
  <c r="S2117" i="1" s="1"/>
  <c r="S2118" i="1" a="1"/>
  <c r="S2118" i="1" s="1"/>
  <c r="S2119" i="1" a="1"/>
  <c r="S2119" i="1" s="1"/>
  <c r="S2120" i="1" a="1"/>
  <c r="S2120" i="1" s="1"/>
  <c r="S2121" i="1" a="1"/>
  <c r="S2121" i="1" s="1"/>
  <c r="S2122" i="1" a="1"/>
  <c r="S2122" i="1" s="1"/>
  <c r="S2123" i="1" a="1"/>
  <c r="S2123" i="1" s="1"/>
  <c r="S2124" i="1" a="1"/>
  <c r="S2124" i="1" s="1"/>
  <c r="S2125" i="1" a="1"/>
  <c r="S2125" i="1" s="1"/>
  <c r="S2126" i="1" a="1"/>
  <c r="S2126" i="1" s="1"/>
  <c r="S2127" i="1" a="1"/>
  <c r="S2127" i="1" s="1"/>
  <c r="S2128" i="1" a="1"/>
  <c r="S2128" i="1" s="1"/>
  <c r="S2129" i="1" a="1"/>
  <c r="S2129" i="1" s="1"/>
  <c r="S2130" i="1" a="1"/>
  <c r="S2130" i="1" s="1"/>
  <c r="S2131" i="1" a="1"/>
  <c r="S2131" i="1" s="1"/>
  <c r="S2132" i="1" a="1"/>
  <c r="S2132" i="1" s="1"/>
  <c r="S2133" i="1" a="1"/>
  <c r="S2133" i="1" s="1"/>
  <c r="S2134" i="1" a="1"/>
  <c r="S2134" i="1" s="1"/>
  <c r="S2135" i="1" a="1"/>
  <c r="S2135" i="1" s="1"/>
  <c r="S2136" i="1" a="1"/>
  <c r="S2136" i="1" s="1"/>
  <c r="S2137" i="1" a="1"/>
  <c r="S2137" i="1" s="1"/>
  <c r="S2138" i="1" a="1"/>
  <c r="S2138" i="1" s="1"/>
  <c r="S2139" i="1" a="1"/>
  <c r="S2139" i="1" s="1"/>
  <c r="S2140" i="1" a="1"/>
  <c r="S2140" i="1" s="1"/>
  <c r="S2141" i="1" a="1"/>
  <c r="S2141" i="1" s="1"/>
  <c r="S2142" i="1" a="1"/>
  <c r="S2142" i="1" s="1"/>
  <c r="S2143" i="1" a="1"/>
  <c r="S2143" i="1" s="1"/>
  <c r="S2144" i="1" a="1"/>
  <c r="S2144" i="1" s="1"/>
  <c r="S2145" i="1" a="1"/>
  <c r="S2145" i="1" s="1"/>
  <c r="S2146" i="1" a="1"/>
  <c r="S2146" i="1" s="1"/>
  <c r="S2147" i="1" a="1"/>
  <c r="S2147" i="1" s="1"/>
  <c r="S2148" i="1" a="1"/>
  <c r="S2148" i="1" s="1"/>
  <c r="S2149" i="1" a="1"/>
  <c r="S2149" i="1" s="1"/>
  <c r="S2150" i="1" a="1"/>
  <c r="S2150" i="1" s="1"/>
  <c r="S2151" i="1" a="1"/>
  <c r="S2151" i="1" s="1"/>
  <c r="S2152" i="1" a="1"/>
  <c r="S2152" i="1" s="1"/>
  <c r="S2153" i="1" a="1"/>
  <c r="S2153" i="1" s="1"/>
  <c r="S2154" i="1" a="1"/>
  <c r="S2154" i="1" s="1"/>
  <c r="S2155" i="1" a="1"/>
  <c r="S2155" i="1" s="1"/>
  <c r="S2156" i="1" a="1"/>
  <c r="S2156" i="1" s="1"/>
  <c r="S2157" i="1" a="1"/>
  <c r="S2157" i="1" s="1"/>
  <c r="S2158" i="1" a="1"/>
  <c r="S2158" i="1" s="1"/>
  <c r="S2159" i="1" a="1"/>
  <c r="S2159" i="1" s="1"/>
  <c r="S2160" i="1" a="1"/>
  <c r="S2160" i="1" s="1"/>
  <c r="S2161" i="1" a="1"/>
  <c r="S2161" i="1" s="1"/>
  <c r="S2162" i="1" a="1"/>
  <c r="S2162" i="1" s="1"/>
  <c r="S2163" i="1" a="1"/>
  <c r="S2163" i="1" s="1"/>
  <c r="S2164" i="1" a="1"/>
  <c r="S2164" i="1" s="1"/>
  <c r="S2165" i="1" a="1"/>
  <c r="S2165" i="1" s="1"/>
  <c r="S2166" i="1" a="1"/>
  <c r="S2166" i="1" s="1"/>
  <c r="S2167" i="1" a="1"/>
  <c r="S2167" i="1" s="1"/>
  <c r="S2168" i="1" a="1"/>
  <c r="S2168" i="1" s="1"/>
  <c r="S2169" i="1" a="1"/>
  <c r="S2169" i="1" s="1"/>
  <c r="S2170" i="1" a="1"/>
  <c r="S2170" i="1" s="1"/>
  <c r="S2171" i="1" a="1"/>
  <c r="S2171" i="1" s="1"/>
  <c r="S2172" i="1" a="1"/>
  <c r="S2172" i="1" s="1"/>
  <c r="S2173" i="1" a="1"/>
  <c r="S2173" i="1" s="1"/>
  <c r="S2174" i="1" a="1"/>
  <c r="S2174" i="1" s="1"/>
  <c r="S2175" i="1" a="1"/>
  <c r="S2175" i="1" s="1"/>
  <c r="S2176" i="1" a="1"/>
  <c r="S2176" i="1" s="1"/>
  <c r="S2177" i="1" a="1"/>
  <c r="S2177" i="1" s="1"/>
  <c r="S2178" i="1" a="1"/>
  <c r="S2178" i="1" s="1"/>
  <c r="S2179" i="1" a="1"/>
  <c r="S2179" i="1" s="1"/>
  <c r="S2180" i="1" a="1"/>
  <c r="S2180" i="1" s="1"/>
  <c r="S2181" i="1" a="1"/>
  <c r="S2181" i="1" s="1"/>
  <c r="S2182" i="1" a="1"/>
  <c r="S2182" i="1" s="1"/>
  <c r="S2183" i="1" a="1"/>
  <c r="S2183" i="1" s="1"/>
  <c r="S2184" i="1" a="1"/>
  <c r="S2184" i="1" s="1"/>
  <c r="S2185" i="1" a="1"/>
  <c r="S2185" i="1" s="1"/>
  <c r="S2186" i="1" a="1"/>
  <c r="S2186" i="1" s="1"/>
  <c r="S2187" i="1" a="1"/>
  <c r="S2187" i="1" s="1"/>
  <c r="S2188" i="1" a="1"/>
  <c r="S2188" i="1" s="1"/>
  <c r="S2189" i="1" a="1"/>
  <c r="S2189" i="1" s="1"/>
  <c r="S2190" i="1" a="1"/>
  <c r="S2190" i="1" s="1"/>
  <c r="S2191" i="1" a="1"/>
  <c r="S2191" i="1" s="1"/>
  <c r="S2192" i="1" a="1"/>
  <c r="S2192" i="1" s="1"/>
  <c r="S2193" i="1" a="1"/>
  <c r="S2193" i="1" s="1"/>
  <c r="S2194" i="1" a="1"/>
  <c r="S2194" i="1" s="1"/>
  <c r="S2195" i="1" a="1"/>
  <c r="S2195" i="1" s="1"/>
  <c r="S2196" i="1" a="1"/>
  <c r="S2196" i="1" s="1"/>
  <c r="S2197" i="1" a="1"/>
  <c r="S2197" i="1" s="1"/>
  <c r="S2198" i="1" a="1"/>
  <c r="S2198" i="1" s="1"/>
  <c r="S2199" i="1" a="1"/>
  <c r="S2199" i="1" s="1"/>
  <c r="S2200" i="1" a="1"/>
  <c r="S2200" i="1" s="1"/>
  <c r="S2201" i="1" a="1"/>
  <c r="S2201" i="1" s="1"/>
  <c r="S2202" i="1" a="1"/>
  <c r="S2202" i="1" s="1"/>
  <c r="S2203" i="1" a="1"/>
  <c r="S2203" i="1" s="1"/>
  <c r="S2204" i="1" a="1"/>
  <c r="S2204" i="1" s="1"/>
  <c r="S2205" i="1" a="1"/>
  <c r="S2205" i="1" s="1"/>
  <c r="S2206" i="1" a="1"/>
  <c r="S2206" i="1" s="1"/>
  <c r="S2207" i="1" a="1"/>
  <c r="S2207" i="1" s="1"/>
  <c r="S2208" i="1" a="1"/>
  <c r="S2208" i="1" s="1"/>
  <c r="S2209" i="1" a="1"/>
  <c r="S2209" i="1" s="1"/>
  <c r="S2210" i="1" a="1"/>
  <c r="S2210" i="1" s="1"/>
  <c r="S2211" i="1" a="1"/>
  <c r="S2211" i="1" s="1"/>
  <c r="S2212" i="1" a="1"/>
  <c r="S2212" i="1" s="1"/>
  <c r="S2214" i="1" a="1"/>
  <c r="S2214" i="1" s="1"/>
  <c r="S2215" i="1" a="1"/>
  <c r="S2215" i="1" s="1"/>
  <c r="S2217" i="1" a="1"/>
  <c r="S2217" i="1" s="1"/>
  <c r="S2218" i="1" a="1"/>
  <c r="S2218" i="1" s="1"/>
  <c r="S2219" i="1" a="1"/>
  <c r="S2219" i="1" s="1"/>
  <c r="S2220" i="1" a="1"/>
  <c r="S2220" i="1" s="1"/>
  <c r="S2221" i="1" a="1"/>
  <c r="S2221" i="1" s="1"/>
  <c r="S2222" i="1" a="1"/>
  <c r="S2222" i="1" s="1"/>
  <c r="S2223" i="1" a="1"/>
  <c r="S2223" i="1" s="1"/>
  <c r="S2224" i="1" a="1"/>
  <c r="S2224" i="1" s="1"/>
  <c r="S2225" i="1" a="1"/>
  <c r="S2225" i="1" s="1"/>
  <c r="S2226" i="1" a="1"/>
  <c r="S2226" i="1" s="1"/>
  <c r="S2227" i="1" a="1"/>
  <c r="S2227" i="1" s="1"/>
  <c r="S2228" i="1" a="1"/>
  <c r="S2228" i="1" s="1"/>
  <c r="S2229" i="1" a="1"/>
  <c r="S2229" i="1" s="1"/>
  <c r="S2230" i="1" a="1"/>
  <c r="S2230" i="1" s="1"/>
  <c r="S2231" i="1" a="1"/>
  <c r="S2231" i="1" s="1"/>
  <c r="S2232" i="1" a="1"/>
  <c r="S2232" i="1" s="1"/>
  <c r="S2233" i="1" a="1"/>
  <c r="S2233" i="1" s="1"/>
  <c r="S2234" i="1" a="1"/>
  <c r="S2234" i="1" s="1"/>
  <c r="S2235" i="1" a="1"/>
  <c r="S2235" i="1" s="1"/>
  <c r="S2236" i="1" a="1"/>
  <c r="S2236" i="1" s="1"/>
  <c r="S2237" i="1" a="1"/>
  <c r="S2237" i="1" s="1"/>
  <c r="S2238" i="1" a="1"/>
  <c r="S2238" i="1" s="1"/>
  <c r="S2239" i="1" a="1"/>
  <c r="S2239" i="1" s="1"/>
  <c r="S2240" i="1" a="1"/>
  <c r="S2240" i="1" s="1"/>
  <c r="S2241" i="1" a="1"/>
  <c r="S2241" i="1" s="1"/>
  <c r="S2242" i="1" a="1"/>
  <c r="S2242" i="1" s="1"/>
  <c r="S2243" i="1" a="1"/>
  <c r="S2243" i="1" s="1"/>
  <c r="S2244" i="1" a="1"/>
  <c r="S2244" i="1" s="1"/>
  <c r="S2245" i="1" a="1"/>
  <c r="S2245" i="1" s="1"/>
  <c r="S2246" i="1" a="1"/>
  <c r="S2246" i="1" s="1"/>
  <c r="S2247" i="1" a="1"/>
  <c r="S2247" i="1" s="1"/>
  <c r="S2248" i="1" a="1"/>
  <c r="S2248" i="1" s="1"/>
  <c r="S2249" i="1" a="1"/>
  <c r="S2249" i="1" s="1"/>
  <c r="S2250" i="1" a="1"/>
  <c r="S2250" i="1" s="1"/>
  <c r="S2251" i="1" a="1"/>
  <c r="S2251" i="1" s="1"/>
  <c r="S2" i="1" a="1"/>
  <c r="S2" i="1" s="1"/>
  <c r="AY52" i="23"/>
  <c r="AY53" i="23"/>
  <c r="AY54" i="23"/>
  <c r="AY55" i="23"/>
  <c r="AY56" i="23"/>
  <c r="AY57" i="23"/>
  <c r="AY58" i="23"/>
  <c r="AY59" i="23"/>
  <c r="AY60" i="23"/>
  <c r="AY61" i="23"/>
  <c r="AY62" i="23"/>
  <c r="AY63" i="23"/>
  <c r="AY64" i="23"/>
  <c r="AY65" i="23"/>
  <c r="AY66" i="23"/>
  <c r="AY67" i="23"/>
  <c r="AY68" i="23"/>
  <c r="AY69" i="23"/>
  <c r="AY70" i="23"/>
  <c r="AY71" i="23"/>
  <c r="AY72" i="23"/>
  <c r="AY73" i="23"/>
  <c r="AY74" i="23"/>
  <c r="AY75" i="23"/>
  <c r="AY76" i="23"/>
  <c r="AY77" i="23"/>
  <c r="AY78" i="23"/>
  <c r="AY79" i="23"/>
  <c r="AY80" i="23"/>
  <c r="AY81" i="23"/>
  <c r="AY82" i="23"/>
  <c r="AY83" i="23"/>
  <c r="AY84" i="23"/>
  <c r="AY85" i="23"/>
  <c r="AY86" i="23"/>
  <c r="AY87" i="23"/>
  <c r="AY88" i="23"/>
  <c r="AY89" i="23"/>
  <c r="AY90" i="23"/>
  <c r="AY91" i="23"/>
  <c r="AY92" i="23"/>
  <c r="AY93" i="23"/>
  <c r="AY94" i="23"/>
  <c r="AY95" i="23"/>
  <c r="AY96" i="23"/>
  <c r="AY97" i="23"/>
  <c r="AY98" i="23"/>
  <c r="AY99" i="23"/>
  <c r="AY100" i="23"/>
  <c r="AY101" i="23"/>
  <c r="AY102" i="23"/>
  <c r="AY103" i="23"/>
  <c r="AY104" i="23"/>
  <c r="AY105" i="23"/>
  <c r="AY106" i="23"/>
  <c r="AY107" i="23"/>
  <c r="AY108" i="23"/>
  <c r="AY109" i="23"/>
  <c r="AY110" i="23"/>
  <c r="AY111" i="23"/>
  <c r="AY112" i="23"/>
  <c r="AY113" i="23"/>
  <c r="AY114" i="23"/>
  <c r="AY115" i="23"/>
  <c r="AY116" i="23"/>
  <c r="AY117" i="23"/>
  <c r="AY118" i="23"/>
  <c r="AY119" i="23"/>
  <c r="AY120" i="23"/>
  <c r="AY121" i="23"/>
  <c r="AY122" i="23"/>
  <c r="AY123" i="23"/>
  <c r="AY124" i="23"/>
  <c r="AY125" i="23"/>
  <c r="AY126" i="23"/>
  <c r="AY127" i="23"/>
  <c r="AY128" i="23"/>
  <c r="AY129" i="23"/>
  <c r="AY130" i="23"/>
  <c r="AY131" i="23"/>
  <c r="AY132" i="23"/>
  <c r="AY133" i="23"/>
  <c r="AY134" i="23"/>
  <c r="AY135" i="23"/>
  <c r="AY136" i="23"/>
  <c r="AY137" i="23"/>
  <c r="AY138" i="23"/>
  <c r="AY139" i="23"/>
  <c r="AY140" i="23"/>
  <c r="AY141" i="23"/>
  <c r="AY142" i="23"/>
  <c r="AY143" i="23"/>
  <c r="AY144" i="23"/>
  <c r="AY145" i="23"/>
  <c r="AY146" i="23"/>
  <c r="AY147" i="23"/>
  <c r="AY148" i="23"/>
  <c r="AY149" i="23"/>
  <c r="AY150" i="23"/>
  <c r="AY151" i="23"/>
  <c r="AY152" i="23"/>
  <c r="AY153" i="23"/>
  <c r="AY154" i="23"/>
  <c r="AY155" i="23"/>
  <c r="AY156" i="23"/>
  <c r="AY157" i="23"/>
  <c r="AY158" i="23"/>
  <c r="AY159" i="23"/>
  <c r="AY160" i="23"/>
  <c r="AY161" i="23"/>
  <c r="AY162" i="23"/>
  <c r="AY163" i="23"/>
  <c r="AY164" i="23"/>
  <c r="AY165" i="23"/>
  <c r="AY166" i="23"/>
  <c r="AY167" i="23"/>
  <c r="AY168" i="23"/>
  <c r="AY169" i="23"/>
  <c r="AY170" i="23"/>
  <c r="AY171" i="23"/>
  <c r="AY172" i="23"/>
  <c r="AY173" i="23"/>
  <c r="AY174" i="23"/>
  <c r="AY175" i="23"/>
  <c r="AY176" i="23"/>
  <c r="AY177" i="23"/>
  <c r="AY178" i="23"/>
  <c r="AY179" i="23"/>
  <c r="AY180" i="23"/>
  <c r="AY181" i="23"/>
  <c r="AY182" i="23"/>
  <c r="AY183" i="23"/>
  <c r="AY184" i="23"/>
  <c r="AY185" i="23"/>
  <c r="AY186" i="23"/>
  <c r="AY187" i="23"/>
  <c r="AY188" i="23"/>
  <c r="AY189" i="23"/>
  <c r="AY190" i="23"/>
  <c r="AY191" i="23"/>
  <c r="AY192" i="23"/>
  <c r="AY193" i="23"/>
  <c r="AY194" i="23"/>
  <c r="AY195" i="23"/>
  <c r="AY196" i="23"/>
  <c r="AY197" i="23"/>
  <c r="AY198" i="23"/>
  <c r="AY199" i="23"/>
  <c r="AY200" i="23"/>
  <c r="AY201" i="23"/>
  <c r="AY202" i="23"/>
  <c r="AY203" i="23"/>
  <c r="AY204" i="23"/>
  <c r="AY205" i="23"/>
  <c r="AY206" i="23"/>
  <c r="AY207" i="23"/>
  <c r="AY208" i="23"/>
  <c r="AY209" i="23"/>
  <c r="AY210" i="23"/>
  <c r="AY211" i="23"/>
  <c r="AY212" i="23"/>
  <c r="AY213" i="23"/>
  <c r="AY214" i="23"/>
  <c r="AY215" i="23"/>
  <c r="AY216" i="23"/>
  <c r="AY217" i="23"/>
  <c r="AY218" i="23"/>
  <c r="AY219" i="23"/>
  <c r="AY220" i="23"/>
  <c r="AY221" i="23"/>
  <c r="AY222" i="23"/>
  <c r="AY223" i="23"/>
  <c r="AY224" i="23"/>
  <c r="AY225" i="23"/>
  <c r="AY226" i="23"/>
  <c r="AY227" i="23"/>
  <c r="AY228" i="23"/>
  <c r="AY229" i="23"/>
  <c r="AY230" i="23"/>
  <c r="AY231" i="23"/>
  <c r="AY232" i="23"/>
  <c r="AY233" i="23"/>
  <c r="AY234" i="23"/>
  <c r="AY235" i="23"/>
  <c r="AY236" i="23"/>
  <c r="AY237" i="23"/>
  <c r="AY238" i="23"/>
  <c r="AY239" i="23"/>
  <c r="AY240" i="23"/>
  <c r="AY241" i="23"/>
  <c r="AY242" i="23"/>
  <c r="AY243" i="23"/>
  <c r="AY244" i="23"/>
  <c r="AY245" i="23"/>
  <c r="AY246" i="23"/>
  <c r="AY247" i="23"/>
  <c r="AY248" i="23"/>
  <c r="AY249" i="23"/>
  <c r="AY250" i="23"/>
  <c r="AY251" i="23"/>
  <c r="AY252" i="23"/>
  <c r="AY253" i="23"/>
  <c r="AY254" i="23"/>
  <c r="AY255" i="23"/>
  <c r="AY256" i="23"/>
  <c r="AY257" i="23"/>
  <c r="AY258" i="23"/>
  <c r="AY259" i="23"/>
  <c r="AY260" i="23"/>
  <c r="AY261" i="23"/>
  <c r="AY262" i="23"/>
  <c r="AY263" i="23"/>
  <c r="AL54" i="23"/>
  <c r="AL55" i="23"/>
  <c r="AL56" i="23"/>
  <c r="AL57" i="23"/>
  <c r="AL58" i="23"/>
  <c r="AL59" i="23"/>
  <c r="AL60" i="23"/>
  <c r="AL61" i="23"/>
  <c r="AL62" i="23"/>
  <c r="AL63" i="23"/>
  <c r="AL64" i="23"/>
  <c r="AL65" i="23"/>
  <c r="AL66" i="23"/>
  <c r="AL67" i="23"/>
  <c r="AL68" i="23"/>
  <c r="AL69" i="23"/>
  <c r="AL70" i="23"/>
  <c r="AL71" i="23"/>
  <c r="AL72" i="23"/>
  <c r="AL73" i="23"/>
  <c r="AL74" i="23"/>
  <c r="AL75" i="23"/>
  <c r="AL76" i="23"/>
  <c r="AL77" i="23"/>
  <c r="AL78" i="23"/>
  <c r="AL79" i="23"/>
  <c r="AL80" i="23"/>
  <c r="AL81" i="23"/>
  <c r="AL82" i="23"/>
  <c r="AL83" i="23"/>
  <c r="AL84" i="23"/>
  <c r="AL85" i="23"/>
  <c r="AL86" i="23"/>
  <c r="AL87" i="23"/>
  <c r="AL88" i="23"/>
  <c r="AL89" i="23"/>
  <c r="AL90" i="23"/>
  <c r="AL91" i="23"/>
  <c r="AL92" i="23"/>
  <c r="AL93" i="23"/>
  <c r="AL94" i="23"/>
  <c r="AL95" i="23"/>
  <c r="AL96" i="23"/>
  <c r="AL97" i="23"/>
  <c r="AL98" i="23"/>
  <c r="AL99" i="23"/>
  <c r="AL100" i="23"/>
  <c r="AL101" i="23"/>
  <c r="AL102" i="23"/>
  <c r="AL103" i="23"/>
  <c r="AL104" i="23"/>
  <c r="AL105" i="23"/>
  <c r="AL106" i="23"/>
  <c r="AL107" i="23"/>
  <c r="AL108" i="23"/>
  <c r="AL109" i="23"/>
  <c r="AL110" i="23"/>
  <c r="AL111" i="23"/>
  <c r="AL112" i="23"/>
  <c r="AL113" i="23"/>
  <c r="AL114" i="23"/>
  <c r="AL115" i="23"/>
  <c r="AL116" i="23"/>
  <c r="AL117" i="23"/>
  <c r="AL118" i="23"/>
  <c r="AL119" i="23"/>
  <c r="AL120" i="23"/>
  <c r="AL121" i="23"/>
  <c r="AL122" i="23"/>
  <c r="AL123" i="23"/>
  <c r="AA4" i="23" a="1"/>
  <c r="AA4" i="23" s="1"/>
  <c r="L29" i="23"/>
  <c r="L30" i="23"/>
  <c r="L31" i="23"/>
  <c r="L32" i="23"/>
  <c r="L33" i="23"/>
  <c r="L34" i="23"/>
  <c r="L35" i="23"/>
  <c r="L36" i="23"/>
  <c r="L37" i="23"/>
  <c r="L38" i="23"/>
  <c r="L39" i="23"/>
  <c r="L40" i="23"/>
  <c r="L41" i="23"/>
  <c r="L42" i="23"/>
  <c r="L43" i="23"/>
  <c r="L44" i="23"/>
  <c r="L45" i="23"/>
  <c r="L46" i="23"/>
  <c r="L47" i="23"/>
  <c r="L48" i="23"/>
  <c r="L49" i="23"/>
  <c r="L50" i="23"/>
  <c r="L51" i="23"/>
  <c r="L52" i="23"/>
  <c r="L53" i="23"/>
  <c r="L54" i="23"/>
  <c r="L55" i="23"/>
  <c r="L56" i="23"/>
  <c r="L57" i="23"/>
  <c r="L58" i="23"/>
  <c r="L59" i="23"/>
  <c r="L60" i="23"/>
  <c r="L61" i="23"/>
  <c r="L62" i="23"/>
  <c r="L63" i="23"/>
  <c r="L64" i="23"/>
  <c r="L65" i="23"/>
  <c r="L66" i="23"/>
  <c r="L67" i="23"/>
  <c r="L68" i="23"/>
  <c r="L69" i="23"/>
  <c r="L70" i="23"/>
  <c r="L71" i="23"/>
  <c r="L72" i="23"/>
  <c r="L73" i="23"/>
  <c r="L74" i="23"/>
  <c r="L75" i="23"/>
  <c r="L76" i="23"/>
  <c r="L77" i="23"/>
  <c r="L78" i="23"/>
  <c r="L79" i="23"/>
  <c r="L80" i="23"/>
  <c r="L81" i="23"/>
  <c r="L82" i="23"/>
  <c r="L83" i="23"/>
  <c r="L84" i="23"/>
  <c r="L85" i="23"/>
  <c r="L86" i="23"/>
  <c r="L87" i="23"/>
  <c r="L88" i="23"/>
  <c r="L89" i="23"/>
  <c r="L90" i="23"/>
  <c r="L91" i="23"/>
  <c r="L92" i="23"/>
  <c r="L93" i="23"/>
  <c r="L94" i="23"/>
  <c r="L95" i="23"/>
  <c r="L96" i="23"/>
  <c r="L97" i="23"/>
  <c r="L98" i="23"/>
  <c r="L99" i="23"/>
  <c r="L100" i="23"/>
  <c r="L101" i="23"/>
  <c r="L102" i="23"/>
  <c r="L103" i="23"/>
  <c r="L104" i="23"/>
  <c r="L105" i="23"/>
  <c r="L106" i="23"/>
  <c r="L107" i="23"/>
  <c r="L108" i="23"/>
  <c r="L109" i="23"/>
  <c r="L110" i="23"/>
  <c r="L111" i="23"/>
  <c r="L112" i="23"/>
  <c r="L113" i="23"/>
  <c r="L114" i="23"/>
  <c r="L115" i="23"/>
  <c r="L116" i="23"/>
  <c r="L117" i="23"/>
  <c r="L118" i="23"/>
  <c r="L119" i="23"/>
  <c r="L120" i="23"/>
  <c r="L121" i="23"/>
  <c r="L122" i="23"/>
  <c r="L123" i="23"/>
  <c r="L124" i="23"/>
  <c r="L125" i="23"/>
  <c r="L126" i="23"/>
  <c r="L127" i="23"/>
  <c r="L128" i="23"/>
  <c r="L129" i="23"/>
  <c r="L130" i="23"/>
  <c r="L131" i="23"/>
  <c r="L132" i="23"/>
  <c r="L133" i="23"/>
  <c r="L134" i="23"/>
  <c r="L135" i="23"/>
  <c r="L136" i="23"/>
  <c r="L137" i="23"/>
  <c r="L138" i="23"/>
  <c r="L139" i="23"/>
  <c r="L140" i="23"/>
  <c r="L141" i="23"/>
  <c r="L142" i="23"/>
  <c r="L143" i="23"/>
  <c r="L144" i="23"/>
  <c r="L145" i="23"/>
  <c r="L146" i="23"/>
  <c r="L147" i="23"/>
  <c r="L148" i="23"/>
  <c r="L149" i="23"/>
  <c r="L150" i="23"/>
  <c r="L151" i="23"/>
  <c r="L152" i="23"/>
  <c r="L153" i="23"/>
  <c r="L154" i="23"/>
  <c r="L155" i="23"/>
  <c r="L156" i="23"/>
  <c r="L157" i="23"/>
  <c r="L158" i="23"/>
  <c r="L159" i="23"/>
  <c r="L160" i="23"/>
  <c r="L161" i="23"/>
  <c r="L162" i="23"/>
  <c r="L163" i="23"/>
  <c r="L164" i="23"/>
  <c r="L165" i="23"/>
  <c r="L166" i="23"/>
  <c r="L167" i="23"/>
  <c r="L168" i="23"/>
  <c r="L169" i="23"/>
  <c r="L170" i="23"/>
  <c r="L171" i="23"/>
  <c r="L172" i="23"/>
  <c r="L173" i="23"/>
  <c r="T2347" i="1" a="1"/>
  <c r="T2347" i="1" s="1"/>
  <c r="I145" i="8"/>
  <c r="M2" i="1"/>
  <c r="A3" i="32"/>
  <c r="A5" i="32"/>
  <c r="D2" i="32"/>
  <c r="T2286" i="1" a="1"/>
  <c r="T2286" i="1" s="1"/>
  <c r="T2287" i="1" a="1"/>
  <c r="T2287" i="1" s="1"/>
  <c r="T2288" i="1" a="1"/>
  <c r="T2288" i="1" s="1"/>
  <c r="T2289" i="1" a="1"/>
  <c r="T2289" i="1" s="1"/>
  <c r="T2290" i="1" a="1"/>
  <c r="T2290" i="1" s="1"/>
  <c r="T2291" i="1" a="1"/>
  <c r="T2291" i="1" s="1"/>
  <c r="T2292" i="1" a="1"/>
  <c r="T2292" i="1" s="1"/>
  <c r="T2293" i="1" a="1"/>
  <c r="T2293" i="1" s="1"/>
  <c r="T2294" i="1" a="1"/>
  <c r="T2294" i="1" s="1"/>
  <c r="T2295" i="1" a="1"/>
  <c r="T2295" i="1" s="1"/>
  <c r="T2296" i="1" a="1"/>
  <c r="T2296" i="1" s="1"/>
  <c r="T2297" i="1" a="1"/>
  <c r="T2297" i="1" s="1"/>
  <c r="T2298" i="1" a="1"/>
  <c r="T2298" i="1" s="1"/>
  <c r="T2299" i="1" a="1"/>
  <c r="T2299" i="1" s="1"/>
  <c r="T2300" i="1" a="1"/>
  <c r="T2300" i="1" s="1"/>
  <c r="T2301" i="1" a="1"/>
  <c r="T2301" i="1" s="1"/>
  <c r="T2302" i="1" a="1"/>
  <c r="T2302" i="1" s="1"/>
  <c r="T2303" i="1" a="1"/>
  <c r="T2303" i="1" s="1"/>
  <c r="T2304" i="1" a="1"/>
  <c r="T2304" i="1" s="1"/>
  <c r="T2305" i="1" a="1"/>
  <c r="T2305" i="1" s="1"/>
  <c r="T2306" i="1" a="1"/>
  <c r="T2306" i="1" s="1"/>
  <c r="T2307" i="1" a="1"/>
  <c r="T2307" i="1" s="1"/>
  <c r="T2308" i="1" a="1"/>
  <c r="T2308" i="1" s="1"/>
  <c r="T2309" i="1" a="1"/>
  <c r="T2309" i="1" s="1"/>
  <c r="T2310" i="1" a="1"/>
  <c r="T2310" i="1" s="1"/>
  <c r="T2311" i="1" a="1"/>
  <c r="T2311" i="1" s="1"/>
  <c r="T2312" i="1" a="1"/>
  <c r="T2312" i="1" s="1"/>
  <c r="T2313" i="1" a="1"/>
  <c r="T2313" i="1" s="1"/>
  <c r="T2314" i="1" a="1"/>
  <c r="T2314" i="1" s="1"/>
  <c r="T2315" i="1" a="1"/>
  <c r="T2315" i="1" s="1"/>
  <c r="T2316" i="1" a="1"/>
  <c r="T2316" i="1" s="1"/>
  <c r="T2317" i="1" a="1"/>
  <c r="T2317" i="1" s="1"/>
  <c r="T2318" i="1" a="1"/>
  <c r="T2318" i="1" s="1"/>
  <c r="T2319" i="1" a="1"/>
  <c r="T2319" i="1" s="1"/>
  <c r="T2320" i="1" a="1"/>
  <c r="T2320" i="1" s="1"/>
  <c r="T2321" i="1" a="1"/>
  <c r="T2321" i="1" s="1"/>
  <c r="T2322" i="1" a="1"/>
  <c r="T2322" i="1" s="1"/>
  <c r="T2323" i="1" a="1"/>
  <c r="T2323" i="1" s="1"/>
  <c r="T2324" i="1" a="1"/>
  <c r="T2324" i="1" s="1"/>
  <c r="T2325" i="1" a="1"/>
  <c r="T2325" i="1" s="1"/>
  <c r="T2326" i="1" a="1"/>
  <c r="T2326" i="1" s="1"/>
  <c r="T2327" i="1" a="1"/>
  <c r="T2327" i="1" s="1"/>
  <c r="T2328" i="1" a="1"/>
  <c r="T2328" i="1" s="1"/>
  <c r="T2329" i="1" a="1"/>
  <c r="T2329" i="1" s="1"/>
  <c r="T2330" i="1" a="1"/>
  <c r="T2330" i="1" s="1"/>
  <c r="T2331" i="1" a="1"/>
  <c r="T2331" i="1" s="1"/>
  <c r="T2332" i="1" a="1"/>
  <c r="T2332" i="1" s="1"/>
  <c r="T2333" i="1" a="1"/>
  <c r="T2333" i="1" s="1"/>
  <c r="T2334" i="1" a="1"/>
  <c r="T2334" i="1" s="1"/>
  <c r="T2335" i="1" a="1"/>
  <c r="T2335" i="1" s="1"/>
  <c r="T2336" i="1" a="1"/>
  <c r="T2336" i="1" s="1"/>
  <c r="T2337" i="1" a="1"/>
  <c r="T2337" i="1" s="1"/>
  <c r="T2338" i="1" a="1"/>
  <c r="T2338" i="1" s="1"/>
  <c r="T2339" i="1" a="1"/>
  <c r="T2339" i="1" s="1"/>
  <c r="T2340" i="1" a="1"/>
  <c r="T2340" i="1" s="1"/>
  <c r="T2341" i="1" a="1"/>
  <c r="T2341" i="1" s="1"/>
  <c r="T2342" i="1" a="1"/>
  <c r="T2342" i="1" s="1"/>
  <c r="T2343" i="1" a="1"/>
  <c r="T2343" i="1" s="1"/>
  <c r="T2344" i="1" a="1"/>
  <c r="T2344" i="1" s="1"/>
  <c r="T2345" i="1" a="1"/>
  <c r="T2345" i="1" s="1"/>
  <c r="T2346" i="1" a="1"/>
  <c r="T2346" i="1" s="1"/>
  <c r="T2348" i="1" a="1"/>
  <c r="T2348" i="1" s="1"/>
  <c r="T2349" i="1" a="1"/>
  <c r="T2349" i="1" s="1"/>
  <c r="T2350" i="1" a="1"/>
  <c r="T2350" i="1" s="1"/>
  <c r="T2351" i="1" a="1"/>
  <c r="T2351" i="1" s="1"/>
  <c r="T2352" i="1" a="1"/>
  <c r="T2352" i="1" s="1"/>
  <c r="T2353" i="1" a="1"/>
  <c r="T2353" i="1" s="1"/>
  <c r="T2354" i="1" a="1"/>
  <c r="T2354" i="1" s="1"/>
  <c r="T2355" i="1" a="1"/>
  <c r="T2355" i="1" s="1"/>
  <c r="T2356" i="1" a="1"/>
  <c r="T2356" i="1" s="1"/>
  <c r="T2357" i="1" a="1"/>
  <c r="T2357" i="1" s="1"/>
  <c r="T2358" i="1" a="1"/>
  <c r="T2358" i="1" s="1"/>
  <c r="T2359" i="1" a="1"/>
  <c r="T2359" i="1" s="1"/>
  <c r="T2360" i="1" a="1"/>
  <c r="T2360" i="1" s="1"/>
  <c r="T2361" i="1" a="1"/>
  <c r="T2361" i="1" s="1"/>
  <c r="R1895" i="1" a="1"/>
  <c r="R1895" i="1" s="1"/>
  <c r="P1895" i="1" a="1"/>
  <c r="P1895" i="1" s="1"/>
  <c r="M2009" i="1"/>
  <c r="M2008" i="1"/>
  <c r="Q204" i="5"/>
  <c r="D187" i="5"/>
  <c r="D188" i="5"/>
  <c r="D189" i="5"/>
  <c r="D190" i="5"/>
  <c r="D191" i="5"/>
  <c r="D192" i="5"/>
  <c r="D193" i="5"/>
  <c r="D194" i="5"/>
  <c r="D195" i="5"/>
  <c r="D196" i="5"/>
  <c r="D197" i="5"/>
  <c r="D198" i="5"/>
  <c r="D199" i="5"/>
  <c r="D200" i="5"/>
  <c r="D201" i="5"/>
  <c r="D202" i="5"/>
  <c r="D20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3" i="5"/>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216" i="1"/>
  <c r="M1389" i="1"/>
  <c r="M1403" i="1"/>
  <c r="M1293" i="1"/>
  <c r="M1534" i="1"/>
  <c r="M1140" i="1"/>
  <c r="M1139" i="1"/>
  <c r="M1809" i="1"/>
  <c r="M1808" i="1"/>
  <c r="M1844" i="1"/>
  <c r="M1705" i="1"/>
  <c r="M1761" i="1"/>
  <c r="M1718" i="1"/>
  <c r="M1683" i="1"/>
  <c r="M1697" i="1"/>
  <c r="M1722" i="1"/>
  <c r="M1977" i="1"/>
  <c r="M1855" i="1"/>
  <c r="M1869" i="1"/>
  <c r="M1873" i="1"/>
  <c r="M2007" i="1"/>
  <c r="M1987" i="1"/>
  <c r="M1952" i="1"/>
  <c r="M2026" i="1"/>
  <c r="M2019" i="1"/>
  <c r="M2018" i="1"/>
  <c r="M1861" i="1"/>
  <c r="M1874" i="1"/>
  <c r="M1876" i="1"/>
  <c r="M1894" i="1"/>
  <c r="M1320" i="1"/>
  <c r="M1704" i="1"/>
  <c r="M1837" i="1"/>
  <c r="M1764" i="1"/>
  <c r="M1138" i="1"/>
  <c r="M1137" i="1"/>
  <c r="M1893" i="1"/>
  <c r="M1951" i="1"/>
  <c r="M1976" i="1"/>
  <c r="M2002" i="1"/>
  <c r="M2017" i="1"/>
  <c r="M2016" i="1"/>
  <c r="M2015" i="1"/>
  <c r="M2036" i="1"/>
  <c r="M2025" i="1"/>
  <c r="M2035" i="1"/>
  <c r="M2034" i="1"/>
  <c r="M1132" i="1"/>
  <c r="M1706" i="1"/>
  <c r="Y16" i="23" l="1"/>
  <c r="Y15" i="23"/>
  <c r="Y14" i="23"/>
  <c r="Y13" i="23"/>
  <c r="Y12" i="23"/>
  <c r="Y23" i="23"/>
  <c r="Y11" i="23"/>
  <c r="Y22" i="23"/>
  <c r="Y10" i="23"/>
  <c r="Y21" i="23"/>
  <c r="Y9" i="23"/>
  <c r="Y20" i="23"/>
  <c r="Y8" i="23"/>
  <c r="Y19" i="23"/>
  <c r="Y7" i="23"/>
  <c r="Y17" i="23"/>
  <c r="Y5" i="23"/>
  <c r="Y18" i="23"/>
  <c r="Y6" i="23"/>
  <c r="Y53" i="23"/>
  <c r="Y358" i="23"/>
  <c r="Y565" i="23"/>
  <c r="Y743" i="23"/>
  <c r="Y907" i="23"/>
  <c r="Y1060" i="23"/>
  <c r="Y699" i="23"/>
  <c r="Y868" i="23"/>
  <c r="Y80" i="23"/>
  <c r="Y374" i="23"/>
  <c r="Y566" i="23"/>
  <c r="Y744" i="23"/>
  <c r="Y908" i="23"/>
  <c r="Y1061" i="23"/>
  <c r="Y116" i="23"/>
  <c r="Y406" i="23"/>
  <c r="Y598" i="23"/>
  <c r="Y771" i="23"/>
  <c r="Y933" i="23"/>
  <c r="Y1084" i="23"/>
  <c r="Y134" i="23"/>
  <c r="Y421" i="23"/>
  <c r="Y613" i="23"/>
  <c r="Y785" i="23"/>
  <c r="Y946" i="23"/>
  <c r="Y1096" i="23"/>
  <c r="Y517" i="23"/>
  <c r="Y1168" i="23"/>
  <c r="Y310" i="23"/>
  <c r="Y166" i="23"/>
  <c r="Y422" i="23"/>
  <c r="Y614" i="23"/>
  <c r="Y788" i="23"/>
  <c r="Y947" i="23"/>
  <c r="Y1097" i="23"/>
  <c r="Y182" i="23"/>
  <c r="Y454" i="23"/>
  <c r="Y641" i="23"/>
  <c r="Y815" i="23"/>
  <c r="Y972" i="23"/>
  <c r="Y1120" i="23"/>
  <c r="Y214" i="23"/>
  <c r="Y469" i="23"/>
  <c r="Y657" i="23"/>
  <c r="Y828" i="23"/>
  <c r="Y985" i="23"/>
  <c r="Y1132" i="23"/>
  <c r="Y867" i="23"/>
  <c r="Y700" i="23"/>
  <c r="Y230" i="23"/>
  <c r="Y470" i="23"/>
  <c r="Y658" i="23"/>
  <c r="Y829" i="23"/>
  <c r="Y986" i="23"/>
  <c r="Y1133" i="23"/>
  <c r="Y278" i="23"/>
  <c r="Y518" i="23"/>
  <c r="Y1169" i="23"/>
  <c r="Y262" i="23"/>
  <c r="Y502" i="23"/>
  <c r="Y685" i="23"/>
  <c r="Y854" i="23"/>
  <c r="Y1011" i="23"/>
  <c r="Y1156" i="23"/>
  <c r="Y1024" i="23"/>
  <c r="Y1025" i="23"/>
  <c r="Y326" i="23"/>
  <c r="Y550" i="23"/>
  <c r="Y729" i="23"/>
  <c r="Y893" i="23"/>
  <c r="Y1048" i="23"/>
  <c r="Y373" i="23"/>
  <c r="Y325" i="23"/>
  <c r="Y277" i="23"/>
  <c r="Y229" i="23"/>
  <c r="Y181" i="23"/>
  <c r="Y133" i="23"/>
  <c r="Y71" i="23"/>
  <c r="Y1167" i="23"/>
  <c r="Y1131" i="23"/>
  <c r="Y1095" i="23"/>
  <c r="Y1059" i="23"/>
  <c r="Y1023" i="23"/>
  <c r="Y984" i="23"/>
  <c r="Y945" i="23"/>
  <c r="Y905" i="23"/>
  <c r="Y866" i="23"/>
  <c r="Y827" i="23"/>
  <c r="Y784" i="23"/>
  <c r="Y742" i="23"/>
  <c r="Y698" i="23"/>
  <c r="Y656" i="23"/>
  <c r="Y612" i="23"/>
  <c r="Y564" i="23"/>
  <c r="Y516" i="23"/>
  <c r="Y468" i="23"/>
  <c r="Y420" i="23"/>
  <c r="Y372" i="23"/>
  <c r="Y324" i="23"/>
  <c r="Y276" i="23"/>
  <c r="Y228" i="23"/>
  <c r="Y180" i="23"/>
  <c r="Y132" i="23"/>
  <c r="Y70" i="23"/>
  <c r="Y1164" i="23"/>
  <c r="Y1128" i="23"/>
  <c r="Y1092" i="23"/>
  <c r="Y1056" i="23"/>
  <c r="Y1020" i="23"/>
  <c r="Y981" i="23"/>
  <c r="Y941" i="23"/>
  <c r="Y902" i="23"/>
  <c r="Y863" i="23"/>
  <c r="Y824" i="23"/>
  <c r="Y781" i="23"/>
  <c r="Y737" i="23"/>
  <c r="Y695" i="23"/>
  <c r="Y651" i="23"/>
  <c r="Y608" i="23"/>
  <c r="Y560" i="23"/>
  <c r="Y512" i="23"/>
  <c r="Y464" i="23"/>
  <c r="Y416" i="23"/>
  <c r="Y368" i="23"/>
  <c r="Y320" i="23"/>
  <c r="Y272" i="23"/>
  <c r="Y224" i="23"/>
  <c r="Y176" i="23"/>
  <c r="Y119" i="23"/>
  <c r="Y68" i="23"/>
  <c r="Y1157" i="23"/>
  <c r="Y1121" i="23"/>
  <c r="Y1085" i="23"/>
  <c r="Y1049" i="23"/>
  <c r="Y1012" i="23"/>
  <c r="Y973" i="23"/>
  <c r="Y934" i="23"/>
  <c r="Y895" i="23"/>
  <c r="Y855" i="23"/>
  <c r="Y816" i="23"/>
  <c r="Y772" i="23"/>
  <c r="Y730" i="23"/>
  <c r="Y686" i="23"/>
  <c r="Y644" i="23"/>
  <c r="Y599" i="23"/>
  <c r="Y551" i="23"/>
  <c r="Y503" i="23"/>
  <c r="Y455" i="23"/>
  <c r="Y407" i="23"/>
  <c r="Y359" i="23"/>
  <c r="Y311" i="23"/>
  <c r="Y263" i="23"/>
  <c r="Y215" i="23"/>
  <c r="Y167" i="23"/>
  <c r="Y118" i="23"/>
  <c r="Y63" i="23"/>
  <c r="Y1145" i="23"/>
  <c r="Y1109" i="23"/>
  <c r="Y1073" i="23"/>
  <c r="Y1037" i="23"/>
  <c r="Y999" i="23"/>
  <c r="Y960" i="23"/>
  <c r="Y921" i="23"/>
  <c r="Y881" i="23"/>
  <c r="Y842" i="23"/>
  <c r="Y802" i="23"/>
  <c r="Y758" i="23"/>
  <c r="Y716" i="23"/>
  <c r="Y672" i="23"/>
  <c r="Y628" i="23"/>
  <c r="Y581" i="23"/>
  <c r="Y533" i="23"/>
  <c r="Y485" i="23"/>
  <c r="Y437" i="23"/>
  <c r="Y389" i="23"/>
  <c r="Y341" i="23"/>
  <c r="Y293" i="23"/>
  <c r="Y245" i="23"/>
  <c r="Y197" i="23"/>
  <c r="Y149" i="23"/>
  <c r="Y99" i="23"/>
  <c r="Y48" i="23"/>
  <c r="Y159" i="23"/>
  <c r="Y1180" i="23"/>
  <c r="Y1144" i="23"/>
  <c r="Y1108" i="23"/>
  <c r="Y1072" i="23"/>
  <c r="Y1036" i="23"/>
  <c r="Y998" i="23"/>
  <c r="Y959" i="23"/>
  <c r="Y920" i="23"/>
  <c r="Y880" i="23"/>
  <c r="Y841" i="23"/>
  <c r="Y801" i="23"/>
  <c r="Y757" i="23"/>
  <c r="Y713" i="23"/>
  <c r="Y671" i="23"/>
  <c r="Y627" i="23"/>
  <c r="Y580" i="23"/>
  <c r="Y532" i="23"/>
  <c r="Y484" i="23"/>
  <c r="Y436" i="23"/>
  <c r="Y388" i="23"/>
  <c r="Y340" i="23"/>
  <c r="Y292" i="23"/>
  <c r="Y244" i="23"/>
  <c r="Y196" i="23"/>
  <c r="Y148" i="23"/>
  <c r="Y86" i="23"/>
  <c r="Y38" i="23"/>
  <c r="Y1083" i="23"/>
  <c r="Y100" i="23"/>
  <c r="Y1179" i="23"/>
  <c r="Y1143" i="23"/>
  <c r="Y1107" i="23"/>
  <c r="Y1071" i="23"/>
  <c r="Y1035" i="23"/>
  <c r="Y997" i="23"/>
  <c r="Y958" i="23"/>
  <c r="Y919" i="23"/>
  <c r="Y879" i="23"/>
  <c r="Y840" i="23"/>
  <c r="Y800" i="23"/>
  <c r="Y756" i="23"/>
  <c r="Y712" i="23"/>
  <c r="Y670" i="23"/>
  <c r="Y626" i="23"/>
  <c r="Y579" i="23"/>
  <c r="Y531" i="23"/>
  <c r="Y483" i="23"/>
  <c r="Y435" i="23"/>
  <c r="Y387" i="23"/>
  <c r="Y339" i="23"/>
  <c r="Y291" i="23"/>
  <c r="Y243" i="23"/>
  <c r="Y195" i="23"/>
  <c r="Y147" i="23"/>
  <c r="Y85" i="23"/>
  <c r="Y37" i="23"/>
  <c r="Y1155" i="23"/>
  <c r="Y1119" i="23"/>
  <c r="Y1047" i="23"/>
  <c r="Y1010" i="23"/>
  <c r="Y971" i="23"/>
  <c r="Y932" i="23"/>
  <c r="Y892" i="23"/>
  <c r="Y853" i="23"/>
  <c r="Y814" i="23"/>
  <c r="Y770" i="23"/>
  <c r="Y728" i="23"/>
  <c r="Y684" i="23"/>
  <c r="Y640" i="23"/>
  <c r="Y596" i="23"/>
  <c r="Y548" i="23"/>
  <c r="Y500" i="23"/>
  <c r="Y452" i="23"/>
  <c r="Y404" i="23"/>
  <c r="Y356" i="23"/>
  <c r="Y308" i="23"/>
  <c r="Y260" i="23"/>
  <c r="Y212" i="23"/>
  <c r="Y164" i="23"/>
  <c r="Y101" i="23"/>
  <c r="Y52" i="23"/>
  <c r="Y1152" i="23"/>
  <c r="Y1116" i="23"/>
  <c r="Y1080" i="23"/>
  <c r="Y1044" i="23"/>
  <c r="Y1007" i="23"/>
  <c r="Y968" i="23"/>
  <c r="Y928" i="23"/>
  <c r="Y889" i="23"/>
  <c r="Y850" i="23"/>
  <c r="Y809" i="23"/>
  <c r="Y767" i="23"/>
  <c r="Y723" i="23"/>
  <c r="Y681" i="23"/>
  <c r="Y637" i="23"/>
  <c r="Y591" i="23"/>
  <c r="Y543" i="23"/>
  <c r="Y495" i="23"/>
  <c r="Y447" i="23"/>
  <c r="Y399" i="23"/>
  <c r="Y351" i="23"/>
  <c r="Y303" i="23"/>
  <c r="Y255" i="23"/>
  <c r="Y207" i="23"/>
  <c r="Y51" i="23"/>
  <c r="Y1176" i="23"/>
  <c r="Y1140" i="23"/>
  <c r="Y1104" i="23"/>
  <c r="Y1068" i="23"/>
  <c r="Y1032" i="23"/>
  <c r="Y994" i="23"/>
  <c r="Y955" i="23"/>
  <c r="Y915" i="23"/>
  <c r="Y876" i="23"/>
  <c r="Y837" i="23"/>
  <c r="Y795" i="23"/>
  <c r="Y753" i="23"/>
  <c r="Y709" i="23"/>
  <c r="Y665" i="23"/>
  <c r="Y623" i="23"/>
  <c r="Y576" i="23"/>
  <c r="Y528" i="23"/>
  <c r="Y480" i="23"/>
  <c r="Y432" i="23"/>
  <c r="Y384" i="23"/>
  <c r="Y336" i="23"/>
  <c r="Y288" i="23"/>
  <c r="Y240" i="23"/>
  <c r="Y192" i="23"/>
  <c r="Y144" i="23"/>
  <c r="Y84" i="23"/>
  <c r="Y36" i="23"/>
  <c r="Y30" i="23"/>
  <c r="Y42" i="23"/>
  <c r="Y54" i="23"/>
  <c r="Y66" i="23"/>
  <c r="Y78" i="23"/>
  <c r="Y90" i="23"/>
  <c r="Y102" i="23"/>
  <c r="Y114" i="23"/>
  <c r="Y126" i="23"/>
  <c r="Y138" i="23"/>
  <c r="Y150" i="23"/>
  <c r="Y162" i="23"/>
  <c r="Y174" i="23"/>
  <c r="Y186" i="23"/>
  <c r="Y198" i="23"/>
  <c r="Y210" i="23"/>
  <c r="Y222" i="23"/>
  <c r="Y234" i="23"/>
  <c r="Y246" i="23"/>
  <c r="Y258" i="23"/>
  <c r="Y270" i="23"/>
  <c r="Y282" i="23"/>
  <c r="Y294" i="23"/>
  <c r="Y306" i="23"/>
  <c r="Y318" i="23"/>
  <c r="Y330" i="23"/>
  <c r="Y342" i="23"/>
  <c r="Y354" i="23"/>
  <c r="Y366" i="23"/>
  <c r="Y378" i="23"/>
  <c r="Y390" i="23"/>
  <c r="Y402" i="23"/>
  <c r="Y414" i="23"/>
  <c r="Y426" i="23"/>
  <c r="Y438" i="23"/>
  <c r="Y450" i="23"/>
  <c r="Y462" i="23"/>
  <c r="Y474" i="23"/>
  <c r="Y486" i="23"/>
  <c r="Y498" i="23"/>
  <c r="Y510" i="23"/>
  <c r="Y522" i="23"/>
  <c r="Y534" i="23"/>
  <c r="Y546" i="23"/>
  <c r="Y558" i="23"/>
  <c r="Y570" i="23"/>
  <c r="Y582" i="23"/>
  <c r="Y594" i="23"/>
  <c r="Y606" i="23"/>
  <c r="Y618" i="23"/>
  <c r="Y630" i="23"/>
  <c r="Y642" i="23"/>
  <c r="Y654" i="23"/>
  <c r="Y666" i="23"/>
  <c r="Y678" i="23"/>
  <c r="Y690" i="23"/>
  <c r="Y702" i="23"/>
  <c r="Y714" i="23"/>
  <c r="Y726" i="23"/>
  <c r="Y738" i="23"/>
  <c r="Y750" i="23"/>
  <c r="Y762" i="23"/>
  <c r="Y774" i="23"/>
  <c r="Y786" i="23"/>
  <c r="Y798" i="23"/>
  <c r="Y810" i="23"/>
  <c r="Y822" i="23"/>
  <c r="Y834" i="23"/>
  <c r="Y846" i="23"/>
  <c r="Y858" i="23"/>
  <c r="Y870" i="23"/>
  <c r="Y882" i="23"/>
  <c r="Y894" i="23"/>
  <c r="Y906" i="23"/>
  <c r="Y918" i="23"/>
  <c r="Y930" i="23"/>
  <c r="Y942" i="23"/>
  <c r="Y954" i="23"/>
  <c r="Y966" i="23"/>
  <c r="Y978" i="23"/>
  <c r="Y990" i="23"/>
  <c r="Y1002" i="23"/>
  <c r="Y1014" i="23"/>
  <c r="Y31" i="23"/>
  <c r="Y43" i="23"/>
  <c r="Y55" i="23"/>
  <c r="Y67" i="23"/>
  <c r="Y79" i="23"/>
  <c r="Y91" i="23"/>
  <c r="Y103" i="23"/>
  <c r="Y115" i="23"/>
  <c r="Y127" i="23"/>
  <c r="Y139" i="23"/>
  <c r="Y151" i="23"/>
  <c r="Y163" i="23"/>
  <c r="Y175" i="23"/>
  <c r="Y187" i="23"/>
  <c r="Y199" i="23"/>
  <c r="Y211" i="23"/>
  <c r="Y223" i="23"/>
  <c r="Y235" i="23"/>
  <c r="Y247" i="23"/>
  <c r="Y259" i="23"/>
  <c r="Y271" i="23"/>
  <c r="Y283" i="23"/>
  <c r="Y295" i="23"/>
  <c r="Y307" i="23"/>
  <c r="Y319" i="23"/>
  <c r="Y331" i="23"/>
  <c r="Y343" i="23"/>
  <c r="Y355" i="23"/>
  <c r="Y367" i="23"/>
  <c r="Y379" i="23"/>
  <c r="Y391" i="23"/>
  <c r="Y403" i="23"/>
  <c r="Y415" i="23"/>
  <c r="Y427" i="23"/>
  <c r="Y439" i="23"/>
  <c r="Y451" i="23"/>
  <c r="Y463" i="23"/>
  <c r="Y475" i="23"/>
  <c r="Y487" i="23"/>
  <c r="Y499" i="23"/>
  <c r="Y511" i="23"/>
  <c r="Y523" i="23"/>
  <c r="Y535" i="23"/>
  <c r="Y547" i="23"/>
  <c r="Y559" i="23"/>
  <c r="Y571" i="23"/>
  <c r="Y583" i="23"/>
  <c r="Y595" i="23"/>
  <c r="Y607" i="23"/>
  <c r="Y619" i="23"/>
  <c r="Y631" i="23"/>
  <c r="Y643" i="23"/>
  <c r="Y655" i="23"/>
  <c r="Y667" i="23"/>
  <c r="Y679" i="23"/>
  <c r="Y691" i="23"/>
  <c r="Y703" i="23"/>
  <c r="Y715" i="23"/>
  <c r="Y727" i="23"/>
  <c r="Y739" i="23"/>
  <c r="Y751" i="23"/>
  <c r="Y763" i="23"/>
  <c r="Y775" i="23"/>
  <c r="Y787" i="23"/>
  <c r="Y799" i="23"/>
  <c r="Y811" i="23"/>
  <c r="Y33" i="23"/>
  <c r="Y45" i="23"/>
  <c r="Y57" i="23"/>
  <c r="Y69" i="23"/>
  <c r="Y81" i="23"/>
  <c r="Y93" i="23"/>
  <c r="Y105" i="23"/>
  <c r="Y117" i="23"/>
  <c r="Y129" i="23"/>
  <c r="Y141" i="23"/>
  <c r="Y153" i="23"/>
  <c r="Y165" i="23"/>
  <c r="Y177" i="23"/>
  <c r="Y189" i="23"/>
  <c r="Y201" i="23"/>
  <c r="Y213" i="23"/>
  <c r="Y225" i="23"/>
  <c r="Y237" i="23"/>
  <c r="Y249" i="23"/>
  <c r="Y261" i="23"/>
  <c r="Y273" i="23"/>
  <c r="Y285" i="23"/>
  <c r="Y297" i="23"/>
  <c r="Y309" i="23"/>
  <c r="Y321" i="23"/>
  <c r="Y333" i="23"/>
  <c r="Y345" i="23"/>
  <c r="Y357" i="23"/>
  <c r="Y369" i="23"/>
  <c r="Y381" i="23"/>
  <c r="Y393" i="23"/>
  <c r="Y405" i="23"/>
  <c r="Y417" i="23"/>
  <c r="Y429" i="23"/>
  <c r="Y441" i="23"/>
  <c r="Y453" i="23"/>
  <c r="Y465" i="23"/>
  <c r="Y477" i="23"/>
  <c r="Y489" i="23"/>
  <c r="Y501" i="23"/>
  <c r="Y513" i="23"/>
  <c r="Y525" i="23"/>
  <c r="Y537" i="23"/>
  <c r="Y549" i="23"/>
  <c r="Y561" i="23"/>
  <c r="Y573" i="23"/>
  <c r="Y585" i="23"/>
  <c r="Y597" i="23"/>
  <c r="Y609" i="23"/>
  <c r="Y24" i="23"/>
  <c r="Y39" i="23"/>
  <c r="Y56" i="23"/>
  <c r="Y72" i="23"/>
  <c r="Y87" i="23"/>
  <c r="Y104" i="23"/>
  <c r="Y120" i="23"/>
  <c r="Y135" i="23"/>
  <c r="Y152" i="23"/>
  <c r="Y168" i="23"/>
  <c r="Y183" i="23"/>
  <c r="Y200" i="23"/>
  <c r="Y216" i="23"/>
  <c r="Y231" i="23"/>
  <c r="Y248" i="23"/>
  <c r="Y264" i="23"/>
  <c r="Y279" i="23"/>
  <c r="Y296" i="23"/>
  <c r="Y312" i="23"/>
  <c r="Y327" i="23"/>
  <c r="Y344" i="23"/>
  <c r="Y360" i="23"/>
  <c r="Y375" i="23"/>
  <c r="Y392" i="23"/>
  <c r="Y408" i="23"/>
  <c r="Y423" i="23"/>
  <c r="Y440" i="23"/>
  <c r="Y456" i="23"/>
  <c r="Y471" i="23"/>
  <c r="Y488" i="23"/>
  <c r="Y504" i="23"/>
  <c r="Y519" i="23"/>
  <c r="Y536" i="23"/>
  <c r="Y552" i="23"/>
  <c r="Y567" i="23"/>
  <c r="Y584" i="23"/>
  <c r="Y600" i="23"/>
  <c r="Y615" i="23"/>
  <c r="Y629" i="23"/>
  <c r="Y645" i="23"/>
  <c r="Y659" i="23"/>
  <c r="Y673" i="23"/>
  <c r="Y687" i="23"/>
  <c r="Y701" i="23"/>
  <c r="Y717" i="23"/>
  <c r="Y731" i="23"/>
  <c r="Y745" i="23"/>
  <c r="Y759" i="23"/>
  <c r="Y773" i="23"/>
  <c r="Y789" i="23"/>
  <c r="Y803" i="23"/>
  <c r="Y817" i="23"/>
  <c r="Y830" i="23"/>
  <c r="Y843" i="23"/>
  <c r="Y856" i="23"/>
  <c r="Y869" i="23"/>
  <c r="Y883" i="23"/>
  <c r="Y896" i="23"/>
  <c r="Y909" i="23"/>
  <c r="Y922" i="23"/>
  <c r="Y935" i="23"/>
  <c r="Y948" i="23"/>
  <c r="Y961" i="23"/>
  <c r="Y974" i="23"/>
  <c r="Y987" i="23"/>
  <c r="Y1000" i="23"/>
  <c r="Y1013" i="23"/>
  <c r="Y1026" i="23"/>
  <c r="Y1038" i="23"/>
  <c r="Y1050" i="23"/>
  <c r="Y1062" i="23"/>
  <c r="Y1074" i="23"/>
  <c r="Y1086" i="23"/>
  <c r="Y1098" i="23"/>
  <c r="Y1110" i="23"/>
  <c r="Y1122" i="23"/>
  <c r="Y1134" i="23"/>
  <c r="Y1146" i="23"/>
  <c r="Y1158" i="23"/>
  <c r="Y1170" i="23"/>
  <c r="Y1178" i="23"/>
  <c r="Y1166" i="23"/>
  <c r="Y1154" i="23"/>
  <c r="Y1142" i="23"/>
  <c r="Y1130" i="23"/>
  <c r="Y1118" i="23"/>
  <c r="Y1106" i="23"/>
  <c r="Y1094" i="23"/>
  <c r="Y1082" i="23"/>
  <c r="Y1070" i="23"/>
  <c r="Y1058" i="23"/>
  <c r="Y1046" i="23"/>
  <c r="Y1034" i="23"/>
  <c r="Y1022" i="23"/>
  <c r="Y1009" i="23"/>
  <c r="Y996" i="23"/>
  <c r="Y983" i="23"/>
  <c r="Y970" i="23"/>
  <c r="Y957" i="23"/>
  <c r="Y944" i="23"/>
  <c r="Y931" i="23"/>
  <c r="Y917" i="23"/>
  <c r="Y904" i="23"/>
  <c r="Y891" i="23"/>
  <c r="Y878" i="23"/>
  <c r="Y865" i="23"/>
  <c r="Y852" i="23"/>
  <c r="Y839" i="23"/>
  <c r="Y826" i="23"/>
  <c r="Y813" i="23"/>
  <c r="Y797" i="23"/>
  <c r="Y783" i="23"/>
  <c r="Y769" i="23"/>
  <c r="Y755" i="23"/>
  <c r="Y741" i="23"/>
  <c r="Y725" i="23"/>
  <c r="Y711" i="23"/>
  <c r="Y697" i="23"/>
  <c r="Y683" i="23"/>
  <c r="Y669" i="23"/>
  <c r="Y653" i="23"/>
  <c r="Y639" i="23"/>
  <c r="Y625" i="23"/>
  <c r="Y611" i="23"/>
  <c r="Y593" i="23"/>
  <c r="Y578" i="23"/>
  <c r="Y563" i="23"/>
  <c r="Y545" i="23"/>
  <c r="Y530" i="23"/>
  <c r="Y515" i="23"/>
  <c r="Y497" i="23"/>
  <c r="Y482" i="23"/>
  <c r="Y467" i="23"/>
  <c r="Y449" i="23"/>
  <c r="Y434" i="23"/>
  <c r="Y419" i="23"/>
  <c r="Y401" i="23"/>
  <c r="Y386" i="23"/>
  <c r="Y371" i="23"/>
  <c r="Y353" i="23"/>
  <c r="Y338" i="23"/>
  <c r="Y323" i="23"/>
  <c r="Y305" i="23"/>
  <c r="Y290" i="23"/>
  <c r="Y275" i="23"/>
  <c r="Y257" i="23"/>
  <c r="Y242" i="23"/>
  <c r="Y227" i="23"/>
  <c r="Y209" i="23"/>
  <c r="Y194" i="23"/>
  <c r="Y179" i="23"/>
  <c r="Y161" i="23"/>
  <c r="Y146" i="23"/>
  <c r="Y131" i="23"/>
  <c r="Y113" i="23"/>
  <c r="Y98" i="23"/>
  <c r="Y83" i="23"/>
  <c r="Y65" i="23"/>
  <c r="Y50" i="23"/>
  <c r="Y35" i="23"/>
  <c r="Y1177" i="23"/>
  <c r="Y1165" i="23"/>
  <c r="Y1153" i="23"/>
  <c r="Y1141" i="23"/>
  <c r="Y1129" i="23"/>
  <c r="Y1117" i="23"/>
  <c r="Y1105" i="23"/>
  <c r="Y1093" i="23"/>
  <c r="Y1081" i="23"/>
  <c r="Y1069" i="23"/>
  <c r="Y1057" i="23"/>
  <c r="Y1045" i="23"/>
  <c r="Y1033" i="23"/>
  <c r="Y1021" i="23"/>
  <c r="Y1008" i="23"/>
  <c r="Y995" i="23"/>
  <c r="Y982" i="23"/>
  <c r="Y969" i="23"/>
  <c r="Y956" i="23"/>
  <c r="Y943" i="23"/>
  <c r="Y929" i="23"/>
  <c r="Y916" i="23"/>
  <c r="Y903" i="23"/>
  <c r="Y890" i="23"/>
  <c r="Y877" i="23"/>
  <c r="Y864" i="23"/>
  <c r="Y851" i="23"/>
  <c r="Y838" i="23"/>
  <c r="Y825" i="23"/>
  <c r="Y812" i="23"/>
  <c r="Y796" i="23"/>
  <c r="Y782" i="23"/>
  <c r="Y768" i="23"/>
  <c r="Y754" i="23"/>
  <c r="Y740" i="23"/>
  <c r="Y724" i="23"/>
  <c r="Y710" i="23"/>
  <c r="Y696" i="23"/>
  <c r="Y682" i="23"/>
  <c r="Y668" i="23"/>
  <c r="Y652" i="23"/>
  <c r="Y638" i="23"/>
  <c r="Y624" i="23"/>
  <c r="Y610" i="23"/>
  <c r="Y592" i="23"/>
  <c r="Y577" i="23"/>
  <c r="Y562" i="23"/>
  <c r="Y544" i="23"/>
  <c r="Y529" i="23"/>
  <c r="Y514" i="23"/>
  <c r="Y496" i="23"/>
  <c r="Y481" i="23"/>
  <c r="Y466" i="23"/>
  <c r="Y448" i="23"/>
  <c r="Y433" i="23"/>
  <c r="Y418" i="23"/>
  <c r="Y400" i="23"/>
  <c r="Y385" i="23"/>
  <c r="Y370" i="23"/>
  <c r="Y352" i="23"/>
  <c r="Y337" i="23"/>
  <c r="Y322" i="23"/>
  <c r="Y304" i="23"/>
  <c r="Y289" i="23"/>
  <c r="Y274" i="23"/>
  <c r="Y256" i="23"/>
  <c r="Y241" i="23"/>
  <c r="Y226" i="23"/>
  <c r="Y208" i="23"/>
  <c r="Y193" i="23"/>
  <c r="Y178" i="23"/>
  <c r="Y160" i="23"/>
  <c r="Y145" i="23"/>
  <c r="Y130" i="23"/>
  <c r="Y112" i="23"/>
  <c r="Y97" i="23"/>
  <c r="Y82" i="23"/>
  <c r="Y64" i="23"/>
  <c r="Y49" i="23"/>
  <c r="Y34" i="23"/>
  <c r="Y1175" i="23"/>
  <c r="Y1163" i="23"/>
  <c r="Y1151" i="23"/>
  <c r="Y1139" i="23"/>
  <c r="Y1127" i="23"/>
  <c r="Y1115" i="23"/>
  <c r="Y1103" i="23"/>
  <c r="Y1091" i="23"/>
  <c r="Y1079" i="23"/>
  <c r="Y1067" i="23"/>
  <c r="Y1055" i="23"/>
  <c r="Y1043" i="23"/>
  <c r="Y1031" i="23"/>
  <c r="Y1019" i="23"/>
  <c r="Y1006" i="23"/>
  <c r="Y993" i="23"/>
  <c r="Y980" i="23"/>
  <c r="Y967" i="23"/>
  <c r="Y953" i="23"/>
  <c r="Y940" i="23"/>
  <c r="Y927" i="23"/>
  <c r="Y914" i="23"/>
  <c r="Y901" i="23"/>
  <c r="Y888" i="23"/>
  <c r="Y875" i="23"/>
  <c r="Y862" i="23"/>
  <c r="Y849" i="23"/>
  <c r="Y836" i="23"/>
  <c r="Y823" i="23"/>
  <c r="Y808" i="23"/>
  <c r="Y794" i="23"/>
  <c r="Y780" i="23"/>
  <c r="Y766" i="23"/>
  <c r="Y752" i="23"/>
  <c r="Y736" i="23"/>
  <c r="Y722" i="23"/>
  <c r="Y708" i="23"/>
  <c r="Y694" i="23"/>
  <c r="Y680" i="23"/>
  <c r="Y664" i="23"/>
  <c r="Y650" i="23"/>
  <c r="Y636" i="23"/>
  <c r="Y622" i="23"/>
  <c r="Y605" i="23"/>
  <c r="Y590" i="23"/>
  <c r="Y575" i="23"/>
  <c r="Y557" i="23"/>
  <c r="Y542" i="23"/>
  <c r="Y527" i="23"/>
  <c r="Y509" i="23"/>
  <c r="Y494" i="23"/>
  <c r="Y479" i="23"/>
  <c r="Y461" i="23"/>
  <c r="Y446" i="23"/>
  <c r="Y431" i="23"/>
  <c r="Y413" i="23"/>
  <c r="Y398" i="23"/>
  <c r="Y383" i="23"/>
  <c r="Y365" i="23"/>
  <c r="Y350" i="23"/>
  <c r="Y335" i="23"/>
  <c r="Y317" i="23"/>
  <c r="Y302" i="23"/>
  <c r="Y287" i="23"/>
  <c r="Y269" i="23"/>
  <c r="Y254" i="23"/>
  <c r="Y239" i="23"/>
  <c r="Y221" i="23"/>
  <c r="Y206" i="23"/>
  <c r="Y191" i="23"/>
  <c r="Y173" i="23"/>
  <c r="Y158" i="23"/>
  <c r="Y143" i="23"/>
  <c r="Y125" i="23"/>
  <c r="Y110" i="23"/>
  <c r="Y95" i="23"/>
  <c r="Y77" i="23"/>
  <c r="Y62" i="23"/>
  <c r="Y47" i="23"/>
  <c r="Y29" i="23"/>
  <c r="Y1174" i="23"/>
  <c r="Y1162" i="23"/>
  <c r="Y1150" i="23"/>
  <c r="Y1138" i="23"/>
  <c r="Y1126" i="23"/>
  <c r="Y1114" i="23"/>
  <c r="Y1102" i="23"/>
  <c r="Y1090" i="23"/>
  <c r="Y1078" i="23"/>
  <c r="Y1066" i="23"/>
  <c r="Y1054" i="23"/>
  <c r="Y1042" i="23"/>
  <c r="Y1030" i="23"/>
  <c r="Y1018" i="23"/>
  <c r="Y1005" i="23"/>
  <c r="Y992" i="23"/>
  <c r="Y979" i="23"/>
  <c r="Y965" i="23"/>
  <c r="Y952" i="23"/>
  <c r="Y939" i="23"/>
  <c r="Y926" i="23"/>
  <c r="Y913" i="23"/>
  <c r="Y900" i="23"/>
  <c r="Y887" i="23"/>
  <c r="Y874" i="23"/>
  <c r="Y861" i="23"/>
  <c r="Y848" i="23"/>
  <c r="Y835" i="23"/>
  <c r="Y821" i="23"/>
  <c r="Y807" i="23"/>
  <c r="Y793" i="23"/>
  <c r="Y779" i="23"/>
  <c r="Y765" i="23"/>
  <c r="Y749" i="23"/>
  <c r="Y735" i="23"/>
  <c r="Y721" i="23"/>
  <c r="Y707" i="23"/>
  <c r="Y693" i="23"/>
  <c r="Y677" i="23"/>
  <c r="Y663" i="23"/>
  <c r="Y649" i="23"/>
  <c r="Y635" i="23"/>
  <c r="Y621" i="23"/>
  <c r="Y604" i="23"/>
  <c r="Y589" i="23"/>
  <c r="Y574" i="23"/>
  <c r="Y556" i="23"/>
  <c r="Y541" i="23"/>
  <c r="Y526" i="23"/>
  <c r="Y508" i="23"/>
  <c r="Y493" i="23"/>
  <c r="Y478" i="23"/>
  <c r="Y460" i="23"/>
  <c r="Y445" i="23"/>
  <c r="Y430" i="23"/>
  <c r="Y412" i="23"/>
  <c r="Y397" i="23"/>
  <c r="Y382" i="23"/>
  <c r="Y364" i="23"/>
  <c r="Y349" i="23"/>
  <c r="Y334" i="23"/>
  <c r="Y316" i="23"/>
  <c r="Y301" i="23"/>
  <c r="Y286" i="23"/>
  <c r="Y268" i="23"/>
  <c r="Y253" i="23"/>
  <c r="Y238" i="23"/>
  <c r="Y220" i="23"/>
  <c r="Y205" i="23"/>
  <c r="Y190" i="23"/>
  <c r="Y172" i="23"/>
  <c r="Y157" i="23"/>
  <c r="Y142" i="23"/>
  <c r="Y124" i="23"/>
  <c r="Y109" i="23"/>
  <c r="Y94" i="23"/>
  <c r="Y76" i="23"/>
  <c r="Y61" i="23"/>
  <c r="Y46" i="23"/>
  <c r="Y28" i="23"/>
  <c r="Y1173" i="23"/>
  <c r="Y1161" i="23"/>
  <c r="Y1149" i="23"/>
  <c r="Y1137" i="23"/>
  <c r="Y1125" i="23"/>
  <c r="Y1113" i="23"/>
  <c r="Y1101" i="23"/>
  <c r="Y1089" i="23"/>
  <c r="Y1077" i="23"/>
  <c r="Y1065" i="23"/>
  <c r="Y1053" i="23"/>
  <c r="Y1041" i="23"/>
  <c r="Y1029" i="23"/>
  <c r="Y1017" i="23"/>
  <c r="Y1004" i="23"/>
  <c r="Y991" i="23"/>
  <c r="Y977" i="23"/>
  <c r="Y964" i="23"/>
  <c r="Y951" i="23"/>
  <c r="Y938" i="23"/>
  <c r="Y925" i="23"/>
  <c r="Y912" i="23"/>
  <c r="Y899" i="23"/>
  <c r="Y886" i="23"/>
  <c r="Y873" i="23"/>
  <c r="Y860" i="23"/>
  <c r="Y847" i="23"/>
  <c r="Y833" i="23"/>
  <c r="Y820" i="23"/>
  <c r="Y806" i="23"/>
  <c r="Y792" i="23"/>
  <c r="Y778" i="23"/>
  <c r="Y764" i="23"/>
  <c r="Y748" i="23"/>
  <c r="Y734" i="23"/>
  <c r="Y720" i="23"/>
  <c r="Y706" i="23"/>
  <c r="Y692" i="23"/>
  <c r="Y676" i="23"/>
  <c r="Y662" i="23"/>
  <c r="Y648" i="23"/>
  <c r="Y634" i="23"/>
  <c r="Y620" i="23"/>
  <c r="Y603" i="23"/>
  <c r="Y588" i="23"/>
  <c r="Y572" i="23"/>
  <c r="Y555" i="23"/>
  <c r="Y540" i="23"/>
  <c r="Y524" i="23"/>
  <c r="Y507" i="23"/>
  <c r="Y492" i="23"/>
  <c r="Y476" i="23"/>
  <c r="Y459" i="23"/>
  <c r="Y444" i="23"/>
  <c r="Y428" i="23"/>
  <c r="Y411" i="23"/>
  <c r="Y396" i="23"/>
  <c r="Y380" i="23"/>
  <c r="Y363" i="23"/>
  <c r="Y348" i="23"/>
  <c r="Y332" i="23"/>
  <c r="Y315" i="23"/>
  <c r="Y300" i="23"/>
  <c r="Y284" i="23"/>
  <c r="Y267" i="23"/>
  <c r="Y252" i="23"/>
  <c r="Y236" i="23"/>
  <c r="Y219" i="23"/>
  <c r="Y204" i="23"/>
  <c r="Y188" i="23"/>
  <c r="Y171" i="23"/>
  <c r="Y156" i="23"/>
  <c r="Y140" i="23"/>
  <c r="Y123" i="23"/>
  <c r="Y108" i="23"/>
  <c r="Y92" i="23"/>
  <c r="Y75" i="23"/>
  <c r="Y60" i="23"/>
  <c r="Y44" i="23"/>
  <c r="Y27" i="23"/>
  <c r="Y1172" i="23"/>
  <c r="Y1160" i="23"/>
  <c r="Y1148" i="23"/>
  <c r="Y1136" i="23"/>
  <c r="Y1124" i="23"/>
  <c r="Y1112" i="23"/>
  <c r="Y1100" i="23"/>
  <c r="Y1088" i="23"/>
  <c r="Y1076" i="23"/>
  <c r="Y1064" i="23"/>
  <c r="Y1052" i="23"/>
  <c r="Y1040" i="23"/>
  <c r="Y1028" i="23"/>
  <c r="Y1016" i="23"/>
  <c r="Y1003" i="23"/>
  <c r="Y989" i="23"/>
  <c r="Y976" i="23"/>
  <c r="Y963" i="23"/>
  <c r="Y950" i="23"/>
  <c r="Y937" i="23"/>
  <c r="Y924" i="23"/>
  <c r="Y911" i="23"/>
  <c r="Y898" i="23"/>
  <c r="Y885" i="23"/>
  <c r="Y872" i="23"/>
  <c r="Y859" i="23"/>
  <c r="Y845" i="23"/>
  <c r="Y832" i="23"/>
  <c r="Y819" i="23"/>
  <c r="Y805" i="23"/>
  <c r="Y791" i="23"/>
  <c r="Y777" i="23"/>
  <c r="Y761" i="23"/>
  <c r="Y747" i="23"/>
  <c r="Y733" i="23"/>
  <c r="Y719" i="23"/>
  <c r="Y705" i="23"/>
  <c r="Y689" i="23"/>
  <c r="Y675" i="23"/>
  <c r="Y661" i="23"/>
  <c r="Y647" i="23"/>
  <c r="Y633" i="23"/>
  <c r="Y617" i="23"/>
  <c r="Y602" i="23"/>
  <c r="Y587" i="23"/>
  <c r="Y569" i="23"/>
  <c r="Y554" i="23"/>
  <c r="Y539" i="23"/>
  <c r="Y521" i="23"/>
  <c r="Y506" i="23"/>
  <c r="Y491" i="23"/>
  <c r="Y473" i="23"/>
  <c r="Y458" i="23"/>
  <c r="Y443" i="23"/>
  <c r="Y425" i="23"/>
  <c r="Y410" i="23"/>
  <c r="Y395" i="23"/>
  <c r="Y377" i="23"/>
  <c r="Y362" i="23"/>
  <c r="Y347" i="23"/>
  <c r="Y329" i="23"/>
  <c r="Y314" i="23"/>
  <c r="Y299" i="23"/>
  <c r="Y281" i="23"/>
  <c r="Y266" i="23"/>
  <c r="Y251" i="23"/>
  <c r="Y233" i="23"/>
  <c r="Y218" i="23"/>
  <c r="Y203" i="23"/>
  <c r="Y185" i="23"/>
  <c r="Y170" i="23"/>
  <c r="Y155" i="23"/>
  <c r="Y137" i="23"/>
  <c r="Y122" i="23"/>
  <c r="Y107" i="23"/>
  <c r="Y89" i="23"/>
  <c r="Y74" i="23"/>
  <c r="Y59" i="23"/>
  <c r="Y41" i="23"/>
  <c r="Y26" i="23"/>
  <c r="Y128" i="23"/>
  <c r="Y111" i="23"/>
  <c r="Y96" i="23"/>
  <c r="Y32" i="23"/>
  <c r="Y1171" i="23"/>
  <c r="Y1159" i="23"/>
  <c r="Y1147" i="23"/>
  <c r="Y1135" i="23"/>
  <c r="Y1123" i="23"/>
  <c r="Y1111" i="23"/>
  <c r="Y1099" i="23"/>
  <c r="Y1087" i="23"/>
  <c r="Y1075" i="23"/>
  <c r="Y1063" i="23"/>
  <c r="Y1051" i="23"/>
  <c r="Y1039" i="23"/>
  <c r="Y1027" i="23"/>
  <c r="Y1015" i="23"/>
  <c r="Y1001" i="23"/>
  <c r="Y988" i="23"/>
  <c r="Y975" i="23"/>
  <c r="Y962" i="23"/>
  <c r="Y949" i="23"/>
  <c r="Y936" i="23"/>
  <c r="Y923" i="23"/>
  <c r="Y910" i="23"/>
  <c r="Y897" i="23"/>
  <c r="Y884" i="23"/>
  <c r="Y871" i="23"/>
  <c r="Y857" i="23"/>
  <c r="Y844" i="23"/>
  <c r="Y831" i="23"/>
  <c r="Y818" i="23"/>
  <c r="Y804" i="23"/>
  <c r="Y790" i="23"/>
  <c r="Y776" i="23"/>
  <c r="Y760" i="23"/>
  <c r="Y746" i="23"/>
  <c r="Y732" i="23"/>
  <c r="Y718" i="23"/>
  <c r="Y704" i="23"/>
  <c r="Y688" i="23"/>
  <c r="Y674" i="23"/>
  <c r="Y660" i="23"/>
  <c r="Y646" i="23"/>
  <c r="Y632" i="23"/>
  <c r="Y616" i="23"/>
  <c r="Y601" i="23"/>
  <c r="Y586" i="23"/>
  <c r="Y568" i="23"/>
  <c r="Y553" i="23"/>
  <c r="Y538" i="23"/>
  <c r="Y520" i="23"/>
  <c r="Y505" i="23"/>
  <c r="Y490" i="23"/>
  <c r="Y472" i="23"/>
  <c r="Y457" i="23"/>
  <c r="Y442" i="23"/>
  <c r="Y424" i="23"/>
  <c r="Y409" i="23"/>
  <c r="Y394" i="23"/>
  <c r="Y376" i="23"/>
  <c r="Y361" i="23"/>
  <c r="Y346" i="23"/>
  <c r="Y328" i="23"/>
  <c r="Y313" i="23"/>
  <c r="Y298" i="23"/>
  <c r="Y280" i="23"/>
  <c r="Y265" i="23"/>
  <c r="Y250" i="23"/>
  <c r="Y232" i="23"/>
  <c r="Y217" i="23"/>
  <c r="Y202" i="23"/>
  <c r="Y184" i="23"/>
  <c r="Y169" i="23"/>
  <c r="Y154" i="23"/>
  <c r="Y136" i="23"/>
  <c r="Y121" i="23"/>
  <c r="Y106" i="23"/>
  <c r="Y88" i="23"/>
  <c r="Y73" i="23"/>
  <c r="Y58" i="23"/>
  <c r="Y40" i="23"/>
  <c r="Y25" i="23"/>
  <c r="K19" i="44"/>
  <c r="P9" i="50"/>
  <c r="D9" i="50" s="1"/>
  <c r="K8" i="44"/>
  <c r="O17" i="44"/>
  <c r="F17" i="44" s="1"/>
  <c r="O5" i="44"/>
  <c r="F5" i="44" s="1"/>
  <c r="M22" i="44"/>
  <c r="C22" i="44" s="1"/>
  <c r="M10" i="44"/>
  <c r="C10" i="44" s="1"/>
  <c r="K7" i="44"/>
  <c r="K3" i="44"/>
  <c r="A3" i="44" s="1"/>
  <c r="O16" i="44"/>
  <c r="F16" i="44" s="1"/>
  <c r="O4" i="44"/>
  <c r="F4" i="44" s="1"/>
  <c r="M21" i="44"/>
  <c r="C21" i="44" s="1"/>
  <c r="M9" i="44"/>
  <c r="C9" i="44" s="1"/>
  <c r="K25" i="44"/>
  <c r="K13" i="44"/>
  <c r="K26" i="44"/>
  <c r="K6" i="44"/>
  <c r="O3" i="44"/>
  <c r="F3" i="44" s="1"/>
  <c r="O15" i="44"/>
  <c r="F15" i="44" s="1"/>
  <c r="K23" i="44"/>
  <c r="M20" i="44"/>
  <c r="C20" i="44" s="1"/>
  <c r="M8" i="44"/>
  <c r="C8" i="44" s="1"/>
  <c r="K24" i="44"/>
  <c r="K12" i="44"/>
  <c r="K22" i="44"/>
  <c r="K5" i="44"/>
  <c r="O26" i="44"/>
  <c r="F26" i="44" s="1"/>
  <c r="O14" i="44"/>
  <c r="F14" i="44" s="1"/>
  <c r="K10" i="44"/>
  <c r="M19" i="44"/>
  <c r="C19" i="44" s="1"/>
  <c r="M7" i="44"/>
  <c r="C7" i="44" s="1"/>
  <c r="K11" i="44"/>
  <c r="K21" i="44"/>
  <c r="K4" i="44"/>
  <c r="O25" i="44"/>
  <c r="F25" i="44" s="1"/>
  <c r="O13" i="44"/>
  <c r="F13" i="44" s="1"/>
  <c r="M3" i="44"/>
  <c r="C3" i="44" s="1"/>
  <c r="M18" i="44"/>
  <c r="C18" i="44" s="1"/>
  <c r="M6" i="44"/>
  <c r="C6" i="44" s="1"/>
  <c r="K20" i="44"/>
  <c r="O24" i="44"/>
  <c r="F24" i="44" s="1"/>
  <c r="O12" i="44"/>
  <c r="F12" i="44" s="1"/>
  <c r="M29" i="44"/>
  <c r="C29" i="44" s="1"/>
  <c r="M17" i="44"/>
  <c r="C17" i="44" s="1"/>
  <c r="M5" i="44"/>
  <c r="C5" i="44" s="1"/>
  <c r="O23" i="44"/>
  <c r="F23" i="44" s="1"/>
  <c r="O11" i="44"/>
  <c r="F11" i="44" s="1"/>
  <c r="M28" i="44"/>
  <c r="C28" i="44" s="1"/>
  <c r="M16" i="44"/>
  <c r="C16" i="44" s="1"/>
  <c r="M4" i="44"/>
  <c r="C4" i="44" s="1"/>
  <c r="K18" i="44"/>
  <c r="O22" i="44"/>
  <c r="F22" i="44" s="1"/>
  <c r="O10" i="44"/>
  <c r="F10" i="44" s="1"/>
  <c r="M27" i="44"/>
  <c r="C27" i="44" s="1"/>
  <c r="M15" i="44"/>
  <c r="C15" i="44" s="1"/>
  <c r="K17" i="44"/>
  <c r="O21" i="44"/>
  <c r="F21" i="44" s="1"/>
  <c r="O9" i="44"/>
  <c r="F9" i="44" s="1"/>
  <c r="M26" i="44"/>
  <c r="C26" i="44" s="1"/>
  <c r="M14" i="44"/>
  <c r="C14" i="44" s="1"/>
  <c r="K16" i="44"/>
  <c r="O20" i="44"/>
  <c r="F20" i="44" s="1"/>
  <c r="O8" i="44"/>
  <c r="F8" i="44" s="1"/>
  <c r="M25" i="44"/>
  <c r="C25" i="44" s="1"/>
  <c r="M13" i="44"/>
  <c r="C13" i="44" s="1"/>
  <c r="K14" i="44"/>
  <c r="O19" i="44"/>
  <c r="F19" i="44" s="1"/>
  <c r="O7" i="44"/>
  <c r="F7" i="44" s="1"/>
  <c r="M24" i="44"/>
  <c r="C24" i="44" s="1"/>
  <c r="M12" i="44"/>
  <c r="C12" i="44" s="1"/>
  <c r="K9" i="44"/>
  <c r="O18" i="44"/>
  <c r="F18" i="44" s="1"/>
  <c r="O6" i="44"/>
  <c r="F6" i="44" s="1"/>
  <c r="M23" i="44"/>
  <c r="C23" i="44" s="1"/>
  <c r="M11" i="44"/>
  <c r="C11" i="44" s="1"/>
  <c r="K27" i="44"/>
  <c r="K15" i="44"/>
  <c r="P3" i="50"/>
  <c r="D3" i="50" s="1"/>
  <c r="Z9" i="37"/>
  <c r="X12" i="37"/>
  <c r="X50" i="37"/>
  <c r="I49" i="37" s="1"/>
  <c r="X26" i="37"/>
  <c r="X36" i="37"/>
  <c r="I35" i="37" s="1"/>
  <c r="Z20" i="37"/>
  <c r="L20" i="37" s="1"/>
  <c r="Z8" i="37"/>
  <c r="X49" i="37"/>
  <c r="X22" i="37"/>
  <c r="I22" i="37" s="1"/>
  <c r="Z19" i="37"/>
  <c r="Z7" i="37"/>
  <c r="X47" i="37"/>
  <c r="I46" i="37" s="1"/>
  <c r="X16" i="37"/>
  <c r="Z18" i="37"/>
  <c r="Z6" i="37"/>
  <c r="X46" i="37"/>
  <c r="I45" i="37" s="1"/>
  <c r="X15" i="37"/>
  <c r="I15" i="37" s="1"/>
  <c r="X9" i="37"/>
  <c r="I9" i="37" s="1"/>
  <c r="Z17" i="37"/>
  <c r="Z5" i="37"/>
  <c r="X44" i="37"/>
  <c r="I43" i="37" s="1"/>
  <c r="X13" i="37"/>
  <c r="Z16" i="37"/>
  <c r="Z4" i="37"/>
  <c r="X43" i="37"/>
  <c r="Z15" i="37"/>
  <c r="Z3" i="37"/>
  <c r="X41" i="37"/>
  <c r="I40" i="37" s="1"/>
  <c r="X6" i="37"/>
  <c r="I6" i="37" s="1"/>
  <c r="Z14" i="37"/>
  <c r="L14" i="37" s="1"/>
  <c r="X40" i="37"/>
  <c r="Z26" i="37"/>
  <c r="Z13" i="37"/>
  <c r="L13" i="37" s="1"/>
  <c r="X38" i="37"/>
  <c r="Z24" i="37"/>
  <c r="Z12" i="37"/>
  <c r="L12" i="37" s="1"/>
  <c r="X37" i="37"/>
  <c r="Z23" i="37"/>
  <c r="Z11" i="37"/>
  <c r="L11" i="37" s="1"/>
  <c r="X35" i="37"/>
  <c r="Z22" i="37"/>
  <c r="L22" i="37" s="1"/>
  <c r="Z10" i="37"/>
  <c r="L10" i="37" s="1"/>
  <c r="X34" i="37"/>
  <c r="X33" i="37"/>
  <c r="Z21" i="37"/>
  <c r="L21" i="37" s="1"/>
  <c r="X10" i="37"/>
  <c r="I10" i="37" s="1"/>
  <c r="X14" i="37"/>
  <c r="I14" i="37" s="1"/>
  <c r="Z30" i="37"/>
  <c r="Z31" i="37"/>
  <c r="AG35" i="41"/>
  <c r="O35" i="41" s="1"/>
  <c r="AL53" i="23"/>
  <c r="Z25" i="37"/>
  <c r="L25" i="37" s="1"/>
  <c r="AL52" i="23"/>
  <c r="Z32" i="37"/>
  <c r="L32" i="37" s="1"/>
  <c r="Z29" i="37"/>
  <c r="L29" i="37" s="1"/>
  <c r="Z28" i="37"/>
  <c r="L28" i="37" s="1"/>
  <c r="Z27" i="37"/>
  <c r="L27" i="37" s="1"/>
  <c r="X4" i="37"/>
  <c r="I4" i="37" s="1"/>
  <c r="X51" i="37"/>
  <c r="I50" i="37" s="1"/>
  <c r="X39" i="37"/>
  <c r="I38" i="37" s="1"/>
  <c r="X27" i="37"/>
  <c r="I26" i="37" s="1"/>
  <c r="X25" i="37"/>
  <c r="X48" i="37"/>
  <c r="I47" i="37" s="1"/>
  <c r="X24" i="37"/>
  <c r="X23" i="37"/>
  <c r="I23" i="37" s="1"/>
  <c r="X11" i="37"/>
  <c r="I11" i="37" s="1"/>
  <c r="X45" i="37"/>
  <c r="I44" i="37" s="1"/>
  <c r="X21" i="37"/>
  <c r="I21" i="37" s="1"/>
  <c r="X32" i="37"/>
  <c r="I31" i="37" s="1"/>
  <c r="X20" i="37"/>
  <c r="I20" i="37" s="1"/>
  <c r="X8" i="37"/>
  <c r="I8" i="37" s="1"/>
  <c r="X31" i="37"/>
  <c r="I30" i="37" s="1"/>
  <c r="X19" i="37"/>
  <c r="I19" i="37" s="1"/>
  <c r="X7" i="37"/>
  <c r="I7" i="37" s="1"/>
  <c r="X42" i="37"/>
  <c r="I41" i="37" s="1"/>
  <c r="X30" i="37"/>
  <c r="I29" i="37" s="1"/>
  <c r="X18" i="37"/>
  <c r="I18" i="37" s="1"/>
  <c r="X29" i="37"/>
  <c r="I28" i="37" s="1"/>
  <c r="X17" i="37"/>
  <c r="I17" i="37" s="1"/>
  <c r="X5" i="37"/>
  <c r="I5" i="37" s="1"/>
  <c r="X28" i="37"/>
  <c r="I27" i="37" s="1"/>
  <c r="AG28" i="41"/>
  <c r="O28" i="41" s="1"/>
  <c r="AG34" i="41"/>
  <c r="O34" i="41" s="1"/>
  <c r="AG33" i="41"/>
  <c r="O33" i="41" s="1"/>
  <c r="AG32" i="41"/>
  <c r="O32" i="41" s="1"/>
  <c r="AG31" i="41"/>
  <c r="O31" i="41" s="1"/>
  <c r="AG29" i="41"/>
  <c r="O29" i="41" s="1"/>
  <c r="AG23" i="41"/>
  <c r="O23" i="41" s="1"/>
  <c r="AG30" i="41"/>
  <c r="O30" i="41" s="1"/>
  <c r="AG27" i="41"/>
  <c r="O27" i="41" s="1"/>
  <c r="AG26" i="41"/>
  <c r="O26" i="41" s="1"/>
  <c r="AG25" i="41"/>
  <c r="O25" i="41" s="1"/>
  <c r="AG24" i="41"/>
  <c r="O24" i="41" s="1"/>
  <c r="N20" i="50"/>
  <c r="A20" i="50" s="1"/>
  <c r="N30" i="50"/>
  <c r="A30" i="50" s="1"/>
  <c r="N42" i="50"/>
  <c r="A42" i="50" s="1"/>
  <c r="N7" i="50"/>
  <c r="A7" i="50" s="1"/>
  <c r="N5" i="50"/>
  <c r="A5" i="50" s="1"/>
  <c r="N3" i="50"/>
  <c r="A3" i="50" s="1"/>
  <c r="P5" i="50"/>
  <c r="D5" i="50" s="1"/>
  <c r="N43" i="50"/>
  <c r="A43" i="50" s="1"/>
  <c r="P15" i="50"/>
  <c r="D15" i="50" s="1"/>
  <c r="N44" i="50"/>
  <c r="A44" i="50" s="1"/>
  <c r="P4" i="50"/>
  <c r="D4" i="50" s="1"/>
  <c r="P16" i="50"/>
  <c r="D16" i="50" s="1"/>
  <c r="N31" i="50"/>
  <c r="A31" i="50" s="1"/>
  <c r="N32" i="50"/>
  <c r="A32" i="50" s="1"/>
  <c r="N19" i="50"/>
  <c r="A19" i="50" s="1"/>
  <c r="T5" i="48"/>
  <c r="N8" i="50"/>
  <c r="A8" i="50" s="1"/>
  <c r="N6" i="50"/>
  <c r="A6" i="50" s="1"/>
  <c r="N40" i="50"/>
  <c r="A40" i="50" s="1"/>
  <c r="N28" i="50"/>
  <c r="A28" i="50" s="1"/>
  <c r="N16" i="50"/>
  <c r="A16" i="50" s="1"/>
  <c r="N4" i="50"/>
  <c r="A4" i="50" s="1"/>
  <c r="P12" i="50"/>
  <c r="D12" i="50" s="1"/>
  <c r="N39" i="50"/>
  <c r="A39" i="50" s="1"/>
  <c r="N27" i="50"/>
  <c r="A27" i="50" s="1"/>
  <c r="N15" i="50"/>
  <c r="A15" i="50" s="1"/>
  <c r="P23" i="50"/>
  <c r="D23" i="50" s="1"/>
  <c r="P11" i="50"/>
  <c r="D11" i="50" s="1"/>
  <c r="N38" i="50"/>
  <c r="A38" i="50" s="1"/>
  <c r="N14" i="50"/>
  <c r="A14" i="50" s="1"/>
  <c r="P22" i="50"/>
  <c r="D22" i="50" s="1"/>
  <c r="P10" i="50"/>
  <c r="D10" i="50" s="1"/>
  <c r="N18" i="50"/>
  <c r="A18" i="50" s="1"/>
  <c r="N29" i="50"/>
  <c r="A29" i="50" s="1"/>
  <c r="P13" i="50"/>
  <c r="D13" i="50" s="1"/>
  <c r="N50" i="50"/>
  <c r="A50" i="50" s="1"/>
  <c r="N26" i="50"/>
  <c r="A26" i="50" s="1"/>
  <c r="N49" i="50"/>
  <c r="A49" i="50" s="1"/>
  <c r="N37" i="50"/>
  <c r="A37" i="50" s="1"/>
  <c r="N25" i="50"/>
  <c r="A25" i="50" s="1"/>
  <c r="N13" i="50"/>
  <c r="A13" i="50" s="1"/>
  <c r="P21" i="50"/>
  <c r="D21" i="50" s="1"/>
  <c r="N48" i="50"/>
  <c r="A48" i="50" s="1"/>
  <c r="N36" i="50"/>
  <c r="A36" i="50" s="1"/>
  <c r="N24" i="50"/>
  <c r="A24" i="50" s="1"/>
  <c r="N12" i="50"/>
  <c r="A12" i="50" s="1"/>
  <c r="P20" i="50"/>
  <c r="D20" i="50" s="1"/>
  <c r="P8" i="50"/>
  <c r="D8" i="50" s="1"/>
  <c r="P14" i="50"/>
  <c r="D14" i="50" s="1"/>
  <c r="N35" i="50"/>
  <c r="A35" i="50" s="1"/>
  <c r="N23" i="50"/>
  <c r="A23" i="50" s="1"/>
  <c r="N11" i="50"/>
  <c r="A11" i="50" s="1"/>
  <c r="P19" i="50"/>
  <c r="D19" i="50" s="1"/>
  <c r="P7" i="50"/>
  <c r="D7" i="50" s="1"/>
  <c r="N41" i="50"/>
  <c r="A41" i="50" s="1"/>
  <c r="N46" i="50"/>
  <c r="A46" i="50" s="1"/>
  <c r="N22" i="50"/>
  <c r="A22" i="50" s="1"/>
  <c r="N10" i="50"/>
  <c r="A10" i="50" s="1"/>
  <c r="P18" i="50"/>
  <c r="D18" i="50" s="1"/>
  <c r="P6" i="50"/>
  <c r="D6" i="50" s="1"/>
  <c r="N17" i="50"/>
  <c r="A17" i="50" s="1"/>
  <c r="N47" i="50"/>
  <c r="A47" i="50" s="1"/>
  <c r="N34" i="50"/>
  <c r="A34" i="50" s="1"/>
  <c r="N45" i="50"/>
  <c r="A45" i="50" s="1"/>
  <c r="N33" i="50"/>
  <c r="A33" i="50" s="1"/>
  <c r="N21" i="50"/>
  <c r="A21" i="50" s="1"/>
  <c r="N9" i="50"/>
  <c r="A9" i="50" s="1"/>
  <c r="P17" i="50"/>
  <c r="D17" i="50" s="1"/>
  <c r="T4" i="48"/>
  <c r="T9" i="48"/>
  <c r="T8" i="48"/>
  <c r="T7" i="48"/>
  <c r="T6" i="48"/>
  <c r="R9" i="48"/>
  <c r="J11" i="48" s="1"/>
  <c r="I7" i="46"/>
  <c r="K4" i="46"/>
  <c r="N6" i="48"/>
  <c r="A6" i="48" s="1"/>
  <c r="R10" i="48"/>
  <c r="I6" i="46"/>
  <c r="N5" i="48"/>
  <c r="A5" i="48" s="1"/>
  <c r="I5" i="46"/>
  <c r="P4" i="48"/>
  <c r="R8" i="48"/>
  <c r="J10" i="48" s="1"/>
  <c r="I4" i="46"/>
  <c r="P12" i="48"/>
  <c r="D12" i="48" s="1"/>
  <c r="R7" i="48"/>
  <c r="J9" i="48" s="1"/>
  <c r="K3" i="46"/>
  <c r="P11" i="48"/>
  <c r="D11" i="48" s="1"/>
  <c r="R6" i="48"/>
  <c r="J8" i="48" s="1"/>
  <c r="K11" i="46"/>
  <c r="N4" i="48"/>
  <c r="A4" i="48" s="1"/>
  <c r="P10" i="48"/>
  <c r="R5" i="48"/>
  <c r="J7" i="48" s="1"/>
  <c r="K10" i="46"/>
  <c r="N12" i="48"/>
  <c r="A12" i="48" s="1"/>
  <c r="P9" i="48"/>
  <c r="D9" i="48" s="1"/>
  <c r="X10" i="49"/>
  <c r="I10" i="49" s="1"/>
  <c r="I3" i="46"/>
  <c r="K9" i="46"/>
  <c r="N11" i="48"/>
  <c r="A11" i="48" s="1"/>
  <c r="P8" i="48"/>
  <c r="D8" i="48" s="1"/>
  <c r="I11" i="46"/>
  <c r="K8" i="46"/>
  <c r="N10" i="48"/>
  <c r="A10" i="48" s="1"/>
  <c r="P7" i="48"/>
  <c r="D7" i="48" s="1"/>
  <c r="I10" i="46"/>
  <c r="K7" i="46"/>
  <c r="N9" i="48"/>
  <c r="A9" i="48" s="1"/>
  <c r="P6" i="48"/>
  <c r="D6" i="48" s="1"/>
  <c r="I9" i="46"/>
  <c r="K6" i="46"/>
  <c r="N8" i="48"/>
  <c r="A8" i="48" s="1"/>
  <c r="P5" i="48"/>
  <c r="D5" i="48" s="1"/>
  <c r="I8" i="46"/>
  <c r="K5" i="46"/>
  <c r="N7" i="48"/>
  <c r="A7" i="48" s="1"/>
  <c r="R4" i="48"/>
  <c r="J6" i="48" s="1"/>
  <c r="P26" i="49"/>
  <c r="A26" i="49" s="1"/>
  <c r="P4" i="49"/>
  <c r="A4" i="49" s="1"/>
  <c r="T14" i="49"/>
  <c r="E14" i="49" s="1"/>
  <c r="X21" i="49"/>
  <c r="I21" i="49" s="1"/>
  <c r="X9" i="49"/>
  <c r="I9" i="49" s="1"/>
  <c r="P25" i="49"/>
  <c r="A25" i="49" s="1"/>
  <c r="R23" i="49"/>
  <c r="C23" i="49" s="1"/>
  <c r="T7" i="49"/>
  <c r="E7" i="49" s="1"/>
  <c r="X20" i="49"/>
  <c r="I20" i="49" s="1"/>
  <c r="X8" i="49"/>
  <c r="I8" i="49" s="1"/>
  <c r="P24" i="49"/>
  <c r="A24" i="49" s="1"/>
  <c r="R22" i="49"/>
  <c r="C22" i="49" s="1"/>
  <c r="T6" i="49"/>
  <c r="E6" i="49" s="1"/>
  <c r="P21" i="49"/>
  <c r="A21" i="49" s="1"/>
  <c r="X19" i="49"/>
  <c r="I19" i="49" s="1"/>
  <c r="X7" i="49"/>
  <c r="I7" i="49" s="1"/>
  <c r="P23" i="49"/>
  <c r="A23" i="49" s="1"/>
  <c r="R21" i="49"/>
  <c r="C21" i="49" s="1"/>
  <c r="T5" i="49"/>
  <c r="E5" i="49" s="1"/>
  <c r="P15" i="49"/>
  <c r="A15" i="49" s="1"/>
  <c r="X18" i="49"/>
  <c r="I18" i="49" s="1"/>
  <c r="X6" i="49"/>
  <c r="I6" i="49" s="1"/>
  <c r="P20" i="49"/>
  <c r="A20" i="49" s="1"/>
  <c r="R18" i="49"/>
  <c r="C18" i="49" s="1"/>
  <c r="V22" i="49"/>
  <c r="G22" i="49" s="1"/>
  <c r="X17" i="49"/>
  <c r="I17" i="49" s="1"/>
  <c r="X5" i="49"/>
  <c r="I5" i="49" s="1"/>
  <c r="P18" i="49"/>
  <c r="A18" i="49" s="1"/>
  <c r="R11" i="49"/>
  <c r="C11" i="49" s="1"/>
  <c r="V15" i="49"/>
  <c r="G15" i="49" s="1"/>
  <c r="X28" i="49"/>
  <c r="I28" i="49" s="1"/>
  <c r="X16" i="49"/>
  <c r="I16" i="49" s="1"/>
  <c r="X4" i="49"/>
  <c r="I4" i="49" s="1"/>
  <c r="P14" i="49"/>
  <c r="A14" i="49" s="1"/>
  <c r="R10" i="49"/>
  <c r="C10" i="49" s="1"/>
  <c r="V14" i="49"/>
  <c r="G14" i="49" s="1"/>
  <c r="X27" i="49"/>
  <c r="I27" i="49" s="1"/>
  <c r="X15" i="49"/>
  <c r="I15" i="49" s="1"/>
  <c r="P13" i="49"/>
  <c r="A13" i="49" s="1"/>
  <c r="R9" i="49"/>
  <c r="C9" i="49" s="1"/>
  <c r="V13" i="49"/>
  <c r="G13" i="49" s="1"/>
  <c r="X26" i="49"/>
  <c r="I26" i="49" s="1"/>
  <c r="X14" i="49"/>
  <c r="I14" i="49" s="1"/>
  <c r="P12" i="49"/>
  <c r="A12" i="49" s="1"/>
  <c r="R6" i="49"/>
  <c r="C6" i="49" s="1"/>
  <c r="V10" i="49"/>
  <c r="G10" i="49" s="1"/>
  <c r="X25" i="49"/>
  <c r="I25" i="49" s="1"/>
  <c r="X13" i="49"/>
  <c r="I13" i="49" s="1"/>
  <c r="P10" i="49"/>
  <c r="A10" i="49" s="1"/>
  <c r="T19" i="49"/>
  <c r="E19" i="49" s="1"/>
  <c r="X3" i="49"/>
  <c r="I3" i="49" s="1"/>
  <c r="X24" i="49"/>
  <c r="I24" i="49" s="1"/>
  <c r="X12" i="49"/>
  <c r="I12" i="49" s="1"/>
  <c r="P9" i="49"/>
  <c r="A9" i="49" s="1"/>
  <c r="T18" i="49"/>
  <c r="E18" i="49" s="1"/>
  <c r="X23" i="49"/>
  <c r="I23" i="49" s="1"/>
  <c r="X11" i="49"/>
  <c r="I11" i="49" s="1"/>
  <c r="P3" i="49"/>
  <c r="A3" i="49" s="1"/>
  <c r="P7" i="49"/>
  <c r="A7" i="49" s="1"/>
  <c r="T17" i="49"/>
  <c r="E17" i="49" s="1"/>
  <c r="X22" i="49"/>
  <c r="I22" i="49" s="1"/>
  <c r="P11" i="49"/>
  <c r="A11" i="49" s="1"/>
  <c r="R20" i="49"/>
  <c r="C20" i="49" s="1"/>
  <c r="R8" i="49"/>
  <c r="C8" i="49" s="1"/>
  <c r="T16" i="49"/>
  <c r="E16" i="49" s="1"/>
  <c r="T4" i="49"/>
  <c r="E4" i="49" s="1"/>
  <c r="V12" i="49"/>
  <c r="G12" i="49" s="1"/>
  <c r="P22" i="49"/>
  <c r="A22" i="49" s="1"/>
  <c r="R19" i="49"/>
  <c r="C19" i="49" s="1"/>
  <c r="R7" i="49"/>
  <c r="C7" i="49" s="1"/>
  <c r="T15" i="49"/>
  <c r="E15" i="49" s="1"/>
  <c r="V23" i="49"/>
  <c r="G23" i="49" s="1"/>
  <c r="V11" i="49"/>
  <c r="G11" i="49" s="1"/>
  <c r="P19" i="49"/>
  <c r="A19" i="49" s="1"/>
  <c r="P8" i="49"/>
  <c r="A8" i="49" s="1"/>
  <c r="R17" i="49"/>
  <c r="C17" i="49" s="1"/>
  <c r="R5" i="49"/>
  <c r="C5" i="49" s="1"/>
  <c r="T13" i="49"/>
  <c r="E13" i="49" s="1"/>
  <c r="V21" i="49"/>
  <c r="G21" i="49" s="1"/>
  <c r="V9" i="49"/>
  <c r="G9" i="49" s="1"/>
  <c r="R16" i="49"/>
  <c r="C16" i="49" s="1"/>
  <c r="T12" i="49"/>
  <c r="E12" i="49" s="1"/>
  <c r="R4" i="49"/>
  <c r="C4" i="49" s="1"/>
  <c r="V20" i="49"/>
  <c r="G20" i="49" s="1"/>
  <c r="V8" i="49"/>
  <c r="G8" i="49" s="1"/>
  <c r="P30" i="49"/>
  <c r="A30" i="49" s="1"/>
  <c r="P17" i="49"/>
  <c r="A17" i="49" s="1"/>
  <c r="P6" i="49"/>
  <c r="A6" i="49" s="1"/>
  <c r="R15" i="49"/>
  <c r="C15" i="49" s="1"/>
  <c r="T23" i="49"/>
  <c r="E23" i="49" s="1"/>
  <c r="T11" i="49"/>
  <c r="E11" i="49" s="1"/>
  <c r="V19" i="49"/>
  <c r="G19" i="49" s="1"/>
  <c r="V7" i="49"/>
  <c r="G7" i="49" s="1"/>
  <c r="P29" i="49"/>
  <c r="A29" i="49" s="1"/>
  <c r="P5" i="49"/>
  <c r="A5" i="49" s="1"/>
  <c r="T22" i="49"/>
  <c r="E22" i="49" s="1"/>
  <c r="T10" i="49"/>
  <c r="E10" i="49" s="1"/>
  <c r="V18" i="49"/>
  <c r="G18" i="49" s="1"/>
  <c r="V6" i="49"/>
  <c r="G6" i="49" s="1"/>
  <c r="P16" i="49"/>
  <c r="A16" i="49" s="1"/>
  <c r="R14" i="49"/>
  <c r="C14" i="49" s="1"/>
  <c r="P27" i="49"/>
  <c r="A27" i="49" s="1"/>
  <c r="R13" i="49"/>
  <c r="C13" i="49" s="1"/>
  <c r="T21" i="49"/>
  <c r="E21" i="49" s="1"/>
  <c r="T9" i="49"/>
  <c r="E9" i="49" s="1"/>
  <c r="V17" i="49"/>
  <c r="G17" i="49" s="1"/>
  <c r="V5" i="49"/>
  <c r="G5" i="49" s="1"/>
  <c r="P28" i="49"/>
  <c r="A28" i="49" s="1"/>
  <c r="R3" i="49"/>
  <c r="C3" i="49" s="1"/>
  <c r="R12" i="49"/>
  <c r="C12" i="49" s="1"/>
  <c r="T20" i="49"/>
  <c r="E20" i="49" s="1"/>
  <c r="T8" i="49"/>
  <c r="E8" i="49" s="1"/>
  <c r="V16" i="49"/>
  <c r="G16" i="49" s="1"/>
  <c r="V4" i="49"/>
  <c r="G4" i="49" s="1"/>
  <c r="O13" i="43"/>
  <c r="C13" i="43" s="1"/>
  <c r="S7" i="43"/>
  <c r="G7" i="43" s="1"/>
  <c r="O12" i="43"/>
  <c r="C12" i="43" s="1"/>
  <c r="S4" i="43"/>
  <c r="G4" i="43" s="1"/>
  <c r="O11" i="43"/>
  <c r="C11" i="43" s="1"/>
  <c r="O3" i="43"/>
  <c r="C3" i="43" s="1"/>
  <c r="O10" i="43"/>
  <c r="C10" i="43" s="1"/>
  <c r="U14" i="43"/>
  <c r="I14" i="43" s="1"/>
  <c r="Q15" i="43"/>
  <c r="E15" i="43" s="1"/>
  <c r="U11" i="43"/>
  <c r="I11" i="43" s="1"/>
  <c r="Q14" i="43"/>
  <c r="E14" i="43" s="1"/>
  <c r="U8" i="43"/>
  <c r="I8" i="43" s="1"/>
  <c r="Q12" i="43"/>
  <c r="E12" i="43" s="1"/>
  <c r="U6" i="43"/>
  <c r="I6" i="43" s="1"/>
  <c r="M13" i="43"/>
  <c r="A13" i="43" s="1"/>
  <c r="Q11" i="43"/>
  <c r="E11" i="43" s="1"/>
  <c r="U5" i="43"/>
  <c r="I5" i="43" s="1"/>
  <c r="M12" i="43"/>
  <c r="A12" i="43" s="1"/>
  <c r="Q9" i="43"/>
  <c r="E9" i="43" s="1"/>
  <c r="U4" i="43"/>
  <c r="I4" i="43" s="1"/>
  <c r="T3" i="49"/>
  <c r="E3" i="49" s="1"/>
  <c r="M11" i="43"/>
  <c r="A11" i="43" s="1"/>
  <c r="S15" i="43"/>
  <c r="G15" i="43" s="1"/>
  <c r="V3" i="49"/>
  <c r="G3" i="49" s="1"/>
  <c r="M10" i="43"/>
  <c r="A10" i="43" s="1"/>
  <c r="S12" i="43"/>
  <c r="G12" i="43" s="1"/>
  <c r="M9" i="43"/>
  <c r="A9" i="43" s="1"/>
  <c r="S10" i="43"/>
  <c r="G10" i="43" s="1"/>
  <c r="Q13" i="43"/>
  <c r="E13" i="43" s="1"/>
  <c r="S14" i="43"/>
  <c r="G14" i="43" s="1"/>
  <c r="M3" i="43"/>
  <c r="A3" i="43" s="1"/>
  <c r="S13" i="43"/>
  <c r="G13" i="43" s="1"/>
  <c r="U3" i="43"/>
  <c r="I3" i="43" s="1"/>
  <c r="U15" i="43"/>
  <c r="I15" i="43" s="1"/>
  <c r="Q10" i="43"/>
  <c r="E10" i="43" s="1"/>
  <c r="S11" i="43"/>
  <c r="G11" i="43" s="1"/>
  <c r="M8" i="43"/>
  <c r="A8" i="43" s="1"/>
  <c r="O8" i="43"/>
  <c r="C8" i="43" s="1"/>
  <c r="U13" i="43"/>
  <c r="I13" i="43" s="1"/>
  <c r="O9" i="43"/>
  <c r="C9" i="43" s="1"/>
  <c r="M7" i="43"/>
  <c r="A7" i="43" s="1"/>
  <c r="O7" i="43"/>
  <c r="C7" i="43" s="1"/>
  <c r="Q8" i="43"/>
  <c r="E8" i="43" s="1"/>
  <c r="S9" i="43"/>
  <c r="G9" i="43" s="1"/>
  <c r="U12" i="43"/>
  <c r="I12" i="43" s="1"/>
  <c r="M6" i="43"/>
  <c r="A6" i="43" s="1"/>
  <c r="O6" i="43"/>
  <c r="C6" i="43" s="1"/>
  <c r="Q7" i="43"/>
  <c r="E7" i="43" s="1"/>
  <c r="S8" i="43"/>
  <c r="G8" i="43" s="1"/>
  <c r="M5" i="43"/>
  <c r="A5" i="43" s="1"/>
  <c r="O5" i="43"/>
  <c r="C5" i="43" s="1"/>
  <c r="Q6" i="43"/>
  <c r="E6" i="43" s="1"/>
  <c r="U10" i="43"/>
  <c r="I10" i="43" s="1"/>
  <c r="M4" i="43"/>
  <c r="A4" i="43" s="1"/>
  <c r="O4" i="43"/>
  <c r="C4" i="43" s="1"/>
  <c r="Q5" i="43"/>
  <c r="E5" i="43" s="1"/>
  <c r="S6" i="43"/>
  <c r="G6" i="43" s="1"/>
  <c r="U9" i="43"/>
  <c r="I9" i="43" s="1"/>
  <c r="M15" i="43"/>
  <c r="A15" i="43" s="1"/>
  <c r="O15" i="43"/>
  <c r="C15" i="43" s="1"/>
  <c r="Q3" i="43"/>
  <c r="E3" i="43" s="1"/>
  <c r="Q4" i="43"/>
  <c r="E4" i="43" s="1"/>
  <c r="S5" i="43"/>
  <c r="G5" i="43" s="1"/>
  <c r="M14" i="43"/>
  <c r="A14" i="43" s="1"/>
  <c r="O14" i="43"/>
  <c r="C14" i="43" s="1"/>
  <c r="S3" i="43"/>
  <c r="G3" i="43" s="1"/>
  <c r="U7" i="43"/>
  <c r="I7" i="43" s="1"/>
  <c r="S5" i="33"/>
  <c r="E5" i="33" s="1"/>
  <c r="P3" i="33"/>
  <c r="C3" i="33" s="1"/>
  <c r="Q3" i="33" s="1"/>
  <c r="P4" i="33"/>
  <c r="C4" i="33" s="1"/>
  <c r="S4" i="33"/>
  <c r="E4" i="33" s="1"/>
  <c r="S3" i="33"/>
  <c r="E3" i="33" s="1"/>
  <c r="AN39" i="34"/>
  <c r="O39" i="34" s="1"/>
  <c r="S10" i="33"/>
  <c r="E10" i="33" s="1"/>
  <c r="S9" i="33"/>
  <c r="E9" i="33" s="1"/>
  <c r="S8" i="33"/>
  <c r="E8" i="33" s="1"/>
  <c r="M11" i="35"/>
  <c r="A11" i="35" s="1"/>
  <c r="S37" i="38"/>
  <c r="Q15" i="38"/>
  <c r="A15" i="38" s="1"/>
  <c r="Q28" i="38"/>
  <c r="C28" i="38" s="1"/>
  <c r="S24" i="38"/>
  <c r="S12" i="38"/>
  <c r="R42" i="37"/>
  <c r="C42" i="37" s="1"/>
  <c r="S25" i="38"/>
  <c r="U34" i="38"/>
  <c r="E33" i="38" s="1"/>
  <c r="M10" i="35"/>
  <c r="A10" i="35" s="1"/>
  <c r="O7" i="35"/>
  <c r="C7" i="35" s="1"/>
  <c r="V36" i="37"/>
  <c r="G36" i="37" s="1"/>
  <c r="S13" i="38"/>
  <c r="R41" i="37"/>
  <c r="C41" i="37" s="1"/>
  <c r="AA36" i="38"/>
  <c r="K35" i="38" s="1"/>
  <c r="S23" i="38"/>
  <c r="Y26" i="38"/>
  <c r="I25" i="38" s="1"/>
  <c r="Q6" i="39"/>
  <c r="Q14" i="38"/>
  <c r="A14" i="38" s="1"/>
  <c r="U21" i="38"/>
  <c r="E20" i="38" s="1"/>
  <c r="W18" i="38"/>
  <c r="G17" i="38" s="1"/>
  <c r="Y15" i="38"/>
  <c r="I14" i="38" s="1"/>
  <c r="O9" i="39"/>
  <c r="C9" i="39" s="1"/>
  <c r="Q4" i="38"/>
  <c r="A4" i="38" s="1"/>
  <c r="S35" i="38"/>
  <c r="U8" i="38"/>
  <c r="E7" i="38" s="1"/>
  <c r="W5" i="38"/>
  <c r="G4" i="38" s="1"/>
  <c r="AA23" i="38"/>
  <c r="K22" i="38" s="1"/>
  <c r="O8" i="39"/>
  <c r="C8" i="39" s="1"/>
  <c r="S16" i="36"/>
  <c r="V35" i="37"/>
  <c r="G35" i="37" s="1"/>
  <c r="S36" i="38"/>
  <c r="U9" i="38"/>
  <c r="E8" i="38" s="1"/>
  <c r="W6" i="38"/>
  <c r="G5" i="38" s="1"/>
  <c r="AA12" i="38"/>
  <c r="K11" i="38" s="1"/>
  <c r="V33" i="37"/>
  <c r="G33" i="37" s="1"/>
  <c r="Q13" i="38"/>
  <c r="A13" i="38" s="1"/>
  <c r="S11" i="38"/>
  <c r="W29" i="38"/>
  <c r="G28" i="38" s="1"/>
  <c r="AA35" i="38"/>
  <c r="K34" i="38" s="1"/>
  <c r="AC14" i="38"/>
  <c r="M13" i="38" s="1"/>
  <c r="S4" i="39"/>
  <c r="G4" i="39" s="1"/>
  <c r="AA24" i="38"/>
  <c r="K23" i="38" s="1"/>
  <c r="U20" i="38"/>
  <c r="E19" i="38" s="1"/>
  <c r="Q27" i="38"/>
  <c r="A27" i="38" s="1"/>
  <c r="U33" i="38"/>
  <c r="E32" i="38" s="1"/>
  <c r="W30" i="38"/>
  <c r="G29" i="38" s="1"/>
  <c r="Y27" i="38"/>
  <c r="I26" i="38" s="1"/>
  <c r="AC15" i="38"/>
  <c r="M14" i="38" s="1"/>
  <c r="Q26" i="38"/>
  <c r="C26" i="38" s="1"/>
  <c r="U32" i="38"/>
  <c r="E31" i="38" s="1"/>
  <c r="W17" i="38"/>
  <c r="G16" i="38" s="1"/>
  <c r="Y14" i="38"/>
  <c r="I13" i="38" s="1"/>
  <c r="AA11" i="38"/>
  <c r="K10" i="38" s="1"/>
  <c r="U7" i="39"/>
  <c r="I7" i="39" s="1"/>
  <c r="S4" i="36"/>
  <c r="U31" i="38"/>
  <c r="E30" i="38" s="1"/>
  <c r="W16" i="38"/>
  <c r="G15" i="38" s="1"/>
  <c r="Y13" i="38"/>
  <c r="I12" i="38" s="1"/>
  <c r="AA10" i="38"/>
  <c r="K9" i="38" s="1"/>
  <c r="Q7" i="38"/>
  <c r="A7" i="38" s="1"/>
  <c r="S34" i="38"/>
  <c r="U19" i="38"/>
  <c r="E18" i="38" s="1"/>
  <c r="Y4" i="38"/>
  <c r="I3" i="38" s="1"/>
  <c r="AA34" i="38"/>
  <c r="K33" i="38" s="1"/>
  <c r="U7" i="38"/>
  <c r="E6" i="38" s="1"/>
  <c r="AA22" i="38"/>
  <c r="K21" i="38" s="1"/>
  <c r="V23" i="37"/>
  <c r="G23" i="37" s="1"/>
  <c r="S22" i="38"/>
  <c r="S10" i="38"/>
  <c r="W28" i="38"/>
  <c r="G27" i="38" s="1"/>
  <c r="Y25" i="38"/>
  <c r="I24" i="38" s="1"/>
  <c r="AC13" i="38"/>
  <c r="M12" i="38" s="1"/>
  <c r="Q3" i="35"/>
  <c r="E3" i="35" s="1"/>
  <c r="S15" i="36"/>
  <c r="R36" i="37"/>
  <c r="C36" i="37" s="1"/>
  <c r="R23" i="37"/>
  <c r="C23" i="37" s="1"/>
  <c r="U3" i="36"/>
  <c r="I3" i="36" s="1"/>
  <c r="R22" i="37"/>
  <c r="C22" i="37" s="1"/>
  <c r="R10" i="37"/>
  <c r="C10" i="37" s="1"/>
  <c r="O13" i="35"/>
  <c r="C13" i="35" s="1"/>
  <c r="R33" i="37"/>
  <c r="C33" i="37" s="1"/>
  <c r="R21" i="37"/>
  <c r="C21" i="37" s="1"/>
  <c r="T35" i="37"/>
  <c r="E35" i="37" s="1"/>
  <c r="V27" i="37"/>
  <c r="G27" i="37" s="1"/>
  <c r="V9" i="37"/>
  <c r="G9" i="37" s="1"/>
  <c r="V26" i="37"/>
  <c r="G26" i="37" s="1"/>
  <c r="Q34" i="38"/>
  <c r="A34" i="38" s="1"/>
  <c r="Q21" i="38"/>
  <c r="A21" i="38" s="1"/>
  <c r="S30" i="38"/>
  <c r="S18" i="38"/>
  <c r="S6" i="38"/>
  <c r="U27" i="38"/>
  <c r="E26" i="38" s="1"/>
  <c r="U4" i="38"/>
  <c r="E3" i="38" s="1"/>
  <c r="R35" i="37"/>
  <c r="C35" i="37" s="1"/>
  <c r="R8" i="37"/>
  <c r="C8" i="37" s="1"/>
  <c r="Q9" i="35"/>
  <c r="E9" i="35" s="1"/>
  <c r="R18" i="37"/>
  <c r="C18" i="37" s="1"/>
  <c r="T13" i="37"/>
  <c r="E13" i="37" s="1"/>
  <c r="V5" i="37"/>
  <c r="G5" i="37" s="1"/>
  <c r="S28" i="38"/>
  <c r="Q8" i="35"/>
  <c r="E8" i="35" s="1"/>
  <c r="R30" i="37"/>
  <c r="C30" i="37" s="1"/>
  <c r="T31" i="37"/>
  <c r="E31" i="37" s="1"/>
  <c r="V41" i="37"/>
  <c r="G41" i="37" s="1"/>
  <c r="S16" i="38"/>
  <c r="U15" i="38"/>
  <c r="E14" i="38" s="1"/>
  <c r="W36" i="38"/>
  <c r="G35" i="38" s="1"/>
  <c r="W24" i="38"/>
  <c r="G23" i="38" s="1"/>
  <c r="W12" i="38"/>
  <c r="G11" i="38" s="1"/>
  <c r="Y33" i="38"/>
  <c r="I32" i="38" s="1"/>
  <c r="Y21" i="38"/>
  <c r="I20" i="38" s="1"/>
  <c r="Y9" i="38"/>
  <c r="I8" i="38" s="1"/>
  <c r="AA30" i="38"/>
  <c r="K29" i="38" s="1"/>
  <c r="AA18" i="38"/>
  <c r="K17" i="38" s="1"/>
  <c r="AA6" i="38"/>
  <c r="K5" i="38" s="1"/>
  <c r="AC9" i="38"/>
  <c r="M8" i="38" s="1"/>
  <c r="R7" i="37"/>
  <c r="C7" i="37" s="1"/>
  <c r="V24" i="37"/>
  <c r="G24" i="37" s="1"/>
  <c r="I25" i="37"/>
  <c r="S29" i="38"/>
  <c r="S17" i="38"/>
  <c r="S5" i="38"/>
  <c r="U26" i="38"/>
  <c r="E25" i="38" s="1"/>
  <c r="U14" i="38"/>
  <c r="E13" i="38" s="1"/>
  <c r="W35" i="38"/>
  <c r="G34" i="38" s="1"/>
  <c r="W23" i="38"/>
  <c r="G22" i="38" s="1"/>
  <c r="U25" i="38"/>
  <c r="E24" i="38" s="1"/>
  <c r="U13" i="38"/>
  <c r="E12" i="38" s="1"/>
  <c r="W34" i="38"/>
  <c r="G33" i="38" s="1"/>
  <c r="U4" i="36"/>
  <c r="I4" i="36" s="1"/>
  <c r="R17" i="37"/>
  <c r="C17" i="37" s="1"/>
  <c r="X3" i="37"/>
  <c r="I3" i="37" s="1"/>
  <c r="S27" i="38"/>
  <c r="U36" i="38"/>
  <c r="E35" i="38" s="1"/>
  <c r="U12" i="38"/>
  <c r="E11" i="38" s="1"/>
  <c r="W21" i="38"/>
  <c r="G20" i="38" s="1"/>
  <c r="Y30" i="38"/>
  <c r="I29" i="38" s="1"/>
  <c r="Y6" i="38"/>
  <c r="I5" i="38" s="1"/>
  <c r="AA15" i="38"/>
  <c r="AC18" i="38"/>
  <c r="M17" i="38" s="1"/>
  <c r="S9" i="36"/>
  <c r="R45" i="37"/>
  <c r="C45" i="37" s="1"/>
  <c r="S4" i="38"/>
  <c r="S15" i="38"/>
  <c r="U24" i="38"/>
  <c r="E23" i="38" s="1"/>
  <c r="W33" i="38"/>
  <c r="G32" i="38" s="1"/>
  <c r="W9" i="38"/>
  <c r="G8" i="38" s="1"/>
  <c r="Y18" i="38"/>
  <c r="I17" i="38" s="1"/>
  <c r="AA27" i="38"/>
  <c r="K26" i="38" s="1"/>
  <c r="M9" i="39"/>
  <c r="A9" i="39" s="1"/>
  <c r="O7" i="39"/>
  <c r="C7" i="39" s="1"/>
  <c r="Q5" i="39"/>
  <c r="U3" i="39"/>
  <c r="I3" i="39" s="1"/>
  <c r="T38" i="37"/>
  <c r="E38" i="37" s="1"/>
  <c r="T20" i="37"/>
  <c r="E20" i="37" s="1"/>
  <c r="V12" i="37"/>
  <c r="G12" i="37" s="1"/>
  <c r="I13" i="37"/>
  <c r="Q4" i="39"/>
  <c r="U11" i="39"/>
  <c r="I11" i="39" s="1"/>
  <c r="T19" i="37"/>
  <c r="E19" i="37" s="1"/>
  <c r="V29" i="37"/>
  <c r="G29" i="37" s="1"/>
  <c r="I12" i="37"/>
  <c r="M7" i="39"/>
  <c r="A7" i="39" s="1"/>
  <c r="S3" i="39"/>
  <c r="G3" i="39" s="1"/>
  <c r="U10" i="39"/>
  <c r="I10" i="39" s="1"/>
  <c r="W11" i="38"/>
  <c r="G10" i="38" s="1"/>
  <c r="Y32" i="38"/>
  <c r="I31" i="38" s="1"/>
  <c r="Y20" i="38"/>
  <c r="I19" i="38" s="1"/>
  <c r="Y8" i="38"/>
  <c r="I7" i="38" s="1"/>
  <c r="AA29" i="38"/>
  <c r="K28" i="38" s="1"/>
  <c r="AA17" i="38"/>
  <c r="K16" i="38" s="1"/>
  <c r="AA5" i="38"/>
  <c r="K4" i="38" s="1"/>
  <c r="AC8" i="38"/>
  <c r="M7" i="38" s="1"/>
  <c r="W22" i="38"/>
  <c r="G21" i="38" s="1"/>
  <c r="W10" i="38"/>
  <c r="G9" i="38" s="1"/>
  <c r="Y31" i="38"/>
  <c r="I30" i="38" s="1"/>
  <c r="Y19" i="38"/>
  <c r="I18" i="38" s="1"/>
  <c r="Y7" i="38"/>
  <c r="I6" i="38" s="1"/>
  <c r="AA28" i="38"/>
  <c r="K27" i="38" s="1"/>
  <c r="AA16" i="38"/>
  <c r="K15" i="38" s="1"/>
  <c r="AC4" i="38"/>
  <c r="M3" i="38" s="1"/>
  <c r="AC7" i="38"/>
  <c r="M6" i="38" s="1"/>
  <c r="O3" i="39"/>
  <c r="C3" i="39" s="1"/>
  <c r="Q11" i="39"/>
  <c r="S9" i="39"/>
  <c r="G9" i="39" s="1"/>
  <c r="U6" i="39"/>
  <c r="I6" i="39" s="1"/>
  <c r="AC6" i="38"/>
  <c r="M5" i="38" s="1"/>
  <c r="Q10" i="39"/>
  <c r="S8" i="39"/>
  <c r="G8" i="39" s="1"/>
  <c r="U5" i="39"/>
  <c r="I5" i="39" s="1"/>
  <c r="Q7" i="35"/>
  <c r="E7" i="35" s="1"/>
  <c r="S8" i="36"/>
  <c r="U9" i="36"/>
  <c r="I9" i="36" s="1"/>
  <c r="R44" i="37"/>
  <c r="C44" i="37" s="1"/>
  <c r="R28" i="37"/>
  <c r="C28" i="37" s="1"/>
  <c r="R16" i="37"/>
  <c r="C16" i="37" s="1"/>
  <c r="R4" i="37"/>
  <c r="C4" i="37" s="1"/>
  <c r="T28" i="37"/>
  <c r="E28" i="37" s="1"/>
  <c r="V38" i="37"/>
  <c r="G38" i="37" s="1"/>
  <c r="V20" i="37"/>
  <c r="G20" i="37" s="1"/>
  <c r="Q16" i="38"/>
  <c r="C16" i="38" s="1"/>
  <c r="Q9" i="39"/>
  <c r="S7" i="39"/>
  <c r="G7" i="39" s="1"/>
  <c r="U4" i="39"/>
  <c r="I4" i="39" s="1"/>
  <c r="U22" i="38"/>
  <c r="E21" i="38" s="1"/>
  <c r="U10" i="38"/>
  <c r="E9" i="38" s="1"/>
  <c r="W31" i="38"/>
  <c r="G30" i="38" s="1"/>
  <c r="W19" i="38"/>
  <c r="G18" i="38" s="1"/>
  <c r="W7" i="38"/>
  <c r="G6" i="38" s="1"/>
  <c r="Y28" i="38"/>
  <c r="I27" i="38" s="1"/>
  <c r="Y16" i="38"/>
  <c r="I15" i="38" s="1"/>
  <c r="AA4" i="38"/>
  <c r="AA25" i="38"/>
  <c r="K24" i="38" s="1"/>
  <c r="AA13" i="38"/>
  <c r="K12" i="38" s="1"/>
  <c r="AC16" i="38"/>
  <c r="M15" i="38" s="1"/>
  <c r="S6" i="39"/>
  <c r="G6" i="39" s="1"/>
  <c r="S7" i="33"/>
  <c r="E7" i="33" s="1"/>
  <c r="Z13" i="34"/>
  <c r="A13" i="34" s="1"/>
  <c r="AB42" i="34"/>
  <c r="C42" i="34" s="1"/>
  <c r="AB30" i="34"/>
  <c r="C30" i="34" s="1"/>
  <c r="AB18" i="34"/>
  <c r="C18" i="34" s="1"/>
  <c r="AB6" i="34"/>
  <c r="C6" i="34" s="1"/>
  <c r="P43" i="37"/>
  <c r="A44" i="37" s="1"/>
  <c r="O3" i="35"/>
  <c r="C3" i="35" s="1"/>
  <c r="Q6" i="35"/>
  <c r="E6" i="35" s="1"/>
  <c r="S6" i="36"/>
  <c r="R38" i="37"/>
  <c r="C38" i="37" s="1"/>
  <c r="R20" i="37"/>
  <c r="C20" i="37" s="1"/>
  <c r="T43" i="37"/>
  <c r="E43" i="37" s="1"/>
  <c r="T17" i="37"/>
  <c r="E17" i="37" s="1"/>
  <c r="V32" i="37"/>
  <c r="G32" i="37" s="1"/>
  <c r="V8" i="37"/>
  <c r="G8" i="37" s="1"/>
  <c r="P4" i="37"/>
  <c r="A4" i="37" s="1"/>
  <c r="Q8" i="38"/>
  <c r="Q23" i="38"/>
  <c r="S38" i="38"/>
  <c r="S26" i="38"/>
  <c r="S14" i="38"/>
  <c r="U35" i="38"/>
  <c r="E34" i="38" s="1"/>
  <c r="U23" i="38"/>
  <c r="E22" i="38" s="1"/>
  <c r="U11" i="38"/>
  <c r="E10" i="38" s="1"/>
  <c r="W32" i="38"/>
  <c r="G31" i="38" s="1"/>
  <c r="W20" i="38"/>
  <c r="G19" i="38" s="1"/>
  <c r="W8" i="38"/>
  <c r="G7" i="38" s="1"/>
  <c r="Y29" i="38"/>
  <c r="I28" i="38" s="1"/>
  <c r="Y17" i="38"/>
  <c r="I16" i="38" s="1"/>
  <c r="Y5" i="38"/>
  <c r="I4" i="38" s="1"/>
  <c r="AA26" i="38"/>
  <c r="K25" i="38" s="1"/>
  <c r="AA14" i="38"/>
  <c r="AC17" i="38"/>
  <c r="M16" i="38" s="1"/>
  <c r="AC5" i="38"/>
  <c r="M4" i="38" s="1"/>
  <c r="O6" i="39"/>
  <c r="C6" i="39" s="1"/>
  <c r="S5" i="39"/>
  <c r="G5" i="39" s="1"/>
  <c r="Q8" i="39"/>
  <c r="S6" i="33"/>
  <c r="E6" i="33" s="1"/>
  <c r="Z12" i="34"/>
  <c r="A12" i="34" s="1"/>
  <c r="AB41" i="34"/>
  <c r="C41" i="34" s="1"/>
  <c r="AB29" i="34"/>
  <c r="C29" i="34" s="1"/>
  <c r="AB17" i="34"/>
  <c r="C17" i="34" s="1"/>
  <c r="AP21" i="34"/>
  <c r="Q21" i="34" s="1"/>
  <c r="Q5" i="35"/>
  <c r="E5" i="35" s="1"/>
  <c r="S5" i="36"/>
  <c r="R19" i="37"/>
  <c r="C19" i="37" s="1"/>
  <c r="T41" i="37"/>
  <c r="E41" i="37" s="1"/>
  <c r="T16" i="37"/>
  <c r="E16" i="37" s="1"/>
  <c r="V6" i="37"/>
  <c r="G6" i="37" s="1"/>
  <c r="P3" i="37"/>
  <c r="A3" i="37" s="1"/>
  <c r="Q32" i="38"/>
  <c r="Q19" i="38"/>
  <c r="Q6" i="38"/>
  <c r="Q22" i="38"/>
  <c r="O5" i="39"/>
  <c r="C5" i="39" s="1"/>
  <c r="Q7" i="39"/>
  <c r="Z23" i="34"/>
  <c r="A23" i="34" s="1"/>
  <c r="Z11" i="34"/>
  <c r="A11" i="34" s="1"/>
  <c r="AB40" i="34"/>
  <c r="C40" i="34" s="1"/>
  <c r="AB28" i="34"/>
  <c r="C28" i="34" s="1"/>
  <c r="AB16" i="34"/>
  <c r="C16" i="34" s="1"/>
  <c r="AB4" i="34"/>
  <c r="C4" i="34" s="1"/>
  <c r="O12" i="35"/>
  <c r="C12" i="35" s="1"/>
  <c r="Q4" i="35"/>
  <c r="E4" i="35" s="1"/>
  <c r="S17" i="36"/>
  <c r="T40" i="37"/>
  <c r="E40" i="37" s="1"/>
  <c r="T14" i="37"/>
  <c r="E14" i="37" s="1"/>
  <c r="Q31" i="38"/>
  <c r="Q18" i="38"/>
  <c r="Q5" i="38"/>
  <c r="M3" i="39"/>
  <c r="A3" i="39" s="1"/>
  <c r="O4" i="39"/>
  <c r="C4" i="39" s="1"/>
  <c r="Z22" i="34"/>
  <c r="A22" i="34" s="1"/>
  <c r="AB39" i="34"/>
  <c r="C39" i="34" s="1"/>
  <c r="AB15" i="34"/>
  <c r="C15" i="34" s="1"/>
  <c r="O11" i="35"/>
  <c r="C11" i="35" s="1"/>
  <c r="Q30" i="38"/>
  <c r="Q17" i="38"/>
  <c r="C17" i="38" s="1"/>
  <c r="Q20" i="38"/>
  <c r="M12" i="39"/>
  <c r="A12" i="39" s="1"/>
  <c r="Q3" i="39"/>
  <c r="E3" i="39" s="1"/>
  <c r="Z21" i="34"/>
  <c r="A21" i="34" s="1"/>
  <c r="AB38" i="34"/>
  <c r="C38" i="34" s="1"/>
  <c r="AB26" i="34"/>
  <c r="C26" i="34" s="1"/>
  <c r="AB14" i="34"/>
  <c r="C14" i="34" s="1"/>
  <c r="P7" i="37"/>
  <c r="A7" i="37" s="1"/>
  <c r="T7" i="37"/>
  <c r="E7" i="37" s="1"/>
  <c r="Q29" i="38"/>
  <c r="M11" i="39"/>
  <c r="A11" i="39" s="1"/>
  <c r="Z3" i="34"/>
  <c r="A3" i="34" s="1"/>
  <c r="Z20" i="34"/>
  <c r="A20" i="34" s="1"/>
  <c r="Z8" i="34"/>
  <c r="A8" i="34" s="1"/>
  <c r="AB37" i="34"/>
  <c r="C37" i="34" s="1"/>
  <c r="AB25" i="34"/>
  <c r="C25" i="34" s="1"/>
  <c r="AB13" i="34"/>
  <c r="C13" i="34" s="1"/>
  <c r="AH41" i="34"/>
  <c r="I41" i="34" s="1"/>
  <c r="O6" i="35"/>
  <c r="C6" i="35" s="1"/>
  <c r="M4" i="35"/>
  <c r="A4" i="35" s="1"/>
  <c r="S14" i="36"/>
  <c r="U6" i="36"/>
  <c r="I6" i="36" s="1"/>
  <c r="R50" i="37"/>
  <c r="C50" i="37" s="1"/>
  <c r="R29" i="37"/>
  <c r="C29" i="37" s="1"/>
  <c r="R15" i="37"/>
  <c r="C15" i="37" s="1"/>
  <c r="T4" i="37"/>
  <c r="E4" i="37" s="1"/>
  <c r="Q38" i="38"/>
  <c r="S33" i="38"/>
  <c r="S21" i="38"/>
  <c r="S9" i="38"/>
  <c r="U30" i="38"/>
  <c r="E29" i="38" s="1"/>
  <c r="U18" i="38"/>
  <c r="E17" i="38" s="1"/>
  <c r="U6" i="38"/>
  <c r="E5" i="38" s="1"/>
  <c r="W27" i="38"/>
  <c r="G26" i="38" s="1"/>
  <c r="W15" i="38"/>
  <c r="G14" i="38" s="1"/>
  <c r="Y36" i="38"/>
  <c r="I35" i="38" s="1"/>
  <c r="Y24" i="38"/>
  <c r="I23" i="38" s="1"/>
  <c r="Y12" i="38"/>
  <c r="I11" i="38" s="1"/>
  <c r="AA33" i="38"/>
  <c r="K32" i="38" s="1"/>
  <c r="AA21" i="38"/>
  <c r="K20" i="38" s="1"/>
  <c r="AA9" i="38"/>
  <c r="AC12" i="38"/>
  <c r="M11" i="38" s="1"/>
  <c r="M10" i="39"/>
  <c r="A10" i="39" s="1"/>
  <c r="S12" i="39"/>
  <c r="G12" i="39" s="1"/>
  <c r="U9" i="39"/>
  <c r="I9" i="39" s="1"/>
  <c r="Z7" i="34"/>
  <c r="A7" i="34" s="1"/>
  <c r="AB36" i="34"/>
  <c r="C36" i="34" s="1"/>
  <c r="AB24" i="34"/>
  <c r="C24" i="34" s="1"/>
  <c r="AB12" i="34"/>
  <c r="C12" i="34" s="1"/>
  <c r="S13" i="36"/>
  <c r="U5" i="36"/>
  <c r="I5" i="36" s="1"/>
  <c r="R48" i="37"/>
  <c r="C48" i="37" s="1"/>
  <c r="R14" i="37"/>
  <c r="C14" i="37" s="1"/>
  <c r="V3" i="37"/>
  <c r="G3" i="37" s="1"/>
  <c r="I16" i="37"/>
  <c r="Q35" i="38"/>
  <c r="S32" i="38"/>
  <c r="S20" i="38"/>
  <c r="S8" i="38"/>
  <c r="U29" i="38"/>
  <c r="E28" i="38" s="1"/>
  <c r="U17" i="38"/>
  <c r="E16" i="38" s="1"/>
  <c r="U5" i="38"/>
  <c r="E4" i="38" s="1"/>
  <c r="W26" i="38"/>
  <c r="G25" i="38" s="1"/>
  <c r="W14" i="38"/>
  <c r="G13" i="38" s="1"/>
  <c r="Y35" i="38"/>
  <c r="I34" i="38" s="1"/>
  <c r="Y23" i="38"/>
  <c r="I22" i="38" s="1"/>
  <c r="Y11" i="38"/>
  <c r="I10" i="38" s="1"/>
  <c r="AA32" i="38"/>
  <c r="K31" i="38" s="1"/>
  <c r="AA20" i="38"/>
  <c r="K19" i="38" s="1"/>
  <c r="AA8" i="38"/>
  <c r="AC11" i="38"/>
  <c r="M10" i="38" s="1"/>
  <c r="O12" i="39"/>
  <c r="C12" i="39" s="1"/>
  <c r="S11" i="39"/>
  <c r="G11" i="39" s="1"/>
  <c r="U8" i="39"/>
  <c r="I8" i="39" s="1"/>
  <c r="Z18" i="34"/>
  <c r="A18" i="34" s="1"/>
  <c r="AB23" i="34"/>
  <c r="C23" i="34" s="1"/>
  <c r="AB11" i="34"/>
  <c r="C11" i="34" s="1"/>
  <c r="I33" i="37"/>
  <c r="Q11" i="35"/>
  <c r="E11" i="35" s="1"/>
  <c r="S12" i="36"/>
  <c r="R47" i="37"/>
  <c r="C47" i="37" s="1"/>
  <c r="R25" i="37"/>
  <c r="C25" i="37" s="1"/>
  <c r="R12" i="37"/>
  <c r="C12" i="37" s="1"/>
  <c r="T26" i="37"/>
  <c r="E26" i="37" s="1"/>
  <c r="V18" i="37"/>
  <c r="G18" i="37" s="1"/>
  <c r="S31" i="38"/>
  <c r="S19" i="38"/>
  <c r="S7" i="38"/>
  <c r="U28" i="38"/>
  <c r="E27" i="38" s="1"/>
  <c r="U16" i="38"/>
  <c r="E15" i="38" s="1"/>
  <c r="W4" i="38"/>
  <c r="G3" i="38" s="1"/>
  <c r="W25" i="38"/>
  <c r="G24" i="38" s="1"/>
  <c r="W13" i="38"/>
  <c r="G12" i="38" s="1"/>
  <c r="Y34" i="38"/>
  <c r="I33" i="38" s="1"/>
  <c r="Y22" i="38"/>
  <c r="I21" i="38" s="1"/>
  <c r="Y10" i="38"/>
  <c r="I9" i="38" s="1"/>
  <c r="AA31" i="38"/>
  <c r="K30" i="38" s="1"/>
  <c r="AA19" i="38"/>
  <c r="K18" i="38" s="1"/>
  <c r="AA7" i="38"/>
  <c r="AC10" i="38"/>
  <c r="M9" i="38" s="1"/>
  <c r="M8" i="39"/>
  <c r="A8" i="39" s="1"/>
  <c r="O11" i="39"/>
  <c r="C11" i="39" s="1"/>
  <c r="S10" i="39"/>
  <c r="G10" i="39" s="1"/>
  <c r="S11" i="33"/>
  <c r="E11" i="33" s="1"/>
  <c r="Z17" i="34"/>
  <c r="A17" i="34" s="1"/>
  <c r="AB34" i="34"/>
  <c r="C34" i="34" s="1"/>
  <c r="AB22" i="34"/>
  <c r="C22" i="34" s="1"/>
  <c r="AB10" i="34"/>
  <c r="C10" i="34" s="1"/>
  <c r="Q10" i="35"/>
  <c r="E10" i="35" s="1"/>
  <c r="S11" i="36"/>
  <c r="R24" i="37"/>
  <c r="C24" i="37" s="1"/>
  <c r="T23" i="37"/>
  <c r="E23" i="37" s="1"/>
  <c r="V17" i="37"/>
  <c r="G17" i="37" s="1"/>
  <c r="Q25" i="38"/>
  <c r="Q12" i="38"/>
  <c r="Q33" i="38"/>
  <c r="Q10" i="38"/>
  <c r="O10" i="39"/>
  <c r="C10" i="39" s="1"/>
  <c r="Q12" i="39"/>
  <c r="Z16" i="34"/>
  <c r="A16" i="34" s="1"/>
  <c r="AB33" i="34"/>
  <c r="C33" i="34" s="1"/>
  <c r="AB21" i="34"/>
  <c r="C21" i="34" s="1"/>
  <c r="AB9" i="34"/>
  <c r="C9" i="34" s="1"/>
  <c r="S10" i="36"/>
  <c r="T22" i="37"/>
  <c r="E22" i="37" s="1"/>
  <c r="V14" i="37"/>
  <c r="G14" i="37" s="1"/>
  <c r="Q37" i="38"/>
  <c r="Q24" i="38"/>
  <c r="Q11" i="38"/>
  <c r="Q9" i="38"/>
  <c r="M6" i="39"/>
  <c r="A6" i="39" s="1"/>
  <c r="Z15" i="34"/>
  <c r="A15" i="34" s="1"/>
  <c r="AB32" i="34"/>
  <c r="C32" i="34" s="1"/>
  <c r="AB20" i="34"/>
  <c r="C20" i="34" s="1"/>
  <c r="AB8" i="34"/>
  <c r="C8" i="34" s="1"/>
  <c r="M6" i="36"/>
  <c r="A6" i="36" s="1"/>
  <c r="Q36" i="38"/>
  <c r="M5" i="39"/>
  <c r="A5" i="39" s="1"/>
  <c r="AB43" i="34"/>
  <c r="C43" i="34" s="1"/>
  <c r="AB31" i="34"/>
  <c r="C31" i="34" s="1"/>
  <c r="AB19" i="34"/>
  <c r="C19" i="34" s="1"/>
  <c r="AB7" i="34"/>
  <c r="C7" i="34" s="1"/>
  <c r="M5" i="36"/>
  <c r="A5" i="36" s="1"/>
  <c r="O16" i="36"/>
  <c r="C17" i="36" s="1"/>
  <c r="M4" i="39"/>
  <c r="A4" i="39" s="1"/>
  <c r="I37" i="37"/>
  <c r="I36" i="37"/>
  <c r="I34" i="37"/>
  <c r="S18" i="40"/>
  <c r="E18" i="40" s="1"/>
  <c r="AA34" i="41"/>
  <c r="I34" i="41" s="1"/>
  <c r="R12" i="42"/>
  <c r="E12" i="42" s="1"/>
  <c r="AA10" i="41"/>
  <c r="I10" i="41" s="1"/>
  <c r="W6" i="41"/>
  <c r="E6" i="41" s="1"/>
  <c r="AA22" i="41"/>
  <c r="I22" i="41" s="1"/>
  <c r="L24" i="37"/>
  <c r="L23" i="37"/>
  <c r="T17" i="42"/>
  <c r="G17" i="42" s="1"/>
  <c r="U14" i="41"/>
  <c r="C14" i="41" s="1"/>
  <c r="AC31" i="41"/>
  <c r="K31" i="41" s="1"/>
  <c r="I32" i="37"/>
  <c r="L9" i="37"/>
  <c r="U8" i="41"/>
  <c r="C8" i="41" s="1"/>
  <c r="L26" i="37"/>
  <c r="Y3" i="41"/>
  <c r="G3" i="41" s="1"/>
  <c r="U26" i="41"/>
  <c r="C26" i="41" s="1"/>
  <c r="W12" i="41"/>
  <c r="E12" i="41" s="1"/>
  <c r="AA3" i="41"/>
  <c r="I3" i="41" s="1"/>
  <c r="AA24" i="41"/>
  <c r="I24" i="41" s="1"/>
  <c r="AA12" i="41"/>
  <c r="I12" i="41" s="1"/>
  <c r="AC33" i="41"/>
  <c r="K33" i="41" s="1"/>
  <c r="AC21" i="41"/>
  <c r="K21" i="41" s="1"/>
  <c r="AC9" i="41"/>
  <c r="K9" i="41" s="1"/>
  <c r="AE30" i="41"/>
  <c r="M30" i="41" s="1"/>
  <c r="AE18" i="41"/>
  <c r="M18" i="41" s="1"/>
  <c r="AE6" i="41"/>
  <c r="M6" i="41" s="1"/>
  <c r="AG11" i="41"/>
  <c r="O11" i="41" s="1"/>
  <c r="Q17" i="40"/>
  <c r="C17" i="40" s="1"/>
  <c r="W9" i="41"/>
  <c r="E9" i="41" s="1"/>
  <c r="AA35" i="41"/>
  <c r="I35" i="41" s="1"/>
  <c r="AA23" i="41"/>
  <c r="I23" i="41" s="1"/>
  <c r="AA11" i="41"/>
  <c r="I11" i="41" s="1"/>
  <c r="AC32" i="41"/>
  <c r="K32" i="41" s="1"/>
  <c r="AC20" i="41"/>
  <c r="K20" i="41" s="1"/>
  <c r="AC8" i="41"/>
  <c r="K8" i="41" s="1"/>
  <c r="AE29" i="41"/>
  <c r="M29" i="41" s="1"/>
  <c r="AE17" i="41"/>
  <c r="M17" i="41" s="1"/>
  <c r="AE5" i="41"/>
  <c r="M5" i="41" s="1"/>
  <c r="AG10" i="41"/>
  <c r="O10" i="41" s="1"/>
  <c r="O30" i="40"/>
  <c r="A30" i="40" s="1"/>
  <c r="O18" i="40"/>
  <c r="A18" i="40" s="1"/>
  <c r="O6" i="40"/>
  <c r="A6" i="40" s="1"/>
  <c r="Q8" i="40"/>
  <c r="C8" i="40" s="1"/>
  <c r="AC19" i="41"/>
  <c r="K19" i="41" s="1"/>
  <c r="AC7" i="41"/>
  <c r="K7" i="41" s="1"/>
  <c r="AE28" i="41"/>
  <c r="M28" i="41" s="1"/>
  <c r="AE16" i="41"/>
  <c r="M16" i="41" s="1"/>
  <c r="AE4" i="41"/>
  <c r="M4" i="41" s="1"/>
  <c r="AG8" i="41"/>
  <c r="O8" i="41" s="1"/>
  <c r="O29" i="40"/>
  <c r="A29" i="40" s="1"/>
  <c r="O17" i="40"/>
  <c r="A17" i="40" s="1"/>
  <c r="O5" i="40"/>
  <c r="A5" i="40" s="1"/>
  <c r="Q6" i="40"/>
  <c r="C6" i="40" s="1"/>
  <c r="I48" i="37"/>
  <c r="L7" i="37"/>
  <c r="W3" i="41"/>
  <c r="E3" i="41" s="1"/>
  <c r="Y32" i="41"/>
  <c r="G32" i="41" s="1"/>
  <c r="Y10" i="41"/>
  <c r="G10" i="41" s="1"/>
  <c r="AA33" i="41"/>
  <c r="I33" i="41" s="1"/>
  <c r="AA21" i="41"/>
  <c r="I21" i="41" s="1"/>
  <c r="AA9" i="41"/>
  <c r="I9" i="41" s="1"/>
  <c r="AC30" i="41"/>
  <c r="K30" i="41" s="1"/>
  <c r="AC18" i="41"/>
  <c r="K18" i="41" s="1"/>
  <c r="AC6" i="41"/>
  <c r="K6" i="41" s="1"/>
  <c r="AE27" i="41"/>
  <c r="M27" i="41" s="1"/>
  <c r="AE15" i="41"/>
  <c r="M15" i="41" s="1"/>
  <c r="AG3" i="41"/>
  <c r="O3" i="41" s="1"/>
  <c r="AG22" i="41"/>
  <c r="O22" i="41" s="1"/>
  <c r="AG7" i="41"/>
  <c r="O7" i="41" s="1"/>
  <c r="O28" i="40"/>
  <c r="A28" i="40" s="1"/>
  <c r="O16" i="40"/>
  <c r="A16" i="40" s="1"/>
  <c r="O4" i="40"/>
  <c r="A4" i="40" s="1"/>
  <c r="Q5" i="40"/>
  <c r="C5" i="40" s="1"/>
  <c r="W32" i="41"/>
  <c r="E32" i="41" s="1"/>
  <c r="Y20" i="41"/>
  <c r="G20" i="41" s="1"/>
  <c r="AA32" i="41"/>
  <c r="I32" i="41" s="1"/>
  <c r="AA20" i="41"/>
  <c r="I20" i="41" s="1"/>
  <c r="AA8" i="41"/>
  <c r="I8" i="41" s="1"/>
  <c r="AC29" i="41"/>
  <c r="K29" i="41" s="1"/>
  <c r="AC17" i="41"/>
  <c r="K17" i="41" s="1"/>
  <c r="AC5" i="41"/>
  <c r="K5" i="41" s="1"/>
  <c r="AE26" i="41"/>
  <c r="M26" i="41" s="1"/>
  <c r="AE14" i="41"/>
  <c r="M14" i="41" s="1"/>
  <c r="AG21" i="41"/>
  <c r="O21" i="41" s="1"/>
  <c r="AG6" i="41"/>
  <c r="O6" i="41" s="1"/>
  <c r="S30" i="40"/>
  <c r="E30" i="40" s="1"/>
  <c r="L4" i="37"/>
  <c r="T11" i="42"/>
  <c r="G11" i="42" s="1"/>
  <c r="W29" i="41"/>
  <c r="E29" i="41" s="1"/>
  <c r="Y8" i="41"/>
  <c r="G8" i="41" s="1"/>
  <c r="AA31" i="41"/>
  <c r="I31" i="41" s="1"/>
  <c r="AA19" i="41"/>
  <c r="I19" i="41" s="1"/>
  <c r="AA7" i="41"/>
  <c r="I7" i="41" s="1"/>
  <c r="AC28" i="41"/>
  <c r="K28" i="41" s="1"/>
  <c r="AC16" i="41"/>
  <c r="K16" i="41" s="1"/>
  <c r="AC4" i="41"/>
  <c r="K4" i="41" s="1"/>
  <c r="AE25" i="41"/>
  <c r="M25" i="41" s="1"/>
  <c r="AE13" i="41"/>
  <c r="M13" i="41" s="1"/>
  <c r="AG20" i="41"/>
  <c r="O20" i="41" s="1"/>
  <c r="AG5" i="41"/>
  <c r="O5" i="41" s="1"/>
  <c r="S27" i="40"/>
  <c r="E27" i="40" s="1"/>
  <c r="L19" i="37"/>
  <c r="T4" i="42"/>
  <c r="G4" i="42" s="1"/>
  <c r="W28" i="41"/>
  <c r="E28" i="41" s="1"/>
  <c r="AA30" i="41"/>
  <c r="I30" i="41" s="1"/>
  <c r="AA18" i="41"/>
  <c r="I18" i="41" s="1"/>
  <c r="AA6" i="41"/>
  <c r="I6" i="41" s="1"/>
  <c r="AC27" i="41"/>
  <c r="K27" i="41" s="1"/>
  <c r="AC15" i="41"/>
  <c r="K15" i="41" s="1"/>
  <c r="AE3" i="41"/>
  <c r="M3" i="41" s="1"/>
  <c r="AE24" i="41"/>
  <c r="M24" i="41" s="1"/>
  <c r="AE12" i="41"/>
  <c r="M12" i="41" s="1"/>
  <c r="AG19" i="41"/>
  <c r="O19" i="41" s="1"/>
  <c r="O3" i="40"/>
  <c r="A3" i="40" s="1"/>
  <c r="O25" i="40"/>
  <c r="A25" i="40" s="1"/>
  <c r="O13" i="40"/>
  <c r="A13" i="40" s="1"/>
  <c r="Q32" i="40"/>
  <c r="C32" i="40" s="1"/>
  <c r="Y8" i="40"/>
  <c r="K8" i="40" s="1"/>
  <c r="Y20" i="40"/>
  <c r="K20" i="40" s="1"/>
  <c r="Y34" i="40"/>
  <c r="W12" i="40"/>
  <c r="I12" i="40" s="1"/>
  <c r="W24" i="40"/>
  <c r="I24" i="40" s="1"/>
  <c r="W3" i="40"/>
  <c r="I3" i="40" s="1"/>
  <c r="U15" i="40"/>
  <c r="G15" i="40" s="1"/>
  <c r="U27" i="40"/>
  <c r="G27" i="40" s="1"/>
  <c r="S5" i="40"/>
  <c r="E5" i="40" s="1"/>
  <c r="S17" i="40"/>
  <c r="E17" i="40" s="1"/>
  <c r="S29" i="40"/>
  <c r="E29" i="40" s="1"/>
  <c r="Q7" i="40"/>
  <c r="C7" i="40" s="1"/>
  <c r="Q19" i="40"/>
  <c r="C19" i="40" s="1"/>
  <c r="Q31" i="40"/>
  <c r="C31" i="40" s="1"/>
  <c r="AG9" i="41"/>
  <c r="O9" i="41" s="1"/>
  <c r="W33" i="40"/>
  <c r="I33" i="40" s="1"/>
  <c r="Y9" i="40"/>
  <c r="K9" i="40" s="1"/>
  <c r="Y21" i="40"/>
  <c r="K21" i="40" s="1"/>
  <c r="Y35" i="40"/>
  <c r="W13" i="40"/>
  <c r="I13" i="40" s="1"/>
  <c r="W25" i="40"/>
  <c r="I25" i="40" s="1"/>
  <c r="U4" i="40"/>
  <c r="G4" i="40" s="1"/>
  <c r="U16" i="40"/>
  <c r="U28" i="40"/>
  <c r="G28" i="40" s="1"/>
  <c r="S6" i="40"/>
  <c r="E6" i="40" s="1"/>
  <c r="Y10" i="40"/>
  <c r="K10" i="40" s="1"/>
  <c r="Y22" i="40"/>
  <c r="K22" i="40" s="1"/>
  <c r="Y36" i="40"/>
  <c r="W14" i="40"/>
  <c r="I14" i="40" s="1"/>
  <c r="W26" i="40"/>
  <c r="I26" i="40" s="1"/>
  <c r="U5" i="40"/>
  <c r="G5" i="40" s="1"/>
  <c r="U17" i="40"/>
  <c r="G17" i="40" s="1"/>
  <c r="U29" i="40"/>
  <c r="G29" i="40" s="1"/>
  <c r="S7" i="40"/>
  <c r="E7" i="40" s="1"/>
  <c r="S19" i="40"/>
  <c r="E19" i="40" s="1"/>
  <c r="S31" i="40"/>
  <c r="E31" i="40" s="1"/>
  <c r="Q9" i="40"/>
  <c r="C9" i="40" s="1"/>
  <c r="Q21" i="40"/>
  <c r="C21" i="40" s="1"/>
  <c r="Q33" i="40"/>
  <c r="C33" i="40" s="1"/>
  <c r="Y11" i="40"/>
  <c r="K11" i="40" s="1"/>
  <c r="Y23" i="40"/>
  <c r="K23" i="40" s="1"/>
  <c r="Y3" i="40"/>
  <c r="K3" i="40" s="1"/>
  <c r="W15" i="40"/>
  <c r="I15" i="40" s="1"/>
  <c r="W27" i="40"/>
  <c r="I27" i="40" s="1"/>
  <c r="U6" i="40"/>
  <c r="G6" i="40" s="1"/>
  <c r="U18" i="40"/>
  <c r="G18" i="40" s="1"/>
  <c r="U30" i="40"/>
  <c r="G30" i="40" s="1"/>
  <c r="S8" i="40"/>
  <c r="E8" i="40" s="1"/>
  <c r="S20" i="40"/>
  <c r="E20" i="40" s="1"/>
  <c r="S32" i="40"/>
  <c r="E32" i="40" s="1"/>
  <c r="Q10" i="40"/>
  <c r="C10" i="40" s="1"/>
  <c r="Q22" i="40"/>
  <c r="C22" i="40" s="1"/>
  <c r="Q34" i="40"/>
  <c r="C34" i="40" s="1"/>
  <c r="AG12" i="41"/>
  <c r="O12" i="41" s="1"/>
  <c r="Y12" i="40"/>
  <c r="K12" i="40" s="1"/>
  <c r="Y24" i="40"/>
  <c r="K24" i="40" s="1"/>
  <c r="W4" i="40"/>
  <c r="I4" i="40" s="1"/>
  <c r="W16" i="40"/>
  <c r="I16" i="40" s="1"/>
  <c r="W28" i="40"/>
  <c r="I28" i="40" s="1"/>
  <c r="U7" i="40"/>
  <c r="G7" i="40" s="1"/>
  <c r="U19" i="40"/>
  <c r="G19" i="40" s="1"/>
  <c r="U31" i="40"/>
  <c r="G31" i="40" s="1"/>
  <c r="S9" i="40"/>
  <c r="E9" i="40" s="1"/>
  <c r="S21" i="40"/>
  <c r="E21" i="40" s="1"/>
  <c r="S33" i="40"/>
  <c r="E33" i="40" s="1"/>
  <c r="Q11" i="40"/>
  <c r="C11" i="40" s="1"/>
  <c r="Q23" i="40"/>
  <c r="C23" i="40" s="1"/>
  <c r="Q35" i="40"/>
  <c r="C35" i="40" s="1"/>
  <c r="AG13" i="41"/>
  <c r="O13" i="41" s="1"/>
  <c r="Y13" i="40"/>
  <c r="K13" i="40" s="1"/>
  <c r="Y25" i="40"/>
  <c r="K25" i="40" s="1"/>
  <c r="W5" i="40"/>
  <c r="I5" i="40" s="1"/>
  <c r="W17" i="40"/>
  <c r="I17" i="40" s="1"/>
  <c r="W29" i="40"/>
  <c r="I29" i="40" s="1"/>
  <c r="U8" i="40"/>
  <c r="G8" i="40" s="1"/>
  <c r="U20" i="40"/>
  <c r="G20" i="40" s="1"/>
  <c r="U32" i="40"/>
  <c r="G32" i="40" s="1"/>
  <c r="S10" i="40"/>
  <c r="E10" i="40" s="1"/>
  <c r="S22" i="40"/>
  <c r="E22" i="40" s="1"/>
  <c r="S34" i="40"/>
  <c r="E34" i="40" s="1"/>
  <c r="Q12" i="40"/>
  <c r="C12" i="40" s="1"/>
  <c r="Q24" i="40"/>
  <c r="C24" i="40" s="1"/>
  <c r="Q36" i="40"/>
  <c r="C36" i="40" s="1"/>
  <c r="Y14" i="40"/>
  <c r="K14" i="40" s="1"/>
  <c r="Y26" i="40"/>
  <c r="K26" i="40" s="1"/>
  <c r="W6" i="40"/>
  <c r="I6" i="40" s="1"/>
  <c r="W18" i="40"/>
  <c r="I18" i="40" s="1"/>
  <c r="W30" i="40"/>
  <c r="I30" i="40" s="1"/>
  <c r="U9" i="40"/>
  <c r="G9" i="40" s="1"/>
  <c r="U21" i="40"/>
  <c r="G21" i="40" s="1"/>
  <c r="U33" i="40"/>
  <c r="G33" i="40" s="1"/>
  <c r="S11" i="40"/>
  <c r="E11" i="40" s="1"/>
  <c r="S23" i="40"/>
  <c r="E23" i="40" s="1"/>
  <c r="S35" i="40"/>
  <c r="Q13" i="40"/>
  <c r="C13" i="40" s="1"/>
  <c r="Q25" i="40"/>
  <c r="C25" i="40" s="1"/>
  <c r="Q3" i="40"/>
  <c r="C3" i="40" s="1"/>
  <c r="Y15" i="40"/>
  <c r="K15" i="40" s="1"/>
  <c r="Y27" i="40"/>
  <c r="K27" i="40" s="1"/>
  <c r="W7" i="40"/>
  <c r="I7" i="40" s="1"/>
  <c r="W19" i="40"/>
  <c r="I19" i="40" s="1"/>
  <c r="W31" i="40"/>
  <c r="I31" i="40" s="1"/>
  <c r="U10" i="40"/>
  <c r="U22" i="40"/>
  <c r="G22" i="40" s="1"/>
  <c r="U34" i="40"/>
  <c r="G34" i="40" s="1"/>
  <c r="S12" i="40"/>
  <c r="E12" i="40" s="1"/>
  <c r="S24" i="40"/>
  <c r="E24" i="40" s="1"/>
  <c r="S36" i="40"/>
  <c r="Q14" i="40"/>
  <c r="C14" i="40" s="1"/>
  <c r="Q26" i="40"/>
  <c r="C26" i="40" s="1"/>
  <c r="AG4" i="41"/>
  <c r="O4" i="41" s="1"/>
  <c r="Y4" i="40"/>
  <c r="K4" i="40" s="1"/>
  <c r="Y16" i="40"/>
  <c r="K16" i="40" s="1"/>
  <c r="Y30" i="40"/>
  <c r="K30" i="40" s="1"/>
  <c r="W8" i="40"/>
  <c r="I8" i="40" s="1"/>
  <c r="W20" i="40"/>
  <c r="I20" i="40" s="1"/>
  <c r="W32" i="40"/>
  <c r="I32" i="40" s="1"/>
  <c r="U11" i="40"/>
  <c r="G11" i="40" s="1"/>
  <c r="U23" i="40"/>
  <c r="G23" i="40" s="1"/>
  <c r="U35" i="40"/>
  <c r="S13" i="40"/>
  <c r="E13" i="40" s="1"/>
  <c r="S25" i="40"/>
  <c r="E25" i="40" s="1"/>
  <c r="S3" i="40"/>
  <c r="E3" i="40" s="1"/>
  <c r="Q15" i="40"/>
  <c r="C15" i="40" s="1"/>
  <c r="Q27" i="40"/>
  <c r="C27" i="40" s="1"/>
  <c r="Y5" i="40"/>
  <c r="K5" i="40" s="1"/>
  <c r="Y17" i="40"/>
  <c r="K17" i="40" s="1"/>
  <c r="Y31" i="40"/>
  <c r="K31" i="40" s="1"/>
  <c r="W9" i="40"/>
  <c r="I9" i="40" s="1"/>
  <c r="W21" i="40"/>
  <c r="I21" i="40" s="1"/>
  <c r="W34" i="40"/>
  <c r="U12" i="40"/>
  <c r="G12" i="40" s="1"/>
  <c r="U24" i="40"/>
  <c r="G24" i="40" s="1"/>
  <c r="U36" i="40"/>
  <c r="S14" i="40"/>
  <c r="E14" i="40" s="1"/>
  <c r="S26" i="40"/>
  <c r="E26" i="40" s="1"/>
  <c r="Q4" i="40"/>
  <c r="C4" i="40" s="1"/>
  <c r="Q16" i="40"/>
  <c r="C16" i="40" s="1"/>
  <c r="Y6" i="40"/>
  <c r="K6" i="40" s="1"/>
  <c r="Y18" i="40"/>
  <c r="K18" i="40" s="1"/>
  <c r="Y32" i="40"/>
  <c r="K32" i="40" s="1"/>
  <c r="W10" i="40"/>
  <c r="I10" i="40" s="1"/>
  <c r="W22" i="40"/>
  <c r="I22" i="40" s="1"/>
  <c r="W35" i="40"/>
  <c r="U13" i="40"/>
  <c r="G13" i="40" s="1"/>
  <c r="U25" i="40"/>
  <c r="G25" i="40" s="1"/>
  <c r="U3" i="40"/>
  <c r="G3" i="40" s="1"/>
  <c r="S15" i="40"/>
  <c r="E15" i="40" s="1"/>
  <c r="Y7" i="40"/>
  <c r="K7" i="40" s="1"/>
  <c r="Y19" i="40"/>
  <c r="K19" i="40" s="1"/>
  <c r="Y33" i="40"/>
  <c r="K33" i="40" s="1"/>
  <c r="W11" i="40"/>
  <c r="I11" i="40" s="1"/>
  <c r="W23" i="40"/>
  <c r="I23" i="40" s="1"/>
  <c r="W36" i="40"/>
  <c r="U14" i="40"/>
  <c r="G14" i="40" s="1"/>
  <c r="U26" i="40"/>
  <c r="G26" i="40" s="1"/>
  <c r="S4" i="40"/>
  <c r="E4" i="40" s="1"/>
  <c r="S16" i="40"/>
  <c r="E16" i="40" s="1"/>
  <c r="S28" i="40"/>
  <c r="E28" i="40" s="1"/>
  <c r="T27" i="37"/>
  <c r="E27" i="37" s="1"/>
  <c r="L6" i="37"/>
  <c r="I42" i="37"/>
  <c r="L18" i="37"/>
  <c r="V5" i="42"/>
  <c r="I5" i="42" s="1"/>
  <c r="S4" i="41"/>
  <c r="A4" i="41" s="1"/>
  <c r="W25" i="41"/>
  <c r="E25" i="41" s="1"/>
  <c r="AA29" i="41"/>
  <c r="I29" i="41" s="1"/>
  <c r="AA17" i="41"/>
  <c r="I17" i="41" s="1"/>
  <c r="AA5" i="41"/>
  <c r="I5" i="41" s="1"/>
  <c r="AC26" i="41"/>
  <c r="K26" i="41" s="1"/>
  <c r="AC14" i="41"/>
  <c r="K14" i="41" s="1"/>
  <c r="AE35" i="41"/>
  <c r="M35" i="41" s="1"/>
  <c r="AE23" i="41"/>
  <c r="M23" i="41" s="1"/>
  <c r="AE11" i="41"/>
  <c r="M11" i="41" s="1"/>
  <c r="AG18" i="41"/>
  <c r="O18" i="41" s="1"/>
  <c r="O36" i="40"/>
  <c r="A36" i="40" s="1"/>
  <c r="O24" i="40"/>
  <c r="A24" i="40" s="1"/>
  <c r="Q30" i="40"/>
  <c r="C30" i="40" s="1"/>
  <c r="L17" i="37"/>
  <c r="S36" i="41"/>
  <c r="A36" i="41" s="1"/>
  <c r="W24" i="41"/>
  <c r="E24" i="41" s="1"/>
  <c r="AA28" i="41"/>
  <c r="I28" i="41" s="1"/>
  <c r="AA16" i="41"/>
  <c r="I16" i="41" s="1"/>
  <c r="AA4" i="41"/>
  <c r="I4" i="41" s="1"/>
  <c r="AC25" i="41"/>
  <c r="K25" i="41" s="1"/>
  <c r="AC13" i="41"/>
  <c r="K13" i="41" s="1"/>
  <c r="AE34" i="41"/>
  <c r="M34" i="41" s="1"/>
  <c r="AE22" i="41"/>
  <c r="M22" i="41" s="1"/>
  <c r="AE10" i="41"/>
  <c r="M10" i="41" s="1"/>
  <c r="AG17" i="41"/>
  <c r="O17" i="41" s="1"/>
  <c r="Q29" i="40"/>
  <c r="C29" i="40" s="1"/>
  <c r="M12" i="35"/>
  <c r="A12" i="35" s="1"/>
  <c r="M8" i="35"/>
  <c r="A8" i="35" s="1"/>
  <c r="I39" i="37"/>
  <c r="L16" i="37"/>
  <c r="S28" i="41"/>
  <c r="A28" i="41" s="1"/>
  <c r="W18" i="41"/>
  <c r="E18" i="41" s="1"/>
  <c r="AA27" i="41"/>
  <c r="I27" i="41" s="1"/>
  <c r="AA15" i="41"/>
  <c r="I15" i="41" s="1"/>
  <c r="AC3" i="41"/>
  <c r="K3" i="41" s="1"/>
  <c r="AC24" i="41"/>
  <c r="K24" i="41" s="1"/>
  <c r="AC12" i="41"/>
  <c r="K12" i="41" s="1"/>
  <c r="AE33" i="41"/>
  <c r="M33" i="41" s="1"/>
  <c r="AE21" i="41"/>
  <c r="M21" i="41" s="1"/>
  <c r="AE9" i="41"/>
  <c r="M9" i="41" s="1"/>
  <c r="AG16" i="41"/>
  <c r="O16" i="41" s="1"/>
  <c r="Q28" i="40"/>
  <c r="C28" i="40" s="1"/>
  <c r="L15" i="37"/>
  <c r="S19" i="41"/>
  <c r="A19" i="41" s="1"/>
  <c r="W16" i="41"/>
  <c r="E16" i="41" s="1"/>
  <c r="AA26" i="41"/>
  <c r="I26" i="41" s="1"/>
  <c r="AA14" i="41"/>
  <c r="I14" i="41" s="1"/>
  <c r="AC35" i="41"/>
  <c r="K35" i="41" s="1"/>
  <c r="AC23" i="41"/>
  <c r="K23" i="41" s="1"/>
  <c r="AC11" i="41"/>
  <c r="K11" i="41" s="1"/>
  <c r="AE32" i="41"/>
  <c r="M32" i="41" s="1"/>
  <c r="AE20" i="41"/>
  <c r="M20" i="41" s="1"/>
  <c r="AE8" i="41"/>
  <c r="M8" i="41" s="1"/>
  <c r="AG15" i="41"/>
  <c r="O15" i="41" s="1"/>
  <c r="Q20" i="40"/>
  <c r="C20" i="40" s="1"/>
  <c r="L3" i="37"/>
  <c r="S5" i="41"/>
  <c r="A5" i="41" s="1"/>
  <c r="W15" i="41"/>
  <c r="E15" i="41" s="1"/>
  <c r="AA25" i="41"/>
  <c r="I25" i="41" s="1"/>
  <c r="AA13" i="41"/>
  <c r="I13" i="41" s="1"/>
  <c r="AC34" i="41"/>
  <c r="K34" i="41" s="1"/>
  <c r="AC22" i="41"/>
  <c r="K22" i="41" s="1"/>
  <c r="AC10" i="41"/>
  <c r="K10" i="41" s="1"/>
  <c r="AE31" i="41"/>
  <c r="M31" i="41" s="1"/>
  <c r="AE19" i="41"/>
  <c r="M19" i="41" s="1"/>
  <c r="AE7" i="41"/>
  <c r="M7" i="41" s="1"/>
  <c r="AG14" i="41"/>
  <c r="O14" i="41" s="1"/>
  <c r="O32" i="40"/>
  <c r="A32" i="40" s="1"/>
  <c r="O20" i="40"/>
  <c r="A20" i="40" s="1"/>
  <c r="O8" i="40"/>
  <c r="A8" i="40" s="1"/>
  <c r="Q18" i="40"/>
  <c r="C18" i="40" s="1"/>
  <c r="O27" i="40"/>
  <c r="A27" i="40" s="1"/>
  <c r="O15" i="40"/>
  <c r="A15" i="40" s="1"/>
  <c r="O26" i="40"/>
  <c r="A26" i="40" s="1"/>
  <c r="O14" i="40"/>
  <c r="A14" i="40" s="1"/>
  <c r="O12" i="40"/>
  <c r="A12" i="40" s="1"/>
  <c r="O35" i="40"/>
  <c r="A35" i="40" s="1"/>
  <c r="O23" i="40"/>
  <c r="A23" i="40" s="1"/>
  <c r="O11" i="40"/>
  <c r="A11" i="40" s="1"/>
  <c r="O34" i="40"/>
  <c r="A34" i="40" s="1"/>
  <c r="O22" i="40"/>
  <c r="A22" i="40" s="1"/>
  <c r="O10" i="40"/>
  <c r="A10" i="40" s="1"/>
  <c r="O33" i="40"/>
  <c r="A33" i="40" s="1"/>
  <c r="O21" i="40"/>
  <c r="A21" i="40" s="1"/>
  <c r="O9" i="40"/>
  <c r="A9" i="40" s="1"/>
  <c r="O31" i="40"/>
  <c r="A31" i="40" s="1"/>
  <c r="O19" i="40"/>
  <c r="A19" i="40" s="1"/>
  <c r="O7" i="40"/>
  <c r="A7" i="40" s="1"/>
  <c r="Q8" i="36"/>
  <c r="E8" i="36" s="1"/>
  <c r="R43" i="37"/>
  <c r="C43" i="37" s="1"/>
  <c r="W13" i="41"/>
  <c r="E13" i="41" s="1"/>
  <c r="Y33" i="41"/>
  <c r="G33" i="41" s="1"/>
  <c r="Y21" i="41"/>
  <c r="G21" i="41" s="1"/>
  <c r="Y9" i="41"/>
  <c r="G9" i="41" s="1"/>
  <c r="V8" i="42"/>
  <c r="I8" i="42" s="1"/>
  <c r="W35" i="41"/>
  <c r="E35" i="41" s="1"/>
  <c r="W23" i="41"/>
  <c r="E23" i="41" s="1"/>
  <c r="W11" i="41"/>
  <c r="E11" i="41" s="1"/>
  <c r="Y31" i="41"/>
  <c r="G31" i="41" s="1"/>
  <c r="Y19" i="41"/>
  <c r="G19" i="41" s="1"/>
  <c r="Y7" i="41"/>
  <c r="G7" i="41" s="1"/>
  <c r="W34" i="41"/>
  <c r="E34" i="41" s="1"/>
  <c r="W22" i="41"/>
  <c r="E22" i="41" s="1"/>
  <c r="W10" i="41"/>
  <c r="E10" i="41" s="1"/>
  <c r="Y30" i="41"/>
  <c r="G30" i="41" s="1"/>
  <c r="Y18" i="41"/>
  <c r="G18" i="41" s="1"/>
  <c r="Y6" i="41"/>
  <c r="G6" i="41" s="1"/>
  <c r="W33" i="41"/>
  <c r="E33" i="41" s="1"/>
  <c r="W21" i="41"/>
  <c r="E21" i="41" s="1"/>
  <c r="Y29" i="41"/>
  <c r="G29" i="41" s="1"/>
  <c r="Y17" i="41"/>
  <c r="G17" i="41" s="1"/>
  <c r="Y5" i="41"/>
  <c r="G5" i="41" s="1"/>
  <c r="S29" i="41"/>
  <c r="A29" i="41" s="1"/>
  <c r="W20" i="41"/>
  <c r="E20" i="41" s="1"/>
  <c r="W8" i="41"/>
  <c r="E8" i="41" s="1"/>
  <c r="Y28" i="41"/>
  <c r="G28" i="41" s="1"/>
  <c r="Y16" i="41"/>
  <c r="G16" i="41" s="1"/>
  <c r="Y4" i="41"/>
  <c r="G4" i="41" s="1"/>
  <c r="U4" i="41"/>
  <c r="C4" i="41" s="1"/>
  <c r="R34" i="37"/>
  <c r="C34" i="37" s="1"/>
  <c r="N16" i="42"/>
  <c r="A16" i="42" s="1"/>
  <c r="W31" i="41"/>
  <c r="E31" i="41" s="1"/>
  <c r="W19" i="41"/>
  <c r="E19" i="41" s="1"/>
  <c r="W7" i="41"/>
  <c r="E7" i="41" s="1"/>
  <c r="Y27" i="41"/>
  <c r="G27" i="41" s="1"/>
  <c r="Y15" i="41"/>
  <c r="G15" i="41" s="1"/>
  <c r="N4" i="42"/>
  <c r="A4" i="42" s="1"/>
  <c r="W30" i="41"/>
  <c r="E30" i="41" s="1"/>
  <c r="Y26" i="41"/>
  <c r="G26" i="41" s="1"/>
  <c r="Y14" i="41"/>
  <c r="G14" i="41" s="1"/>
  <c r="R32" i="37"/>
  <c r="C32" i="37" s="1"/>
  <c r="T39" i="37"/>
  <c r="E39" i="37" s="1"/>
  <c r="P8" i="42"/>
  <c r="C8" i="42" s="1"/>
  <c r="S17" i="41"/>
  <c r="A17" i="41" s="1"/>
  <c r="W17" i="41"/>
  <c r="E17" i="41" s="1"/>
  <c r="W5" i="41"/>
  <c r="E5" i="41" s="1"/>
  <c r="Y25" i="41"/>
  <c r="G25" i="41" s="1"/>
  <c r="Y13" i="41"/>
  <c r="G13" i="41" s="1"/>
  <c r="R46" i="37"/>
  <c r="C46" i="37" s="1"/>
  <c r="T15" i="37"/>
  <c r="E15" i="37" s="1"/>
  <c r="W4" i="41"/>
  <c r="E4" i="41" s="1"/>
  <c r="Y24" i="41"/>
  <c r="G24" i="41" s="1"/>
  <c r="Y12" i="41"/>
  <c r="G12" i="41" s="1"/>
  <c r="W27" i="41"/>
  <c r="E27" i="41" s="1"/>
  <c r="Y35" i="41"/>
  <c r="G35" i="41" s="1"/>
  <c r="Y23" i="41"/>
  <c r="G23" i="41" s="1"/>
  <c r="Y11" i="41"/>
  <c r="G11" i="41" s="1"/>
  <c r="T16" i="42"/>
  <c r="G16" i="42" s="1"/>
  <c r="W26" i="41"/>
  <c r="E26" i="41" s="1"/>
  <c r="W14" i="41"/>
  <c r="E14" i="41" s="1"/>
  <c r="Y34" i="41"/>
  <c r="G34" i="41" s="1"/>
  <c r="Y22" i="41"/>
  <c r="G22" i="41" s="1"/>
  <c r="R11" i="37"/>
  <c r="C11" i="37" s="1"/>
  <c r="V21" i="37"/>
  <c r="G21" i="37" s="1"/>
  <c r="N17" i="42"/>
  <c r="A17" i="42" s="1"/>
  <c r="N5" i="42"/>
  <c r="A5" i="42" s="1"/>
  <c r="P9" i="42"/>
  <c r="C9" i="42" s="1"/>
  <c r="R13" i="42"/>
  <c r="E13" i="42" s="1"/>
  <c r="T5" i="42"/>
  <c r="G5" i="42" s="1"/>
  <c r="V9" i="42"/>
  <c r="I9" i="42" s="1"/>
  <c r="S30" i="41"/>
  <c r="A30" i="41" s="1"/>
  <c r="S18" i="41"/>
  <c r="A18" i="41" s="1"/>
  <c r="S6" i="41"/>
  <c r="A6" i="41" s="1"/>
  <c r="U27" i="41"/>
  <c r="C27" i="41" s="1"/>
  <c r="U15" i="41"/>
  <c r="C15" i="41" s="1"/>
  <c r="R9" i="37"/>
  <c r="C9" i="37" s="1"/>
  <c r="V43" i="37"/>
  <c r="G43" i="37" s="1"/>
  <c r="V31" i="37"/>
  <c r="G31" i="37" s="1"/>
  <c r="V19" i="37"/>
  <c r="G19" i="37" s="1"/>
  <c r="V7" i="37"/>
  <c r="G7" i="37" s="1"/>
  <c r="N15" i="42"/>
  <c r="A15" i="42" s="1"/>
  <c r="P3" i="42"/>
  <c r="C3" i="42" s="1"/>
  <c r="P7" i="42"/>
  <c r="C7" i="42" s="1"/>
  <c r="R11" i="42"/>
  <c r="E11" i="42" s="1"/>
  <c r="T15" i="42"/>
  <c r="G15" i="42" s="1"/>
  <c r="V3" i="42"/>
  <c r="I3" i="42" s="1"/>
  <c r="V7" i="42"/>
  <c r="I7" i="42" s="1"/>
  <c r="S16" i="41"/>
  <c r="A16" i="41" s="1"/>
  <c r="U3" i="41"/>
  <c r="C3" i="41" s="1"/>
  <c r="U25" i="41"/>
  <c r="C25" i="41" s="1"/>
  <c r="U13" i="41"/>
  <c r="C13" i="41" s="1"/>
  <c r="T37" i="37"/>
  <c r="E37" i="37" s="1"/>
  <c r="T25" i="37"/>
  <c r="E25" i="37" s="1"/>
  <c r="V42" i="37"/>
  <c r="G42" i="37" s="1"/>
  <c r="V30" i="37"/>
  <c r="G30" i="37" s="1"/>
  <c r="N14" i="42"/>
  <c r="A14" i="42" s="1"/>
  <c r="P18" i="42"/>
  <c r="C18" i="42" s="1"/>
  <c r="P6" i="42"/>
  <c r="C6" i="42" s="1"/>
  <c r="R10" i="42"/>
  <c r="E10" i="42" s="1"/>
  <c r="T14" i="42"/>
  <c r="G14" i="42" s="1"/>
  <c r="V18" i="42"/>
  <c r="I18" i="42" s="1"/>
  <c r="V6" i="42"/>
  <c r="I6" i="42" s="1"/>
  <c r="S27" i="41"/>
  <c r="A27" i="41" s="1"/>
  <c r="S15" i="41"/>
  <c r="A15" i="41" s="1"/>
  <c r="U36" i="41"/>
  <c r="C36" i="41" s="1"/>
  <c r="U24" i="41"/>
  <c r="C24" i="41" s="1"/>
  <c r="U12" i="41"/>
  <c r="C12" i="41" s="1"/>
  <c r="R31" i="37"/>
  <c r="C31" i="37" s="1"/>
  <c r="T36" i="37"/>
  <c r="E36" i="37" s="1"/>
  <c r="T24" i="37"/>
  <c r="E24" i="37" s="1"/>
  <c r="T12" i="37"/>
  <c r="N13" i="42"/>
  <c r="A13" i="42" s="1"/>
  <c r="P17" i="42"/>
  <c r="C17" i="42" s="1"/>
  <c r="P5" i="42"/>
  <c r="C5" i="42" s="1"/>
  <c r="R9" i="42"/>
  <c r="E9" i="42" s="1"/>
  <c r="T13" i="42"/>
  <c r="G13" i="42" s="1"/>
  <c r="V17" i="42"/>
  <c r="I17" i="42" s="1"/>
  <c r="S26" i="41"/>
  <c r="A26" i="41" s="1"/>
  <c r="S14" i="41"/>
  <c r="A14" i="41" s="1"/>
  <c r="U35" i="41"/>
  <c r="C35" i="41" s="1"/>
  <c r="U23" i="41"/>
  <c r="C23" i="41" s="1"/>
  <c r="U11" i="41"/>
  <c r="C11" i="41" s="1"/>
  <c r="R6" i="37"/>
  <c r="C6" i="37" s="1"/>
  <c r="T11" i="37"/>
  <c r="E11" i="37" s="1"/>
  <c r="V40" i="37"/>
  <c r="G40" i="37" s="1"/>
  <c r="V28" i="37"/>
  <c r="G28" i="37" s="1"/>
  <c r="V16" i="37"/>
  <c r="G16" i="37" s="1"/>
  <c r="V4" i="37"/>
  <c r="G4" i="37" s="1"/>
  <c r="N12" i="42"/>
  <c r="A12" i="42" s="1"/>
  <c r="P16" i="42"/>
  <c r="C16" i="42" s="1"/>
  <c r="P4" i="42"/>
  <c r="C4" i="42" s="1"/>
  <c r="R8" i="42"/>
  <c r="E8" i="42" s="1"/>
  <c r="T12" i="42"/>
  <c r="G12" i="42" s="1"/>
  <c r="V16" i="42"/>
  <c r="I16" i="42" s="1"/>
  <c r="V4" i="42"/>
  <c r="I4" i="42" s="1"/>
  <c r="S25" i="41"/>
  <c r="A25" i="41" s="1"/>
  <c r="S13" i="41"/>
  <c r="A13" i="41" s="1"/>
  <c r="U34" i="41"/>
  <c r="C34" i="41" s="1"/>
  <c r="U22" i="41"/>
  <c r="C22" i="41" s="1"/>
  <c r="U10" i="41"/>
  <c r="C10" i="41" s="1"/>
  <c r="R5" i="37"/>
  <c r="C5" i="37" s="1"/>
  <c r="T34" i="37"/>
  <c r="E34" i="37" s="1"/>
  <c r="T10" i="37"/>
  <c r="E10" i="37" s="1"/>
  <c r="V39" i="37"/>
  <c r="G39" i="37" s="1"/>
  <c r="V15" i="37"/>
  <c r="G15" i="37" s="1"/>
  <c r="N11" i="42"/>
  <c r="A11" i="42" s="1"/>
  <c r="P15" i="42"/>
  <c r="C15" i="42" s="1"/>
  <c r="R3" i="42"/>
  <c r="E3" i="42" s="1"/>
  <c r="R7" i="42"/>
  <c r="E7" i="42" s="1"/>
  <c r="V15" i="42"/>
  <c r="I15" i="42" s="1"/>
  <c r="S24" i="41"/>
  <c r="A24" i="41" s="1"/>
  <c r="S12" i="41"/>
  <c r="A12" i="41" s="1"/>
  <c r="U33" i="41"/>
  <c r="C33" i="41" s="1"/>
  <c r="U21" i="41"/>
  <c r="C21" i="41" s="1"/>
  <c r="U9" i="41"/>
  <c r="C9" i="41" s="1"/>
  <c r="R3" i="37"/>
  <c r="C3" i="37" s="1"/>
  <c r="R40" i="37"/>
  <c r="C40" i="37" s="1"/>
  <c r="T33" i="37"/>
  <c r="E33" i="37" s="1"/>
  <c r="T21" i="37"/>
  <c r="E21" i="37" s="1"/>
  <c r="T9" i="37"/>
  <c r="E9" i="37" s="1"/>
  <c r="L8" i="37"/>
  <c r="N10" i="42"/>
  <c r="A10" i="42" s="1"/>
  <c r="P14" i="42"/>
  <c r="C14" i="42" s="1"/>
  <c r="R18" i="42"/>
  <c r="E18" i="42" s="1"/>
  <c r="R6" i="42"/>
  <c r="E6" i="42" s="1"/>
  <c r="T10" i="42"/>
  <c r="G10" i="42" s="1"/>
  <c r="V14" i="42"/>
  <c r="I14" i="42" s="1"/>
  <c r="S35" i="41"/>
  <c r="A35" i="41" s="1"/>
  <c r="S23" i="41"/>
  <c r="A23" i="41" s="1"/>
  <c r="S11" i="41"/>
  <c r="A11" i="41" s="1"/>
  <c r="U32" i="41"/>
  <c r="C32" i="41" s="1"/>
  <c r="U20" i="41"/>
  <c r="C20" i="41" s="1"/>
  <c r="R51" i="37"/>
  <c r="C51" i="37" s="1"/>
  <c r="R39" i="37"/>
  <c r="C39" i="37" s="1"/>
  <c r="R27" i="37"/>
  <c r="C27" i="37" s="1"/>
  <c r="T3" i="37"/>
  <c r="E3" i="37" s="1"/>
  <c r="T32" i="37"/>
  <c r="E32" i="37" s="1"/>
  <c r="T8" i="37"/>
  <c r="E8" i="37" s="1"/>
  <c r="V37" i="37"/>
  <c r="G37" i="37" s="1"/>
  <c r="V25" i="37"/>
  <c r="G25" i="37" s="1"/>
  <c r="V13" i="37"/>
  <c r="G13" i="37" s="1"/>
  <c r="L31" i="37"/>
  <c r="N9" i="42"/>
  <c r="A9" i="42" s="1"/>
  <c r="P13" i="42"/>
  <c r="C13" i="42" s="1"/>
  <c r="R17" i="42"/>
  <c r="E17" i="42" s="1"/>
  <c r="R5" i="42"/>
  <c r="E5" i="42" s="1"/>
  <c r="T9" i="42"/>
  <c r="G9" i="42" s="1"/>
  <c r="V13" i="42"/>
  <c r="I13" i="42" s="1"/>
  <c r="S34" i="41"/>
  <c r="A34" i="41" s="1"/>
  <c r="S22" i="41"/>
  <c r="A22" i="41" s="1"/>
  <c r="S10" i="41"/>
  <c r="A10" i="41" s="1"/>
  <c r="U31" i="41"/>
  <c r="C31" i="41" s="1"/>
  <c r="U19" i="41"/>
  <c r="C19" i="41" s="1"/>
  <c r="U7" i="41"/>
  <c r="C7" i="41" s="1"/>
  <c r="R26" i="37"/>
  <c r="C26" i="37" s="1"/>
  <c r="L30" i="37"/>
  <c r="N8" i="42"/>
  <c r="A8" i="42" s="1"/>
  <c r="P12" i="42"/>
  <c r="C12" i="42" s="1"/>
  <c r="R16" i="42"/>
  <c r="E16" i="42" s="1"/>
  <c r="R4" i="42"/>
  <c r="E4" i="42" s="1"/>
  <c r="T8" i="42"/>
  <c r="G8" i="42" s="1"/>
  <c r="V12" i="42"/>
  <c r="I12" i="42" s="1"/>
  <c r="S33" i="41"/>
  <c r="A33" i="41" s="1"/>
  <c r="S21" i="41"/>
  <c r="A21" i="41" s="1"/>
  <c r="S9" i="41"/>
  <c r="A9" i="41" s="1"/>
  <c r="U30" i="41"/>
  <c r="C30" i="41" s="1"/>
  <c r="U18" i="41"/>
  <c r="C18" i="41" s="1"/>
  <c r="U6" i="41"/>
  <c r="C6" i="41" s="1"/>
  <c r="R49" i="37"/>
  <c r="C49" i="37" s="1"/>
  <c r="R37" i="37"/>
  <c r="C37" i="37" s="1"/>
  <c r="R13" i="37"/>
  <c r="C13" i="37" s="1"/>
  <c r="T42" i="37"/>
  <c r="E42" i="37" s="1"/>
  <c r="T30" i="37"/>
  <c r="E30" i="37" s="1"/>
  <c r="T18" i="37"/>
  <c r="E18" i="37" s="1"/>
  <c r="T6" i="37"/>
  <c r="E6" i="37" s="1"/>
  <c r="V11" i="37"/>
  <c r="G11" i="37" s="1"/>
  <c r="L5" i="37"/>
  <c r="N3" i="42"/>
  <c r="A3" i="42" s="1"/>
  <c r="N7" i="42"/>
  <c r="A7" i="42" s="1"/>
  <c r="P11" i="42"/>
  <c r="C11" i="42" s="1"/>
  <c r="R15" i="42"/>
  <c r="E15" i="42" s="1"/>
  <c r="T3" i="42"/>
  <c r="G3" i="42" s="1"/>
  <c r="T7" i="42"/>
  <c r="G7" i="42" s="1"/>
  <c r="V11" i="42"/>
  <c r="I11" i="42" s="1"/>
  <c r="S32" i="41"/>
  <c r="A32" i="41" s="1"/>
  <c r="S20" i="41"/>
  <c r="A20" i="41" s="1"/>
  <c r="S8" i="41"/>
  <c r="A8" i="41" s="1"/>
  <c r="U29" i="41"/>
  <c r="C29" i="41" s="1"/>
  <c r="U17" i="41"/>
  <c r="C17" i="41" s="1"/>
  <c r="U5" i="41"/>
  <c r="C5" i="41" s="1"/>
  <c r="T29" i="37"/>
  <c r="E29" i="37" s="1"/>
  <c r="T5" i="37"/>
  <c r="E5" i="37" s="1"/>
  <c r="V34" i="37"/>
  <c r="G34" i="37" s="1"/>
  <c r="V22" i="37"/>
  <c r="G22" i="37" s="1"/>
  <c r="V10" i="37"/>
  <c r="G10" i="37" s="1"/>
  <c r="N18" i="42"/>
  <c r="A18" i="42" s="1"/>
  <c r="N6" i="42"/>
  <c r="A6" i="42" s="1"/>
  <c r="P10" i="42"/>
  <c r="C10" i="42" s="1"/>
  <c r="R14" i="42"/>
  <c r="E14" i="42" s="1"/>
  <c r="T18" i="42"/>
  <c r="G18" i="42" s="1"/>
  <c r="T6" i="42"/>
  <c r="G6" i="42" s="1"/>
  <c r="V10" i="42"/>
  <c r="I10" i="42" s="1"/>
  <c r="S31" i="41"/>
  <c r="A31" i="41" s="1"/>
  <c r="S7" i="41"/>
  <c r="A7" i="41" s="1"/>
  <c r="U28" i="41"/>
  <c r="C28" i="41" s="1"/>
  <c r="U16" i="41"/>
  <c r="C16" i="41" s="1"/>
  <c r="M7" i="35"/>
  <c r="A7" i="35" s="1"/>
  <c r="M3" i="35"/>
  <c r="P44" i="37"/>
  <c r="A45" i="37" s="1"/>
  <c r="P23" i="37"/>
  <c r="A24" i="37" s="1"/>
  <c r="P42" i="37"/>
  <c r="A43" i="37" s="1"/>
  <c r="P20" i="37"/>
  <c r="A21" i="37" s="1"/>
  <c r="P37" i="37"/>
  <c r="A38" i="37" s="1"/>
  <c r="P19" i="37"/>
  <c r="A20" i="37" s="1"/>
  <c r="P36" i="37"/>
  <c r="A37" i="37" s="1"/>
  <c r="P18" i="37"/>
  <c r="A19" i="37" s="1"/>
  <c r="P22" i="37"/>
  <c r="A23" i="37" s="1"/>
  <c r="U8" i="36"/>
  <c r="I8" i="36" s="1"/>
  <c r="P35" i="37"/>
  <c r="A36" i="37" s="1"/>
  <c r="P14" i="37"/>
  <c r="A14" i="37" s="1"/>
  <c r="U7" i="36"/>
  <c r="I7" i="36" s="1"/>
  <c r="P34" i="37"/>
  <c r="A35" i="37" s="1"/>
  <c r="P13" i="37"/>
  <c r="A13" i="37" s="1"/>
  <c r="P53" i="37"/>
  <c r="A54" i="37" s="1"/>
  <c r="P32" i="37"/>
  <c r="A33" i="37" s="1"/>
  <c r="P12" i="37"/>
  <c r="A12" i="37" s="1"/>
  <c r="M13" i="35"/>
  <c r="A13" i="35" s="1"/>
  <c r="P49" i="37"/>
  <c r="A50" i="37" s="1"/>
  <c r="P31" i="37"/>
  <c r="A32" i="37" s="1"/>
  <c r="P11" i="37"/>
  <c r="A11" i="37" s="1"/>
  <c r="P48" i="37"/>
  <c r="A49" i="37" s="1"/>
  <c r="P30" i="37"/>
  <c r="A31" i="37" s="1"/>
  <c r="P9" i="37"/>
  <c r="A9" i="37" s="1"/>
  <c r="O4" i="36"/>
  <c r="C4" i="36" s="1"/>
  <c r="P47" i="37"/>
  <c r="A48" i="37" s="1"/>
  <c r="P25" i="37"/>
  <c r="A26" i="37" s="1"/>
  <c r="P8" i="37"/>
  <c r="A8" i="37" s="1"/>
  <c r="P46" i="37"/>
  <c r="A47" i="37" s="1"/>
  <c r="P24" i="37"/>
  <c r="A25" i="37" s="1"/>
  <c r="P45" i="37"/>
  <c r="A46" i="37" s="1"/>
  <c r="P33" i="37"/>
  <c r="A34" i="37" s="1"/>
  <c r="P21" i="37"/>
  <c r="A22" i="37" s="1"/>
  <c r="P10" i="37"/>
  <c r="A10" i="37" s="1"/>
  <c r="P41" i="37"/>
  <c r="A42" i="37" s="1"/>
  <c r="P29" i="37"/>
  <c r="A30" i="37" s="1"/>
  <c r="P17" i="37"/>
  <c r="A18" i="37" s="1"/>
  <c r="P6" i="37"/>
  <c r="A6" i="37" s="1"/>
  <c r="P40" i="37"/>
  <c r="A41" i="37" s="1"/>
  <c r="P28" i="37"/>
  <c r="A29" i="37" s="1"/>
  <c r="P5" i="37"/>
  <c r="A5" i="37" s="1"/>
  <c r="P52" i="37"/>
  <c r="A53" i="37" s="1"/>
  <c r="S7" i="36"/>
  <c r="P51" i="37"/>
  <c r="A52" i="37" s="1"/>
  <c r="P39" i="37"/>
  <c r="A40" i="37" s="1"/>
  <c r="P27" i="37"/>
  <c r="A28" i="37" s="1"/>
  <c r="P16" i="37"/>
  <c r="A16" i="37" s="1"/>
  <c r="P50" i="37"/>
  <c r="A51" i="37" s="1"/>
  <c r="P38" i="37"/>
  <c r="A39" i="37" s="1"/>
  <c r="P26" i="37"/>
  <c r="A27" i="37" s="1"/>
  <c r="P15" i="37"/>
  <c r="A15" i="37" s="1"/>
  <c r="M9" i="35"/>
  <c r="A9" i="35" s="1"/>
  <c r="O15" i="36"/>
  <c r="C16" i="36" s="1"/>
  <c r="O14" i="36"/>
  <c r="C15" i="36" s="1"/>
  <c r="Q7" i="36"/>
  <c r="M9" i="36"/>
  <c r="A9" i="36" s="1"/>
  <c r="Q3" i="36"/>
  <c r="E3" i="36" s="1"/>
  <c r="Q6" i="36"/>
  <c r="M17" i="36"/>
  <c r="A17" i="36" s="1"/>
  <c r="M16" i="36"/>
  <c r="A16" i="36" s="1"/>
  <c r="O10" i="35"/>
  <c r="C10" i="35" s="1"/>
  <c r="O8" i="35"/>
  <c r="C8" i="35" s="1"/>
  <c r="O5" i="35"/>
  <c r="C5" i="35" s="1"/>
  <c r="M15" i="36"/>
  <c r="A15" i="36" s="1"/>
  <c r="O13" i="36"/>
  <c r="C14" i="36" s="1"/>
  <c r="Q17" i="36"/>
  <c r="Q5" i="36"/>
  <c r="M14" i="36"/>
  <c r="A14" i="36" s="1"/>
  <c r="O12" i="36"/>
  <c r="C13" i="36" s="1"/>
  <c r="Q16" i="36"/>
  <c r="Q4" i="36"/>
  <c r="M6" i="35"/>
  <c r="A6" i="35" s="1"/>
  <c r="M5" i="35"/>
  <c r="A5" i="35" s="1"/>
  <c r="M13" i="36"/>
  <c r="A13" i="36" s="1"/>
  <c r="O11" i="36"/>
  <c r="C12" i="36" s="1"/>
  <c r="Q15" i="36"/>
  <c r="Q13" i="36"/>
  <c r="M3" i="36"/>
  <c r="A3" i="36" s="1"/>
  <c r="M12" i="36"/>
  <c r="A12" i="36" s="1"/>
  <c r="O10" i="36"/>
  <c r="C11" i="36" s="1"/>
  <c r="Q14" i="36"/>
  <c r="Q12" i="35"/>
  <c r="E12" i="35" s="1"/>
  <c r="O9" i="36"/>
  <c r="C10" i="36" s="1"/>
  <c r="O4" i="35"/>
  <c r="C4" i="35" s="1"/>
  <c r="Q13" i="35"/>
  <c r="E13" i="35" s="1"/>
  <c r="M7" i="36"/>
  <c r="A7" i="36" s="1"/>
  <c r="M10" i="36"/>
  <c r="A10" i="36" s="1"/>
  <c r="O8" i="36"/>
  <c r="C8" i="36" s="1"/>
  <c r="Q12" i="36"/>
  <c r="M11" i="36"/>
  <c r="A11" i="36" s="1"/>
  <c r="O7" i="36"/>
  <c r="C7" i="36" s="1"/>
  <c r="Q11" i="36"/>
  <c r="S3" i="36"/>
  <c r="G3" i="36" s="1"/>
  <c r="M8" i="36"/>
  <c r="A8" i="36" s="1"/>
  <c r="O6" i="36"/>
  <c r="C6" i="36" s="1"/>
  <c r="Q10" i="36"/>
  <c r="O9" i="35"/>
  <c r="C9" i="35" s="1"/>
  <c r="M4" i="36"/>
  <c r="A4" i="36" s="1"/>
  <c r="O3" i="36"/>
  <c r="C3" i="36" s="1"/>
  <c r="O5" i="36"/>
  <c r="C5" i="36" s="1"/>
  <c r="Q9" i="36"/>
  <c r="AP7" i="34"/>
  <c r="Q7" i="34" s="1"/>
  <c r="AP20" i="34"/>
  <c r="Q20" i="34" s="1"/>
  <c r="AP33" i="34"/>
  <c r="Q33" i="34" s="1"/>
  <c r="AP35" i="34"/>
  <c r="AP28" i="34"/>
  <c r="Q28" i="34" s="1"/>
  <c r="AP19" i="34"/>
  <c r="Q19" i="34" s="1"/>
  <c r="AP32" i="34"/>
  <c r="Q32" i="34" s="1"/>
  <c r="AP17" i="34"/>
  <c r="Q17" i="34" s="1"/>
  <c r="AP31" i="34"/>
  <c r="Q31" i="34" s="1"/>
  <c r="AP16" i="34"/>
  <c r="Q16" i="34" s="1"/>
  <c r="AP3" i="34"/>
  <c r="Q3" i="34" s="1"/>
  <c r="AP14" i="34"/>
  <c r="Q14" i="34" s="1"/>
  <c r="AP13" i="34"/>
  <c r="Q13" i="34" s="1"/>
  <c r="AP41" i="34"/>
  <c r="AP26" i="34"/>
  <c r="Q26" i="34" s="1"/>
  <c r="AP12" i="34"/>
  <c r="Q12" i="34" s="1"/>
  <c r="AP34" i="34"/>
  <c r="Q34" i="34" s="1"/>
  <c r="AB35" i="34"/>
  <c r="C35" i="34" s="1"/>
  <c r="AL14" i="34"/>
  <c r="M14" i="34" s="1"/>
  <c r="AP29" i="34"/>
  <c r="Q29" i="34" s="1"/>
  <c r="AP43" i="34"/>
  <c r="AB3" i="34"/>
  <c r="C3" i="34" s="1"/>
  <c r="AP40" i="34"/>
  <c r="AP25" i="34"/>
  <c r="Q25" i="34" s="1"/>
  <c r="AP11" i="34"/>
  <c r="Q11" i="34" s="1"/>
  <c r="AL34" i="34"/>
  <c r="M34" i="34" s="1"/>
  <c r="AP38" i="34"/>
  <c r="AP24" i="34"/>
  <c r="Q24" i="34" s="1"/>
  <c r="AP10" i="34"/>
  <c r="Q10" i="34" s="1"/>
  <c r="AN3" i="34"/>
  <c r="O3" i="34" s="1"/>
  <c r="AP37" i="34"/>
  <c r="AP23" i="34"/>
  <c r="Q23" i="34" s="1"/>
  <c r="AP8" i="34"/>
  <c r="Q8" i="34" s="1"/>
  <c r="AB27" i="34"/>
  <c r="C27" i="34" s="1"/>
  <c r="AB5" i="34"/>
  <c r="C5" i="34" s="1"/>
  <c r="AN31" i="34"/>
  <c r="O31" i="34" s="1"/>
  <c r="AP36" i="34"/>
  <c r="AP22" i="34"/>
  <c r="Q22" i="34" s="1"/>
  <c r="AP9" i="34"/>
  <c r="Q9" i="34" s="1"/>
  <c r="AP42" i="34"/>
  <c r="AP30" i="34"/>
  <c r="Q30" i="34" s="1"/>
  <c r="AP18" i="34"/>
  <c r="Q18" i="34" s="1"/>
  <c r="AP6" i="34"/>
  <c r="Q6" i="34" s="1"/>
  <c r="AP5" i="34"/>
  <c r="Q5" i="34" s="1"/>
  <c r="AP4" i="34"/>
  <c r="Q4" i="34" s="1"/>
  <c r="AP39" i="34"/>
  <c r="AP27" i="34"/>
  <c r="Q27" i="34" s="1"/>
  <c r="AP15" i="34"/>
  <c r="Q15" i="34" s="1"/>
  <c r="AJ38" i="34"/>
  <c r="K38" i="34" s="1"/>
  <c r="AJ33" i="34"/>
  <c r="K33" i="34" s="1"/>
  <c r="AL38" i="34"/>
  <c r="M38" i="34" s="1"/>
  <c r="AH4" i="34"/>
  <c r="I4" i="34" s="1"/>
  <c r="AL13" i="34"/>
  <c r="M13" i="34" s="1"/>
  <c r="AH27" i="34"/>
  <c r="I27" i="34" s="1"/>
  <c r="AL30" i="34"/>
  <c r="M30" i="34" s="1"/>
  <c r="AJ43" i="34"/>
  <c r="K43" i="34" s="1"/>
  <c r="AL11" i="34"/>
  <c r="M11" i="34" s="1"/>
  <c r="AH37" i="34"/>
  <c r="I37" i="34" s="1"/>
  <c r="AH25" i="34"/>
  <c r="I25" i="34" s="1"/>
  <c r="AH13" i="34"/>
  <c r="I13" i="34" s="1"/>
  <c r="AJ42" i="34"/>
  <c r="K42" i="34" s="1"/>
  <c r="AJ30" i="34"/>
  <c r="K30" i="34" s="1"/>
  <c r="AJ18" i="34"/>
  <c r="K18" i="34" s="1"/>
  <c r="AJ6" i="34"/>
  <c r="K6" i="34" s="1"/>
  <c r="AJ27" i="34"/>
  <c r="K27" i="34" s="1"/>
  <c r="AL26" i="34"/>
  <c r="M26" i="34" s="1"/>
  <c r="AL10" i="34"/>
  <c r="M10" i="34" s="1"/>
  <c r="AN19" i="34"/>
  <c r="O19" i="34" s="1"/>
  <c r="AD3" i="34"/>
  <c r="E3" i="34" s="1"/>
  <c r="AH28" i="34"/>
  <c r="I28" i="34" s="1"/>
  <c r="AJ9" i="34"/>
  <c r="K9" i="34" s="1"/>
  <c r="AN30" i="34"/>
  <c r="O30" i="34" s="1"/>
  <c r="AJ3" i="34"/>
  <c r="K3" i="34" s="1"/>
  <c r="AJ8" i="34"/>
  <c r="K8" i="34" s="1"/>
  <c r="AN27" i="34"/>
  <c r="O27" i="34" s="1"/>
  <c r="AH26" i="34"/>
  <c r="I26" i="34" s="1"/>
  <c r="AJ19" i="34"/>
  <c r="K19" i="34" s="1"/>
  <c r="AJ29" i="34"/>
  <c r="K29" i="34" s="1"/>
  <c r="AH24" i="34"/>
  <c r="I24" i="34" s="1"/>
  <c r="AJ17" i="34"/>
  <c r="K17" i="34" s="1"/>
  <c r="AJ5" i="34"/>
  <c r="K5" i="34" s="1"/>
  <c r="AL43" i="34"/>
  <c r="M43" i="34" s="1"/>
  <c r="AL25" i="34"/>
  <c r="M25" i="34" s="1"/>
  <c r="AL7" i="34"/>
  <c r="M7" i="34" s="1"/>
  <c r="AN18" i="34"/>
  <c r="O18" i="34" s="1"/>
  <c r="AH35" i="34"/>
  <c r="I35" i="34" s="1"/>
  <c r="AJ40" i="34"/>
  <c r="K40" i="34" s="1"/>
  <c r="AJ28" i="34"/>
  <c r="K28" i="34" s="1"/>
  <c r="AJ16" i="34"/>
  <c r="K16" i="34" s="1"/>
  <c r="AJ4" i="34"/>
  <c r="K4" i="34" s="1"/>
  <c r="AL42" i="34"/>
  <c r="M42" i="34" s="1"/>
  <c r="AL24" i="34"/>
  <c r="M24" i="34" s="1"/>
  <c r="AL6" i="34"/>
  <c r="M6" i="34" s="1"/>
  <c r="AN15" i="34"/>
  <c r="O15" i="34" s="1"/>
  <c r="AH34" i="34"/>
  <c r="I34" i="34" s="1"/>
  <c r="AJ39" i="34"/>
  <c r="K39" i="34" s="1"/>
  <c r="AJ15" i="34"/>
  <c r="K15" i="34" s="1"/>
  <c r="AD18" i="34"/>
  <c r="E18" i="34" s="1"/>
  <c r="AL39" i="34"/>
  <c r="M39" i="34" s="1"/>
  <c r="AL23" i="34"/>
  <c r="M23" i="34" s="1"/>
  <c r="AN8" i="34"/>
  <c r="AH16" i="34"/>
  <c r="I16" i="34" s="1"/>
  <c r="AL31" i="34"/>
  <c r="M31" i="34" s="1"/>
  <c r="AJ32" i="34"/>
  <c r="K32" i="34" s="1"/>
  <c r="AL12" i="34"/>
  <c r="M12" i="34" s="1"/>
  <c r="AH14" i="34"/>
  <c r="I14" i="34" s="1"/>
  <c r="AL27" i="34"/>
  <c r="M27" i="34" s="1"/>
  <c r="AJ41" i="34"/>
  <c r="K41" i="34" s="1"/>
  <c r="AN7" i="34"/>
  <c r="AH3" i="34"/>
  <c r="I3" i="34" s="1"/>
  <c r="AH32" i="34"/>
  <c r="I32" i="34" s="1"/>
  <c r="AH20" i="34"/>
  <c r="I20" i="34" s="1"/>
  <c r="AH8" i="34"/>
  <c r="I8" i="34" s="1"/>
  <c r="AJ37" i="34"/>
  <c r="K37" i="34" s="1"/>
  <c r="AJ25" i="34"/>
  <c r="K25" i="34" s="1"/>
  <c r="AJ13" i="34"/>
  <c r="K13" i="34" s="1"/>
  <c r="AL37" i="34"/>
  <c r="M37" i="34" s="1"/>
  <c r="AL19" i="34"/>
  <c r="M19" i="34" s="1"/>
  <c r="AN42" i="34"/>
  <c r="O42" i="34" s="1"/>
  <c r="AN6" i="34"/>
  <c r="O6" i="34" s="1"/>
  <c r="AH10" i="34"/>
  <c r="I10" i="34" s="1"/>
  <c r="AH40" i="34"/>
  <c r="I40" i="34" s="1"/>
  <c r="AJ21" i="34"/>
  <c r="K21" i="34" s="1"/>
  <c r="AH39" i="34"/>
  <c r="I39" i="34" s="1"/>
  <c r="AH15" i="34"/>
  <c r="I15" i="34" s="1"/>
  <c r="AJ20" i="34"/>
  <c r="K20" i="34" s="1"/>
  <c r="AH38" i="34"/>
  <c r="I38" i="34" s="1"/>
  <c r="AJ31" i="34"/>
  <c r="K31" i="34" s="1"/>
  <c r="AJ7" i="34"/>
  <c r="K7" i="34" s="1"/>
  <c r="AN20" i="34"/>
  <c r="AH36" i="34"/>
  <c r="I36" i="34" s="1"/>
  <c r="AH12" i="34"/>
  <c r="I12" i="34" s="1"/>
  <c r="AL22" i="34"/>
  <c r="M22" i="34" s="1"/>
  <c r="AN43" i="34"/>
  <c r="O43" i="34" s="1"/>
  <c r="AH43" i="34"/>
  <c r="I43" i="34" s="1"/>
  <c r="AH31" i="34"/>
  <c r="I31" i="34" s="1"/>
  <c r="AH19" i="34"/>
  <c r="I19" i="34" s="1"/>
  <c r="AH7" i="34"/>
  <c r="I7" i="34" s="1"/>
  <c r="AJ36" i="34"/>
  <c r="K36" i="34" s="1"/>
  <c r="AJ24" i="34"/>
  <c r="K24" i="34" s="1"/>
  <c r="AJ12" i="34"/>
  <c r="K12" i="34" s="1"/>
  <c r="AH23" i="34"/>
  <c r="I23" i="34" s="1"/>
  <c r="AL36" i="34"/>
  <c r="M36" i="34" s="1"/>
  <c r="AL18" i="34"/>
  <c r="M18" i="34" s="1"/>
  <c r="AH11" i="34"/>
  <c r="I11" i="34" s="1"/>
  <c r="AL35" i="34"/>
  <c r="M35" i="34" s="1"/>
  <c r="AL15" i="34"/>
  <c r="M15" i="34" s="1"/>
  <c r="AN32" i="34"/>
  <c r="O32" i="34" s="1"/>
  <c r="AN41" i="34"/>
  <c r="O41" i="34" s="1"/>
  <c r="AN29" i="34"/>
  <c r="O29" i="34" s="1"/>
  <c r="AN17" i="34"/>
  <c r="O17" i="34" s="1"/>
  <c r="AN5" i="34"/>
  <c r="O5" i="34" s="1"/>
  <c r="AN40" i="34"/>
  <c r="O40" i="34" s="1"/>
  <c r="AN28" i="34"/>
  <c r="O28" i="34" s="1"/>
  <c r="AN16" i="34"/>
  <c r="AN4" i="34"/>
  <c r="O4" i="34" s="1"/>
  <c r="AJ26" i="34"/>
  <c r="K26" i="34" s="1"/>
  <c r="AL33" i="34"/>
  <c r="M33" i="34" s="1"/>
  <c r="AL21" i="34"/>
  <c r="M21" i="34" s="1"/>
  <c r="AL9" i="34"/>
  <c r="M9" i="34" s="1"/>
  <c r="AN38" i="34"/>
  <c r="O38" i="34" s="1"/>
  <c r="AN26" i="34"/>
  <c r="O26" i="34" s="1"/>
  <c r="AN14" i="34"/>
  <c r="O14" i="34" s="1"/>
  <c r="AH33" i="34"/>
  <c r="I33" i="34" s="1"/>
  <c r="AH9" i="34"/>
  <c r="I9" i="34" s="1"/>
  <c r="AJ14" i="34"/>
  <c r="K14" i="34" s="1"/>
  <c r="AL3" i="34"/>
  <c r="M3" i="34" s="1"/>
  <c r="AL32" i="34"/>
  <c r="M32" i="34" s="1"/>
  <c r="AL20" i="34"/>
  <c r="M20" i="34" s="1"/>
  <c r="AL8" i="34"/>
  <c r="M8" i="34" s="1"/>
  <c r="AN37" i="34"/>
  <c r="O37" i="34" s="1"/>
  <c r="AN25" i="34"/>
  <c r="O25" i="34" s="1"/>
  <c r="AN13" i="34"/>
  <c r="O13" i="34" s="1"/>
  <c r="AN36" i="34"/>
  <c r="O36" i="34" s="1"/>
  <c r="AN24" i="34"/>
  <c r="AN12" i="34"/>
  <c r="AN35" i="34"/>
  <c r="O35" i="34" s="1"/>
  <c r="AN23" i="34"/>
  <c r="O23" i="34" s="1"/>
  <c r="AN11" i="34"/>
  <c r="O11" i="34" s="1"/>
  <c r="AH42" i="34"/>
  <c r="I42" i="34" s="1"/>
  <c r="AH30" i="34"/>
  <c r="I30" i="34" s="1"/>
  <c r="AH18" i="34"/>
  <c r="I18" i="34" s="1"/>
  <c r="AH6" i="34"/>
  <c r="I6" i="34" s="1"/>
  <c r="AJ35" i="34"/>
  <c r="K35" i="34" s="1"/>
  <c r="AJ23" i="34"/>
  <c r="K23" i="34" s="1"/>
  <c r="AJ11" i="34"/>
  <c r="K11" i="34" s="1"/>
  <c r="AH22" i="34"/>
  <c r="I22" i="34" s="1"/>
  <c r="AL41" i="34"/>
  <c r="M41" i="34" s="1"/>
  <c r="AL29" i="34"/>
  <c r="M29" i="34" s="1"/>
  <c r="AL17" i="34"/>
  <c r="M17" i="34" s="1"/>
  <c r="AL5" i="34"/>
  <c r="M5" i="34" s="1"/>
  <c r="AN34" i="34"/>
  <c r="O34" i="34" s="1"/>
  <c r="AN22" i="34"/>
  <c r="O22" i="34" s="1"/>
  <c r="AN10" i="34"/>
  <c r="O10" i="34" s="1"/>
  <c r="AH29" i="34"/>
  <c r="I29" i="34" s="1"/>
  <c r="AH17" i="34"/>
  <c r="I17" i="34" s="1"/>
  <c r="AH5" i="34"/>
  <c r="I5" i="34" s="1"/>
  <c r="AJ34" i="34"/>
  <c r="K34" i="34" s="1"/>
  <c r="AJ22" i="34"/>
  <c r="K22" i="34" s="1"/>
  <c r="AJ10" i="34"/>
  <c r="K10" i="34" s="1"/>
  <c r="AH21" i="34"/>
  <c r="I21" i="34" s="1"/>
  <c r="AL40" i="34"/>
  <c r="M40" i="34" s="1"/>
  <c r="AL28" i="34"/>
  <c r="M28" i="34" s="1"/>
  <c r="AL16" i="34"/>
  <c r="M16" i="34" s="1"/>
  <c r="AL4" i="34"/>
  <c r="M4" i="34" s="1"/>
  <c r="AN33" i="34"/>
  <c r="O33" i="34" s="1"/>
  <c r="AN21" i="34"/>
  <c r="O21" i="34" s="1"/>
  <c r="AN9" i="34"/>
  <c r="O9" i="34" s="1"/>
  <c r="AD43" i="34"/>
  <c r="E43" i="34" s="1"/>
  <c r="AD31" i="34"/>
  <c r="E31" i="34" s="1"/>
  <c r="AD19" i="34"/>
  <c r="E19" i="34" s="1"/>
  <c r="AD7" i="34"/>
  <c r="E7" i="34" s="1"/>
  <c r="M3" i="33"/>
  <c r="A3" i="33" s="1"/>
  <c r="Z43" i="34"/>
  <c r="A43" i="34" s="1"/>
  <c r="Z31" i="34"/>
  <c r="A31" i="34" s="1"/>
  <c r="Z19" i="34"/>
  <c r="A19" i="34" s="1"/>
  <c r="AD41" i="34"/>
  <c r="E41" i="34" s="1"/>
  <c r="AD29" i="34"/>
  <c r="E29" i="34" s="1"/>
  <c r="AD17" i="34"/>
  <c r="E17" i="34" s="1"/>
  <c r="AD5" i="34"/>
  <c r="E5" i="34" s="1"/>
  <c r="AD30" i="34"/>
  <c r="E30" i="34" s="1"/>
  <c r="Z42" i="34"/>
  <c r="A42" i="34" s="1"/>
  <c r="Z30" i="34"/>
  <c r="A30" i="34" s="1"/>
  <c r="Z6" i="34"/>
  <c r="A6" i="34" s="1"/>
  <c r="AD40" i="34"/>
  <c r="E40" i="34" s="1"/>
  <c r="AD28" i="34"/>
  <c r="E28" i="34" s="1"/>
  <c r="AD16" i="34"/>
  <c r="E16" i="34" s="1"/>
  <c r="AD4" i="34"/>
  <c r="E4" i="34" s="1"/>
  <c r="AD42" i="34"/>
  <c r="E42" i="34" s="1"/>
  <c r="AD39" i="34"/>
  <c r="E39" i="34" s="1"/>
  <c r="AD27" i="34"/>
  <c r="E27" i="34" s="1"/>
  <c r="AF15" i="34"/>
  <c r="G15" i="34" s="1"/>
  <c r="Z40" i="34"/>
  <c r="A40" i="34" s="1"/>
  <c r="Z28" i="34"/>
  <c r="A28" i="34" s="1"/>
  <c r="Z4" i="34"/>
  <c r="A4" i="34" s="1"/>
  <c r="AD38" i="34"/>
  <c r="E38" i="34" s="1"/>
  <c r="AF26" i="34"/>
  <c r="G26" i="34" s="1"/>
  <c r="AF14" i="34"/>
  <c r="G14" i="34" s="1"/>
  <c r="AD26" i="34"/>
  <c r="E26" i="34" s="1"/>
  <c r="Z32" i="34"/>
  <c r="A32" i="34" s="1"/>
  <c r="Z39" i="34"/>
  <c r="A39" i="34" s="1"/>
  <c r="Z27" i="34"/>
  <c r="A27" i="34" s="1"/>
  <c r="AD37" i="34"/>
  <c r="E37" i="34" s="1"/>
  <c r="AF25" i="34"/>
  <c r="G25" i="34" s="1"/>
  <c r="AD13" i="34"/>
  <c r="E13" i="34" s="1"/>
  <c r="AD25" i="34"/>
  <c r="E25" i="34" s="1"/>
  <c r="Z38" i="34"/>
  <c r="A38" i="34" s="1"/>
  <c r="Z26" i="34"/>
  <c r="A26" i="34" s="1"/>
  <c r="Z14" i="34"/>
  <c r="A14" i="34" s="1"/>
  <c r="AD36" i="34"/>
  <c r="E36" i="34" s="1"/>
  <c r="AD24" i="34"/>
  <c r="E24" i="34" s="1"/>
  <c r="AD12" i="34"/>
  <c r="E12" i="34" s="1"/>
  <c r="AD23" i="34"/>
  <c r="E23" i="34" s="1"/>
  <c r="S14" i="33"/>
  <c r="E14" i="33" s="1"/>
  <c r="Z37" i="34"/>
  <c r="A37" i="34" s="1"/>
  <c r="Z25" i="34"/>
  <c r="A25" i="34" s="1"/>
  <c r="AD35" i="34"/>
  <c r="E35" i="34" s="1"/>
  <c r="AF23" i="34"/>
  <c r="G23" i="34" s="1"/>
  <c r="AF11" i="34"/>
  <c r="G11" i="34" s="1"/>
  <c r="AD11" i="34"/>
  <c r="E11" i="34" s="1"/>
  <c r="S13" i="33"/>
  <c r="E13" i="33" s="1"/>
  <c r="Z24" i="34"/>
  <c r="A24" i="34" s="1"/>
  <c r="AD34" i="34"/>
  <c r="E34" i="34" s="1"/>
  <c r="AD22" i="34"/>
  <c r="E22" i="34" s="1"/>
  <c r="AD10" i="34"/>
  <c r="E10" i="34" s="1"/>
  <c r="AF37" i="34"/>
  <c r="G37" i="34" s="1"/>
  <c r="S12" i="33"/>
  <c r="E12" i="33" s="1"/>
  <c r="Z35" i="34"/>
  <c r="A35" i="34" s="1"/>
  <c r="AD33" i="34"/>
  <c r="E33" i="34" s="1"/>
  <c r="AD21" i="34"/>
  <c r="E21" i="34" s="1"/>
  <c r="AD9" i="34"/>
  <c r="E9" i="34" s="1"/>
  <c r="AD6" i="34"/>
  <c r="E6" i="34" s="1"/>
  <c r="Z34" i="34"/>
  <c r="A34" i="34" s="1"/>
  <c r="AD32" i="34"/>
  <c r="E32" i="34" s="1"/>
  <c r="AD20" i="34"/>
  <c r="E20" i="34" s="1"/>
  <c r="AD8" i="34"/>
  <c r="E8" i="34" s="1"/>
  <c r="AD15" i="34"/>
  <c r="E15" i="34" s="1"/>
  <c r="AF36" i="34"/>
  <c r="G36" i="34" s="1"/>
  <c r="AF24" i="34"/>
  <c r="G24" i="34" s="1"/>
  <c r="AF12" i="34"/>
  <c r="G12" i="34" s="1"/>
  <c r="AD14" i="34"/>
  <c r="E14" i="34" s="1"/>
  <c r="AF35" i="34"/>
  <c r="G35" i="34" s="1"/>
  <c r="AF39" i="34"/>
  <c r="G39" i="34" s="1"/>
  <c r="AF38" i="34"/>
  <c r="G38" i="34" s="1"/>
  <c r="AF27" i="34"/>
  <c r="G27" i="34" s="1"/>
  <c r="AF22" i="34"/>
  <c r="G22" i="34" s="1"/>
  <c r="AF33" i="34"/>
  <c r="G33" i="34" s="1"/>
  <c r="AF21" i="34"/>
  <c r="G21" i="34" s="1"/>
  <c r="AF9" i="34"/>
  <c r="G9" i="34" s="1"/>
  <c r="AF13" i="34"/>
  <c r="G13" i="34" s="1"/>
  <c r="AF10" i="34"/>
  <c r="G10" i="34" s="1"/>
  <c r="AF3" i="34"/>
  <c r="G3" i="34" s="1"/>
  <c r="AF32" i="34"/>
  <c r="G32" i="34" s="1"/>
  <c r="AF20" i="34"/>
  <c r="G20" i="34" s="1"/>
  <c r="AF8" i="34"/>
  <c r="G8" i="34" s="1"/>
  <c r="AF43" i="34"/>
  <c r="AF31" i="34"/>
  <c r="G31" i="34" s="1"/>
  <c r="AF19" i="34"/>
  <c r="G19" i="34" s="1"/>
  <c r="AF7" i="34"/>
  <c r="G7" i="34" s="1"/>
  <c r="AF34" i="34"/>
  <c r="G34" i="34" s="1"/>
  <c r="AF42" i="34"/>
  <c r="G42" i="34" s="1"/>
  <c r="AF30" i="34"/>
  <c r="G30" i="34" s="1"/>
  <c r="AF18" i="34"/>
  <c r="G18" i="34" s="1"/>
  <c r="AF6" i="34"/>
  <c r="G6" i="34" s="1"/>
  <c r="Z10" i="34"/>
  <c r="A10" i="34" s="1"/>
  <c r="AF41" i="34"/>
  <c r="G41" i="34" s="1"/>
  <c r="AF29" i="34"/>
  <c r="G29" i="34" s="1"/>
  <c r="AF17" i="34"/>
  <c r="G17" i="34" s="1"/>
  <c r="AF5" i="34"/>
  <c r="G5" i="34" s="1"/>
  <c r="AF40" i="34"/>
  <c r="G40" i="34" s="1"/>
  <c r="AF28" i="34"/>
  <c r="G28" i="34" s="1"/>
  <c r="AF16" i="34"/>
  <c r="G16" i="34" s="1"/>
  <c r="AF4" i="34"/>
  <c r="G4" i="34" s="1"/>
  <c r="Z36" i="34"/>
  <c r="A36" i="34" s="1"/>
  <c r="Z33" i="34"/>
  <c r="A33" i="34" s="1"/>
  <c r="Z29" i="34"/>
  <c r="A29" i="34" s="1"/>
  <c r="Z9" i="34"/>
  <c r="A9" i="34" s="1"/>
  <c r="Z5" i="34"/>
  <c r="A5" i="34" s="1"/>
  <c r="Z41" i="34"/>
  <c r="A41" i="34" s="1"/>
  <c r="P15" i="33"/>
  <c r="C15" i="33" s="1"/>
  <c r="P12" i="33"/>
  <c r="C12" i="33" s="1"/>
  <c r="M13" i="33"/>
  <c r="A13" i="33" s="1"/>
  <c r="P14" i="33"/>
  <c r="C14" i="33" s="1"/>
  <c r="P13" i="33"/>
  <c r="C13" i="33" s="1"/>
  <c r="M10" i="33"/>
  <c r="A10" i="33" s="1"/>
  <c r="P10" i="33"/>
  <c r="C10" i="33" s="1"/>
  <c r="M9" i="33"/>
  <c r="A9" i="33" s="1"/>
  <c r="P9" i="33"/>
  <c r="C9" i="33" s="1"/>
  <c r="P11" i="33"/>
  <c r="C11" i="33" s="1"/>
  <c r="M8" i="33"/>
  <c r="A8" i="33" s="1"/>
  <c r="P8" i="33"/>
  <c r="C8" i="33" s="1"/>
  <c r="M11" i="33"/>
  <c r="A11" i="33" s="1"/>
  <c r="M7" i="33"/>
  <c r="A7" i="33" s="1"/>
  <c r="P7" i="33"/>
  <c r="C7" i="33" s="1"/>
  <c r="M12" i="33"/>
  <c r="A12" i="33" s="1"/>
  <c r="M5" i="33"/>
  <c r="A5" i="33" s="1"/>
  <c r="M6" i="33"/>
  <c r="A6" i="33" s="1"/>
  <c r="M4" i="33"/>
  <c r="A4" i="33" s="1"/>
  <c r="P5" i="33"/>
  <c r="C5" i="33" s="1"/>
  <c r="M15" i="33"/>
  <c r="A15" i="33" s="1"/>
  <c r="P6" i="33"/>
  <c r="C6" i="33" s="1"/>
  <c r="M14" i="33"/>
  <c r="A14" i="33" s="1"/>
  <c r="BL298" i="23"/>
  <c r="BL395" i="23"/>
  <c r="BL396" i="23"/>
  <c r="D205" i="5"/>
  <c r="AL45" i="23"/>
  <c r="AL33" i="23"/>
  <c r="AL21" i="23"/>
  <c r="AL9" i="23"/>
  <c r="AL37" i="23"/>
  <c r="AL36" i="23"/>
  <c r="AL47" i="23"/>
  <c r="AL23" i="23"/>
  <c r="AL34" i="23"/>
  <c r="AL44" i="23"/>
  <c r="AL32" i="23"/>
  <c r="AL20" i="23"/>
  <c r="AL8" i="23"/>
  <c r="AL43" i="23"/>
  <c r="AL31" i="23"/>
  <c r="AL19" i="23"/>
  <c r="AL7" i="23"/>
  <c r="AL49" i="23"/>
  <c r="AL13" i="23"/>
  <c r="AL48" i="23"/>
  <c r="AL12" i="23"/>
  <c r="AL46" i="23"/>
  <c r="AL22" i="23"/>
  <c r="AL10" i="23"/>
  <c r="AL42" i="23"/>
  <c r="AL30" i="23"/>
  <c r="AL18" i="23"/>
  <c r="AL6" i="23"/>
  <c r="AL41" i="23"/>
  <c r="AL29" i="23"/>
  <c r="AL17" i="23"/>
  <c r="AL35" i="23"/>
  <c r="AL11" i="23"/>
  <c r="AL28" i="23"/>
  <c r="AL16" i="23"/>
  <c r="AL51" i="23"/>
  <c r="AL39" i="23"/>
  <c r="AL27" i="23"/>
  <c r="AL15" i="23"/>
  <c r="AL25" i="23"/>
  <c r="AL24" i="23"/>
  <c r="AL5" i="23"/>
  <c r="AL40" i="23"/>
  <c r="AL50" i="23"/>
  <c r="AL38" i="23"/>
  <c r="AL26" i="23"/>
  <c r="AL14" i="23"/>
  <c r="BL390" i="23"/>
  <c r="BL370" i="23"/>
  <c r="BL354" i="23"/>
  <c r="BA5" i="23"/>
  <c r="BL5" i="23" s="1"/>
  <c r="BL13" i="23"/>
  <c r="BL25" i="23"/>
  <c r="BL37" i="23"/>
  <c r="BL49" i="23"/>
  <c r="BL61" i="23"/>
  <c r="BL73" i="23"/>
  <c r="BL85" i="23"/>
  <c r="BL97" i="23"/>
  <c r="BL109" i="23"/>
  <c r="BL121" i="23"/>
  <c r="BL133" i="23"/>
  <c r="BL145" i="23"/>
  <c r="BL157" i="23"/>
  <c r="BL169" i="23"/>
  <c r="BL181" i="23"/>
  <c r="BL193" i="23"/>
  <c r="BL205" i="23"/>
  <c r="BL217" i="23"/>
  <c r="BL229" i="23"/>
  <c r="BL241" i="23"/>
  <c r="BL253" i="23"/>
  <c r="BL265" i="23"/>
  <c r="BL277" i="23"/>
  <c r="BL289" i="23"/>
  <c r="BL301" i="23"/>
  <c r="BL313" i="23"/>
  <c r="BL325" i="23"/>
  <c r="BL337" i="23"/>
  <c r="BL349" i="23"/>
  <c r="BL361" i="23"/>
  <c r="BL373" i="23"/>
  <c r="BL385" i="23"/>
  <c r="BL6" i="23"/>
  <c r="BL14" i="23"/>
  <c r="BL38" i="23"/>
  <c r="BL50" i="23"/>
  <c r="BL62" i="23"/>
  <c r="BL74" i="23"/>
  <c r="BL86" i="23"/>
  <c r="BL98" i="23"/>
  <c r="BL110" i="23"/>
  <c r="BL122" i="23"/>
  <c r="BL134" i="23"/>
  <c r="BL146" i="23"/>
  <c r="BL158" i="23"/>
  <c r="BL170" i="23"/>
  <c r="BL182" i="23"/>
  <c r="BL194" i="23"/>
  <c r="BL206" i="23"/>
  <c r="BL218" i="23"/>
  <c r="BL230" i="23"/>
  <c r="BL242" i="23"/>
  <c r="BL254" i="23"/>
  <c r="BL266" i="23"/>
  <c r="BL278" i="23"/>
  <c r="BL290" i="23"/>
  <c r="BL302" i="23"/>
  <c r="BL314" i="23"/>
  <c r="BL326" i="23"/>
  <c r="BL338" i="23"/>
  <c r="BL350" i="23"/>
  <c r="BL362" i="23"/>
  <c r="BL374" i="23"/>
  <c r="BL386" i="23"/>
  <c r="BL7" i="23"/>
  <c r="BL137" i="23"/>
  <c r="BL26" i="23"/>
  <c r="BL15" i="23"/>
  <c r="BL27" i="23"/>
  <c r="BL39" i="23"/>
  <c r="BL51" i="23"/>
  <c r="BL63" i="23"/>
  <c r="BL75" i="23"/>
  <c r="BL87" i="23"/>
  <c r="BL99" i="23"/>
  <c r="BL111" i="23"/>
  <c r="BL123" i="23"/>
  <c r="BL135" i="23"/>
  <c r="BL147" i="23"/>
  <c r="BL159" i="23"/>
  <c r="BL171" i="23"/>
  <c r="BL183" i="23"/>
  <c r="BL195" i="23"/>
  <c r="BL207" i="23"/>
  <c r="BL219" i="23"/>
  <c r="BL231" i="23"/>
  <c r="BL243" i="23"/>
  <c r="BL255" i="23"/>
  <c r="BL267" i="23"/>
  <c r="BL279" i="23"/>
  <c r="BL291" i="23"/>
  <c r="BL303" i="23"/>
  <c r="BL315" i="23"/>
  <c r="BL327" i="23"/>
  <c r="BL339" i="23"/>
  <c r="BL351" i="23"/>
  <c r="BL363" i="23"/>
  <c r="BL375" i="23"/>
  <c r="BL387" i="23"/>
  <c r="BL8" i="23"/>
  <c r="BL16" i="23"/>
  <c r="BL28" i="23"/>
  <c r="BL40" i="23"/>
  <c r="BL52" i="23"/>
  <c r="BL64" i="23"/>
  <c r="BL76" i="23"/>
  <c r="BL88" i="23"/>
  <c r="BL100" i="23"/>
  <c r="BL112" i="23"/>
  <c r="BL124" i="23"/>
  <c r="BL136" i="23"/>
  <c r="BL148" i="23"/>
  <c r="BL160" i="23"/>
  <c r="BL172" i="23"/>
  <c r="BL184" i="23"/>
  <c r="BL196" i="23"/>
  <c r="BL208" i="23"/>
  <c r="BL220" i="23"/>
  <c r="BL232" i="23"/>
  <c r="BL244" i="23"/>
  <c r="BL256" i="23"/>
  <c r="BL268" i="23"/>
  <c r="BL280" i="23"/>
  <c r="BL292" i="23"/>
  <c r="BL304" i="23"/>
  <c r="BL316" i="23"/>
  <c r="BL328" i="23"/>
  <c r="BL340" i="23"/>
  <c r="BL364" i="23"/>
  <c r="BL376" i="23"/>
  <c r="BL388" i="23"/>
  <c r="BL9" i="23"/>
  <c r="BL17" i="23"/>
  <c r="BL29" i="23"/>
  <c r="BL41" i="23"/>
  <c r="BL53" i="23"/>
  <c r="BL65" i="23"/>
  <c r="BL77" i="23"/>
  <c r="BL89" i="23"/>
  <c r="BL101" i="23"/>
  <c r="BL113" i="23"/>
  <c r="BL125" i="23"/>
  <c r="BL149" i="23"/>
  <c r="BL161" i="23"/>
  <c r="BL185" i="23"/>
  <c r="BL197" i="23"/>
  <c r="BL209" i="23"/>
  <c r="BL221" i="23"/>
  <c r="BL233" i="23"/>
  <c r="BL245" i="23"/>
  <c r="BL257" i="23"/>
  <c r="BL269" i="23"/>
  <c r="BL352" i="23"/>
  <c r="BL173" i="23"/>
  <c r="BL353" i="23"/>
  <c r="BL281" i="23"/>
  <c r="BL199" i="23"/>
  <c r="BL138" i="23"/>
  <c r="BL33" i="23"/>
  <c r="BL312" i="23"/>
  <c r="BL237" i="23"/>
  <c r="BL154" i="23"/>
  <c r="BL32" i="23"/>
  <c r="BL12" i="23"/>
  <c r="BL347" i="23"/>
  <c r="BL295" i="23"/>
  <c r="BL214" i="23"/>
  <c r="BL131" i="23"/>
  <c r="BL31" i="23"/>
  <c r="BL382" i="23"/>
  <c r="BL330" i="23"/>
  <c r="BL274" i="23"/>
  <c r="BL213" i="23"/>
  <c r="BL174" i="23"/>
  <c r="BL108" i="23"/>
  <c r="BL30" i="23"/>
  <c r="BL381" i="23"/>
  <c r="BL365" i="23"/>
  <c r="BL345" i="23"/>
  <c r="BL329" i="23"/>
  <c r="BL293" i="23"/>
  <c r="BL251" i="23"/>
  <c r="BL234" i="23"/>
  <c r="BL212" i="23"/>
  <c r="BL190" i="23"/>
  <c r="BL168" i="23"/>
  <c r="BL151" i="23"/>
  <c r="BL129" i="23"/>
  <c r="BL107" i="23"/>
  <c r="BL90" i="23"/>
  <c r="BL68" i="23"/>
  <c r="BL46" i="23"/>
  <c r="BL24" i="23"/>
  <c r="BL380" i="23"/>
  <c r="BL360" i="23"/>
  <c r="BL344" i="23"/>
  <c r="BL324" i="23"/>
  <c r="BL308" i="23"/>
  <c r="BL288" i="23"/>
  <c r="BL272" i="23"/>
  <c r="BL250" i="23"/>
  <c r="BL228" i="23"/>
  <c r="BL211" i="23"/>
  <c r="BL189" i="23"/>
  <c r="BL167" i="23"/>
  <c r="BL150" i="23"/>
  <c r="BL128" i="23"/>
  <c r="BL106" i="23"/>
  <c r="BL84" i="23"/>
  <c r="BL67" i="23"/>
  <c r="BL45" i="23"/>
  <c r="BL23" i="23"/>
  <c r="BL334" i="23"/>
  <c r="BL318" i="23"/>
  <c r="BL261" i="23"/>
  <c r="BL178" i="23"/>
  <c r="BL117" i="23"/>
  <c r="BL34" i="23"/>
  <c r="BL389" i="23"/>
  <c r="BL297" i="23"/>
  <c r="BL216" i="23"/>
  <c r="BL155" i="23"/>
  <c r="BL55" i="23"/>
  <c r="BL384" i="23"/>
  <c r="BL332" i="23"/>
  <c r="BL276" i="23"/>
  <c r="BL198" i="23"/>
  <c r="BL54" i="23"/>
  <c r="BL383" i="23"/>
  <c r="BL311" i="23"/>
  <c r="BL236" i="23"/>
  <c r="BL153" i="23"/>
  <c r="BL48" i="23"/>
  <c r="BL366" i="23"/>
  <c r="BL294" i="23"/>
  <c r="BL235" i="23"/>
  <c r="BL191" i="23"/>
  <c r="BL130" i="23"/>
  <c r="BL69" i="23"/>
  <c r="BL10" i="23"/>
  <c r="BL273" i="23"/>
  <c r="BL359" i="23"/>
  <c r="BL271" i="23"/>
  <c r="BL188" i="23"/>
  <c r="BL66" i="23"/>
  <c r="BL378" i="23"/>
  <c r="BL322" i="23"/>
  <c r="BL270" i="23"/>
  <c r="BL204" i="23"/>
  <c r="BL165" i="23"/>
  <c r="BL143" i="23"/>
  <c r="BL126" i="23"/>
  <c r="BL104" i="23"/>
  <c r="BL82" i="23"/>
  <c r="BL43" i="23"/>
  <c r="BL282" i="23"/>
  <c r="BL222" i="23"/>
  <c r="BL156" i="23"/>
  <c r="BL56" i="23"/>
  <c r="BL333" i="23"/>
  <c r="BL238" i="23"/>
  <c r="BL72" i="23"/>
  <c r="BL368" i="23"/>
  <c r="BL296" i="23"/>
  <c r="BL215" i="23"/>
  <c r="BL132" i="23"/>
  <c r="BL71" i="23"/>
  <c r="BL367" i="23"/>
  <c r="BL275" i="23"/>
  <c r="BL175" i="23"/>
  <c r="BL70" i="23"/>
  <c r="BL346" i="23"/>
  <c r="BL252" i="23"/>
  <c r="BL152" i="23"/>
  <c r="BL47" i="23"/>
  <c r="BL309" i="23"/>
  <c r="BL379" i="23"/>
  <c r="BL323" i="23"/>
  <c r="BL249" i="23"/>
  <c r="BL166" i="23"/>
  <c r="BL127" i="23"/>
  <c r="BL22" i="23"/>
  <c r="BL394" i="23"/>
  <c r="BL342" i="23"/>
  <c r="BL306" i="23"/>
  <c r="BL248" i="23"/>
  <c r="BL60" i="23"/>
  <c r="BL393" i="23"/>
  <c r="BL341" i="23"/>
  <c r="BL285" i="23"/>
  <c r="BL203" i="23"/>
  <c r="BL42" i="23"/>
  <c r="BL95" i="23"/>
  <c r="BL116" i="23"/>
  <c r="BL115" i="23"/>
  <c r="BL92" i="23"/>
  <c r="BL83" i="23"/>
  <c r="BL377" i="23"/>
  <c r="BL300" i="23"/>
  <c r="BL163" i="23"/>
  <c r="BL36" i="23"/>
  <c r="BL239" i="23"/>
  <c r="BL200" i="23"/>
  <c r="BL139" i="23"/>
  <c r="BL78" i="23"/>
  <c r="BL369" i="23"/>
  <c r="BL317" i="23"/>
  <c r="BL260" i="23"/>
  <c r="BL177" i="23"/>
  <c r="BL94" i="23"/>
  <c r="BL348" i="23"/>
  <c r="BL259" i="23"/>
  <c r="BL176" i="23"/>
  <c r="BL93" i="23"/>
  <c r="BL331" i="23"/>
  <c r="BL258" i="23"/>
  <c r="BL192" i="23"/>
  <c r="BL114" i="23"/>
  <c r="BL11" i="23"/>
  <c r="BL310" i="23"/>
  <c r="BL91" i="23"/>
  <c r="BL343" i="23"/>
  <c r="BL307" i="23"/>
  <c r="BL287" i="23"/>
  <c r="BL227" i="23"/>
  <c r="BL210" i="23"/>
  <c r="BL144" i="23"/>
  <c r="BL105" i="23"/>
  <c r="BL44" i="23"/>
  <c r="BL358" i="23"/>
  <c r="BL286" i="23"/>
  <c r="BL226" i="23"/>
  <c r="BL187" i="23"/>
  <c r="BL21" i="23"/>
  <c r="BL357" i="23"/>
  <c r="BL321" i="23"/>
  <c r="BL305" i="23"/>
  <c r="BL264" i="23"/>
  <c r="BL247" i="23"/>
  <c r="BL225" i="23"/>
  <c r="BL186" i="23"/>
  <c r="BL164" i="23"/>
  <c r="BL142" i="23"/>
  <c r="BL120" i="23"/>
  <c r="BL103" i="23"/>
  <c r="BL81" i="23"/>
  <c r="BL59" i="23"/>
  <c r="BL20" i="23"/>
  <c r="BL392" i="23"/>
  <c r="BL372" i="23"/>
  <c r="BL356" i="23"/>
  <c r="BL336" i="23"/>
  <c r="BL320" i="23"/>
  <c r="BL284" i="23"/>
  <c r="BL263" i="23"/>
  <c r="BL246" i="23"/>
  <c r="BL224" i="23"/>
  <c r="BL202" i="23"/>
  <c r="BL180" i="23"/>
  <c r="BL141" i="23"/>
  <c r="BL119" i="23"/>
  <c r="BL102" i="23"/>
  <c r="BL80" i="23"/>
  <c r="BL58" i="23"/>
  <c r="BL19" i="23"/>
  <c r="BL391" i="23"/>
  <c r="BL371" i="23"/>
  <c r="BL355" i="23"/>
  <c r="BL335" i="23"/>
  <c r="BL319" i="23"/>
  <c r="BL299" i="23"/>
  <c r="BL283" i="23"/>
  <c r="BL262" i="23"/>
  <c r="BL240" i="23"/>
  <c r="BL223" i="23"/>
  <c r="BL201" i="23"/>
  <c r="BL179" i="23"/>
  <c r="BL162" i="23"/>
  <c r="BL140" i="23"/>
  <c r="BL118" i="23"/>
  <c r="BL96" i="23"/>
  <c r="BL79" i="23"/>
  <c r="BL57" i="23"/>
  <c r="BL35" i="23"/>
  <c r="BL18" i="23"/>
  <c r="D204" i="5"/>
  <c r="M2033" i="1"/>
  <c r="M2032" i="1"/>
  <c r="M2037"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7" i="1"/>
  <c r="M1248" i="1"/>
  <c r="M1249" i="1"/>
  <c r="M1250" i="1"/>
  <c r="M1251" i="1"/>
  <c r="M1252" i="1"/>
  <c r="M1253" i="1"/>
  <c r="M1254" i="1"/>
  <c r="M1255" i="1"/>
  <c r="M1256" i="1"/>
  <c r="M1257" i="1"/>
  <c r="M1258" i="1"/>
  <c r="M1259" i="1"/>
  <c r="M1260" i="1"/>
  <c r="M1261" i="1"/>
  <c r="M1262" i="1"/>
  <c r="M1263" i="1"/>
  <c r="M1264" i="1"/>
  <c r="M1265" i="1"/>
  <c r="M1266" i="1"/>
  <c r="M1267" i="1"/>
  <c r="M1268" i="1"/>
  <c r="M1270" i="1"/>
  <c r="M1271" i="1"/>
  <c r="M1272" i="1"/>
  <c r="M1273" i="1"/>
  <c r="M1274" i="1"/>
  <c r="M1275" i="1"/>
  <c r="M1276" i="1"/>
  <c r="M1277" i="1"/>
  <c r="M1278" i="1"/>
  <c r="M1279" i="1"/>
  <c r="M1280" i="1"/>
  <c r="M1281" i="1"/>
  <c r="M1282" i="1"/>
  <c r="M1283" i="1"/>
  <c r="M1284" i="1"/>
  <c r="M1286" i="1"/>
  <c r="M1287" i="1"/>
  <c r="M1288" i="1"/>
  <c r="M1289" i="1"/>
  <c r="M1290" i="1"/>
  <c r="M1291" i="1"/>
  <c r="M1292" i="1"/>
  <c r="M1297" i="1"/>
  <c r="M1298" i="1"/>
  <c r="M1299" i="1"/>
  <c r="M1300" i="1"/>
  <c r="M1301" i="1"/>
  <c r="M1302" i="1"/>
  <c r="M1303" i="1"/>
  <c r="M1304" i="1"/>
  <c r="M1306" i="1"/>
  <c r="M1307" i="1"/>
  <c r="M1308" i="1"/>
  <c r="M1310" i="1"/>
  <c r="M1311" i="1"/>
  <c r="M1312" i="1"/>
  <c r="M1314" i="1"/>
  <c r="M1315" i="1"/>
  <c r="M1316" i="1"/>
  <c r="M1317" i="1"/>
  <c r="M1318" i="1"/>
  <c r="M1319"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61" i="1"/>
  <c r="M1362" i="1"/>
  <c r="M1363" i="1"/>
  <c r="M1364" i="1"/>
  <c r="M1365" i="1"/>
  <c r="M1366" i="1"/>
  <c r="M1367" i="1"/>
  <c r="M1368" i="1"/>
  <c r="M1369" i="1"/>
  <c r="M1370" i="1"/>
  <c r="M1371" i="1"/>
  <c r="M1372" i="1"/>
  <c r="M1374" i="1"/>
  <c r="M1375" i="1"/>
  <c r="M1378" i="1"/>
  <c r="M1379" i="1"/>
  <c r="M1380" i="1"/>
  <c r="M1381" i="1"/>
  <c r="M1383" i="1"/>
  <c r="M1384" i="1"/>
  <c r="M1385" i="1"/>
  <c r="M1386" i="1"/>
  <c r="M1387" i="1"/>
  <c r="M1388" i="1"/>
  <c r="M1392" i="1"/>
  <c r="M1393" i="1"/>
  <c r="M1394" i="1"/>
  <c r="M1395" i="1"/>
  <c r="M1396" i="1"/>
  <c r="M1397" i="1"/>
  <c r="M1399" i="1"/>
  <c r="M1400" i="1"/>
  <c r="M1401" i="1"/>
  <c r="M1402" i="1"/>
  <c r="M1405" i="1"/>
  <c r="M1406" i="1"/>
  <c r="M1407" i="1"/>
  <c r="M1408" i="1"/>
  <c r="M1409" i="1"/>
  <c r="M1410" i="1"/>
  <c r="M1411" i="1"/>
  <c r="M1414" i="1"/>
  <c r="M1415" i="1"/>
  <c r="M1416" i="1"/>
  <c r="M1417" i="1"/>
  <c r="M1418" i="1"/>
  <c r="M1420" i="1"/>
  <c r="M1421" i="1"/>
  <c r="M1422" i="1"/>
  <c r="M1423" i="1"/>
  <c r="M1424" i="1"/>
  <c r="M1427" i="1"/>
  <c r="M1428" i="1"/>
  <c r="M1431" i="1"/>
  <c r="M1432" i="1"/>
  <c r="M1433" i="1"/>
  <c r="M1434" i="1"/>
  <c r="M1435" i="1"/>
  <c r="M1436" i="1"/>
  <c r="M1438" i="1"/>
  <c r="M1439" i="1"/>
  <c r="M1440" i="1"/>
  <c r="M1441" i="1"/>
  <c r="M1442" i="1"/>
  <c r="M1443" i="1"/>
  <c r="M1444" i="1"/>
  <c r="M1445" i="1"/>
  <c r="M1446" i="1"/>
  <c r="M1447" i="1"/>
  <c r="M1449" i="1"/>
  <c r="M1450" i="1"/>
  <c r="M1451" i="1"/>
  <c r="M1452" i="1"/>
  <c r="M1453" i="1"/>
  <c r="M1454" i="1"/>
  <c r="M1455" i="1"/>
  <c r="M1457" i="1"/>
  <c r="M1458" i="1"/>
  <c r="M1459" i="1"/>
  <c r="M1460" i="1"/>
  <c r="M1461" i="1"/>
  <c r="M1462" i="1"/>
  <c r="M1464" i="1"/>
  <c r="M1465" i="1"/>
  <c r="M1466" i="1"/>
  <c r="M1470" i="1"/>
  <c r="M1471" i="1"/>
  <c r="M1473" i="1"/>
  <c r="M1474" i="1"/>
  <c r="M1477" i="1"/>
  <c r="M1478" i="1"/>
  <c r="M1481" i="1"/>
  <c r="M1482" i="1"/>
  <c r="M1485" i="1"/>
  <c r="M1486" i="1"/>
  <c r="M1487" i="1"/>
  <c r="M1488" i="1"/>
  <c r="M1489" i="1"/>
  <c r="M1491" i="1"/>
  <c r="M1492" i="1"/>
  <c r="M1494" i="1"/>
  <c r="M1495" i="1"/>
  <c r="M1497" i="1"/>
  <c r="M1498" i="1"/>
  <c r="M1499" i="1"/>
  <c r="M1500" i="1"/>
  <c r="M1502" i="1"/>
  <c r="M1503" i="1"/>
  <c r="M1506" i="1"/>
  <c r="M1507" i="1"/>
  <c r="M1508" i="1"/>
  <c r="M1509" i="1"/>
  <c r="M1512" i="1"/>
  <c r="M1513" i="1"/>
  <c r="M1514" i="1"/>
  <c r="M1515" i="1"/>
  <c r="M1516" i="1"/>
  <c r="M1517" i="1"/>
  <c r="M1519" i="1"/>
  <c r="M1520" i="1"/>
  <c r="M1521" i="1"/>
  <c r="M1522" i="1"/>
  <c r="M1525" i="1"/>
  <c r="M1526" i="1"/>
  <c r="M1527" i="1"/>
  <c r="M1528" i="1"/>
  <c r="M1530" i="1"/>
  <c r="M1531" i="1"/>
  <c r="M1532" i="1"/>
  <c r="M1533" i="1"/>
  <c r="M1536" i="1"/>
  <c r="M1537" i="1"/>
  <c r="M1538" i="1"/>
  <c r="M1541" i="1"/>
  <c r="M1542" i="1"/>
  <c r="M1544" i="1"/>
  <c r="M1545" i="1"/>
  <c r="M1546" i="1"/>
  <c r="M1548" i="1"/>
  <c r="M1549" i="1"/>
  <c r="M1552" i="1"/>
  <c r="M1555" i="1"/>
  <c r="M1556" i="1"/>
  <c r="M1561" i="1"/>
  <c r="M1562" i="1"/>
  <c r="M1563" i="1"/>
  <c r="M1564" i="1"/>
  <c r="M1566" i="1"/>
  <c r="M1567" i="1"/>
  <c r="M1570" i="1"/>
  <c r="M1576"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70" i="1"/>
  <c r="M1671" i="1"/>
  <c r="M1672" i="1"/>
  <c r="M1673" i="1"/>
  <c r="M1674" i="1"/>
  <c r="M1675" i="1"/>
  <c r="M1676" i="1"/>
  <c r="M1677" i="1"/>
  <c r="M1678" i="1"/>
  <c r="M1679" i="1"/>
  <c r="M1680" i="1"/>
  <c r="M1681" i="1"/>
  <c r="M1682" i="1"/>
  <c r="M1684" i="1"/>
  <c r="M1685" i="1"/>
  <c r="M1686" i="1"/>
  <c r="M1687" i="1"/>
  <c r="M1688" i="1"/>
  <c r="M1689" i="1"/>
  <c r="M1690" i="1"/>
  <c r="M1691" i="1"/>
  <c r="M1692" i="1"/>
  <c r="M1693" i="1"/>
  <c r="M1694" i="1"/>
  <c r="M1695" i="1"/>
  <c r="M1696" i="1"/>
  <c r="M1698" i="1"/>
  <c r="M1699" i="1"/>
  <c r="M1700" i="1"/>
  <c r="M1701" i="1"/>
  <c r="M1702" i="1"/>
  <c r="M1703" i="1"/>
  <c r="M1707" i="1"/>
  <c r="M1708" i="1"/>
  <c r="M1709" i="1"/>
  <c r="M1710" i="1"/>
  <c r="M1711" i="1"/>
  <c r="M1712" i="1"/>
  <c r="M1713" i="1"/>
  <c r="M1714" i="1"/>
  <c r="M1715" i="1"/>
  <c r="M1716" i="1"/>
  <c r="M1717" i="1"/>
  <c r="M1719" i="1"/>
  <c r="M1720" i="1"/>
  <c r="M1721"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2" i="1"/>
  <c r="M1763" i="1"/>
  <c r="M1766" i="1"/>
  <c r="M1767" i="1"/>
  <c r="M1765"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768" i="1"/>
  <c r="M1805" i="1"/>
  <c r="M1806" i="1"/>
  <c r="M1807" i="1"/>
  <c r="M1811" i="1"/>
  <c r="M1812" i="1"/>
  <c r="M1813" i="1"/>
  <c r="M1814" i="1"/>
  <c r="M1815" i="1"/>
  <c r="M1816" i="1"/>
  <c r="M1817" i="1"/>
  <c r="M1818" i="1"/>
  <c r="M1810" i="1"/>
  <c r="M1819" i="1"/>
  <c r="M1820" i="1"/>
  <c r="M1821" i="1"/>
  <c r="M1822" i="1"/>
  <c r="M1823" i="1"/>
  <c r="M1824" i="1"/>
  <c r="M1825" i="1"/>
  <c r="M1826" i="1"/>
  <c r="M1827" i="1"/>
  <c r="M1828" i="1"/>
  <c r="M1829" i="1"/>
  <c r="M1830" i="1"/>
  <c r="M1831" i="1"/>
  <c r="M1832" i="1"/>
  <c r="M1833" i="1"/>
  <c r="M1835" i="1"/>
  <c r="M1836" i="1"/>
  <c r="M1838" i="1"/>
  <c r="M1841" i="1"/>
  <c r="M1839" i="1"/>
  <c r="M1840" i="1"/>
  <c r="M1842" i="1"/>
  <c r="M1843" i="1"/>
  <c r="M1847" i="1"/>
  <c r="M1848" i="1"/>
  <c r="M1849" i="1"/>
  <c r="M1850" i="1"/>
  <c r="M1851" i="1"/>
  <c r="M1852" i="1"/>
  <c r="M1853" i="1"/>
  <c r="M1854" i="1"/>
  <c r="M1856" i="1"/>
  <c r="M1857" i="1"/>
  <c r="M1858" i="1"/>
  <c r="M1859" i="1"/>
  <c r="M1860" i="1"/>
  <c r="M1862" i="1"/>
  <c r="M1863" i="1"/>
  <c r="M1864" i="1"/>
  <c r="M1865" i="1"/>
  <c r="M1866" i="1"/>
  <c r="M1867" i="1"/>
  <c r="M1868" i="1"/>
  <c r="M1870" i="1"/>
  <c r="M1871" i="1"/>
  <c r="M1875" i="1"/>
  <c r="M1877" i="1"/>
  <c r="M1878" i="1"/>
  <c r="M1879" i="1"/>
  <c r="M1880" i="1"/>
  <c r="M1881" i="1"/>
  <c r="M1882" i="1"/>
  <c r="M1883" i="1"/>
  <c r="M1884" i="1"/>
  <c r="M1885" i="1"/>
  <c r="M1886" i="1"/>
  <c r="M1887" i="1"/>
  <c r="M1888" i="1"/>
  <c r="M1889" i="1"/>
  <c r="M1890" i="1"/>
  <c r="M1891" i="1"/>
  <c r="M1892" i="1"/>
  <c r="M1895" i="1"/>
  <c r="M1896" i="1"/>
  <c r="M1897" i="1"/>
  <c r="M1898" i="1"/>
  <c r="M1899" i="1"/>
  <c r="M1900"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3" i="1"/>
  <c r="M1944" i="1"/>
  <c r="M1945" i="1"/>
  <c r="M1946" i="1"/>
  <c r="M1947" i="1"/>
  <c r="M1948" i="1"/>
  <c r="M1949" i="1"/>
  <c r="M1950" i="1"/>
  <c r="M1953" i="1"/>
  <c r="M1954" i="1"/>
  <c r="M1955" i="1"/>
  <c r="M1956" i="1"/>
  <c r="M1957" i="1"/>
  <c r="M1958" i="1"/>
  <c r="M1959" i="1"/>
  <c r="M1960" i="1"/>
  <c r="M1961" i="1"/>
  <c r="M1962" i="1"/>
  <c r="M1963" i="1"/>
  <c r="M1964" i="1"/>
  <c r="M1965" i="1"/>
  <c r="M1966" i="1"/>
  <c r="M1967" i="1"/>
  <c r="M1974" i="1"/>
  <c r="M1968" i="1"/>
  <c r="M1969" i="1"/>
  <c r="M1970" i="1"/>
  <c r="M1971" i="1"/>
  <c r="M1972" i="1"/>
  <c r="M1973" i="1"/>
  <c r="M1975" i="1"/>
  <c r="M1978" i="1"/>
  <c r="M1979" i="1"/>
  <c r="M1980" i="1"/>
  <c r="M1981" i="1"/>
  <c r="M1982" i="1"/>
  <c r="M1983" i="1"/>
  <c r="M1984" i="1"/>
  <c r="M1985" i="1"/>
  <c r="M1986" i="1"/>
  <c r="M1988" i="1"/>
  <c r="M1989" i="1"/>
  <c r="M1990" i="1"/>
  <c r="M1991" i="1"/>
  <c r="M1992" i="1"/>
  <c r="M1993" i="1"/>
  <c r="M1994" i="1"/>
  <c r="M1995" i="1"/>
  <c r="M1996" i="1"/>
  <c r="M1997" i="1"/>
  <c r="M1998" i="1"/>
  <c r="M1999" i="1"/>
  <c r="M2000" i="1"/>
  <c r="M2001" i="1"/>
  <c r="M2004" i="1"/>
  <c r="M2005" i="1"/>
  <c r="M2006" i="1"/>
  <c r="M2010" i="1"/>
  <c r="M2011" i="1"/>
  <c r="M2012" i="1"/>
  <c r="M2013" i="1"/>
  <c r="M2014" i="1"/>
  <c r="M2021" i="1"/>
  <c r="M2022" i="1"/>
  <c r="M2023" i="1"/>
  <c r="M2024"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3" i="1"/>
  <c r="M1134" i="1"/>
  <c r="M1135" i="1"/>
  <c r="M1136" i="1"/>
  <c r="M109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3" i="1"/>
  <c r="M4" i="1"/>
  <c r="M5" i="1"/>
  <c r="M6" i="1"/>
  <c r="M7" i="1"/>
  <c r="M8" i="1"/>
  <c r="M9" i="1"/>
  <c r="M10" i="1"/>
  <c r="M11" i="1"/>
  <c r="M12" i="1"/>
  <c r="M13" i="1"/>
  <c r="M14" i="1"/>
  <c r="M15" i="1"/>
  <c r="M16" i="1"/>
  <c r="M17" i="1"/>
  <c r="M18" i="1"/>
  <c r="M19" i="1"/>
  <c r="M20" i="1"/>
  <c r="M21" i="1"/>
  <c r="M22" i="1"/>
  <c r="M23" i="1"/>
  <c r="M24"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170" i="1"/>
  <c r="M2326" i="1"/>
  <c r="M2327" i="1"/>
  <c r="M2328" i="1"/>
  <c r="M2329" i="1"/>
  <c r="M2330" i="1"/>
  <c r="M2331" i="1"/>
  <c r="M2332" i="1"/>
  <c r="M2333" i="1"/>
  <c r="M2325" i="1"/>
  <c r="M2324" i="1"/>
  <c r="K2293" i="1"/>
  <c r="A172" i="2"/>
  <c r="C172" i="2"/>
  <c r="D172" i="2"/>
  <c r="E172" i="2"/>
  <c r="F172" i="2"/>
  <c r="G172" i="2"/>
  <c r="B172" i="2"/>
  <c r="D62" i="2"/>
  <c r="D64" i="2"/>
  <c r="D63" i="2"/>
  <c r="R82" i="2"/>
  <c r="R83" i="2"/>
  <c r="R81" i="2"/>
  <c r="P84" i="2"/>
  <c r="Q84" i="2"/>
  <c r="C41" i="41" l="1"/>
  <c r="AI3" i="41" a="1"/>
  <c r="T3" i="33" a="1"/>
  <c r="D18" i="43"/>
  <c r="I24" i="37"/>
  <c r="C58" i="37" s="1"/>
  <c r="C55" i="37"/>
  <c r="G55" i="37"/>
  <c r="L54" i="37"/>
  <c r="A55" i="37"/>
  <c r="E55" i="37"/>
  <c r="G6" i="48"/>
  <c r="D4" i="48"/>
  <c r="G12" i="48"/>
  <c r="D10" i="48"/>
  <c r="G11" i="48"/>
  <c r="G7" i="48"/>
  <c r="G10" i="48"/>
  <c r="G8" i="48"/>
  <c r="G9" i="48"/>
  <c r="D3" i="46"/>
  <c r="A3" i="46"/>
  <c r="A10" i="46"/>
  <c r="D10" i="46"/>
  <c r="A4" i="46"/>
  <c r="D4" i="46"/>
  <c r="A8" i="46"/>
  <c r="D8" i="46"/>
  <c r="A5" i="46"/>
  <c r="D5" i="46"/>
  <c r="D11" i="46"/>
  <c r="A11" i="46"/>
  <c r="A6" i="46"/>
  <c r="D6" i="46"/>
  <c r="A9" i="46"/>
  <c r="D9" i="46"/>
  <c r="A7" i="46"/>
  <c r="D7" i="46"/>
  <c r="C35" i="49"/>
  <c r="Q4" i="33"/>
  <c r="B18" i="43" a="1"/>
  <c r="B18" i="43" s="1"/>
  <c r="D38" i="49" a="1"/>
  <c r="B38" i="49" a="1"/>
  <c r="C34" i="38"/>
  <c r="C15" i="38"/>
  <c r="A26" i="38"/>
  <c r="C4" i="38"/>
  <c r="C14" i="38"/>
  <c r="C27" i="38"/>
  <c r="C7" i="38"/>
  <c r="C13" i="38"/>
  <c r="X11" i="36" a="1"/>
  <c r="X11" i="36" s="1"/>
  <c r="A28" i="38"/>
  <c r="C21" i="38"/>
  <c r="A3" i="35"/>
  <c r="H3" i="35" s="1" a="1"/>
  <c r="H3" i="35" s="1"/>
  <c r="W3" i="34" a="1"/>
  <c r="A16" i="38"/>
  <c r="C15" i="39"/>
  <c r="K14" i="38"/>
  <c r="C47" i="34"/>
  <c r="C48" i="34"/>
  <c r="K3" i="38"/>
  <c r="C14" i="39"/>
  <c r="W3" i="39" a="1"/>
  <c r="W3" i="39" s="1"/>
  <c r="AC3" i="40" a="1"/>
  <c r="Y3" i="39" a="1"/>
  <c r="A37" i="38"/>
  <c r="C37" i="38"/>
  <c r="A12" i="38"/>
  <c r="C12" i="38"/>
  <c r="A35" i="38"/>
  <c r="C35" i="38"/>
  <c r="A32" i="38"/>
  <c r="C32" i="38"/>
  <c r="A25" i="38"/>
  <c r="C25" i="38"/>
  <c r="A36" i="38"/>
  <c r="C36" i="38"/>
  <c r="K8" i="38"/>
  <c r="K6" i="38"/>
  <c r="A38" i="38"/>
  <c r="C38" i="38"/>
  <c r="A5" i="38"/>
  <c r="C5" i="38"/>
  <c r="A18" i="38"/>
  <c r="C18" i="38"/>
  <c r="A31" i="38"/>
  <c r="C31" i="38"/>
  <c r="K13" i="38"/>
  <c r="C20" i="38"/>
  <c r="I172" i="2"/>
  <c r="A9" i="38"/>
  <c r="C9" i="38"/>
  <c r="A17" i="38"/>
  <c r="A22" i="38"/>
  <c r="C22" i="38"/>
  <c r="A23" i="38"/>
  <c r="C23" i="38"/>
  <c r="A11" i="38"/>
  <c r="C11" i="38"/>
  <c r="A10" i="38"/>
  <c r="C10" i="38"/>
  <c r="K7" i="38"/>
  <c r="A30" i="38"/>
  <c r="C30" i="38"/>
  <c r="A6" i="38"/>
  <c r="C6" i="38"/>
  <c r="A8" i="38"/>
  <c r="C8" i="38"/>
  <c r="A24" i="38"/>
  <c r="C24" i="38"/>
  <c r="C33" i="38"/>
  <c r="A29" i="38"/>
  <c r="C29" i="38"/>
  <c r="A19" i="38"/>
  <c r="C19" i="38"/>
  <c r="W3" i="42" a="1"/>
  <c r="AA3" i="40" a="1"/>
  <c r="AA3" i="40" s="1"/>
  <c r="C39" i="40"/>
  <c r="C21" i="42"/>
  <c r="C42" i="41"/>
  <c r="G8" i="36"/>
  <c r="C40" i="40"/>
  <c r="C22" i="42"/>
  <c r="H15" i="35" a="1"/>
  <c r="H15" i="35" s="1"/>
  <c r="G13" i="36"/>
  <c r="E13" i="36"/>
  <c r="G5" i="36"/>
  <c r="E5" i="36"/>
  <c r="X41" i="36" a="1"/>
  <c r="X41" i="36" s="1"/>
  <c r="G9" i="36"/>
  <c r="E9" i="36"/>
  <c r="E11" i="36"/>
  <c r="G11" i="36"/>
  <c r="G14" i="36"/>
  <c r="E14" i="36"/>
  <c r="E7" i="36"/>
  <c r="G7" i="36"/>
  <c r="G4" i="36"/>
  <c r="E4" i="36"/>
  <c r="G15" i="36"/>
  <c r="E15" i="36"/>
  <c r="E12" i="36"/>
  <c r="G12" i="36"/>
  <c r="G16" i="36"/>
  <c r="E16" i="36"/>
  <c r="X3" i="36" a="1"/>
  <c r="X3" i="36" s="1"/>
  <c r="G17" i="36"/>
  <c r="E17" i="36"/>
  <c r="E10" i="36"/>
  <c r="G10" i="36"/>
  <c r="E6" i="36"/>
  <c r="G6" i="36"/>
  <c r="H10" i="35" a="1"/>
  <c r="H10" i="35" s="1"/>
  <c r="C18" i="33"/>
  <c r="H3" i="33" a="1"/>
  <c r="H3" i="33" s="1"/>
  <c r="H16" i="33" a="1"/>
  <c r="H16" i="33" s="1"/>
  <c r="H22" i="33" a="1"/>
  <c r="H22" i="33" s="1"/>
  <c r="J3" i="33" a="1"/>
  <c r="C19" i="33"/>
  <c r="Q15" i="33"/>
  <c r="Q12" i="33"/>
  <c r="Q14" i="33"/>
  <c r="Q13" i="33"/>
  <c r="Q10" i="33"/>
  <c r="Q5" i="33"/>
  <c r="Q9" i="33"/>
  <c r="Q7" i="33"/>
  <c r="Q11" i="33"/>
  <c r="Q8" i="33"/>
  <c r="Q6" i="33"/>
  <c r="D65" i="2"/>
  <c r="R86" i="2"/>
  <c r="P86" i="2"/>
  <c r="N3" i="5"/>
  <c r="C42" i="38" l="1"/>
  <c r="E20" i="48" a="1"/>
  <c r="E20" i="48" s="1"/>
  <c r="B16" i="46" a="1"/>
  <c r="AC3" i="40"/>
  <c r="AC166" i="40" s="1"/>
  <c r="W3" i="42"/>
  <c r="W82" i="42" s="1"/>
  <c r="Y3" i="39"/>
  <c r="Y33" i="39" s="1"/>
  <c r="T3" i="33"/>
  <c r="T26" i="33" s="1"/>
  <c r="AI3" i="41"/>
  <c r="Q41" i="41" s="1"/>
  <c r="AB3" i="37" a="1"/>
  <c r="C57" i="37"/>
  <c r="I55" i="37"/>
  <c r="C20" i="48" a="1"/>
  <c r="C17" i="48"/>
  <c r="C16" i="48"/>
  <c r="D17" i="46"/>
  <c r="D16" i="46"/>
  <c r="B38" i="49"/>
  <c r="C143" i="49" s="1"/>
  <c r="D38" i="49"/>
  <c r="E54" i="49" s="1"/>
  <c r="C34" i="49"/>
  <c r="B71" i="43"/>
  <c r="Z3" i="36" a="1"/>
  <c r="X32" i="36" a="1"/>
  <c r="X32" i="36" s="1"/>
  <c r="I26" i="33"/>
  <c r="J3" i="33"/>
  <c r="K26" i="33" s="1"/>
  <c r="W3" i="34"/>
  <c r="C18" i="35"/>
  <c r="C17" i="35"/>
  <c r="I3" i="35" a="1"/>
  <c r="AH3" i="38" a="1"/>
  <c r="AE3" i="38" a="1"/>
  <c r="AE3" i="38" s="1"/>
  <c r="C43" i="38"/>
  <c r="C43" i="41"/>
  <c r="C23" i="42"/>
  <c r="C22" i="36"/>
  <c r="X22" i="36" a="1"/>
  <c r="X22" i="36" s="1"/>
  <c r="C21" i="36"/>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5" i="5"/>
  <c r="N366" i="5"/>
  <c r="N367" i="5"/>
  <c r="N368" i="5"/>
  <c r="N369" i="5"/>
  <c r="N370" i="5"/>
  <c r="N371" i="5"/>
  <c r="N373" i="5"/>
  <c r="N374" i="5"/>
  <c r="N375" i="5"/>
  <c r="N376" i="5"/>
  <c r="N377" i="5"/>
  <c r="N378" i="5"/>
  <c r="N380" i="5"/>
  <c r="N381" i="5"/>
  <c r="N382" i="5"/>
  <c r="N383" i="5"/>
  <c r="N385" i="5"/>
  <c r="N386" i="5"/>
  <c r="N387" i="5"/>
  <c r="N388" i="5"/>
  <c r="N389" i="5"/>
  <c r="N391" i="5"/>
  <c r="N392" i="5"/>
  <c r="N393" i="5"/>
  <c r="N394" i="5"/>
  <c r="N395" i="5"/>
  <c r="N396" i="5"/>
  <c r="N397" i="5"/>
  <c r="N398" i="5"/>
  <c r="N400" i="5"/>
  <c r="N401" i="5"/>
  <c r="N402" i="5"/>
  <c r="N403" i="5"/>
  <c r="N404" i="5"/>
  <c r="N406" i="5"/>
  <c r="N407" i="5"/>
  <c r="N408" i="5"/>
  <c r="N409" i="5"/>
  <c r="N410" i="5"/>
  <c r="N412" i="5"/>
  <c r="N413" i="5"/>
  <c r="N414" i="5"/>
  <c r="N415" i="5"/>
  <c r="N416" i="5"/>
  <c r="N417" i="5"/>
  <c r="N419" i="5"/>
  <c r="N420" i="5"/>
  <c r="N421" i="5"/>
  <c r="N423" i="5"/>
  <c r="N424" i="5"/>
  <c r="N425" i="5"/>
  <c r="N426" i="5"/>
  <c r="N427" i="5"/>
  <c r="N428" i="5"/>
  <c r="N429" i="5"/>
  <c r="N430" i="5"/>
  <c r="N431" i="5"/>
  <c r="N432" i="5"/>
  <c r="N433" i="5"/>
  <c r="N434" i="5"/>
  <c r="N435" i="5"/>
  <c r="N436" i="5"/>
  <c r="N437" i="5"/>
  <c r="N438" i="5"/>
  <c r="N439" i="5"/>
  <c r="N440" i="5"/>
  <c r="N441" i="5"/>
  <c r="N442" i="5"/>
  <c r="N443" i="5"/>
  <c r="N444" i="5"/>
  <c r="N445" i="5"/>
  <c r="N446" i="5"/>
  <c r="I3" i="35" l="1"/>
  <c r="I18" i="35" s="1"/>
  <c r="C20" i="48"/>
  <c r="C49" i="48" s="1"/>
  <c r="AH3" i="38"/>
  <c r="AH191" i="38" s="1"/>
  <c r="B16" i="46"/>
  <c r="C25" i="46" s="1"/>
  <c r="AB3" i="37"/>
  <c r="Z3" i="36"/>
  <c r="Z43" i="36" s="1"/>
  <c r="V38" i="34"/>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3" i="5"/>
  <c r="N2" i="18"/>
  <c r="A5" i="23" a="1"/>
  <c r="AB103" i="37" l="1"/>
  <c r="A5" i="23"/>
  <c r="L5" i="23" s="1"/>
  <c r="L6" i="23"/>
  <c r="L18" i="23"/>
  <c r="L19" i="23"/>
  <c r="L8" i="23"/>
  <c r="L20" i="23"/>
  <c r="L15" i="23"/>
  <c r="L27" i="23"/>
  <c r="L16" i="23"/>
  <c r="L17" i="23"/>
  <c r="L7" i="23"/>
  <c r="L28" i="23"/>
  <c r="L9" i="23"/>
  <c r="L21" i="23"/>
  <c r="L11" i="23"/>
  <c r="L12" i="23"/>
  <c r="L25" i="23"/>
  <c r="L14" i="23"/>
  <c r="L26" i="23"/>
  <c r="L10" i="23"/>
  <c r="L22" i="23"/>
  <c r="L23" i="23"/>
  <c r="L24" i="23"/>
  <c r="L13" i="23"/>
  <c r="H2320" i="1"/>
  <c r="H2319" i="1"/>
  <c r="AN4" i="23" s="1" a="1"/>
  <c r="AY51" i="23" s="1"/>
  <c r="H2318" i="1"/>
  <c r="AN4" i="23" l="1"/>
  <c r="AY9" i="23"/>
  <c r="AY21" i="23"/>
  <c r="AY33" i="23"/>
  <c r="AY45" i="23"/>
  <c r="AY30" i="23"/>
  <c r="AY31" i="23"/>
  <c r="AY10" i="23"/>
  <c r="AY22" i="23"/>
  <c r="AY34" i="23"/>
  <c r="AY46" i="23"/>
  <c r="AY11" i="23"/>
  <c r="AY23" i="23"/>
  <c r="AY35" i="23"/>
  <c r="AY47" i="23"/>
  <c r="AY41" i="23"/>
  <c r="AY18" i="23"/>
  <c r="AY12" i="23"/>
  <c r="AY24" i="23"/>
  <c r="AY36" i="23"/>
  <c r="AY48" i="23"/>
  <c r="AY5" i="23"/>
  <c r="AY13" i="23"/>
  <c r="AY25" i="23"/>
  <c r="AY37" i="23"/>
  <c r="AY49" i="23"/>
  <c r="AY7" i="23"/>
  <c r="AY43" i="23"/>
  <c r="AY20" i="23"/>
  <c r="AY14" i="23"/>
  <c r="AY26" i="23"/>
  <c r="AY38" i="23"/>
  <c r="AY50" i="23"/>
  <c r="AY15" i="23"/>
  <c r="AY27" i="23"/>
  <c r="AY39" i="23"/>
  <c r="AY17" i="23"/>
  <c r="AY29" i="23"/>
  <c r="AY6" i="23"/>
  <c r="AY42" i="23"/>
  <c r="AY19" i="23"/>
  <c r="AY8" i="23"/>
  <c r="AY32" i="23"/>
  <c r="AY44" i="23"/>
  <c r="AY16" i="23"/>
  <c r="AY28" i="23"/>
  <c r="AY40" i="23"/>
  <c r="A4" i="32"/>
  <c r="R198" i="8"/>
  <c r="R195" i="8"/>
  <c r="R193" i="8"/>
  <c r="R190" i="8"/>
  <c r="R186" i="8"/>
  <c r="R184" i="8"/>
  <c r="R183" i="8"/>
  <c r="R178" i="8"/>
  <c r="R174" i="8"/>
  <c r="R171" i="8"/>
  <c r="R170" i="8"/>
  <c r="R158" i="8"/>
  <c r="R151" i="8"/>
  <c r="R148" i="8"/>
  <c r="R137" i="8"/>
  <c r="R136" i="8"/>
  <c r="R134" i="8"/>
  <c r="R133" i="8"/>
  <c r="R129" i="8"/>
  <c r="R128" i="8"/>
  <c r="R127" i="8"/>
  <c r="R126" i="8"/>
  <c r="R117" i="8"/>
  <c r="R111" i="8"/>
  <c r="R102" i="8"/>
  <c r="R93" i="8"/>
  <c r="R79" i="8"/>
  <c r="R78" i="8"/>
  <c r="R64" i="8"/>
  <c r="R63" i="8"/>
  <c r="R57" i="8"/>
  <c r="P45" i="27"/>
  <c r="M45" i="27"/>
  <c r="J45" i="27"/>
  <c r="N42" i="27" s="1"/>
  <c r="G45" i="27"/>
  <c r="D45" i="27"/>
  <c r="A45" i="27"/>
  <c r="O46" i="27" s="1"/>
  <c r="N43" i="27"/>
  <c r="K43" i="27"/>
  <c r="H43" i="27"/>
  <c r="B43" i="27"/>
  <c r="K42" i="27"/>
  <c r="H42" i="27"/>
  <c r="B42" i="27"/>
  <c r="K41" i="27"/>
  <c r="H41" i="27"/>
  <c r="B41" i="27"/>
  <c r="K40" i="27"/>
  <c r="H40" i="27"/>
  <c r="E40" i="27"/>
  <c r="B40" i="27"/>
  <c r="K39" i="27"/>
  <c r="H39" i="27"/>
  <c r="B39" i="27"/>
  <c r="K38" i="27"/>
  <c r="H38" i="27"/>
  <c r="B38" i="27"/>
  <c r="N37" i="27"/>
  <c r="K37" i="27"/>
  <c r="H37" i="27"/>
  <c r="B37" i="27"/>
  <c r="N36" i="27"/>
  <c r="K36" i="27"/>
  <c r="H36" i="27"/>
  <c r="E36" i="27"/>
  <c r="B36" i="27"/>
  <c r="N35" i="27"/>
  <c r="K35" i="27"/>
  <c r="H35" i="27"/>
  <c r="B35" i="27"/>
  <c r="K34" i="27"/>
  <c r="H34" i="27"/>
  <c r="E34" i="27"/>
  <c r="B34" i="27"/>
  <c r="N33" i="27"/>
  <c r="K33" i="27"/>
  <c r="H33" i="27"/>
  <c r="B33" i="27"/>
  <c r="K32" i="27"/>
  <c r="H32" i="27"/>
  <c r="E32" i="27"/>
  <c r="B32" i="27"/>
  <c r="N31" i="27"/>
  <c r="K31" i="27"/>
  <c r="H31" i="27"/>
  <c r="B31" i="27"/>
  <c r="K30" i="27"/>
  <c r="H30" i="27"/>
  <c r="E30" i="27"/>
  <c r="B30" i="27"/>
  <c r="K29" i="27"/>
  <c r="H29" i="27"/>
  <c r="E29" i="27"/>
  <c r="B29" i="27"/>
  <c r="N28" i="27"/>
  <c r="K28" i="27"/>
  <c r="H28" i="27"/>
  <c r="E28" i="27"/>
  <c r="B28" i="27"/>
  <c r="K27" i="27"/>
  <c r="H27" i="27"/>
  <c r="B27" i="27"/>
  <c r="N26" i="27"/>
  <c r="K26" i="27"/>
  <c r="H26" i="27"/>
  <c r="E26" i="27"/>
  <c r="B26" i="27"/>
  <c r="N25" i="27"/>
  <c r="K25" i="27"/>
  <c r="H25" i="27"/>
  <c r="E25" i="27"/>
  <c r="B25" i="27"/>
  <c r="K24" i="27"/>
  <c r="H24" i="27"/>
  <c r="E24" i="27"/>
  <c r="B24" i="27"/>
  <c r="Q23" i="27"/>
  <c r="N23" i="27"/>
  <c r="K23" i="27"/>
  <c r="H23" i="27"/>
  <c r="E23" i="27"/>
  <c r="B23" i="27"/>
  <c r="Q22" i="27"/>
  <c r="K22" i="27"/>
  <c r="H22" i="27"/>
  <c r="E22" i="27"/>
  <c r="B22" i="27"/>
  <c r="N21" i="27"/>
  <c r="K21" i="27"/>
  <c r="H21" i="27"/>
  <c r="E21" i="27"/>
  <c r="B21" i="27"/>
  <c r="Q20" i="27"/>
  <c r="N20" i="27"/>
  <c r="K20" i="27"/>
  <c r="H20" i="27"/>
  <c r="E20" i="27"/>
  <c r="B20" i="27"/>
  <c r="Q19" i="27"/>
  <c r="N19" i="27"/>
  <c r="K19" i="27"/>
  <c r="H19" i="27"/>
  <c r="B19" i="27"/>
  <c r="Q18" i="27"/>
  <c r="N18" i="27"/>
  <c r="K18" i="27"/>
  <c r="H18" i="27"/>
  <c r="E18" i="27"/>
  <c r="B18" i="27"/>
  <c r="Q17" i="27"/>
  <c r="N17" i="27"/>
  <c r="K17" i="27"/>
  <c r="H17" i="27"/>
  <c r="E17" i="27"/>
  <c r="B17" i="27"/>
  <c r="Q16" i="27"/>
  <c r="N16" i="27"/>
  <c r="K16" i="27"/>
  <c r="H16" i="27"/>
  <c r="E16" i="27"/>
  <c r="B16" i="27"/>
  <c r="Q15" i="27"/>
  <c r="N15" i="27"/>
  <c r="K15" i="27"/>
  <c r="H15" i="27"/>
  <c r="E15" i="27"/>
  <c r="B15" i="27"/>
  <c r="Q14" i="27"/>
  <c r="N14" i="27"/>
  <c r="K14" i="27"/>
  <c r="H14" i="27"/>
  <c r="E14" i="27"/>
  <c r="B14" i="27"/>
  <c r="N13" i="27"/>
  <c r="K13" i="27"/>
  <c r="H13" i="27"/>
  <c r="E13" i="27"/>
  <c r="B13" i="27"/>
  <c r="Q12" i="27"/>
  <c r="N12" i="27"/>
  <c r="K12" i="27"/>
  <c r="H12" i="27"/>
  <c r="B12" i="27"/>
  <c r="Q11" i="27"/>
  <c r="N11" i="27"/>
  <c r="K11" i="27"/>
  <c r="H11" i="27"/>
  <c r="B11" i="27"/>
  <c r="Q10" i="27"/>
  <c r="N10" i="27"/>
  <c r="K10" i="27"/>
  <c r="H10" i="27"/>
  <c r="E10" i="27"/>
  <c r="B10" i="27"/>
  <c r="Q9" i="27"/>
  <c r="N9" i="27"/>
  <c r="K9" i="27"/>
  <c r="H9" i="27"/>
  <c r="E9" i="27"/>
  <c r="B9" i="27"/>
  <c r="Q8" i="27"/>
  <c r="N8" i="27"/>
  <c r="K8" i="27"/>
  <c r="H8" i="27"/>
  <c r="E8" i="27"/>
  <c r="B8" i="27"/>
  <c r="Q7" i="27"/>
  <c r="N7" i="27"/>
  <c r="K7" i="27"/>
  <c r="H7" i="27"/>
  <c r="E7" i="27"/>
  <c r="B7" i="27"/>
  <c r="Q6" i="27"/>
  <c r="N6" i="27"/>
  <c r="K6" i="27"/>
  <c r="H6" i="27"/>
  <c r="E6" i="27"/>
  <c r="B6" i="27"/>
  <c r="N5" i="27"/>
  <c r="K5" i="27"/>
  <c r="H5" i="27"/>
  <c r="E5" i="27"/>
  <c r="B5" i="27"/>
  <c r="Q4" i="27"/>
  <c r="N4" i="27"/>
  <c r="K4" i="27"/>
  <c r="H4" i="27"/>
  <c r="E4" i="27"/>
  <c r="B4" i="27"/>
  <c r="Q3" i="27"/>
  <c r="N3" i="27"/>
  <c r="K3" i="27"/>
  <c r="H3" i="27"/>
  <c r="B3" i="27"/>
  <c r="Q2" i="27"/>
  <c r="N2" i="27"/>
  <c r="K2" i="27"/>
  <c r="H2" i="27"/>
  <c r="E2" i="27"/>
  <c r="B2" i="27"/>
  <c r="N34" i="27" l="1"/>
  <c r="N40" i="27"/>
  <c r="E12" i="27"/>
  <c r="N22" i="27"/>
  <c r="N24" i="27"/>
  <c r="E27" i="27"/>
  <c r="N29" i="27"/>
  <c r="N32" i="27"/>
  <c r="E3" i="27"/>
  <c r="Q5" i="27"/>
  <c r="E11" i="27"/>
  <c r="Q13" i="27"/>
  <c r="E19" i="27"/>
  <c r="Q21" i="27"/>
  <c r="N27" i="27"/>
  <c r="E31" i="27"/>
  <c r="E38" i="27"/>
  <c r="E43" i="27"/>
  <c r="G1" i="27"/>
  <c r="E39" i="27"/>
  <c r="N41" i="27"/>
  <c r="E42" i="27"/>
  <c r="E37" i="27"/>
  <c r="N39" i="27"/>
  <c r="N38" i="27"/>
  <c r="E41" i="27"/>
  <c r="E35" i="27"/>
  <c r="N30" i="27"/>
  <c r="E33" i="27"/>
  <c r="M4" i="12" l="1"/>
  <c r="C31" i="25" l="1"/>
  <c r="C30" i="25"/>
  <c r="C29" i="25"/>
  <c r="K10" i="22" l="1"/>
  <c r="L10" i="22"/>
  <c r="M12" i="22"/>
  <c r="L12" i="22"/>
  <c r="K12" i="22"/>
  <c r="M11" i="22"/>
  <c r="L11" i="22"/>
  <c r="K11" i="22"/>
  <c r="K18" i="22" l="1"/>
  <c r="L18" i="22"/>
  <c r="N4" i="18"/>
  <c r="A4" i="19" a="1"/>
  <c r="A4" i="19" s="1"/>
  <c r="A4" i="16" a="1"/>
  <c r="A4" i="16" s="1"/>
  <c r="A4" i="10" a="1"/>
  <c r="A4" i="10" s="1"/>
  <c r="A10" i="7" a="1"/>
  <c r="A10" i="7" s="1"/>
  <c r="A4" i="4" a="1"/>
  <c r="A4" i="4" s="1"/>
  <c r="J1" i="21" l="1"/>
  <c r="I1" i="21"/>
  <c r="H1" i="21"/>
  <c r="G1" i="21"/>
  <c r="I1" i="20"/>
  <c r="H1" i="20"/>
  <c r="G1" i="20"/>
  <c r="P92" i="18"/>
  <c r="Q92" i="18" s="1"/>
  <c r="P91" i="18"/>
  <c r="Q91" i="18" s="1"/>
  <c r="G91" i="18"/>
  <c r="P90" i="18"/>
  <c r="Q90" i="18" s="1"/>
  <c r="G90" i="18"/>
  <c r="P89" i="18"/>
  <c r="Q89" i="18" s="1"/>
  <c r="G89" i="18"/>
  <c r="P88" i="18"/>
  <c r="Q88" i="18" s="1"/>
  <c r="P87" i="18"/>
  <c r="Q87" i="18" s="1"/>
  <c r="S86" i="18"/>
  <c r="R86" i="18"/>
  <c r="P86" i="18"/>
  <c r="Q86" i="18" s="1"/>
  <c r="S85" i="18"/>
  <c r="R85" i="18"/>
  <c r="P85" i="18"/>
  <c r="Q85" i="18" s="1"/>
  <c r="S84" i="18"/>
  <c r="R84" i="18"/>
  <c r="P84" i="18"/>
  <c r="Q84" i="18" s="1"/>
  <c r="S83" i="18"/>
  <c r="R83" i="18"/>
  <c r="P83" i="18"/>
  <c r="Q83" i="18" s="1"/>
  <c r="S82" i="18"/>
  <c r="R82" i="18"/>
  <c r="P82" i="18"/>
  <c r="Q82" i="18" s="1"/>
  <c r="S81" i="18"/>
  <c r="R81" i="18"/>
  <c r="P81" i="18"/>
  <c r="Q81" i="18" s="1"/>
  <c r="S80" i="18"/>
  <c r="R80" i="18"/>
  <c r="P80" i="18"/>
  <c r="Q80" i="18" s="1"/>
  <c r="S79" i="18"/>
  <c r="R79" i="18"/>
  <c r="P79" i="18"/>
  <c r="Q79" i="18" s="1"/>
  <c r="S78" i="18"/>
  <c r="R78" i="18"/>
  <c r="P78" i="18"/>
  <c r="Q78" i="18" s="1"/>
  <c r="S77" i="18"/>
  <c r="R77" i="18"/>
  <c r="P77" i="18"/>
  <c r="Q77" i="18" s="1"/>
  <c r="S76" i="18"/>
  <c r="R76" i="18"/>
  <c r="P76" i="18"/>
  <c r="Q76" i="18" s="1"/>
  <c r="S75" i="18"/>
  <c r="R75" i="18"/>
  <c r="P75" i="18"/>
  <c r="Q75" i="18" s="1"/>
  <c r="S74" i="18"/>
  <c r="R74" i="18"/>
  <c r="P74" i="18"/>
  <c r="Q74" i="18" s="1"/>
  <c r="S73" i="18"/>
  <c r="R73" i="18"/>
  <c r="P73" i="18"/>
  <c r="Q73" i="18" s="1"/>
  <c r="S72" i="18"/>
  <c r="R72" i="18"/>
  <c r="P72" i="18"/>
  <c r="Q72" i="18" s="1"/>
  <c r="S71" i="18"/>
  <c r="R71" i="18"/>
  <c r="P71" i="18"/>
  <c r="Q71" i="18" s="1"/>
  <c r="S70" i="18"/>
  <c r="R70" i="18"/>
  <c r="P70" i="18"/>
  <c r="Q70" i="18" s="1"/>
  <c r="S69" i="18"/>
  <c r="R69" i="18"/>
  <c r="P69" i="18"/>
  <c r="Q69" i="18" s="1"/>
  <c r="S68" i="18"/>
  <c r="R68" i="18"/>
  <c r="P68" i="18"/>
  <c r="Q68" i="18" s="1"/>
  <c r="S67" i="18"/>
  <c r="R67" i="18"/>
  <c r="P67" i="18"/>
  <c r="Q67" i="18" s="1"/>
  <c r="S66" i="18"/>
  <c r="R66" i="18"/>
  <c r="P66" i="18"/>
  <c r="Q66" i="18" s="1"/>
  <c r="S65" i="18"/>
  <c r="R65" i="18"/>
  <c r="P65" i="18"/>
  <c r="Q65" i="18" s="1"/>
  <c r="S64" i="18"/>
  <c r="R64" i="18"/>
  <c r="P64" i="18"/>
  <c r="Q64" i="18" s="1"/>
  <c r="S63" i="18"/>
  <c r="R63" i="18"/>
  <c r="P63" i="18"/>
  <c r="Q63" i="18" s="1"/>
  <c r="S62" i="18"/>
  <c r="R62" i="18"/>
  <c r="P62" i="18"/>
  <c r="Q62" i="18" s="1"/>
  <c r="S61" i="18"/>
  <c r="R61" i="18"/>
  <c r="P61" i="18"/>
  <c r="Q61" i="18" s="1"/>
  <c r="S60" i="18"/>
  <c r="R60" i="18"/>
  <c r="P60" i="18"/>
  <c r="Q60" i="18" s="1"/>
  <c r="S59" i="18"/>
  <c r="R59" i="18"/>
  <c r="P59" i="18"/>
  <c r="Q59" i="18" s="1"/>
  <c r="S58" i="18"/>
  <c r="R58" i="18"/>
  <c r="Q58" i="18"/>
  <c r="P58" i="18"/>
  <c r="S57" i="18"/>
  <c r="R57" i="18"/>
  <c r="P57" i="18"/>
  <c r="Q57" i="18" s="1"/>
  <c r="S56" i="18"/>
  <c r="R56" i="18"/>
  <c r="P56" i="18"/>
  <c r="Q56" i="18" s="1"/>
  <c r="S55" i="18"/>
  <c r="R55" i="18"/>
  <c r="P55" i="18"/>
  <c r="Q55" i="18" s="1"/>
  <c r="S54" i="18"/>
  <c r="R54" i="18"/>
  <c r="P54" i="18"/>
  <c r="Q54" i="18" s="1"/>
  <c r="S53" i="18"/>
  <c r="R53" i="18"/>
  <c r="P53" i="18"/>
  <c r="Q53" i="18" s="1"/>
  <c r="S52" i="18"/>
  <c r="R52" i="18"/>
  <c r="P52" i="18"/>
  <c r="Q52" i="18" s="1"/>
  <c r="S51" i="18"/>
  <c r="R51" i="18"/>
  <c r="P51" i="18"/>
  <c r="Q51" i="18" s="1"/>
  <c r="S50" i="18"/>
  <c r="R50" i="18"/>
  <c r="P50" i="18"/>
  <c r="Q50" i="18" s="1"/>
  <c r="S49" i="18"/>
  <c r="R49" i="18"/>
  <c r="P49" i="18"/>
  <c r="Q49" i="18" s="1"/>
  <c r="S48" i="18"/>
  <c r="R48" i="18"/>
  <c r="P48" i="18"/>
  <c r="Q48" i="18" s="1"/>
  <c r="S47" i="18"/>
  <c r="R47" i="18"/>
  <c r="P47" i="18"/>
  <c r="Q47" i="18" s="1"/>
  <c r="S46" i="18"/>
  <c r="R46" i="18"/>
  <c r="P46" i="18"/>
  <c r="Q46" i="18" s="1"/>
  <c r="S45" i="18"/>
  <c r="R45" i="18"/>
  <c r="P45" i="18"/>
  <c r="Q45" i="18" s="1"/>
  <c r="S44" i="18"/>
  <c r="R44" i="18"/>
  <c r="P44" i="18"/>
  <c r="Q44" i="18" s="1"/>
  <c r="S43" i="18"/>
  <c r="R43" i="18"/>
  <c r="P43" i="18"/>
  <c r="Q43" i="18" s="1"/>
  <c r="S42" i="18"/>
  <c r="R42" i="18"/>
  <c r="P42" i="18"/>
  <c r="Q42" i="18" s="1"/>
  <c r="S41" i="18"/>
  <c r="R41" i="18"/>
  <c r="P41" i="18"/>
  <c r="Q41" i="18" s="1"/>
  <c r="S40" i="18"/>
  <c r="R40" i="18"/>
  <c r="P40" i="18"/>
  <c r="Q40" i="18" s="1"/>
  <c r="S39" i="18"/>
  <c r="R39" i="18"/>
  <c r="P39" i="18"/>
  <c r="Q39" i="18" s="1"/>
  <c r="S38" i="18"/>
  <c r="R38" i="18"/>
  <c r="P38" i="18"/>
  <c r="Q38" i="18" s="1"/>
  <c r="S37" i="18"/>
  <c r="R37" i="18"/>
  <c r="P37" i="18"/>
  <c r="Q37" i="18" s="1"/>
  <c r="S36" i="18"/>
  <c r="R36" i="18"/>
  <c r="P36" i="18"/>
  <c r="Q36" i="18" s="1"/>
  <c r="S35" i="18"/>
  <c r="R35" i="18"/>
  <c r="P35" i="18"/>
  <c r="Q35" i="18" s="1"/>
  <c r="S34" i="18"/>
  <c r="R34" i="18"/>
  <c r="P34" i="18"/>
  <c r="Q34" i="18" s="1"/>
  <c r="S33" i="18"/>
  <c r="R33" i="18"/>
  <c r="P33" i="18"/>
  <c r="Q33" i="18" s="1"/>
  <c r="S32" i="18"/>
  <c r="R32" i="18"/>
  <c r="P32" i="18"/>
  <c r="Q32" i="18" s="1"/>
  <c r="S31" i="18"/>
  <c r="R31" i="18"/>
  <c r="P31" i="18"/>
  <c r="Q31" i="18" s="1"/>
  <c r="S30" i="18"/>
  <c r="R30" i="18"/>
  <c r="P30" i="18"/>
  <c r="Q30" i="18" s="1"/>
  <c r="S29" i="18"/>
  <c r="R29" i="18"/>
  <c r="P29" i="18"/>
  <c r="Q29" i="18" s="1"/>
  <c r="S28" i="18"/>
  <c r="R28" i="18"/>
  <c r="P28" i="18"/>
  <c r="Q28" i="18" s="1"/>
  <c r="S27" i="18"/>
  <c r="R27" i="18"/>
  <c r="P27" i="18"/>
  <c r="Q27" i="18" s="1"/>
  <c r="S26" i="18"/>
  <c r="R26" i="18"/>
  <c r="P26" i="18"/>
  <c r="Q26" i="18" s="1"/>
  <c r="S25" i="18"/>
  <c r="R25" i="18"/>
  <c r="P25" i="18"/>
  <c r="Q25" i="18" s="1"/>
  <c r="S24" i="18"/>
  <c r="R24" i="18"/>
  <c r="P24" i="18"/>
  <c r="Q24" i="18" s="1"/>
  <c r="S23" i="18"/>
  <c r="R23" i="18"/>
  <c r="P23" i="18"/>
  <c r="Q23" i="18" s="1"/>
  <c r="S22" i="18"/>
  <c r="R22" i="18"/>
  <c r="P22" i="18"/>
  <c r="Q22" i="18" s="1"/>
  <c r="S21" i="18"/>
  <c r="R21" i="18"/>
  <c r="P21" i="18"/>
  <c r="Q21" i="18" s="1"/>
  <c r="S20" i="18"/>
  <c r="R20" i="18"/>
  <c r="P20" i="18"/>
  <c r="Q20" i="18" s="1"/>
  <c r="S19" i="18"/>
  <c r="R19" i="18"/>
  <c r="P19" i="18"/>
  <c r="Q19" i="18" s="1"/>
  <c r="S18" i="18"/>
  <c r="R18" i="18"/>
  <c r="P18" i="18"/>
  <c r="Q18" i="18" s="1"/>
  <c r="S17" i="18"/>
  <c r="R17" i="18"/>
  <c r="P17" i="18"/>
  <c r="Q17" i="18" s="1"/>
  <c r="S16" i="18"/>
  <c r="R16" i="18"/>
  <c r="P16" i="18"/>
  <c r="Q16" i="18" s="1"/>
  <c r="S15" i="18"/>
  <c r="R15" i="18"/>
  <c r="P15" i="18"/>
  <c r="Q15" i="18" s="1"/>
  <c r="S14" i="18"/>
  <c r="R14" i="18"/>
  <c r="P14" i="18"/>
  <c r="Q14" i="18" s="1"/>
  <c r="S13" i="18"/>
  <c r="R13" i="18"/>
  <c r="T13" i="18" s="1"/>
  <c r="P13" i="18"/>
  <c r="Q13" i="18" s="1"/>
  <c r="S12" i="18"/>
  <c r="R12" i="18"/>
  <c r="P12" i="18"/>
  <c r="Q12" i="18" s="1"/>
  <c r="S11" i="18"/>
  <c r="R11" i="18"/>
  <c r="P11" i="18"/>
  <c r="Q11" i="18" s="1"/>
  <c r="U10" i="18"/>
  <c r="P10" i="18"/>
  <c r="Q10" i="18" s="1"/>
  <c r="U9" i="18"/>
  <c r="S9" i="18"/>
  <c r="R9" i="18"/>
  <c r="P9" i="18"/>
  <c r="Q9" i="18" s="1"/>
  <c r="U8" i="18"/>
  <c r="S8" i="18"/>
  <c r="R8" i="18"/>
  <c r="P8" i="18"/>
  <c r="Q8" i="18" s="1"/>
  <c r="U7" i="18"/>
  <c r="S7" i="18"/>
  <c r="R7" i="18"/>
  <c r="P7" i="18"/>
  <c r="Q7" i="18" s="1"/>
  <c r="U6" i="18"/>
  <c r="S6" i="18"/>
  <c r="R6" i="18"/>
  <c r="P6" i="18"/>
  <c r="Q6" i="18" s="1"/>
  <c r="U5" i="18"/>
  <c r="S5" i="18"/>
  <c r="R5" i="18"/>
  <c r="P5" i="18"/>
  <c r="Q5" i="18" s="1"/>
  <c r="U4" i="18"/>
  <c r="S4" i="18"/>
  <c r="R4" i="18"/>
  <c r="P4" i="18"/>
  <c r="Q4" i="18" s="1"/>
  <c r="U3" i="18"/>
  <c r="S3" i="18"/>
  <c r="R3" i="18"/>
  <c r="P3" i="18"/>
  <c r="Q3" i="18" s="1"/>
  <c r="N3" i="18"/>
  <c r="U2" i="18"/>
  <c r="S2" i="18"/>
  <c r="R2" i="18"/>
  <c r="P2" i="18"/>
  <c r="Q2" i="18" s="1"/>
  <c r="T5" i="18" l="1"/>
  <c r="T42" i="18"/>
  <c r="T53" i="18"/>
  <c r="T17" i="18"/>
  <c r="T49" i="18"/>
  <c r="N1" i="18"/>
  <c r="M10" i="22"/>
  <c r="M18" i="22" s="1"/>
  <c r="T50" i="18"/>
  <c r="T74" i="18"/>
  <c r="T11" i="18"/>
  <c r="T31" i="18"/>
  <c r="T39" i="18"/>
  <c r="T2" i="18"/>
  <c r="T12" i="18"/>
  <c r="T28" i="18"/>
  <c r="T40" i="18"/>
  <c r="T43" i="18"/>
  <c r="T55" i="18"/>
  <c r="T72" i="18"/>
  <c r="T41" i="18"/>
  <c r="T14" i="18"/>
  <c r="T22" i="18"/>
  <c r="T34" i="18"/>
  <c r="T38" i="18"/>
  <c r="T71" i="18"/>
  <c r="T6" i="18"/>
  <c r="T33" i="18"/>
  <c r="T4" i="18"/>
  <c r="T61" i="18"/>
  <c r="T15" i="18"/>
  <c r="T27" i="18"/>
  <c r="T58" i="18"/>
  <c r="T62" i="18"/>
  <c r="T70" i="18"/>
  <c r="T8" i="18"/>
  <c r="T32" i="18"/>
  <c r="T82" i="18"/>
  <c r="T64" i="18"/>
  <c r="T3" i="18"/>
  <c r="T16" i="18"/>
  <c r="T24" i="18"/>
  <c r="T75" i="18"/>
  <c r="T83" i="18"/>
  <c r="T57" i="18"/>
  <c r="T9" i="18"/>
  <c r="T46" i="18"/>
  <c r="T69" i="18"/>
  <c r="T18" i="18"/>
  <c r="T26" i="18"/>
  <c r="T80" i="18"/>
  <c r="T84" i="18"/>
  <c r="T21" i="18"/>
  <c r="T54" i="18"/>
  <c r="T7" i="18"/>
  <c r="T29" i="18"/>
  <c r="T73" i="18"/>
  <c r="T51" i="18"/>
  <c r="T30" i="18"/>
  <c r="T48" i="18"/>
  <c r="T63" i="18"/>
  <c r="T67" i="18"/>
  <c r="T19" i="18"/>
  <c r="T23" i="18"/>
  <c r="T52" i="18"/>
  <c r="T56" i="18"/>
  <c r="T44" i="18"/>
  <c r="T79" i="18"/>
  <c r="T25" i="18"/>
  <c r="T35" i="18"/>
  <c r="T65" i="18"/>
  <c r="T45" i="18"/>
  <c r="T76" i="18"/>
  <c r="T36" i="18"/>
  <c r="T66" i="18"/>
  <c r="T59" i="18"/>
  <c r="T77" i="18"/>
  <c r="T81" i="18"/>
  <c r="T85" i="18"/>
  <c r="T37" i="18"/>
  <c r="T47" i="18"/>
  <c r="T20" i="18"/>
  <c r="T60" i="18"/>
  <c r="T68" i="18"/>
  <c r="T78" i="18"/>
  <c r="T86" i="18"/>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C3" i="17"/>
  <c r="C2" i="17"/>
  <c r="R185" i="13"/>
  <c r="P185" i="13"/>
  <c r="R184" i="13"/>
  <c r="P184" i="13"/>
  <c r="R183" i="13"/>
  <c r="P183" i="13"/>
  <c r="R182" i="13"/>
  <c r="P182" i="13"/>
  <c r="R181" i="13"/>
  <c r="P181" i="13"/>
  <c r="R180" i="13"/>
  <c r="P180" i="13"/>
  <c r="R179" i="13"/>
  <c r="P179" i="13"/>
  <c r="R178" i="13"/>
  <c r="P178" i="13"/>
  <c r="R177" i="13"/>
  <c r="P177" i="13"/>
  <c r="R176" i="13"/>
  <c r="P176" i="13"/>
  <c r="R175" i="13"/>
  <c r="P175" i="13"/>
  <c r="R174" i="13"/>
  <c r="P174" i="13"/>
  <c r="R173" i="13"/>
  <c r="P173" i="13"/>
  <c r="R172" i="13"/>
  <c r="P172" i="13"/>
  <c r="R171" i="13"/>
  <c r="P171" i="13"/>
  <c r="R170" i="13"/>
  <c r="P170" i="13"/>
  <c r="R169" i="13"/>
  <c r="P169" i="13"/>
  <c r="R168" i="13"/>
  <c r="P168" i="13"/>
  <c r="R167" i="13"/>
  <c r="P167" i="13"/>
  <c r="R166" i="13"/>
  <c r="P166" i="13"/>
  <c r="R165" i="13"/>
  <c r="P165" i="13"/>
  <c r="R164" i="13"/>
  <c r="P164" i="13"/>
  <c r="R163" i="13"/>
  <c r="P163" i="13"/>
  <c r="R162" i="13"/>
  <c r="P162" i="13"/>
  <c r="R161" i="13"/>
  <c r="R160" i="13"/>
  <c r="R159" i="13"/>
  <c r="R158" i="13"/>
  <c r="R157" i="13"/>
  <c r="R156" i="13"/>
  <c r="R155" i="13"/>
  <c r="R154" i="13"/>
  <c r="R153" i="13"/>
  <c r="K152" i="13"/>
  <c r="R151" i="13"/>
  <c r="R150" i="13"/>
  <c r="R149" i="13"/>
  <c r="R148" i="13"/>
  <c r="R147" i="13"/>
  <c r="R146" i="13"/>
  <c r="R145" i="13"/>
  <c r="R144" i="13"/>
  <c r="P144" i="13"/>
  <c r="P143" i="13"/>
  <c r="K143" i="13"/>
  <c r="R142" i="13"/>
  <c r="P142" i="13"/>
  <c r="R141" i="13"/>
  <c r="P141" i="13"/>
  <c r="R140" i="13"/>
  <c r="P140" i="13"/>
  <c r="R139" i="13"/>
  <c r="P139" i="13"/>
  <c r="R138" i="13"/>
  <c r="P138" i="13"/>
  <c r="P137" i="13"/>
  <c r="K137" i="13"/>
  <c r="R136" i="13"/>
  <c r="P136" i="13"/>
  <c r="R135" i="13"/>
  <c r="P135" i="13"/>
  <c r="R134" i="13"/>
  <c r="P134" i="13"/>
  <c r="R133" i="13"/>
  <c r="P133" i="13"/>
  <c r="R132" i="13"/>
  <c r="P132" i="13"/>
  <c r="R131" i="13"/>
  <c r="P131" i="13"/>
  <c r="R130" i="13"/>
  <c r="P130" i="13"/>
  <c r="R129" i="13"/>
  <c r="P129" i="13"/>
  <c r="R128" i="13"/>
  <c r="P128" i="13"/>
  <c r="R127" i="13"/>
  <c r="P127" i="13"/>
  <c r="R126" i="13"/>
  <c r="P126" i="13"/>
  <c r="R125" i="13"/>
  <c r="P125" i="13"/>
  <c r="R124" i="13"/>
  <c r="P124" i="13"/>
  <c r="R123" i="13"/>
  <c r="P123" i="13"/>
  <c r="R122" i="13"/>
  <c r="P122" i="13"/>
  <c r="R121" i="13"/>
  <c r="P121" i="13"/>
  <c r="R120" i="13"/>
  <c r="P120" i="13"/>
  <c r="P119" i="13"/>
  <c r="P118" i="13"/>
  <c r="R117" i="13"/>
  <c r="P117" i="13"/>
  <c r="R116" i="13"/>
  <c r="P116" i="13"/>
  <c r="R115" i="13"/>
  <c r="P115" i="13"/>
  <c r="R114" i="13"/>
  <c r="P114" i="13"/>
  <c r="R113" i="13"/>
  <c r="P113" i="13"/>
  <c r="R112" i="13"/>
  <c r="P112" i="13"/>
  <c r="R111" i="13"/>
  <c r="P111" i="13"/>
  <c r="R110" i="13"/>
  <c r="P110" i="13"/>
  <c r="R109" i="13"/>
  <c r="P109" i="13"/>
  <c r="R108" i="13"/>
  <c r="P108" i="13"/>
  <c r="R107" i="13"/>
  <c r="P107" i="13"/>
  <c r="R106" i="13"/>
  <c r="P106" i="13"/>
  <c r="R105" i="13"/>
  <c r="P105" i="13"/>
  <c r="P104" i="13"/>
  <c r="R103" i="13"/>
  <c r="P103" i="13"/>
  <c r="R102" i="13"/>
  <c r="P102" i="13"/>
  <c r="R101" i="13"/>
  <c r="P101" i="13"/>
  <c r="R100" i="13"/>
  <c r="P100" i="13"/>
  <c r="R99" i="13"/>
  <c r="P99" i="13"/>
  <c r="R98" i="13"/>
  <c r="P98" i="13"/>
  <c r="R97" i="13"/>
  <c r="P97" i="13"/>
  <c r="R96" i="13"/>
  <c r="P96" i="13"/>
  <c r="R95" i="13"/>
  <c r="P95" i="13"/>
  <c r="R94" i="13"/>
  <c r="P94" i="13"/>
  <c r="R93" i="13"/>
  <c r="P93" i="13"/>
  <c r="P92" i="13"/>
  <c r="K92" i="13"/>
  <c r="P91" i="13"/>
  <c r="K91" i="13"/>
  <c r="O3" i="13" s="1"/>
  <c r="R90" i="13"/>
  <c r="P90" i="13"/>
  <c r="R89" i="13"/>
  <c r="P89" i="13"/>
  <c r="R88" i="13"/>
  <c r="P88" i="13"/>
  <c r="R87" i="13"/>
  <c r="P87" i="13"/>
  <c r="R86" i="13"/>
  <c r="P86" i="13"/>
  <c r="R85" i="13"/>
  <c r="P85" i="13"/>
  <c r="R84" i="13"/>
  <c r="P84" i="13"/>
  <c r="R83" i="13"/>
  <c r="P83" i="13"/>
  <c r="R82" i="13"/>
  <c r="P82" i="13"/>
  <c r="R81" i="13"/>
  <c r="P81" i="13"/>
  <c r="R80" i="13"/>
  <c r="P80" i="13"/>
  <c r="R79" i="13"/>
  <c r="P79" i="13"/>
  <c r="R78" i="13"/>
  <c r="P78" i="13"/>
  <c r="R77" i="13"/>
  <c r="P77" i="13"/>
  <c r="R76" i="13"/>
  <c r="P76" i="13"/>
  <c r="R75" i="13"/>
  <c r="P75" i="13"/>
  <c r="R74" i="13"/>
  <c r="P74" i="13"/>
  <c r="R73" i="13"/>
  <c r="P73" i="13"/>
  <c r="R71" i="13"/>
  <c r="R70" i="13"/>
  <c r="R69" i="13"/>
  <c r="R68" i="13"/>
  <c r="R67" i="13"/>
  <c r="R66" i="13"/>
  <c r="R65" i="13"/>
  <c r="R64" i="13"/>
  <c r="R63" i="13"/>
  <c r="R62" i="13"/>
  <c r="R60" i="13"/>
  <c r="P60" i="13"/>
  <c r="R59" i="13"/>
  <c r="P59" i="13"/>
  <c r="R58" i="13"/>
  <c r="P58" i="13"/>
  <c r="R57" i="13"/>
  <c r="P57" i="13"/>
  <c r="R56" i="13"/>
  <c r="P56" i="13"/>
  <c r="R55" i="13"/>
  <c r="P55" i="13"/>
  <c r="R54" i="13"/>
  <c r="P54" i="13"/>
  <c r="R53" i="13"/>
  <c r="P53" i="13"/>
  <c r="R52" i="13"/>
  <c r="P52" i="13"/>
  <c r="R51" i="13"/>
  <c r="P51" i="13"/>
  <c r="R50" i="13"/>
  <c r="P50" i="13"/>
  <c r="R49" i="13"/>
  <c r="R48" i="13"/>
  <c r="P48" i="13"/>
  <c r="R47" i="13"/>
  <c r="P47" i="13"/>
  <c r="R46" i="13"/>
  <c r="P46" i="13"/>
  <c r="R45" i="13"/>
  <c r="P45" i="13"/>
  <c r="R44" i="13"/>
  <c r="P44" i="13"/>
  <c r="R43" i="13"/>
  <c r="P43" i="13"/>
  <c r="R42" i="13"/>
  <c r="P42" i="13"/>
  <c r="R41" i="13"/>
  <c r="P41" i="13"/>
  <c r="R40" i="13"/>
  <c r="P40" i="13"/>
  <c r="R39" i="13"/>
  <c r="P39" i="13"/>
  <c r="R38" i="13"/>
  <c r="P38" i="13"/>
  <c r="R37" i="13"/>
  <c r="P37" i="13"/>
  <c r="R36" i="13"/>
  <c r="P36" i="13"/>
  <c r="R35" i="13"/>
  <c r="P35" i="13"/>
  <c r="R34" i="13"/>
  <c r="P34" i="13"/>
  <c r="R33" i="13"/>
  <c r="P33" i="13"/>
  <c r="R32" i="13"/>
  <c r="P32" i="13"/>
  <c r="R31" i="13"/>
  <c r="P31" i="13"/>
  <c r="R30" i="13"/>
  <c r="P30" i="13"/>
  <c r="R29" i="13"/>
  <c r="P29" i="13"/>
  <c r="R28" i="13"/>
  <c r="P28" i="13"/>
  <c r="R27" i="13"/>
  <c r="P27" i="13"/>
  <c r="R26" i="13"/>
  <c r="P26" i="13"/>
  <c r="R25" i="13"/>
  <c r="P25" i="13"/>
  <c r="R24" i="13"/>
  <c r="P24" i="13"/>
  <c r="R23" i="13"/>
  <c r="P23" i="13"/>
  <c r="R22" i="13"/>
  <c r="P22" i="13"/>
  <c r="R21" i="13"/>
  <c r="P21" i="13"/>
  <c r="R20" i="13"/>
  <c r="P20" i="13"/>
  <c r="R19" i="13"/>
  <c r="P19" i="13"/>
  <c r="R18" i="13"/>
  <c r="P18" i="13"/>
  <c r="R17" i="13"/>
  <c r="P17" i="13"/>
  <c r="R16" i="13"/>
  <c r="P16" i="13"/>
  <c r="R15" i="13"/>
  <c r="R14" i="13"/>
  <c r="R13" i="13"/>
  <c r="R12" i="13"/>
  <c r="U10" i="13"/>
  <c r="T10" i="13"/>
  <c r="R10" i="13"/>
  <c r="U9" i="13"/>
  <c r="T9" i="13"/>
  <c r="R9" i="13"/>
  <c r="U8" i="13"/>
  <c r="T8" i="13"/>
  <c r="R8" i="13"/>
  <c r="N4" i="13"/>
  <c r="Z3" i="13" a="1"/>
  <c r="Z3" i="13" s="1"/>
  <c r="V3" i="13"/>
  <c r="V26" i="13" s="1"/>
  <c r="N3" i="13"/>
  <c r="R1" i="13"/>
  <c r="P1" i="13"/>
  <c r="N1" i="13"/>
  <c r="C124" i="17" l="1"/>
  <c r="C123" i="17"/>
  <c r="V8" i="13"/>
  <c r="Y8" i="13" s="1"/>
  <c r="T12" i="13"/>
  <c r="T13" i="13" s="1"/>
  <c r="U12" i="13"/>
  <c r="V4" i="13"/>
  <c r="Y4" i="13" s="1"/>
  <c r="V7" i="13"/>
  <c r="Y7" i="13" s="1"/>
  <c r="V22" i="13"/>
  <c r="Y22" i="13" s="1"/>
  <c r="V27" i="13"/>
  <c r="Y27" i="13" s="1"/>
  <c r="V24" i="13"/>
  <c r="Y24" i="13" s="1"/>
  <c r="V15" i="13"/>
  <c r="Y15" i="13" s="1"/>
  <c r="Y26" i="13"/>
  <c r="X26" i="13"/>
  <c r="V12" i="13"/>
  <c r="V19" i="13"/>
  <c r="V31" i="13"/>
  <c r="V17" i="13"/>
  <c r="V29" i="13"/>
  <c r="V6" i="13"/>
  <c r="V10" i="13"/>
  <c r="V20" i="13"/>
  <c r="V13" i="13"/>
  <c r="V25" i="13"/>
  <c r="V18" i="13"/>
  <c r="V30" i="13"/>
  <c r="V23" i="13"/>
  <c r="V16" i="13"/>
  <c r="V28" i="13"/>
  <c r="V9" i="13"/>
  <c r="V21" i="13"/>
  <c r="V14" i="13"/>
  <c r="X8" i="13" l="1"/>
  <c r="X15" i="13"/>
  <c r="X24" i="13"/>
  <c r="X4" i="13"/>
  <c r="X27" i="13"/>
  <c r="X22" i="13"/>
  <c r="X7" i="13"/>
  <c r="Y17" i="13"/>
  <c r="X17" i="13"/>
  <c r="Y28" i="13"/>
  <c r="X28" i="13"/>
  <c r="Y30" i="13"/>
  <c r="X30" i="13"/>
  <c r="Y19" i="13"/>
  <c r="X19" i="13"/>
  <c r="Y23" i="13"/>
  <c r="X23" i="13"/>
  <c r="Y12" i="13"/>
  <c r="X12" i="13"/>
  <c r="Y16" i="13"/>
  <c r="X16" i="13"/>
  <c r="Y18" i="13"/>
  <c r="X18" i="13"/>
  <c r="Y31" i="13"/>
  <c r="X31" i="13"/>
  <c r="Y14" i="13"/>
  <c r="X14" i="13"/>
  <c r="Y25" i="13"/>
  <c r="X25" i="13"/>
  <c r="Y10" i="13"/>
  <c r="X10" i="13"/>
  <c r="Y29" i="13"/>
  <c r="X29" i="13"/>
  <c r="Y13" i="13"/>
  <c r="X13" i="13"/>
  <c r="Y20" i="13"/>
  <c r="X20" i="13"/>
  <c r="X21" i="13"/>
  <c r="Y21" i="13"/>
  <c r="X9" i="13"/>
  <c r="Y9" i="13"/>
  <c r="Y6" i="13"/>
  <c r="X6" i="13"/>
  <c r="C337" i="12"/>
  <c r="C336" i="12"/>
  <c r="C335" i="12"/>
  <c r="C334" i="12"/>
  <c r="C333" i="12"/>
  <c r="C332" i="12"/>
  <c r="C331" i="12"/>
  <c r="C330" i="12"/>
  <c r="C329" i="12"/>
  <c r="C328" i="12"/>
  <c r="C327" i="12"/>
  <c r="C326" i="12"/>
  <c r="C325" i="12"/>
  <c r="C324" i="12"/>
  <c r="C323" i="12"/>
  <c r="C322" i="12"/>
  <c r="C321" i="12"/>
  <c r="C320" i="12"/>
  <c r="C319" i="12"/>
  <c r="C318" i="12"/>
  <c r="C317" i="12"/>
  <c r="C316" i="12"/>
  <c r="C315" i="12"/>
  <c r="C314" i="12"/>
  <c r="C313" i="12"/>
  <c r="C312" i="12"/>
  <c r="C311" i="12"/>
  <c r="C310" i="12"/>
  <c r="C309" i="12"/>
  <c r="C308" i="12"/>
  <c r="C307" i="12"/>
  <c r="C306" i="12"/>
  <c r="C305" i="12"/>
  <c r="C304" i="12"/>
  <c r="C303" i="12"/>
  <c r="C302" i="12"/>
  <c r="C301" i="12"/>
  <c r="C300" i="12"/>
  <c r="C299" i="12"/>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1" i="9"/>
  <c r="N110" i="9"/>
  <c r="N109" i="9"/>
  <c r="N108" i="9"/>
  <c r="N107" i="9"/>
  <c r="N106"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R1" i="9"/>
  <c r="R27" i="9" s="1"/>
  <c r="N1" i="9"/>
  <c r="M3" i="12"/>
  <c r="M2" i="12"/>
  <c r="C347" i="12" l="1"/>
  <c r="D8" i="32" s="1"/>
  <c r="C346" i="12"/>
  <c r="R23" i="9"/>
  <c r="U23" i="9" s="1"/>
  <c r="R13" i="9"/>
  <c r="V13" i="9" s="1"/>
  <c r="R21" i="9"/>
  <c r="U21" i="9" s="1"/>
  <c r="R20" i="9"/>
  <c r="V20" i="9" s="1"/>
  <c r="R5" i="9"/>
  <c r="U5" i="9" s="1"/>
  <c r="R14" i="9"/>
  <c r="V14" i="9" s="1"/>
  <c r="R28" i="9"/>
  <c r="V28" i="9" s="1"/>
  <c r="R6" i="9"/>
  <c r="U6" i="9" s="1"/>
  <c r="R16" i="9"/>
  <c r="V16" i="9" s="1"/>
  <c r="R18" i="9"/>
  <c r="V18" i="9" s="1"/>
  <c r="R25" i="9"/>
  <c r="V25" i="9" s="1"/>
  <c r="R3" i="9"/>
  <c r="V3" i="9" s="1"/>
  <c r="R11" i="9"/>
  <c r="V11" i="9" s="1"/>
  <c r="R9" i="9"/>
  <c r="V9" i="9" s="1"/>
  <c r="R19" i="9"/>
  <c r="T19" i="9" s="1"/>
  <c r="R26" i="9"/>
  <c r="U26" i="9" s="1"/>
  <c r="F3" i="10"/>
  <c r="G3" i="10"/>
  <c r="H3" i="10"/>
  <c r="U27" i="9"/>
  <c r="V27" i="9"/>
  <c r="T27" i="9"/>
  <c r="U20" i="9"/>
  <c r="T23" i="9"/>
  <c r="R17" i="9"/>
  <c r="R22" i="9"/>
  <c r="R4" i="9"/>
  <c r="R12" i="9"/>
  <c r="R24" i="9"/>
  <c r="R2" i="9"/>
  <c r="R10" i="9"/>
  <c r="R7" i="9"/>
  <c r="R15" i="9"/>
  <c r="U13" i="9" l="1"/>
  <c r="V21" i="9"/>
  <c r="V23" i="9"/>
  <c r="T26" i="9"/>
  <c r="U9" i="9"/>
  <c r="T25" i="9"/>
  <c r="T21" i="9"/>
  <c r="U16" i="9"/>
  <c r="V5" i="9"/>
  <c r="T13" i="9"/>
  <c r="T28" i="9"/>
  <c r="V6" i="9"/>
  <c r="U14" i="9"/>
  <c r="U18" i="9"/>
  <c r="U25" i="9"/>
  <c r="U11" i="9"/>
  <c r="U3" i="9"/>
  <c r="T3" i="9"/>
  <c r="T16" i="9"/>
  <c r="T18" i="9"/>
  <c r="T14" i="9"/>
  <c r="T6" i="9"/>
  <c r="T5" i="9"/>
  <c r="V19" i="9"/>
  <c r="U28" i="9"/>
  <c r="T20" i="9"/>
  <c r="V26" i="9"/>
  <c r="U19" i="9"/>
  <c r="T9" i="9"/>
  <c r="T11" i="9"/>
  <c r="T22" i="9"/>
  <c r="V22" i="9"/>
  <c r="U22" i="9"/>
  <c r="U7" i="9"/>
  <c r="T7" i="9"/>
  <c r="V7" i="9"/>
  <c r="T2" i="9"/>
  <c r="V2" i="9"/>
  <c r="U2" i="9"/>
  <c r="V24" i="9"/>
  <c r="U24" i="9"/>
  <c r="T24" i="9"/>
  <c r="V12" i="9"/>
  <c r="U12" i="9"/>
  <c r="T12" i="9"/>
  <c r="T15" i="9"/>
  <c r="U15" i="9"/>
  <c r="V15" i="9"/>
  <c r="T10" i="9"/>
  <c r="V10" i="9"/>
  <c r="U10" i="9"/>
  <c r="U17" i="9"/>
  <c r="T17" i="9"/>
  <c r="V17" i="9"/>
  <c r="V4" i="9"/>
  <c r="U4" i="9"/>
  <c r="T4" i="9"/>
  <c r="F340" i="8" l="1"/>
  <c r="F339" i="8"/>
  <c r="F338" i="8"/>
  <c r="F337" i="8"/>
  <c r="F336" i="8"/>
  <c r="F335" i="8"/>
  <c r="F334" i="8"/>
  <c r="F333" i="8"/>
  <c r="F332" i="8"/>
  <c r="F331" i="8"/>
  <c r="F330" i="8"/>
  <c r="F329" i="8"/>
  <c r="F328" i="8"/>
  <c r="F327"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96" i="8"/>
  <c r="F295" i="8"/>
  <c r="F294" i="8"/>
  <c r="F293" i="8"/>
  <c r="F292" i="8"/>
  <c r="F291" i="8"/>
  <c r="F290" i="8"/>
  <c r="F289" i="8"/>
  <c r="F288" i="8"/>
  <c r="F287" i="8"/>
  <c r="F286" i="8"/>
  <c r="F285" i="8"/>
  <c r="F284" i="8"/>
  <c r="F283" i="8"/>
  <c r="F282" i="8"/>
  <c r="F281" i="8"/>
  <c r="F280" i="8"/>
  <c r="F279" i="8"/>
  <c r="F278" i="8"/>
  <c r="F277" i="8"/>
  <c r="F276" i="8"/>
  <c r="F275" i="8"/>
  <c r="F274" i="8"/>
  <c r="F273" i="8"/>
  <c r="F272" i="8"/>
  <c r="F271" i="8"/>
  <c r="F270" i="8"/>
  <c r="F269" i="8"/>
  <c r="F268" i="8"/>
  <c r="F267" i="8"/>
  <c r="F266" i="8"/>
  <c r="F265" i="8"/>
  <c r="F264" i="8"/>
  <c r="F263" i="8"/>
  <c r="F262" i="8"/>
  <c r="F261" i="8"/>
  <c r="F260" i="8"/>
  <c r="F259" i="8"/>
  <c r="F258" i="8"/>
  <c r="F257" i="8"/>
  <c r="F256" i="8"/>
  <c r="F255" i="8"/>
  <c r="F254" i="8"/>
  <c r="F253" i="8"/>
  <c r="F252"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I144" i="8"/>
  <c r="G144" i="8"/>
  <c r="F144" i="8"/>
  <c r="I143" i="8"/>
  <c r="G143" i="8"/>
  <c r="F143" i="8"/>
  <c r="I142" i="8"/>
  <c r="G142" i="8"/>
  <c r="F142" i="8"/>
  <c r="I141" i="8"/>
  <c r="G141" i="8"/>
  <c r="F141" i="8"/>
  <c r="I140" i="8"/>
  <c r="G140" i="8"/>
  <c r="F140" i="8"/>
  <c r="I139" i="8"/>
  <c r="G139" i="8"/>
  <c r="F139" i="8"/>
  <c r="I138" i="8"/>
  <c r="G138" i="8"/>
  <c r="F138" i="8"/>
  <c r="I137" i="8"/>
  <c r="G137" i="8"/>
  <c r="F137" i="8"/>
  <c r="I136" i="8"/>
  <c r="G136" i="8"/>
  <c r="F136" i="8"/>
  <c r="I135" i="8"/>
  <c r="G135" i="8"/>
  <c r="F135" i="8"/>
  <c r="I134" i="8"/>
  <c r="G134" i="8"/>
  <c r="F134" i="8"/>
  <c r="I133" i="8"/>
  <c r="G133" i="8"/>
  <c r="F133" i="8"/>
  <c r="I132" i="8"/>
  <c r="G132" i="8"/>
  <c r="F132" i="8"/>
  <c r="I131" i="8"/>
  <c r="G131" i="8"/>
  <c r="F131" i="8"/>
  <c r="I130" i="8"/>
  <c r="G130" i="8"/>
  <c r="F130" i="8"/>
  <c r="I129" i="8"/>
  <c r="G129" i="8"/>
  <c r="F129" i="8"/>
  <c r="I128" i="8"/>
  <c r="G128" i="8"/>
  <c r="F128" i="8"/>
  <c r="I127" i="8"/>
  <c r="G127" i="8"/>
  <c r="F127" i="8"/>
  <c r="I126" i="8"/>
  <c r="G126" i="8"/>
  <c r="F126" i="8"/>
  <c r="I125" i="8"/>
  <c r="G125" i="8"/>
  <c r="F125" i="8"/>
  <c r="I124" i="8"/>
  <c r="G124" i="8"/>
  <c r="F124" i="8"/>
  <c r="I123" i="8"/>
  <c r="G123" i="8"/>
  <c r="F123" i="8"/>
  <c r="I122" i="8"/>
  <c r="G122" i="8"/>
  <c r="F122" i="8"/>
  <c r="I121" i="8"/>
  <c r="G121" i="8"/>
  <c r="F121" i="8"/>
  <c r="I120" i="8"/>
  <c r="G120" i="8"/>
  <c r="F120" i="8"/>
  <c r="I119" i="8"/>
  <c r="G119" i="8"/>
  <c r="F119" i="8"/>
  <c r="I118" i="8"/>
  <c r="G118" i="8"/>
  <c r="F118" i="8"/>
  <c r="I117" i="8"/>
  <c r="G117" i="8"/>
  <c r="F117" i="8"/>
  <c r="I116" i="8"/>
  <c r="G116" i="8"/>
  <c r="F116" i="8"/>
  <c r="I115" i="8"/>
  <c r="G115" i="8"/>
  <c r="F115" i="8"/>
  <c r="I114" i="8"/>
  <c r="G114" i="8"/>
  <c r="F114" i="8"/>
  <c r="I113" i="8"/>
  <c r="G113" i="8"/>
  <c r="F113" i="8"/>
  <c r="I112" i="8"/>
  <c r="G112" i="8"/>
  <c r="F112" i="8"/>
  <c r="I111" i="8"/>
  <c r="G111" i="8"/>
  <c r="F111" i="8"/>
  <c r="I110" i="8"/>
  <c r="G110" i="8"/>
  <c r="F110" i="8"/>
  <c r="I109" i="8"/>
  <c r="G109" i="8"/>
  <c r="F109" i="8"/>
  <c r="I108" i="8"/>
  <c r="G108" i="8"/>
  <c r="F108" i="8"/>
  <c r="I107" i="8"/>
  <c r="G107" i="8"/>
  <c r="F107" i="8"/>
  <c r="I106" i="8"/>
  <c r="G106" i="8"/>
  <c r="F106" i="8"/>
  <c r="I105" i="8"/>
  <c r="G105" i="8"/>
  <c r="F105" i="8"/>
  <c r="I104" i="8"/>
  <c r="G104" i="8"/>
  <c r="F104" i="8"/>
  <c r="I103" i="8"/>
  <c r="G103" i="8"/>
  <c r="F103" i="8"/>
  <c r="I102" i="8"/>
  <c r="G102" i="8"/>
  <c r="F102" i="8"/>
  <c r="I101" i="8"/>
  <c r="G101" i="8"/>
  <c r="F101" i="8"/>
  <c r="I100" i="8"/>
  <c r="G100" i="8"/>
  <c r="F100" i="8"/>
  <c r="I99" i="8"/>
  <c r="G99" i="8"/>
  <c r="F99" i="8"/>
  <c r="I98" i="8"/>
  <c r="G98" i="8"/>
  <c r="F98" i="8"/>
  <c r="I97" i="8"/>
  <c r="G97" i="8"/>
  <c r="F97" i="8"/>
  <c r="I96" i="8"/>
  <c r="G96" i="8"/>
  <c r="F96" i="8"/>
  <c r="I95" i="8"/>
  <c r="G95" i="8"/>
  <c r="F95" i="8"/>
  <c r="I94" i="8"/>
  <c r="G94" i="8"/>
  <c r="F94" i="8"/>
  <c r="I93" i="8"/>
  <c r="G93" i="8"/>
  <c r="F93" i="8"/>
  <c r="I92" i="8"/>
  <c r="G92" i="8"/>
  <c r="F92" i="8"/>
  <c r="I91" i="8"/>
  <c r="G91" i="8"/>
  <c r="F91" i="8"/>
  <c r="I90" i="8"/>
  <c r="G90" i="8"/>
  <c r="F90" i="8"/>
  <c r="I89" i="8"/>
  <c r="G89" i="8"/>
  <c r="F89" i="8"/>
  <c r="I88" i="8"/>
  <c r="G88" i="8"/>
  <c r="F88" i="8"/>
  <c r="I87" i="8"/>
  <c r="G87" i="8"/>
  <c r="F87" i="8"/>
  <c r="I86" i="8"/>
  <c r="G86" i="8"/>
  <c r="F86" i="8"/>
  <c r="I85" i="8"/>
  <c r="G85" i="8"/>
  <c r="F85" i="8"/>
  <c r="I84" i="8"/>
  <c r="G84" i="8"/>
  <c r="F84" i="8"/>
  <c r="I83" i="8"/>
  <c r="G83" i="8"/>
  <c r="F83" i="8"/>
  <c r="I82" i="8"/>
  <c r="G82" i="8"/>
  <c r="F82" i="8"/>
  <c r="I81" i="8"/>
  <c r="G81" i="8"/>
  <c r="F81" i="8"/>
  <c r="I80" i="8"/>
  <c r="G80" i="8"/>
  <c r="F80" i="8"/>
  <c r="I79" i="8"/>
  <c r="G79" i="8"/>
  <c r="F79" i="8"/>
  <c r="I78" i="8"/>
  <c r="G78" i="8"/>
  <c r="F78" i="8"/>
  <c r="I77" i="8"/>
  <c r="G77" i="8"/>
  <c r="F77" i="8"/>
  <c r="I76" i="8"/>
  <c r="G76" i="8"/>
  <c r="F76" i="8"/>
  <c r="I75" i="8"/>
  <c r="G75" i="8"/>
  <c r="F75" i="8"/>
  <c r="I74" i="8"/>
  <c r="G74" i="8"/>
  <c r="F74" i="8"/>
  <c r="I73" i="8"/>
  <c r="G73" i="8"/>
  <c r="F73" i="8"/>
  <c r="I72" i="8"/>
  <c r="G72" i="8"/>
  <c r="F72" i="8"/>
  <c r="I71" i="8"/>
  <c r="G71" i="8"/>
  <c r="F71" i="8"/>
  <c r="I70" i="8"/>
  <c r="G70" i="8"/>
  <c r="F70" i="8"/>
  <c r="I69" i="8"/>
  <c r="G69" i="8"/>
  <c r="F69" i="8"/>
  <c r="I68" i="8"/>
  <c r="G68" i="8"/>
  <c r="F68" i="8"/>
  <c r="I67" i="8"/>
  <c r="G67" i="8"/>
  <c r="F67" i="8"/>
  <c r="I66" i="8"/>
  <c r="G66" i="8"/>
  <c r="F66" i="8"/>
  <c r="I65" i="8"/>
  <c r="G65" i="8"/>
  <c r="F65" i="8"/>
  <c r="I64" i="8"/>
  <c r="G64" i="8"/>
  <c r="F64" i="8"/>
  <c r="I63" i="8"/>
  <c r="G63" i="8"/>
  <c r="F63" i="8"/>
  <c r="I62" i="8"/>
  <c r="G62" i="8"/>
  <c r="F62" i="8"/>
  <c r="I61" i="8"/>
  <c r="G61" i="8"/>
  <c r="F61" i="8"/>
  <c r="I60" i="8"/>
  <c r="G60" i="8"/>
  <c r="F60" i="8"/>
  <c r="I59" i="8"/>
  <c r="G59" i="8"/>
  <c r="F59" i="8"/>
  <c r="I58" i="8"/>
  <c r="G58" i="8"/>
  <c r="F58" i="8"/>
  <c r="I57" i="8"/>
  <c r="G57" i="8"/>
  <c r="F57" i="8"/>
  <c r="I56" i="8"/>
  <c r="G56" i="8"/>
  <c r="F56" i="8"/>
  <c r="I55" i="8"/>
  <c r="G55" i="8"/>
  <c r="F55" i="8"/>
  <c r="I54" i="8"/>
  <c r="G54" i="8"/>
  <c r="F54" i="8"/>
  <c r="I53" i="8"/>
  <c r="G53" i="8"/>
  <c r="F53" i="8"/>
  <c r="I52" i="8"/>
  <c r="G52" i="8"/>
  <c r="F52" i="8"/>
  <c r="I51" i="8"/>
  <c r="G51" i="8"/>
  <c r="F51" i="8"/>
  <c r="I50" i="8"/>
  <c r="G50" i="8"/>
  <c r="F50" i="8"/>
  <c r="I49" i="8"/>
  <c r="G49" i="8"/>
  <c r="F49" i="8"/>
  <c r="I48" i="8"/>
  <c r="G48" i="8"/>
  <c r="F48" i="8"/>
  <c r="I47" i="8"/>
  <c r="G47" i="8"/>
  <c r="F47" i="8"/>
  <c r="I46" i="8"/>
  <c r="G46" i="8"/>
  <c r="F46" i="8"/>
  <c r="I45" i="8"/>
  <c r="G45" i="8"/>
  <c r="F45" i="8"/>
  <c r="I44" i="8"/>
  <c r="G44" i="8"/>
  <c r="F44" i="8"/>
  <c r="I43" i="8"/>
  <c r="G43" i="8"/>
  <c r="F43" i="8"/>
  <c r="I42" i="8"/>
  <c r="G42" i="8"/>
  <c r="F42" i="8"/>
  <c r="I41" i="8"/>
  <c r="G41" i="8"/>
  <c r="F41" i="8"/>
  <c r="I40" i="8"/>
  <c r="G40" i="8"/>
  <c r="F40" i="8"/>
  <c r="I39" i="8"/>
  <c r="G39" i="8"/>
  <c r="F39" i="8"/>
  <c r="I38" i="8"/>
  <c r="G38" i="8"/>
  <c r="F38" i="8"/>
  <c r="I37" i="8"/>
  <c r="G37" i="8"/>
  <c r="F37" i="8"/>
  <c r="I36" i="8"/>
  <c r="G36" i="8"/>
  <c r="F36" i="8"/>
  <c r="I35" i="8"/>
  <c r="G35" i="8"/>
  <c r="F35" i="8"/>
  <c r="I34" i="8"/>
  <c r="G34" i="8"/>
  <c r="F34" i="8"/>
  <c r="I33" i="8"/>
  <c r="G33" i="8"/>
  <c r="F33" i="8"/>
  <c r="I32" i="8"/>
  <c r="G32" i="8"/>
  <c r="F32" i="8"/>
  <c r="I31" i="8"/>
  <c r="G31" i="8"/>
  <c r="F31" i="8"/>
  <c r="I30" i="8"/>
  <c r="G30" i="8"/>
  <c r="F30" i="8"/>
  <c r="I29" i="8"/>
  <c r="G29" i="8"/>
  <c r="F29" i="8"/>
  <c r="I28" i="8"/>
  <c r="G28" i="8"/>
  <c r="F28" i="8"/>
  <c r="I27" i="8"/>
  <c r="G27" i="8"/>
  <c r="F27" i="8"/>
  <c r="I26" i="8"/>
  <c r="G26" i="8"/>
  <c r="F26" i="8"/>
  <c r="I25" i="8"/>
  <c r="G25" i="8"/>
  <c r="F25" i="8"/>
  <c r="I24" i="8"/>
  <c r="G24" i="8"/>
  <c r="F24" i="8"/>
  <c r="I23" i="8"/>
  <c r="G23" i="8"/>
  <c r="F23" i="8"/>
  <c r="I22" i="8"/>
  <c r="G22" i="8"/>
  <c r="F22" i="8"/>
  <c r="I21" i="8"/>
  <c r="G21" i="8"/>
  <c r="F21" i="8"/>
  <c r="I20" i="8"/>
  <c r="G20" i="8"/>
  <c r="F20" i="8"/>
  <c r="I19" i="8"/>
  <c r="G19" i="8"/>
  <c r="F19" i="8"/>
  <c r="I18" i="8"/>
  <c r="G18" i="8"/>
  <c r="F18" i="8"/>
  <c r="I17" i="8"/>
  <c r="G17" i="8"/>
  <c r="F17" i="8"/>
  <c r="I16" i="8"/>
  <c r="G16" i="8"/>
  <c r="F16" i="8"/>
  <c r="I15" i="8"/>
  <c r="G15" i="8"/>
  <c r="F15" i="8"/>
  <c r="I14" i="8"/>
  <c r="G14" i="8"/>
  <c r="F14" i="8"/>
  <c r="I13" i="8"/>
  <c r="G13" i="8"/>
  <c r="F13" i="8"/>
  <c r="I12" i="8"/>
  <c r="G12" i="8"/>
  <c r="F12" i="8"/>
  <c r="I11" i="8"/>
  <c r="G11" i="8"/>
  <c r="F11" i="8"/>
  <c r="I10" i="8"/>
  <c r="G10" i="8"/>
  <c r="F10" i="8"/>
  <c r="I9" i="8"/>
  <c r="G9" i="8"/>
  <c r="F9" i="8"/>
  <c r="I8" i="8"/>
  <c r="G8" i="8"/>
  <c r="F8" i="8"/>
  <c r="I7" i="8"/>
  <c r="G7" i="8"/>
  <c r="F7" i="8"/>
  <c r="I6" i="8"/>
  <c r="G6" i="8"/>
  <c r="F6" i="8"/>
  <c r="I5" i="8"/>
  <c r="G5" i="8"/>
  <c r="F5" i="8"/>
  <c r="I4" i="8"/>
  <c r="G4" i="8"/>
  <c r="F4" i="8"/>
  <c r="I3" i="8"/>
  <c r="G3" i="8"/>
  <c r="F3" i="8"/>
  <c r="I2" i="8"/>
  <c r="G2" i="8"/>
  <c r="F2" i="8"/>
  <c r="B5" i="7"/>
  <c r="B4" i="7"/>
  <c r="B3" i="7"/>
  <c r="B2" i="7"/>
  <c r="Y224" i="6"/>
  <c r="Y223" i="6"/>
  <c r="Y222" i="6"/>
  <c r="Y221" i="6"/>
  <c r="Y220" i="6"/>
  <c r="Y219" i="6"/>
  <c r="Y218" i="6"/>
  <c r="Y217" i="6"/>
  <c r="Y216" i="6"/>
  <c r="Y215" i="6"/>
  <c r="Y214" i="6"/>
  <c r="Y213" i="6"/>
  <c r="Y212" i="6"/>
  <c r="Y211" i="6"/>
  <c r="Y210" i="6"/>
  <c r="Y209" i="6"/>
  <c r="Y208" i="6"/>
  <c r="Y207" i="6"/>
  <c r="Y206" i="6"/>
  <c r="Y205" i="6"/>
  <c r="Y204" i="6"/>
  <c r="Y203" i="6"/>
  <c r="Y202" i="6"/>
  <c r="Y201" i="6"/>
  <c r="Y200" i="6"/>
  <c r="Y199" i="6"/>
  <c r="Y198" i="6"/>
  <c r="Y197" i="6"/>
  <c r="Y196" i="6"/>
  <c r="Y195" i="6"/>
  <c r="Y194" i="6"/>
  <c r="Y193" i="6"/>
  <c r="Y192" i="6"/>
  <c r="Y191" i="6"/>
  <c r="Y190" i="6"/>
  <c r="Y189" i="6"/>
  <c r="Y188" i="6"/>
  <c r="Y187" i="6"/>
  <c r="Y186" i="6"/>
  <c r="Y185" i="6"/>
  <c r="Y184" i="6"/>
  <c r="Y183" i="6"/>
  <c r="Y182" i="6"/>
  <c r="Y181" i="6"/>
  <c r="Y180" i="6"/>
  <c r="Y179" i="6"/>
  <c r="Y178" i="6"/>
  <c r="Y177" i="6"/>
  <c r="Y176" i="6"/>
  <c r="Y175" i="6"/>
  <c r="Y174" i="6"/>
  <c r="Y173" i="6"/>
  <c r="Y172" i="6"/>
  <c r="Y171" i="6"/>
  <c r="Y170" i="6"/>
  <c r="Y169" i="6"/>
  <c r="Y168" i="6"/>
  <c r="Y167" i="6"/>
  <c r="Y166" i="6"/>
  <c r="Y165" i="6"/>
  <c r="Y164" i="6"/>
  <c r="Y163" i="6"/>
  <c r="Y162" i="6"/>
  <c r="Y161" i="6"/>
  <c r="Y160" i="6"/>
  <c r="Y159" i="6"/>
  <c r="Y158" i="6"/>
  <c r="Y157" i="6"/>
  <c r="Y156" i="6"/>
  <c r="AB155" i="6"/>
  <c r="AB154" i="6"/>
  <c r="AB153" i="6"/>
  <c r="AB152" i="6"/>
  <c r="AB151" i="6"/>
  <c r="AB148" i="6"/>
  <c r="AA148" i="6"/>
  <c r="AA147" i="6"/>
  <c r="AA145" i="6"/>
  <c r="AA144" i="6"/>
  <c r="Q144" i="6"/>
  <c r="AA143" i="6"/>
  <c r="Q143" i="6"/>
  <c r="AA142" i="6"/>
  <c r="Q142" i="6"/>
  <c r="AA141" i="6"/>
  <c r="Q141" i="6"/>
  <c r="AA140" i="6"/>
  <c r="Q140" i="6"/>
  <c r="AA139" i="6"/>
  <c r="Q139" i="6"/>
  <c r="AA138" i="6"/>
  <c r="Q138" i="6"/>
  <c r="AA137" i="6"/>
  <c r="Q137" i="6"/>
  <c r="AA136" i="6"/>
  <c r="Q136" i="6"/>
  <c r="AA135" i="6"/>
  <c r="Q135" i="6"/>
  <c r="AA134" i="6"/>
  <c r="Q134" i="6"/>
  <c r="AA133" i="6"/>
  <c r="Q133" i="6"/>
  <c r="AA132" i="6"/>
  <c r="Q132" i="6"/>
  <c r="AA130" i="6"/>
  <c r="Q130" i="6"/>
  <c r="AA129" i="6"/>
  <c r="Q129" i="6"/>
  <c r="AA128" i="6"/>
  <c r="Q128" i="6"/>
  <c r="AA127" i="6"/>
  <c r="Q127" i="6"/>
  <c r="AA126" i="6"/>
  <c r="Q126" i="6"/>
  <c r="AA125" i="6"/>
  <c r="Q125" i="6"/>
  <c r="AA124" i="6"/>
  <c r="Q124" i="6"/>
  <c r="AA123" i="6"/>
  <c r="Q123" i="6"/>
  <c r="AA122" i="6"/>
  <c r="Q122" i="6"/>
  <c r="AA120" i="6"/>
  <c r="Q120" i="6"/>
  <c r="AA119" i="6"/>
  <c r="Q119" i="6"/>
  <c r="AA118" i="6"/>
  <c r="Q118" i="6"/>
  <c r="AA117" i="6"/>
  <c r="Q117" i="6"/>
  <c r="AA116" i="6"/>
  <c r="Q116" i="6"/>
  <c r="AA115" i="6"/>
  <c r="Q115" i="6"/>
  <c r="AA114" i="6"/>
  <c r="Q114" i="6"/>
  <c r="AA113" i="6"/>
  <c r="Q113" i="6"/>
  <c r="AA112" i="6"/>
  <c r="Q112" i="6"/>
  <c r="AA111" i="6"/>
  <c r="Q111" i="6"/>
  <c r="AA110" i="6"/>
  <c r="Q110" i="6"/>
  <c r="AA109" i="6"/>
  <c r="Q109" i="6"/>
  <c r="AA108" i="6"/>
  <c r="Q108" i="6"/>
  <c r="AA107" i="6"/>
  <c r="Q107" i="6"/>
  <c r="AA106" i="6"/>
  <c r="Q106" i="6"/>
  <c r="AA105" i="6"/>
  <c r="Q105" i="6"/>
  <c r="AA104" i="6"/>
  <c r="Q104" i="6"/>
  <c r="AA103" i="6"/>
  <c r="Q103" i="6"/>
  <c r="AA102" i="6"/>
  <c r="Q102" i="6"/>
  <c r="AA101" i="6"/>
  <c r="Q101" i="6"/>
  <c r="AA100" i="6"/>
  <c r="Q100" i="6"/>
  <c r="AA99" i="6"/>
  <c r="Q99" i="6"/>
  <c r="AA98" i="6"/>
  <c r="Q98" i="6"/>
  <c r="AA97" i="6"/>
  <c r="Q97" i="6"/>
  <c r="AA96" i="6"/>
  <c r="Q96" i="6"/>
  <c r="AA95" i="6"/>
  <c r="Q95" i="6"/>
  <c r="AA94" i="6"/>
  <c r="AA93" i="6"/>
  <c r="Q93" i="6"/>
  <c r="AA92" i="6"/>
  <c r="Q92" i="6"/>
  <c r="AA91" i="6"/>
  <c r="Q91" i="6"/>
  <c r="AA90" i="6"/>
  <c r="Q90" i="6"/>
  <c r="AA89" i="6"/>
  <c r="Q89" i="6"/>
  <c r="AA88" i="6"/>
  <c r="Q88" i="6"/>
  <c r="AA87" i="6"/>
  <c r="Q87" i="6"/>
  <c r="AA86" i="6"/>
  <c r="Q86" i="6"/>
  <c r="AA84" i="6"/>
  <c r="Q84" i="6"/>
  <c r="AA83" i="6"/>
  <c r="Q83" i="6"/>
  <c r="AA81" i="6"/>
  <c r="Q81" i="6"/>
  <c r="AA80" i="6"/>
  <c r="Q80" i="6"/>
  <c r="AA79" i="6"/>
  <c r="Q79" i="6"/>
  <c r="AA78" i="6"/>
  <c r="Q78" i="6"/>
  <c r="AA77" i="6"/>
  <c r="Q77" i="6"/>
  <c r="AA76" i="6"/>
  <c r="Q76" i="6"/>
  <c r="AA75" i="6"/>
  <c r="Q75" i="6"/>
  <c r="AA74" i="6"/>
  <c r="Q74" i="6"/>
  <c r="AA73" i="6"/>
  <c r="Q73" i="6"/>
  <c r="AA72" i="6"/>
  <c r="Q72" i="6"/>
  <c r="AA71" i="6"/>
  <c r="AA70" i="6"/>
  <c r="Q70" i="6"/>
  <c r="AA69" i="6"/>
  <c r="Q69" i="6"/>
  <c r="AA68" i="6"/>
  <c r="Q68" i="6"/>
  <c r="AA67" i="6"/>
  <c r="Q67" i="6"/>
  <c r="AA66" i="6"/>
  <c r="Q66" i="6"/>
  <c r="AA65" i="6"/>
  <c r="Q65" i="6"/>
  <c r="AA64" i="6"/>
  <c r="Q64" i="6"/>
  <c r="AA63" i="6"/>
  <c r="AA62" i="6"/>
  <c r="AA61" i="6"/>
  <c r="Q61" i="6"/>
  <c r="AA60" i="6"/>
  <c r="Q60" i="6"/>
  <c r="AA59" i="6"/>
  <c r="Q59" i="6"/>
  <c r="AA58" i="6"/>
  <c r="Q58" i="6"/>
  <c r="AA57" i="6"/>
  <c r="Q57" i="6"/>
  <c r="AA56" i="6"/>
  <c r="Q56" i="6"/>
  <c r="AA55" i="6"/>
  <c r="Q55" i="6"/>
  <c r="AA54" i="6"/>
  <c r="Q54" i="6"/>
  <c r="AA53" i="6"/>
  <c r="Q53" i="6"/>
  <c r="AA52" i="6"/>
  <c r="Q52" i="6"/>
  <c r="AA51" i="6"/>
  <c r="Q51" i="6"/>
  <c r="AA49" i="6"/>
  <c r="Q49" i="6"/>
  <c r="AA48" i="6"/>
  <c r="Q48" i="6"/>
  <c r="AA47" i="6"/>
  <c r="Q47" i="6"/>
  <c r="AA46" i="6"/>
  <c r="AA45" i="6"/>
  <c r="Q45" i="6"/>
  <c r="AA44" i="6"/>
  <c r="Q44" i="6"/>
  <c r="AA43" i="6"/>
  <c r="Q43" i="6"/>
  <c r="AA42" i="6"/>
  <c r="Q42" i="6"/>
  <c r="AA41" i="6"/>
  <c r="Q41" i="6"/>
  <c r="AA40" i="6"/>
  <c r="Q40" i="6"/>
  <c r="AA39" i="6"/>
  <c r="Q39" i="6"/>
  <c r="AA37" i="6"/>
  <c r="AA36" i="6"/>
  <c r="Q36" i="6"/>
  <c r="AA35" i="6"/>
  <c r="Q35" i="6"/>
  <c r="AA34" i="6"/>
  <c r="Q34" i="6"/>
  <c r="AA33" i="6"/>
  <c r="Q33" i="6"/>
  <c r="AA32" i="6"/>
  <c r="Q32" i="6"/>
  <c r="AA31" i="6"/>
  <c r="Q31" i="6"/>
  <c r="AA30" i="6"/>
  <c r="Q30" i="6"/>
  <c r="AA29" i="6"/>
  <c r="AA28" i="6"/>
  <c r="Q28" i="6"/>
  <c r="AA27" i="6"/>
  <c r="Q27" i="6"/>
  <c r="AA26" i="6"/>
  <c r="Q26" i="6"/>
  <c r="AA25" i="6"/>
  <c r="Q25" i="6"/>
  <c r="AA24" i="6"/>
  <c r="Q24" i="6"/>
  <c r="AA23" i="6"/>
  <c r="Q23" i="6"/>
  <c r="AA22" i="6"/>
  <c r="AA21" i="6"/>
  <c r="Q21" i="6"/>
  <c r="AA20" i="6"/>
  <c r="Q20" i="6"/>
  <c r="AA19" i="6"/>
  <c r="Q19" i="6"/>
  <c r="AA18" i="6"/>
  <c r="AA17" i="6"/>
  <c r="AA16" i="6"/>
  <c r="AA15" i="6"/>
  <c r="AA14" i="6"/>
  <c r="AA13" i="6"/>
  <c r="AA12" i="6"/>
  <c r="AA11" i="6"/>
  <c r="AA10" i="6"/>
  <c r="AA9" i="6"/>
  <c r="AA8" i="6"/>
  <c r="AA7" i="6"/>
  <c r="AA6" i="6"/>
  <c r="AA5" i="6"/>
  <c r="AA4" i="6"/>
  <c r="AA3" i="6"/>
  <c r="N3" i="6"/>
  <c r="AA2" i="6"/>
  <c r="U2" i="6"/>
  <c r="U17" i="6" s="1"/>
  <c r="N2" i="6"/>
  <c r="P1" i="6"/>
  <c r="N1" i="6"/>
  <c r="F344" i="8" l="1"/>
  <c r="D7" i="32" s="1"/>
  <c r="F343" i="8"/>
  <c r="R48" i="8"/>
  <c r="R3" i="8"/>
  <c r="R2" i="8"/>
  <c r="R181" i="8"/>
  <c r="R165" i="8"/>
  <c r="R152" i="8"/>
  <c r="R138" i="8"/>
  <c r="R118" i="8"/>
  <c r="R104" i="8"/>
  <c r="R90" i="8"/>
  <c r="R76" i="8"/>
  <c r="R62" i="8"/>
  <c r="R49" i="8"/>
  <c r="R37" i="8"/>
  <c r="R25" i="8"/>
  <c r="R13" i="8"/>
  <c r="R162" i="8"/>
  <c r="R131" i="8"/>
  <c r="R100" i="8"/>
  <c r="R73" i="8"/>
  <c r="R46" i="8"/>
  <c r="R10" i="8"/>
  <c r="R85" i="8"/>
  <c r="R20" i="8"/>
  <c r="R168" i="8"/>
  <c r="R81" i="8"/>
  <c r="R140" i="8"/>
  <c r="R51" i="8"/>
  <c r="R153" i="8"/>
  <c r="R91" i="8"/>
  <c r="R199" i="8"/>
  <c r="R180" i="8"/>
  <c r="R164" i="8"/>
  <c r="R150" i="8"/>
  <c r="R135" i="8"/>
  <c r="R116" i="8"/>
  <c r="R103" i="8"/>
  <c r="R89" i="8"/>
  <c r="R75" i="8"/>
  <c r="R61" i="8"/>
  <c r="R36" i="8"/>
  <c r="R24" i="8"/>
  <c r="R12" i="8"/>
  <c r="R44" i="8"/>
  <c r="R141" i="8"/>
  <c r="R52" i="8"/>
  <c r="R185" i="8"/>
  <c r="R39" i="8"/>
  <c r="R119" i="8"/>
  <c r="R38" i="8"/>
  <c r="R197" i="8"/>
  <c r="R179" i="8"/>
  <c r="R163" i="8"/>
  <c r="R149" i="8"/>
  <c r="R132" i="8"/>
  <c r="R115" i="8"/>
  <c r="R101" i="8"/>
  <c r="R88" i="8"/>
  <c r="R74" i="8"/>
  <c r="R60" i="8"/>
  <c r="R47" i="8"/>
  <c r="R35" i="8"/>
  <c r="R23" i="8"/>
  <c r="R11" i="8"/>
  <c r="R177" i="8"/>
  <c r="R147" i="8"/>
  <c r="R114" i="8"/>
  <c r="R87" i="8"/>
  <c r="R59" i="8"/>
  <c r="R34" i="8"/>
  <c r="R22" i="8"/>
  <c r="R71" i="8"/>
  <c r="R32" i="8"/>
  <c r="R187" i="8"/>
  <c r="R40" i="8"/>
  <c r="R154" i="8"/>
  <c r="R80" i="8"/>
  <c r="R27" i="8"/>
  <c r="R166" i="8"/>
  <c r="R77" i="8"/>
  <c r="R196" i="8"/>
  <c r="R6" i="8"/>
  <c r="R94" i="8"/>
  <c r="R120" i="8"/>
  <c r="R182" i="8"/>
  <c r="R14" i="8"/>
  <c r="R194" i="8"/>
  <c r="R176" i="8"/>
  <c r="R161" i="8"/>
  <c r="R146" i="8"/>
  <c r="R130" i="8"/>
  <c r="R113" i="8"/>
  <c r="R99" i="8"/>
  <c r="R86" i="8"/>
  <c r="R72" i="8"/>
  <c r="R58" i="8"/>
  <c r="R45" i="8"/>
  <c r="R33" i="8"/>
  <c r="R21" i="8"/>
  <c r="R9" i="8"/>
  <c r="R192" i="8"/>
  <c r="R175" i="8"/>
  <c r="R160" i="8"/>
  <c r="R145" i="8"/>
  <c r="R125" i="8"/>
  <c r="R112" i="8"/>
  <c r="R98" i="8"/>
  <c r="R56" i="8"/>
  <c r="R8" i="8"/>
  <c r="R155" i="8"/>
  <c r="R28" i="8"/>
  <c r="R167" i="8"/>
  <c r="R66" i="8"/>
  <c r="R105" i="8"/>
  <c r="R50" i="8"/>
  <c r="R191" i="8"/>
  <c r="R173" i="8"/>
  <c r="R159" i="8"/>
  <c r="R144" i="8"/>
  <c r="R124" i="8"/>
  <c r="R110" i="8"/>
  <c r="R97" i="8"/>
  <c r="R84" i="8"/>
  <c r="R70" i="8"/>
  <c r="R55" i="8"/>
  <c r="R43" i="8"/>
  <c r="R31" i="8"/>
  <c r="R19" i="8"/>
  <c r="R7" i="8"/>
  <c r="R189" i="8"/>
  <c r="R172" i="8"/>
  <c r="R157" i="8"/>
  <c r="R143" i="8"/>
  <c r="R123" i="8"/>
  <c r="R109" i="8"/>
  <c r="R96" i="8"/>
  <c r="R83" i="8"/>
  <c r="R69" i="8"/>
  <c r="R54" i="8"/>
  <c r="R42" i="8"/>
  <c r="R30" i="8"/>
  <c r="R18" i="8"/>
  <c r="R107" i="8"/>
  <c r="R67" i="8"/>
  <c r="R4" i="8"/>
  <c r="R106" i="8"/>
  <c r="R65" i="8"/>
  <c r="R188" i="8"/>
  <c r="R169" i="8"/>
  <c r="R156" i="8"/>
  <c r="R142" i="8"/>
  <c r="R122" i="8"/>
  <c r="R108" i="8"/>
  <c r="R95" i="8"/>
  <c r="R82" i="8"/>
  <c r="R68" i="8"/>
  <c r="R53" i="8"/>
  <c r="R41" i="8"/>
  <c r="R29" i="8"/>
  <c r="R17" i="8"/>
  <c r="R5" i="8"/>
  <c r="R121" i="8"/>
  <c r="R16" i="8"/>
  <c r="R92" i="8"/>
  <c r="R15" i="8"/>
  <c r="R139" i="8"/>
  <c r="R26" i="8"/>
  <c r="U6" i="6"/>
  <c r="Y6" i="6" s="1"/>
  <c r="U18" i="6"/>
  <c r="Y18" i="6" s="1"/>
  <c r="U26" i="6"/>
  <c r="Y26" i="6" s="1"/>
  <c r="U12" i="6"/>
  <c r="Y12" i="6" s="1"/>
  <c r="U8" i="6"/>
  <c r="Y8" i="6" s="1"/>
  <c r="U14" i="6"/>
  <c r="Y14" i="6" s="1"/>
  <c r="U19" i="6"/>
  <c r="Y19" i="6" s="1"/>
  <c r="U10" i="6"/>
  <c r="Y10" i="6" s="1"/>
  <c r="U25" i="6"/>
  <c r="Y25" i="6" s="1"/>
  <c r="U4" i="6"/>
  <c r="Y4" i="6" s="1"/>
  <c r="U16" i="6"/>
  <c r="Y16" i="6" s="1"/>
  <c r="Y17" i="6"/>
  <c r="X17" i="6"/>
  <c r="W17" i="6"/>
  <c r="U21" i="6"/>
  <c r="U28" i="6"/>
  <c r="U23" i="6"/>
  <c r="U20" i="6"/>
  <c r="U27" i="6"/>
  <c r="U22" i="6"/>
  <c r="U24" i="6"/>
  <c r="U3" i="6"/>
  <c r="U5" i="6"/>
  <c r="U7" i="6"/>
  <c r="U9" i="6"/>
  <c r="U11" i="6"/>
  <c r="U13" i="6"/>
  <c r="U15" i="6"/>
  <c r="J1" i="8" l="1"/>
  <c r="W6" i="6"/>
  <c r="X6" i="6"/>
  <c r="X8" i="6"/>
  <c r="W10" i="6"/>
  <c r="W14" i="6"/>
  <c r="W18" i="6"/>
  <c r="X18" i="6"/>
  <c r="X19" i="6"/>
  <c r="X10" i="6"/>
  <c r="W8" i="6"/>
  <c r="X26" i="6"/>
  <c r="W16" i="6"/>
  <c r="W12" i="6"/>
  <c r="X16" i="6"/>
  <c r="W26" i="6"/>
  <c r="X14" i="6"/>
  <c r="W19" i="6"/>
  <c r="X12" i="6"/>
  <c r="X25" i="6"/>
  <c r="W4" i="6"/>
  <c r="W25" i="6"/>
  <c r="X4" i="6"/>
  <c r="X9" i="6"/>
  <c r="W9" i="6"/>
  <c r="Y9" i="6"/>
  <c r="Y7" i="6"/>
  <c r="W7" i="6"/>
  <c r="X7" i="6"/>
  <c r="T3" i="6"/>
  <c r="Y3" i="6"/>
  <c r="X3" i="6"/>
  <c r="W3" i="6"/>
  <c r="Y21" i="6"/>
  <c r="X21" i="6"/>
  <c r="W21" i="6"/>
  <c r="X5" i="6"/>
  <c r="W5" i="6"/>
  <c r="Y5" i="6"/>
  <c r="Y22" i="6"/>
  <c r="X22" i="6"/>
  <c r="W22" i="6"/>
  <c r="Y28" i="6"/>
  <c r="X28" i="6"/>
  <c r="W28" i="6"/>
  <c r="W27" i="6"/>
  <c r="Y27" i="6"/>
  <c r="X27" i="6"/>
  <c r="Y20" i="6"/>
  <c r="W20" i="6"/>
  <c r="X20" i="6"/>
  <c r="W15" i="6"/>
  <c r="Y15" i="6"/>
  <c r="X15" i="6"/>
  <c r="Y13" i="6"/>
  <c r="X13" i="6"/>
  <c r="W13" i="6"/>
  <c r="Y23" i="6"/>
  <c r="X23" i="6"/>
  <c r="W23" i="6"/>
  <c r="W24" i="6"/>
  <c r="X24" i="6"/>
  <c r="Y24" i="6"/>
  <c r="Y11" i="6"/>
  <c r="X11" i="6"/>
  <c r="W11" i="6"/>
  <c r="V370" i="3"/>
  <c r="P370" i="3"/>
  <c r="V369" i="3"/>
  <c r="P369" i="3"/>
  <c r="V368" i="3"/>
  <c r="P368" i="3"/>
  <c r="V367" i="3"/>
  <c r="P367" i="3"/>
  <c r="V366" i="3"/>
  <c r="P366" i="3"/>
  <c r="V365" i="3"/>
  <c r="P365" i="3"/>
  <c r="V364" i="3"/>
  <c r="P364" i="3"/>
  <c r="V363" i="3"/>
  <c r="P363" i="3"/>
  <c r="Z362" i="3"/>
  <c r="Y362" i="3"/>
  <c r="V362" i="3"/>
  <c r="P362" i="3"/>
  <c r="V361" i="3"/>
  <c r="P361" i="3"/>
  <c r="V360" i="3"/>
  <c r="P360" i="3"/>
  <c r="X359" i="3"/>
  <c r="Z359" i="3" s="1"/>
  <c r="V359" i="3"/>
  <c r="P359" i="3"/>
  <c r="V358" i="3"/>
  <c r="P358" i="3"/>
  <c r="V357" i="3"/>
  <c r="P357" i="3"/>
  <c r="X356" i="3"/>
  <c r="Z356" i="3" s="1"/>
  <c r="V356" i="3"/>
  <c r="P356" i="3"/>
  <c r="X355" i="3"/>
  <c r="Z355" i="3" s="1"/>
  <c r="V355" i="3"/>
  <c r="P355" i="3"/>
  <c r="V354" i="3"/>
  <c r="P354" i="3"/>
  <c r="V353" i="3"/>
  <c r="P353" i="3"/>
  <c r="X352" i="3"/>
  <c r="Z352" i="3" s="1"/>
  <c r="V352" i="3"/>
  <c r="P352" i="3"/>
  <c r="X351" i="3"/>
  <c r="Z351" i="3" s="1"/>
  <c r="V351" i="3"/>
  <c r="P351" i="3"/>
  <c r="X350" i="3"/>
  <c r="Z350" i="3" s="1"/>
  <c r="V350" i="3"/>
  <c r="P350" i="3"/>
  <c r="V349" i="3"/>
  <c r="P349" i="3"/>
  <c r="V348" i="3"/>
  <c r="P348" i="3"/>
  <c r="X347" i="3"/>
  <c r="Y347" i="3" s="1"/>
  <c r="V347" i="3"/>
  <c r="P347" i="3"/>
  <c r="X346" i="3"/>
  <c r="Z346" i="3" s="1"/>
  <c r="V346" i="3"/>
  <c r="P346" i="3"/>
  <c r="V345" i="3"/>
  <c r="P345" i="3"/>
  <c r="V344" i="3"/>
  <c r="P344" i="3"/>
  <c r="X343" i="3"/>
  <c r="Z343" i="3" s="1"/>
  <c r="V343" i="3"/>
  <c r="P343" i="3"/>
  <c r="X342" i="3"/>
  <c r="Z342" i="3" s="1"/>
  <c r="V342" i="3"/>
  <c r="P342" i="3"/>
  <c r="X341" i="3"/>
  <c r="Y341" i="3" s="1"/>
  <c r="V341" i="3"/>
  <c r="P341" i="3"/>
  <c r="X340" i="3"/>
  <c r="Z340" i="3" s="1"/>
  <c r="V340" i="3"/>
  <c r="P340" i="3"/>
  <c r="X339" i="3"/>
  <c r="Z339" i="3" s="1"/>
  <c r="V339" i="3"/>
  <c r="P339" i="3"/>
  <c r="V338" i="3"/>
  <c r="P338" i="3"/>
  <c r="X337" i="3"/>
  <c r="Y337" i="3" s="1"/>
  <c r="V337" i="3"/>
  <c r="P337" i="3"/>
  <c r="X336" i="3"/>
  <c r="Z336" i="3" s="1"/>
  <c r="V336" i="3"/>
  <c r="P336" i="3"/>
  <c r="X335" i="3"/>
  <c r="Z335" i="3" s="1"/>
  <c r="V335" i="3"/>
  <c r="P335" i="3"/>
  <c r="X334" i="3"/>
  <c r="Z334" i="3" s="1"/>
  <c r="V334" i="3"/>
  <c r="P334" i="3"/>
  <c r="V333" i="3"/>
  <c r="P333" i="3"/>
  <c r="V332" i="3"/>
  <c r="P332" i="3"/>
  <c r="X331" i="3"/>
  <c r="Z331" i="3" s="1"/>
  <c r="V331" i="3"/>
  <c r="P331" i="3"/>
  <c r="V330" i="3"/>
  <c r="P330" i="3"/>
  <c r="V329" i="3"/>
  <c r="P329" i="3"/>
  <c r="X328" i="3"/>
  <c r="Z328" i="3" s="1"/>
  <c r="V328" i="3"/>
  <c r="P328" i="3"/>
  <c r="X327" i="3"/>
  <c r="Z327" i="3" s="1"/>
  <c r="V327" i="3"/>
  <c r="P327" i="3"/>
  <c r="X326" i="3"/>
  <c r="Y326" i="3" s="1"/>
  <c r="V326" i="3"/>
  <c r="P326" i="3"/>
  <c r="V325" i="3"/>
  <c r="P325" i="3"/>
  <c r="V324" i="3"/>
  <c r="P324" i="3"/>
  <c r="X323" i="3"/>
  <c r="Z323" i="3" s="1"/>
  <c r="V323" i="3"/>
  <c r="P323" i="3"/>
  <c r="X322" i="3"/>
  <c r="Z322" i="3" s="1"/>
  <c r="V322" i="3"/>
  <c r="P322" i="3"/>
  <c r="X321" i="3"/>
  <c r="Z321" i="3" s="1"/>
  <c r="V321" i="3"/>
  <c r="P321" i="3"/>
  <c r="X320" i="3"/>
  <c r="Y320" i="3" s="1"/>
  <c r="V320" i="3"/>
  <c r="P320" i="3"/>
  <c r="V319" i="3"/>
  <c r="P319" i="3"/>
  <c r="V318" i="3"/>
  <c r="P318" i="3"/>
  <c r="V317" i="3"/>
  <c r="P317" i="3"/>
  <c r="V316" i="3"/>
  <c r="P316" i="3"/>
  <c r="Z315" i="3"/>
  <c r="Y315" i="3"/>
  <c r="V315" i="3"/>
  <c r="P315" i="3"/>
  <c r="Z314" i="3"/>
  <c r="Y314" i="3"/>
  <c r="V314" i="3"/>
  <c r="P314" i="3"/>
  <c r="Z313" i="3"/>
  <c r="Y313" i="3"/>
  <c r="V313" i="3"/>
  <c r="P313" i="3"/>
  <c r="X312" i="3"/>
  <c r="Z312" i="3" s="1"/>
  <c r="V312" i="3"/>
  <c r="P312" i="3"/>
  <c r="X311" i="3"/>
  <c r="Z311" i="3" s="1"/>
  <c r="V311" i="3"/>
  <c r="P311" i="3"/>
  <c r="X310" i="3"/>
  <c r="Y310" i="3" s="1"/>
  <c r="V310" i="3"/>
  <c r="P310" i="3"/>
  <c r="X309" i="3"/>
  <c r="Y309" i="3" s="1"/>
  <c r="V309" i="3"/>
  <c r="P309" i="3"/>
  <c r="X308" i="3"/>
  <c r="Z308" i="3" s="1"/>
  <c r="V308" i="3"/>
  <c r="P308" i="3"/>
  <c r="X307" i="3"/>
  <c r="Z307" i="3" s="1"/>
  <c r="V307" i="3"/>
  <c r="P307" i="3"/>
  <c r="X306" i="3"/>
  <c r="Z306" i="3" s="1"/>
  <c r="V306" i="3"/>
  <c r="P306" i="3"/>
  <c r="X305" i="3"/>
  <c r="Y305" i="3" s="1"/>
  <c r="V305" i="3"/>
  <c r="P305" i="3"/>
  <c r="X304" i="3"/>
  <c r="Z304" i="3" s="1"/>
  <c r="V304" i="3"/>
  <c r="P304" i="3"/>
  <c r="X303" i="3"/>
  <c r="Z303" i="3" s="1"/>
  <c r="V303" i="3"/>
  <c r="P303" i="3"/>
  <c r="P302" i="3"/>
  <c r="X301" i="3"/>
  <c r="Y301" i="3" s="1"/>
  <c r="V301" i="3"/>
  <c r="P301" i="3"/>
  <c r="X300" i="3"/>
  <c r="Z300" i="3" s="1"/>
  <c r="V300" i="3"/>
  <c r="P300" i="3"/>
  <c r="X299" i="3"/>
  <c r="Z299" i="3" s="1"/>
  <c r="V299" i="3"/>
  <c r="P299" i="3"/>
  <c r="X298" i="3"/>
  <c r="Z298" i="3" s="1"/>
  <c r="V298" i="3"/>
  <c r="P298" i="3"/>
  <c r="X297" i="3"/>
  <c r="Y297" i="3" s="1"/>
  <c r="V297" i="3"/>
  <c r="P297" i="3"/>
  <c r="X296" i="3"/>
  <c r="Z296" i="3" s="1"/>
  <c r="V296" i="3"/>
  <c r="P296" i="3"/>
  <c r="X295" i="3"/>
  <c r="Z295" i="3" s="1"/>
  <c r="V295" i="3"/>
  <c r="P295" i="3"/>
  <c r="X294" i="3"/>
  <c r="Z294" i="3" s="1"/>
  <c r="V294" i="3"/>
  <c r="P294" i="3"/>
  <c r="X293" i="3"/>
  <c r="Y293" i="3" s="1"/>
  <c r="V293" i="3"/>
  <c r="P293" i="3"/>
  <c r="X292" i="3"/>
  <c r="Z292" i="3" s="1"/>
  <c r="V292" i="3"/>
  <c r="P292" i="3"/>
  <c r="X291" i="3"/>
  <c r="Z291" i="3" s="1"/>
  <c r="V291" i="3"/>
  <c r="P291" i="3"/>
  <c r="X290" i="3"/>
  <c r="Z290" i="3" s="1"/>
  <c r="V290" i="3"/>
  <c r="P290" i="3"/>
  <c r="X289" i="3"/>
  <c r="V289" i="3"/>
  <c r="P289" i="3"/>
  <c r="X288" i="3"/>
  <c r="Z288" i="3" s="1"/>
  <c r="V288" i="3"/>
  <c r="P288" i="3"/>
  <c r="X287" i="3"/>
  <c r="Z287" i="3" s="1"/>
  <c r="V287" i="3"/>
  <c r="P287" i="3"/>
  <c r="X286" i="3"/>
  <c r="Z286" i="3" s="1"/>
  <c r="V286" i="3"/>
  <c r="P286" i="3"/>
  <c r="X285" i="3"/>
  <c r="Y285" i="3" s="1"/>
  <c r="V285" i="3"/>
  <c r="P285" i="3"/>
  <c r="X284" i="3"/>
  <c r="Z284" i="3" s="1"/>
  <c r="V284" i="3"/>
  <c r="P284" i="3"/>
  <c r="X283" i="3"/>
  <c r="Z283" i="3" s="1"/>
  <c r="V283" i="3"/>
  <c r="P283" i="3"/>
  <c r="X282" i="3"/>
  <c r="Z282" i="3" s="1"/>
  <c r="V282" i="3"/>
  <c r="P282" i="3"/>
  <c r="X281" i="3"/>
  <c r="Y281" i="3" s="1"/>
  <c r="V281" i="3"/>
  <c r="P281" i="3"/>
  <c r="X280" i="3"/>
  <c r="Z280" i="3" s="1"/>
  <c r="V280" i="3"/>
  <c r="P280" i="3"/>
  <c r="X279" i="3"/>
  <c r="Z279" i="3" s="1"/>
  <c r="V279" i="3"/>
  <c r="P279" i="3"/>
  <c r="X278" i="3"/>
  <c r="Y278" i="3" s="1"/>
  <c r="V278" i="3"/>
  <c r="P278" i="3"/>
  <c r="X277" i="3"/>
  <c r="Y277" i="3" s="1"/>
  <c r="V277" i="3"/>
  <c r="P277" i="3"/>
  <c r="X276" i="3"/>
  <c r="Z276" i="3" s="1"/>
  <c r="V276" i="3"/>
  <c r="P276" i="3"/>
  <c r="X275" i="3"/>
  <c r="Z275" i="3" s="1"/>
  <c r="V275" i="3"/>
  <c r="P275" i="3"/>
  <c r="X274" i="3"/>
  <c r="Z274" i="3" s="1"/>
  <c r="V274" i="3"/>
  <c r="P274" i="3"/>
  <c r="X273" i="3"/>
  <c r="V273" i="3"/>
  <c r="P273" i="3"/>
  <c r="X272" i="3"/>
  <c r="Z272" i="3" s="1"/>
  <c r="V272" i="3"/>
  <c r="P272" i="3"/>
  <c r="X271" i="3"/>
  <c r="Z271" i="3" s="1"/>
  <c r="V271" i="3"/>
  <c r="P271" i="3"/>
  <c r="X270" i="3"/>
  <c r="Z270" i="3" s="1"/>
  <c r="V270" i="3"/>
  <c r="P270" i="3"/>
  <c r="X269" i="3"/>
  <c r="Y269" i="3" s="1"/>
  <c r="V269" i="3"/>
  <c r="P269" i="3"/>
  <c r="X268" i="3"/>
  <c r="Z268" i="3" s="1"/>
  <c r="V268" i="3"/>
  <c r="P268" i="3"/>
  <c r="X267" i="3"/>
  <c r="Z267" i="3" s="1"/>
  <c r="V267" i="3"/>
  <c r="P267" i="3"/>
  <c r="X266" i="3"/>
  <c r="Y266" i="3" s="1"/>
  <c r="V266" i="3"/>
  <c r="P266" i="3"/>
  <c r="X265" i="3"/>
  <c r="Z265" i="3" s="1"/>
  <c r="V265" i="3"/>
  <c r="P265" i="3"/>
  <c r="X264" i="3"/>
  <c r="Z264" i="3" s="1"/>
  <c r="V264" i="3"/>
  <c r="P264" i="3"/>
  <c r="X263" i="3"/>
  <c r="Z263" i="3" s="1"/>
  <c r="V263" i="3"/>
  <c r="P263" i="3"/>
  <c r="X262" i="3"/>
  <c r="Z262" i="3" s="1"/>
  <c r="V262" i="3"/>
  <c r="P262" i="3"/>
  <c r="X261" i="3"/>
  <c r="Y261" i="3" s="1"/>
  <c r="V261" i="3"/>
  <c r="P261" i="3"/>
  <c r="X260" i="3"/>
  <c r="Z260" i="3" s="1"/>
  <c r="V260" i="3"/>
  <c r="P260" i="3"/>
  <c r="X259" i="3"/>
  <c r="Z259" i="3" s="1"/>
  <c r="V259" i="3"/>
  <c r="P259" i="3"/>
  <c r="X258" i="3"/>
  <c r="Z258" i="3" s="1"/>
  <c r="V258" i="3"/>
  <c r="P258" i="3"/>
  <c r="X257" i="3"/>
  <c r="V257" i="3"/>
  <c r="P257" i="3"/>
  <c r="X256" i="3"/>
  <c r="Z256" i="3" s="1"/>
  <c r="V256" i="3"/>
  <c r="P256" i="3"/>
  <c r="X255" i="3"/>
  <c r="Y255" i="3" s="1"/>
  <c r="V255" i="3"/>
  <c r="P255" i="3"/>
  <c r="X254" i="3"/>
  <c r="V254" i="3"/>
  <c r="P254" i="3"/>
  <c r="X253" i="3"/>
  <c r="Z253" i="3" s="1"/>
  <c r="V253" i="3"/>
  <c r="P253" i="3"/>
  <c r="X252" i="3"/>
  <c r="Z252" i="3" s="1"/>
  <c r="V252" i="3"/>
  <c r="P252" i="3"/>
  <c r="X251" i="3"/>
  <c r="Z251" i="3" s="1"/>
  <c r="V251" i="3"/>
  <c r="P251" i="3"/>
  <c r="X250" i="3"/>
  <c r="Z250" i="3" s="1"/>
  <c r="V250" i="3"/>
  <c r="P250" i="3"/>
  <c r="X249" i="3"/>
  <c r="Y249" i="3" s="1"/>
  <c r="V249" i="3"/>
  <c r="P249" i="3"/>
  <c r="X248" i="3"/>
  <c r="V248" i="3"/>
  <c r="P248" i="3"/>
  <c r="X247" i="3"/>
  <c r="Z247" i="3" s="1"/>
  <c r="V247" i="3"/>
  <c r="P247" i="3"/>
  <c r="X246" i="3"/>
  <c r="Z246" i="3" s="1"/>
  <c r="V246" i="3"/>
  <c r="P246" i="3"/>
  <c r="X245" i="3"/>
  <c r="Y245" i="3" s="1"/>
  <c r="V245" i="3"/>
  <c r="P245" i="3"/>
  <c r="X244" i="3"/>
  <c r="Z244" i="3" s="1"/>
  <c r="V244" i="3"/>
  <c r="P244" i="3"/>
  <c r="X243" i="3"/>
  <c r="Y243" i="3" s="1"/>
  <c r="V243" i="3"/>
  <c r="P243" i="3"/>
  <c r="X242" i="3"/>
  <c r="Z242" i="3" s="1"/>
  <c r="V242" i="3"/>
  <c r="P242" i="3"/>
  <c r="X241" i="3"/>
  <c r="Z241" i="3" s="1"/>
  <c r="V241" i="3"/>
  <c r="P241" i="3"/>
  <c r="X240" i="3"/>
  <c r="Z240" i="3" s="1"/>
  <c r="V240" i="3"/>
  <c r="P240" i="3"/>
  <c r="X239" i="3"/>
  <c r="Z239" i="3" s="1"/>
  <c r="V239" i="3"/>
  <c r="P239" i="3"/>
  <c r="X238" i="3"/>
  <c r="Z238" i="3" s="1"/>
  <c r="V238" i="3"/>
  <c r="P238" i="3"/>
  <c r="X237" i="3"/>
  <c r="Y237" i="3" s="1"/>
  <c r="V237" i="3"/>
  <c r="P237" i="3"/>
  <c r="X236" i="3"/>
  <c r="Z236" i="3" s="1"/>
  <c r="V236" i="3"/>
  <c r="P236" i="3"/>
  <c r="X235" i="3"/>
  <c r="Z235" i="3" s="1"/>
  <c r="V235" i="3"/>
  <c r="P235" i="3"/>
  <c r="X234" i="3"/>
  <c r="Z234" i="3" s="1"/>
  <c r="V234" i="3"/>
  <c r="P234" i="3"/>
  <c r="X233" i="3"/>
  <c r="Y233" i="3" s="1"/>
  <c r="V233" i="3"/>
  <c r="P233" i="3"/>
  <c r="X232" i="3"/>
  <c r="Z232" i="3" s="1"/>
  <c r="V232" i="3"/>
  <c r="P232" i="3"/>
  <c r="X231" i="3"/>
  <c r="Y231" i="3" s="1"/>
  <c r="V231" i="3"/>
  <c r="P231" i="3"/>
  <c r="X230" i="3"/>
  <c r="Y230" i="3" s="1"/>
  <c r="V230" i="3"/>
  <c r="P230" i="3"/>
  <c r="X229" i="3"/>
  <c r="Z229" i="3" s="1"/>
  <c r="V229" i="3"/>
  <c r="P229" i="3"/>
  <c r="X228" i="3"/>
  <c r="Z228" i="3" s="1"/>
  <c r="V228" i="3"/>
  <c r="P228" i="3"/>
  <c r="X227" i="3"/>
  <c r="Z227" i="3" s="1"/>
  <c r="V227" i="3"/>
  <c r="P227" i="3"/>
  <c r="X226" i="3"/>
  <c r="Z226" i="3" s="1"/>
  <c r="V226" i="3"/>
  <c r="P226" i="3"/>
  <c r="X225" i="3"/>
  <c r="Y225" i="3" s="1"/>
  <c r="V225" i="3"/>
  <c r="P225" i="3"/>
  <c r="X224" i="3"/>
  <c r="Y224" i="3" s="1"/>
  <c r="V224" i="3"/>
  <c r="P224" i="3"/>
  <c r="X223" i="3"/>
  <c r="Z223" i="3" s="1"/>
  <c r="V223" i="3"/>
  <c r="P223" i="3"/>
  <c r="X222" i="3"/>
  <c r="Y222" i="3" s="1"/>
  <c r="V222" i="3"/>
  <c r="P222" i="3"/>
  <c r="X221" i="3"/>
  <c r="Y221" i="3" s="1"/>
  <c r="V221" i="3"/>
  <c r="P221" i="3"/>
  <c r="X220" i="3"/>
  <c r="V220" i="3"/>
  <c r="P220" i="3"/>
  <c r="X219" i="3"/>
  <c r="Z219" i="3" s="1"/>
  <c r="V219" i="3"/>
  <c r="P219" i="3"/>
  <c r="X218" i="3"/>
  <c r="Y218" i="3" s="1"/>
  <c r="V218" i="3"/>
  <c r="P218" i="3"/>
  <c r="X217" i="3"/>
  <c r="Z217" i="3" s="1"/>
  <c r="V217" i="3"/>
  <c r="P217" i="3"/>
  <c r="X216" i="3"/>
  <c r="Z216" i="3" s="1"/>
  <c r="V216" i="3"/>
  <c r="P216" i="3"/>
  <c r="X215" i="3"/>
  <c r="V215" i="3"/>
  <c r="P215" i="3"/>
  <c r="X214" i="3"/>
  <c r="Z214" i="3" s="1"/>
  <c r="V214" i="3"/>
  <c r="P214" i="3"/>
  <c r="X213" i="3"/>
  <c r="Z213" i="3" s="1"/>
  <c r="V213" i="3"/>
  <c r="P213" i="3"/>
  <c r="X212" i="3"/>
  <c r="Y212" i="3" s="1"/>
  <c r="V212" i="3"/>
  <c r="P212" i="3"/>
  <c r="X211" i="3"/>
  <c r="V211" i="3"/>
  <c r="P211" i="3"/>
  <c r="X210" i="3"/>
  <c r="Y210" i="3" s="1"/>
  <c r="V210" i="3"/>
  <c r="P210" i="3"/>
  <c r="X209" i="3"/>
  <c r="Y209" i="3" s="1"/>
  <c r="V209" i="3"/>
  <c r="P209" i="3"/>
  <c r="X208" i="3"/>
  <c r="V208" i="3"/>
  <c r="P208" i="3"/>
  <c r="X207" i="3"/>
  <c r="V207" i="3"/>
  <c r="P207" i="3"/>
  <c r="X206" i="3"/>
  <c r="Y206" i="3" s="1"/>
  <c r="V206" i="3"/>
  <c r="P206" i="3"/>
  <c r="X205" i="3"/>
  <c r="V205" i="3"/>
  <c r="P205" i="3"/>
  <c r="X204" i="3"/>
  <c r="Z204" i="3" s="1"/>
  <c r="V204" i="3"/>
  <c r="P204" i="3"/>
  <c r="X203" i="3"/>
  <c r="Z203" i="3" s="1"/>
  <c r="V203" i="3"/>
  <c r="P203" i="3"/>
  <c r="X202" i="3"/>
  <c r="V202" i="3"/>
  <c r="P202" i="3"/>
  <c r="X201" i="3"/>
  <c r="Y201" i="3" s="1"/>
  <c r="V201" i="3"/>
  <c r="P201" i="3"/>
  <c r="X200" i="3"/>
  <c r="Z200" i="3" s="1"/>
  <c r="V200" i="3"/>
  <c r="P200" i="3"/>
  <c r="X199" i="3"/>
  <c r="Y199" i="3" s="1"/>
  <c r="V199" i="3"/>
  <c r="P199" i="3"/>
  <c r="X198" i="3"/>
  <c r="V198" i="3"/>
  <c r="P198" i="3"/>
  <c r="X197" i="3"/>
  <c r="Y197" i="3" s="1"/>
  <c r="V197" i="3"/>
  <c r="P197" i="3"/>
  <c r="X196" i="3"/>
  <c r="Y196" i="3" s="1"/>
  <c r="V196" i="3"/>
  <c r="P196" i="3"/>
  <c r="X195" i="3"/>
  <c r="V195" i="3"/>
  <c r="P195" i="3"/>
  <c r="X194" i="3"/>
  <c r="V194" i="3"/>
  <c r="P194" i="3"/>
  <c r="X193" i="3"/>
  <c r="V193" i="3"/>
  <c r="P193" i="3"/>
  <c r="X192" i="3"/>
  <c r="Z192" i="3" s="1"/>
  <c r="V192" i="3"/>
  <c r="P192" i="3"/>
  <c r="X191" i="3"/>
  <c r="Z191" i="3" s="1"/>
  <c r="V191" i="3"/>
  <c r="P191" i="3"/>
  <c r="X190" i="3"/>
  <c r="V190" i="3"/>
  <c r="P190" i="3"/>
  <c r="X189" i="3"/>
  <c r="Z189" i="3" s="1"/>
  <c r="V189" i="3"/>
  <c r="P189" i="3"/>
  <c r="X188" i="3"/>
  <c r="Z188" i="3" s="1"/>
  <c r="V188" i="3"/>
  <c r="P188" i="3"/>
  <c r="X187" i="3"/>
  <c r="V187" i="3"/>
  <c r="P187" i="3"/>
  <c r="X186" i="3"/>
  <c r="Y186" i="3" s="1"/>
  <c r="V186" i="3"/>
  <c r="P186" i="3"/>
  <c r="X185" i="3"/>
  <c r="Y185" i="3" s="1"/>
  <c r="V185" i="3"/>
  <c r="P185" i="3"/>
  <c r="X184" i="3"/>
  <c r="Y184" i="3" s="1"/>
  <c r="V184" i="3"/>
  <c r="P184" i="3"/>
  <c r="X183" i="3"/>
  <c r="Y183" i="3" s="1"/>
  <c r="V183" i="3"/>
  <c r="P183" i="3"/>
  <c r="X182" i="3"/>
  <c r="V182" i="3"/>
  <c r="P182" i="3"/>
  <c r="X181" i="3"/>
  <c r="Z181" i="3" s="1"/>
  <c r="V181" i="3"/>
  <c r="P181" i="3"/>
  <c r="X180" i="3"/>
  <c r="Z180" i="3" s="1"/>
  <c r="V180" i="3"/>
  <c r="P180" i="3"/>
  <c r="X179" i="3"/>
  <c r="Z179" i="3" s="1"/>
  <c r="V179" i="3"/>
  <c r="P179" i="3"/>
  <c r="X178" i="3"/>
  <c r="Z178" i="3" s="1"/>
  <c r="V178" i="3"/>
  <c r="P178" i="3"/>
  <c r="X177" i="3"/>
  <c r="Z177" i="3" s="1"/>
  <c r="V177" i="3"/>
  <c r="P177" i="3"/>
  <c r="X176" i="3"/>
  <c r="Y176" i="3" s="1"/>
  <c r="V176" i="3"/>
  <c r="P176" i="3"/>
  <c r="X175" i="3"/>
  <c r="V175" i="3"/>
  <c r="P175" i="3"/>
  <c r="X174" i="3"/>
  <c r="Y174" i="3" s="1"/>
  <c r="V174" i="3"/>
  <c r="P174" i="3"/>
  <c r="X173" i="3"/>
  <c r="V173" i="3"/>
  <c r="P173" i="3"/>
  <c r="X172" i="3"/>
  <c r="Y172" i="3" s="1"/>
  <c r="V172" i="3"/>
  <c r="P172" i="3"/>
  <c r="X171" i="3"/>
  <c r="Y171" i="3" s="1"/>
  <c r="V171" i="3"/>
  <c r="P171" i="3"/>
  <c r="X170" i="3"/>
  <c r="Z170" i="3" s="1"/>
  <c r="V170" i="3"/>
  <c r="P170" i="3"/>
  <c r="X169" i="3"/>
  <c r="Z169" i="3" s="1"/>
  <c r="V169" i="3"/>
  <c r="P169" i="3"/>
  <c r="X168" i="3"/>
  <c r="Z168" i="3" s="1"/>
  <c r="V168" i="3"/>
  <c r="P168" i="3"/>
  <c r="X167" i="3"/>
  <c r="Z167" i="3" s="1"/>
  <c r="V167" i="3"/>
  <c r="P167" i="3"/>
  <c r="X166" i="3"/>
  <c r="Z166" i="3" s="1"/>
  <c r="V166" i="3"/>
  <c r="P166" i="3"/>
  <c r="X165" i="3"/>
  <c r="V165" i="3"/>
  <c r="P165" i="3"/>
  <c r="X164" i="3"/>
  <c r="Z164" i="3" s="1"/>
  <c r="V164" i="3"/>
  <c r="P164" i="3"/>
  <c r="X163" i="3"/>
  <c r="V163" i="3"/>
  <c r="P163" i="3"/>
  <c r="X162" i="3"/>
  <c r="V162" i="3"/>
  <c r="P162" i="3"/>
  <c r="X161" i="3"/>
  <c r="Y161" i="3" s="1"/>
  <c r="V161" i="3"/>
  <c r="P161" i="3"/>
  <c r="X160" i="3"/>
  <c r="Y160" i="3" s="1"/>
  <c r="V160" i="3"/>
  <c r="P160" i="3"/>
  <c r="X159" i="3"/>
  <c r="Z159" i="3" s="1"/>
  <c r="V159" i="3"/>
  <c r="P159" i="3"/>
  <c r="X158" i="3"/>
  <c r="Z158" i="3" s="1"/>
  <c r="V158" i="3"/>
  <c r="P158" i="3"/>
  <c r="X157" i="3"/>
  <c r="Z157" i="3" s="1"/>
  <c r="V157" i="3"/>
  <c r="P157" i="3"/>
  <c r="X156" i="3"/>
  <c r="Z156" i="3" s="1"/>
  <c r="V156" i="3"/>
  <c r="P156" i="3"/>
  <c r="X155" i="3"/>
  <c r="Z155" i="3" s="1"/>
  <c r="V155" i="3"/>
  <c r="P155" i="3"/>
  <c r="X154" i="3"/>
  <c r="Z154" i="3" s="1"/>
  <c r="V154" i="3"/>
  <c r="P154" i="3"/>
  <c r="X153" i="3"/>
  <c r="Z153" i="3" s="1"/>
  <c r="V153" i="3"/>
  <c r="P153" i="3"/>
  <c r="X152" i="3"/>
  <c r="Z152" i="3" s="1"/>
  <c r="V152" i="3"/>
  <c r="P152" i="3"/>
  <c r="X151" i="3"/>
  <c r="V151" i="3"/>
  <c r="P151" i="3"/>
  <c r="X150" i="3"/>
  <c r="Y150" i="3" s="1"/>
  <c r="V150" i="3"/>
  <c r="P150" i="3"/>
  <c r="X149" i="3"/>
  <c r="Y149" i="3" s="1"/>
  <c r="V149" i="3"/>
  <c r="P149" i="3"/>
  <c r="X148" i="3"/>
  <c r="Y148" i="3" s="1"/>
  <c r="V148" i="3"/>
  <c r="P148" i="3"/>
  <c r="X147" i="3"/>
  <c r="Y147" i="3" s="1"/>
  <c r="V147" i="3"/>
  <c r="P147" i="3"/>
  <c r="X146" i="3"/>
  <c r="Z146" i="3" s="1"/>
  <c r="V146" i="3"/>
  <c r="P146" i="3"/>
  <c r="X145" i="3"/>
  <c r="Y145" i="3" s="1"/>
  <c r="V145" i="3"/>
  <c r="P145" i="3"/>
  <c r="X144" i="3"/>
  <c r="Y144" i="3" s="1"/>
  <c r="V144" i="3"/>
  <c r="P144" i="3"/>
  <c r="X143" i="3"/>
  <c r="V143" i="3"/>
  <c r="P143" i="3"/>
  <c r="X142" i="3"/>
  <c r="Z142" i="3" s="1"/>
  <c r="V142" i="3"/>
  <c r="P142" i="3"/>
  <c r="X141" i="3"/>
  <c r="Z141" i="3" s="1"/>
  <c r="V141" i="3"/>
  <c r="P141" i="3"/>
  <c r="X140" i="3"/>
  <c r="V140" i="3"/>
  <c r="P140" i="3"/>
  <c r="X139" i="3"/>
  <c r="V139" i="3"/>
  <c r="P139" i="3"/>
  <c r="X138" i="3"/>
  <c r="Y138" i="3" s="1"/>
  <c r="V138" i="3"/>
  <c r="P138" i="3"/>
  <c r="X137" i="3"/>
  <c r="Z137" i="3" s="1"/>
  <c r="V137" i="3"/>
  <c r="P137" i="3"/>
  <c r="X136" i="3"/>
  <c r="Y136" i="3" s="1"/>
  <c r="V136" i="3"/>
  <c r="P136" i="3"/>
  <c r="X135" i="3"/>
  <c r="Z135" i="3" s="1"/>
  <c r="V135" i="3"/>
  <c r="P135" i="3"/>
  <c r="X134" i="3"/>
  <c r="Z134" i="3" s="1"/>
  <c r="V134" i="3"/>
  <c r="P134" i="3"/>
  <c r="X133" i="3"/>
  <c r="Z133" i="3" s="1"/>
  <c r="V133" i="3"/>
  <c r="P133" i="3"/>
  <c r="X132" i="3"/>
  <c r="Y132" i="3" s="1"/>
  <c r="V132" i="3"/>
  <c r="P132" i="3"/>
  <c r="X131" i="3"/>
  <c r="Y131" i="3" s="1"/>
  <c r="V131" i="3"/>
  <c r="P131" i="3"/>
  <c r="X130" i="3"/>
  <c r="Z130" i="3" s="1"/>
  <c r="V130" i="3"/>
  <c r="P130" i="3"/>
  <c r="X129" i="3"/>
  <c r="Y129" i="3" s="1"/>
  <c r="V129" i="3"/>
  <c r="P129" i="3"/>
  <c r="X128" i="3"/>
  <c r="Y128" i="3" s="1"/>
  <c r="V128" i="3"/>
  <c r="P128" i="3"/>
  <c r="X127" i="3"/>
  <c r="V127" i="3"/>
  <c r="P127" i="3"/>
  <c r="X126" i="3"/>
  <c r="Z126" i="3" s="1"/>
  <c r="V126" i="3"/>
  <c r="P126" i="3"/>
  <c r="X125" i="3"/>
  <c r="Z125" i="3" s="1"/>
  <c r="V125" i="3"/>
  <c r="P125" i="3"/>
  <c r="X124" i="3"/>
  <c r="Z124" i="3" s="1"/>
  <c r="V124" i="3"/>
  <c r="P124" i="3"/>
  <c r="X123" i="3"/>
  <c r="Z123" i="3" s="1"/>
  <c r="V123" i="3"/>
  <c r="P123" i="3"/>
  <c r="X122" i="3"/>
  <c r="Z122" i="3" s="1"/>
  <c r="V122" i="3"/>
  <c r="P122" i="3"/>
  <c r="X121" i="3"/>
  <c r="Z121" i="3" s="1"/>
  <c r="V121" i="3"/>
  <c r="P121" i="3"/>
  <c r="X120" i="3"/>
  <c r="Y120" i="3" s="1"/>
  <c r="V120" i="3"/>
  <c r="P120" i="3"/>
  <c r="X119" i="3"/>
  <c r="Z119" i="3" s="1"/>
  <c r="V119" i="3"/>
  <c r="P119" i="3"/>
  <c r="X118" i="3"/>
  <c r="Y118" i="3" s="1"/>
  <c r="V118" i="3"/>
  <c r="P118" i="3"/>
  <c r="X117" i="3"/>
  <c r="Z117" i="3" s="1"/>
  <c r="V117" i="3"/>
  <c r="P117" i="3"/>
  <c r="X116" i="3"/>
  <c r="Z116" i="3" s="1"/>
  <c r="V116" i="3"/>
  <c r="P116" i="3"/>
  <c r="X115" i="3"/>
  <c r="V115" i="3"/>
  <c r="P115" i="3"/>
  <c r="X114" i="3"/>
  <c r="Y114" i="3" s="1"/>
  <c r="V114" i="3"/>
  <c r="P114" i="3"/>
  <c r="X113" i="3"/>
  <c r="Z113" i="3" s="1"/>
  <c r="V113" i="3"/>
  <c r="P113" i="3"/>
  <c r="X112" i="3"/>
  <c r="Z112" i="3" s="1"/>
  <c r="V112" i="3"/>
  <c r="P112" i="3"/>
  <c r="X111" i="3"/>
  <c r="Y111" i="3" s="1"/>
  <c r="V111" i="3"/>
  <c r="P111" i="3"/>
  <c r="X110" i="3"/>
  <c r="Z110" i="3" s="1"/>
  <c r="V110" i="3"/>
  <c r="P110" i="3"/>
  <c r="X109" i="3"/>
  <c r="V109" i="3"/>
  <c r="P109" i="3"/>
  <c r="X108" i="3"/>
  <c r="Y108" i="3" s="1"/>
  <c r="V108" i="3"/>
  <c r="P108" i="3"/>
  <c r="X107" i="3"/>
  <c r="Z107" i="3" s="1"/>
  <c r="V107" i="3"/>
  <c r="P107" i="3"/>
  <c r="X106" i="3"/>
  <c r="Z106" i="3" s="1"/>
  <c r="V106" i="3"/>
  <c r="P106" i="3"/>
  <c r="X105" i="3"/>
  <c r="Z105" i="3" s="1"/>
  <c r="V105" i="3"/>
  <c r="P105" i="3"/>
  <c r="X104" i="3"/>
  <c r="Y104" i="3" s="1"/>
  <c r="V104" i="3"/>
  <c r="P104" i="3"/>
  <c r="X103" i="3"/>
  <c r="V103" i="3"/>
  <c r="P103" i="3"/>
  <c r="X102" i="3"/>
  <c r="Z102" i="3" s="1"/>
  <c r="V102" i="3"/>
  <c r="P102" i="3"/>
  <c r="X101" i="3"/>
  <c r="Y101" i="3" s="1"/>
  <c r="V101" i="3"/>
  <c r="P101" i="3"/>
  <c r="X100" i="3"/>
  <c r="Y100" i="3" s="1"/>
  <c r="V100" i="3"/>
  <c r="P100" i="3"/>
  <c r="X99" i="3"/>
  <c r="Z99" i="3" s="1"/>
  <c r="V99" i="3"/>
  <c r="P99" i="3"/>
  <c r="X98" i="3"/>
  <c r="Z98" i="3" s="1"/>
  <c r="V98" i="3"/>
  <c r="P98" i="3"/>
  <c r="X97" i="3"/>
  <c r="Z97" i="3" s="1"/>
  <c r="V97" i="3"/>
  <c r="P97" i="3"/>
  <c r="X96" i="3"/>
  <c r="Y96" i="3" s="1"/>
  <c r="V96" i="3"/>
  <c r="P96" i="3"/>
  <c r="X95" i="3"/>
  <c r="Z95" i="3" s="1"/>
  <c r="V95" i="3"/>
  <c r="P95" i="3"/>
  <c r="X94" i="3"/>
  <c r="Z94" i="3" s="1"/>
  <c r="V94" i="3"/>
  <c r="P94" i="3"/>
  <c r="X93" i="3"/>
  <c r="Y93" i="3" s="1"/>
  <c r="V93" i="3"/>
  <c r="P93" i="3"/>
  <c r="X92" i="3"/>
  <c r="Z92" i="3" s="1"/>
  <c r="V92" i="3"/>
  <c r="P92" i="3"/>
  <c r="X91" i="3"/>
  <c r="V91" i="3"/>
  <c r="P91" i="3"/>
  <c r="X90" i="3"/>
  <c r="Z90" i="3" s="1"/>
  <c r="V90" i="3"/>
  <c r="P90" i="3"/>
  <c r="X89" i="3"/>
  <c r="Z89" i="3" s="1"/>
  <c r="V89" i="3"/>
  <c r="P89" i="3"/>
  <c r="X88" i="3"/>
  <c r="Z88" i="3" s="1"/>
  <c r="V88" i="3"/>
  <c r="P88" i="3"/>
  <c r="X87" i="3"/>
  <c r="Z87" i="3" s="1"/>
  <c r="V87" i="3"/>
  <c r="P87" i="3"/>
  <c r="X86" i="3"/>
  <c r="Z86" i="3" s="1"/>
  <c r="V86" i="3"/>
  <c r="P86" i="3"/>
  <c r="X85" i="3"/>
  <c r="Z85" i="3" s="1"/>
  <c r="V85" i="3"/>
  <c r="P85" i="3"/>
  <c r="X84" i="3"/>
  <c r="V84" i="3"/>
  <c r="P84" i="3"/>
  <c r="X83" i="3"/>
  <c r="Z83" i="3" s="1"/>
  <c r="V83" i="3"/>
  <c r="P83" i="3"/>
  <c r="X82" i="3"/>
  <c r="Y82" i="3" s="1"/>
  <c r="V82" i="3"/>
  <c r="P82" i="3"/>
  <c r="X81" i="3"/>
  <c r="Z81" i="3" s="1"/>
  <c r="V81" i="3"/>
  <c r="P81" i="3"/>
  <c r="X80" i="3"/>
  <c r="Y80" i="3" s="1"/>
  <c r="V80" i="3"/>
  <c r="P80" i="3"/>
  <c r="X79" i="3"/>
  <c r="V79" i="3"/>
  <c r="P79" i="3"/>
  <c r="X78" i="3"/>
  <c r="Y78" i="3" s="1"/>
  <c r="V78" i="3"/>
  <c r="P78" i="3"/>
  <c r="X77" i="3"/>
  <c r="Z77" i="3" s="1"/>
  <c r="V77" i="3"/>
  <c r="P77" i="3"/>
  <c r="X76" i="3"/>
  <c r="Z76" i="3" s="1"/>
  <c r="V76" i="3"/>
  <c r="P76" i="3"/>
  <c r="X75" i="3"/>
  <c r="Z75" i="3" s="1"/>
  <c r="V75" i="3"/>
  <c r="P75" i="3"/>
  <c r="X74" i="3"/>
  <c r="Z74" i="3" s="1"/>
  <c r="V74" i="3"/>
  <c r="P74" i="3"/>
  <c r="X73" i="3"/>
  <c r="Y73" i="3" s="1"/>
  <c r="V73" i="3"/>
  <c r="P73" i="3"/>
  <c r="X72" i="3"/>
  <c r="Y72" i="3" s="1"/>
  <c r="V72" i="3"/>
  <c r="P72" i="3"/>
  <c r="X71" i="3"/>
  <c r="Z71" i="3" s="1"/>
  <c r="V71" i="3"/>
  <c r="P71" i="3"/>
  <c r="X70" i="3"/>
  <c r="Y70" i="3" s="1"/>
  <c r="V70" i="3"/>
  <c r="P70" i="3"/>
  <c r="X69" i="3"/>
  <c r="Z69" i="3" s="1"/>
  <c r="V69" i="3"/>
  <c r="P69" i="3"/>
  <c r="X68" i="3"/>
  <c r="Y68" i="3" s="1"/>
  <c r="V68" i="3"/>
  <c r="P68" i="3"/>
  <c r="X67" i="3"/>
  <c r="V67" i="3"/>
  <c r="P67" i="3"/>
  <c r="X66" i="3"/>
  <c r="Z66" i="3" s="1"/>
  <c r="V66" i="3"/>
  <c r="P66" i="3"/>
  <c r="X65" i="3"/>
  <c r="V65" i="3"/>
  <c r="P65" i="3"/>
  <c r="X64" i="3"/>
  <c r="Y64" i="3" s="1"/>
  <c r="V64" i="3"/>
  <c r="P64" i="3"/>
  <c r="X63" i="3"/>
  <c r="Z63" i="3" s="1"/>
  <c r="V63" i="3"/>
  <c r="P63" i="3"/>
  <c r="X62" i="3"/>
  <c r="V62" i="3"/>
  <c r="P62" i="3"/>
  <c r="X61" i="3"/>
  <c r="Z61" i="3" s="1"/>
  <c r="V61" i="3"/>
  <c r="P61" i="3"/>
  <c r="X60" i="3"/>
  <c r="Y60" i="3" s="1"/>
  <c r="V60" i="3"/>
  <c r="P60" i="3"/>
  <c r="X59" i="3"/>
  <c r="V59" i="3"/>
  <c r="P59" i="3"/>
  <c r="X58" i="3"/>
  <c r="Z58" i="3" s="1"/>
  <c r="V58" i="3"/>
  <c r="P58" i="3"/>
  <c r="X57" i="3"/>
  <c r="Z57" i="3" s="1"/>
  <c r="V57" i="3"/>
  <c r="P57" i="3"/>
  <c r="X56" i="3"/>
  <c r="Y56" i="3" s="1"/>
  <c r="V56" i="3"/>
  <c r="P56" i="3"/>
  <c r="X55" i="3"/>
  <c r="V55" i="3"/>
  <c r="P55" i="3"/>
  <c r="X54" i="3"/>
  <c r="Y54" i="3" s="1"/>
  <c r="V54" i="3"/>
  <c r="P54" i="3"/>
  <c r="X53" i="3"/>
  <c r="Z53" i="3" s="1"/>
  <c r="V53" i="3"/>
  <c r="P53" i="3"/>
  <c r="X52" i="3"/>
  <c r="Y52" i="3" s="1"/>
  <c r="V52" i="3"/>
  <c r="P52" i="3"/>
  <c r="X51" i="3"/>
  <c r="Z51" i="3" s="1"/>
  <c r="V51" i="3"/>
  <c r="P51" i="3"/>
  <c r="X50" i="3"/>
  <c r="Z50" i="3" s="1"/>
  <c r="V50" i="3"/>
  <c r="P50" i="3"/>
  <c r="X49" i="3"/>
  <c r="Y49" i="3" s="1"/>
  <c r="V49" i="3"/>
  <c r="P49" i="3"/>
  <c r="X48" i="3"/>
  <c r="Y48" i="3" s="1"/>
  <c r="V48" i="3"/>
  <c r="P48" i="3"/>
  <c r="X47" i="3"/>
  <c r="Z47" i="3" s="1"/>
  <c r="V47" i="3"/>
  <c r="P47" i="3"/>
  <c r="V46" i="3"/>
  <c r="P46" i="3"/>
  <c r="V45" i="3"/>
  <c r="P45" i="3"/>
  <c r="V44" i="3"/>
  <c r="P44" i="3"/>
  <c r="X43" i="3"/>
  <c r="Y43" i="3" s="1"/>
  <c r="V43" i="3"/>
  <c r="P43" i="3"/>
  <c r="V42" i="3"/>
  <c r="P42" i="3"/>
  <c r="X41" i="3"/>
  <c r="Z41" i="3" s="1"/>
  <c r="V41" i="3"/>
  <c r="P41" i="3"/>
  <c r="V40" i="3"/>
  <c r="P40" i="3"/>
  <c r="X39" i="3"/>
  <c r="Y39" i="3" s="1"/>
  <c r="V39" i="3"/>
  <c r="P39" i="3"/>
  <c r="V38" i="3"/>
  <c r="P38" i="3"/>
  <c r="X37" i="3"/>
  <c r="V37" i="3"/>
  <c r="P37" i="3"/>
  <c r="X36" i="3"/>
  <c r="Y36" i="3" s="1"/>
  <c r="V36" i="3"/>
  <c r="P36" i="3"/>
  <c r="X35" i="3"/>
  <c r="Z35" i="3" s="1"/>
  <c r="V35" i="3"/>
  <c r="P35" i="3"/>
  <c r="V34" i="3"/>
  <c r="P34" i="3"/>
  <c r="X33" i="3"/>
  <c r="Y33" i="3" s="1"/>
  <c r="V33" i="3"/>
  <c r="P33" i="3"/>
  <c r="X32" i="3"/>
  <c r="Z32" i="3" s="1"/>
  <c r="V32" i="3"/>
  <c r="P32" i="3"/>
  <c r="X31" i="3"/>
  <c r="Z31" i="3" s="1"/>
  <c r="V31" i="3"/>
  <c r="P31" i="3"/>
  <c r="X30" i="3"/>
  <c r="Y30" i="3" s="1"/>
  <c r="V30" i="3"/>
  <c r="P30" i="3"/>
  <c r="X29" i="3"/>
  <c r="Z29" i="3" s="1"/>
  <c r="V29" i="3"/>
  <c r="P29" i="3"/>
  <c r="X28" i="3"/>
  <c r="V28" i="3"/>
  <c r="P28" i="3"/>
  <c r="X27" i="3"/>
  <c r="Y27" i="3" s="1"/>
  <c r="V27" i="3"/>
  <c r="P27" i="3"/>
  <c r="X26" i="3"/>
  <c r="Z26" i="3" s="1"/>
  <c r="V26" i="3"/>
  <c r="P26" i="3"/>
  <c r="X25" i="3"/>
  <c r="Y25" i="3" s="1"/>
  <c r="V25" i="3"/>
  <c r="P25" i="3"/>
  <c r="X24" i="3"/>
  <c r="V24" i="3"/>
  <c r="P24" i="3"/>
  <c r="X23" i="3"/>
  <c r="Z23" i="3" s="1"/>
  <c r="V23" i="3"/>
  <c r="P23" i="3"/>
  <c r="X22" i="3"/>
  <c r="Z22" i="3" s="1"/>
  <c r="V22" i="3"/>
  <c r="P22" i="3"/>
  <c r="X21" i="3"/>
  <c r="Y21" i="3" s="1"/>
  <c r="V21" i="3"/>
  <c r="P21" i="3"/>
  <c r="X20" i="3"/>
  <c r="Z20" i="3" s="1"/>
  <c r="V20" i="3"/>
  <c r="P20" i="3"/>
  <c r="X19" i="3"/>
  <c r="Z19" i="3" s="1"/>
  <c r="V19" i="3"/>
  <c r="P19" i="3"/>
  <c r="X18" i="3"/>
  <c r="Y18" i="3" s="1"/>
  <c r="V18" i="3"/>
  <c r="P18" i="3"/>
  <c r="X17" i="3"/>
  <c r="Y17" i="3" s="1"/>
  <c r="V17" i="3"/>
  <c r="P17" i="3"/>
  <c r="X16" i="3"/>
  <c r="Z16" i="3" s="1"/>
  <c r="V16" i="3"/>
  <c r="P16" i="3"/>
  <c r="X15" i="3"/>
  <c r="Z15" i="3" s="1"/>
  <c r="V15" i="3"/>
  <c r="P15" i="3"/>
  <c r="X14" i="3"/>
  <c r="Y14" i="3" s="1"/>
  <c r="V14" i="3"/>
  <c r="P14" i="3"/>
  <c r="X13" i="3"/>
  <c r="Z13" i="3" s="1"/>
  <c r="V13" i="3"/>
  <c r="P13" i="3"/>
  <c r="X12" i="3"/>
  <c r="Z12" i="3" s="1"/>
  <c r="V12" i="3"/>
  <c r="P12" i="3"/>
  <c r="X11" i="3"/>
  <c r="Z11" i="3" s="1"/>
  <c r="V11" i="3"/>
  <c r="P11" i="3"/>
  <c r="X10" i="3"/>
  <c r="V10" i="3"/>
  <c r="P10" i="3"/>
  <c r="X9" i="3"/>
  <c r="Z9" i="3" s="1"/>
  <c r="V9" i="3"/>
  <c r="P9" i="3"/>
  <c r="X8" i="3"/>
  <c r="Z8" i="3" s="1"/>
  <c r="V8" i="3"/>
  <c r="P8" i="3"/>
  <c r="X7" i="3"/>
  <c r="Z7" i="3" s="1"/>
  <c r="V7" i="3"/>
  <c r="P7" i="3"/>
  <c r="X6" i="3"/>
  <c r="Z6" i="3" s="1"/>
  <c r="V6" i="3"/>
  <c r="P6" i="3"/>
  <c r="X5" i="3"/>
  <c r="Y5" i="3" s="1"/>
  <c r="V5" i="3"/>
  <c r="P5" i="3"/>
  <c r="X4" i="3"/>
  <c r="Z4" i="3" s="1"/>
  <c r="V4" i="3"/>
  <c r="P4" i="3"/>
  <c r="X3" i="3"/>
  <c r="V3" i="3"/>
  <c r="T3" i="3"/>
  <c r="S3" i="3"/>
  <c r="P3" i="3"/>
  <c r="AB2" i="3"/>
  <c r="AB25" i="3" s="1"/>
  <c r="X2" i="3"/>
  <c r="Z2" i="3" s="1"/>
  <c r="V2" i="3"/>
  <c r="S2" i="3"/>
  <c r="P2" i="3"/>
  <c r="AG1" i="3"/>
  <c r="X1" i="3"/>
  <c r="U1" i="3"/>
  <c r="T1" i="3"/>
  <c r="S1" i="3"/>
  <c r="AB90" i="6" l="1"/>
  <c r="AB86" i="6"/>
  <c r="AB80" i="6"/>
  <c r="AB76" i="6"/>
  <c r="AB72" i="6"/>
  <c r="AB45" i="6"/>
  <c r="AB27" i="6"/>
  <c r="AB23" i="6"/>
  <c r="AB13" i="6"/>
  <c r="AB7" i="6"/>
  <c r="AB67" i="6"/>
  <c r="AB63" i="6"/>
  <c r="AB35" i="6"/>
  <c r="AB31" i="6"/>
  <c r="AB144" i="6"/>
  <c r="AB140" i="6"/>
  <c r="AB136" i="6"/>
  <c r="AB132" i="6"/>
  <c r="AB127" i="6"/>
  <c r="AB123" i="6"/>
  <c r="AB118" i="6"/>
  <c r="AB114" i="6"/>
  <c r="AB110" i="6"/>
  <c r="AB106" i="6"/>
  <c r="AB102" i="6"/>
  <c r="AB98" i="6"/>
  <c r="AB94" i="6"/>
  <c r="AB18" i="6"/>
  <c r="AB12" i="6"/>
  <c r="AB55" i="6"/>
  <c r="AB58" i="6"/>
  <c r="AB54" i="6"/>
  <c r="AB49" i="6"/>
  <c r="AB40" i="6"/>
  <c r="AB6" i="6"/>
  <c r="AB51" i="6"/>
  <c r="AB19" i="6"/>
  <c r="AB93" i="6"/>
  <c r="AB89" i="6"/>
  <c r="AB84" i="6"/>
  <c r="AB79" i="6"/>
  <c r="AB75" i="6"/>
  <c r="AB62" i="6"/>
  <c r="AB26" i="6"/>
  <c r="AB22" i="6"/>
  <c r="AB70" i="6"/>
  <c r="AB66" i="6"/>
  <c r="AB34" i="6"/>
  <c r="AB17" i="6"/>
  <c r="AB11" i="6"/>
  <c r="AB5" i="6"/>
  <c r="AB21" i="6"/>
  <c r="AB2" i="6"/>
  <c r="AB143" i="6"/>
  <c r="AB139" i="6"/>
  <c r="AB135" i="6"/>
  <c r="AB130" i="6"/>
  <c r="AB126" i="6"/>
  <c r="AB122" i="6"/>
  <c r="AB117" i="6"/>
  <c r="AB113" i="6"/>
  <c r="AB109" i="6"/>
  <c r="AB105" i="6"/>
  <c r="AB101" i="6"/>
  <c r="AB97" i="6"/>
  <c r="AB30" i="6"/>
  <c r="AB61" i="6"/>
  <c r="AB57" i="6"/>
  <c r="AB53" i="6"/>
  <c r="AB48" i="6"/>
  <c r="AB43" i="6"/>
  <c r="AB39" i="6"/>
  <c r="AB92" i="6"/>
  <c r="AB88" i="6"/>
  <c r="AB83" i="6"/>
  <c r="AB78" i="6"/>
  <c r="AB74" i="6"/>
  <c r="AB25" i="6"/>
  <c r="AB16" i="6"/>
  <c r="AB10" i="6"/>
  <c r="AB4" i="6"/>
  <c r="AB52" i="6"/>
  <c r="AB37" i="6"/>
  <c r="AB20" i="6"/>
  <c r="AB15" i="6"/>
  <c r="AB9" i="6"/>
  <c r="AB14" i="6"/>
  <c r="AB8" i="6"/>
  <c r="AB142" i="6"/>
  <c r="AB138" i="6"/>
  <c r="AB134" i="6"/>
  <c r="AB129" i="6"/>
  <c r="AB125" i="6"/>
  <c r="AB120" i="6"/>
  <c r="AB116" i="6"/>
  <c r="AB112" i="6"/>
  <c r="AB108" i="6"/>
  <c r="AB104" i="6"/>
  <c r="AB100" i="6"/>
  <c r="AB96" i="6"/>
  <c r="AB69" i="6"/>
  <c r="AB65" i="6"/>
  <c r="AB33" i="6"/>
  <c r="AB29" i="6"/>
  <c r="AB42" i="6"/>
  <c r="AB68" i="6"/>
  <c r="AB145" i="6"/>
  <c r="AB60" i="6"/>
  <c r="AB56" i="6"/>
  <c r="AB47" i="6"/>
  <c r="AB3" i="6"/>
  <c r="AB64" i="6"/>
  <c r="AB32" i="6"/>
  <c r="AB147" i="6"/>
  <c r="AB91" i="6"/>
  <c r="AB87" i="6"/>
  <c r="AB81" i="6"/>
  <c r="AB77" i="6"/>
  <c r="AB73" i="6"/>
  <c r="AB28" i="6"/>
  <c r="AB24" i="6"/>
  <c r="AB36" i="6"/>
  <c r="AB41" i="6"/>
  <c r="AB141" i="6"/>
  <c r="AB137" i="6"/>
  <c r="AB133" i="6"/>
  <c r="AB128" i="6"/>
  <c r="AB124" i="6"/>
  <c r="AB119" i="6"/>
  <c r="AB115" i="6"/>
  <c r="AB111" i="6"/>
  <c r="AB107" i="6"/>
  <c r="AB103" i="6"/>
  <c r="AB99" i="6"/>
  <c r="AB95" i="6"/>
  <c r="AB59" i="6"/>
  <c r="Y253" i="3"/>
  <c r="Y352" i="3"/>
  <c r="Y321" i="3"/>
  <c r="Z310" i="3"/>
  <c r="Z347" i="3"/>
  <c r="Y262" i="3"/>
  <c r="Y290" i="3"/>
  <c r="Z201" i="3"/>
  <c r="Z269" i="3"/>
  <c r="Y280" i="3"/>
  <c r="Z277" i="3"/>
  <c r="Y284" i="3"/>
  <c r="Z278" i="3"/>
  <c r="Z293" i="3"/>
  <c r="Z281" i="3"/>
  <c r="Y241" i="3"/>
  <c r="Z285" i="3"/>
  <c r="Y292" i="3"/>
  <c r="Y304" i="3"/>
  <c r="Z337" i="3"/>
  <c r="Z341" i="3"/>
  <c r="Y272" i="3"/>
  <c r="Y296" i="3"/>
  <c r="Y179" i="3"/>
  <c r="Z128" i="3"/>
  <c r="Z206" i="3"/>
  <c r="Z101" i="3"/>
  <c r="Y238" i="3"/>
  <c r="AB8" i="3"/>
  <c r="AF8" i="3" s="1"/>
  <c r="Y189" i="3"/>
  <c r="Z212" i="3"/>
  <c r="Z176" i="3"/>
  <c r="Z221" i="3"/>
  <c r="Z266" i="3"/>
  <c r="Z301" i="3"/>
  <c r="Z225" i="3"/>
  <c r="Y250" i="3"/>
  <c r="Z309" i="3"/>
  <c r="Y312" i="3"/>
  <c r="Z320" i="3"/>
  <c r="Y11" i="3"/>
  <c r="Y117" i="3"/>
  <c r="Z18" i="3"/>
  <c r="Y15" i="3"/>
  <c r="Y63" i="3"/>
  <c r="Z144" i="3"/>
  <c r="Y95" i="3"/>
  <c r="Y35" i="3"/>
  <c r="Y57" i="3"/>
  <c r="Z138" i="3"/>
  <c r="Z131" i="3"/>
  <c r="Y166" i="3"/>
  <c r="Z222" i="3"/>
  <c r="Z243" i="3"/>
  <c r="Z261" i="3"/>
  <c r="Z237" i="3"/>
  <c r="Y265" i="3"/>
  <c r="Z230" i="3"/>
  <c r="Z255" i="3"/>
  <c r="Z326" i="3"/>
  <c r="Z224" i="3"/>
  <c r="Z231" i="3"/>
  <c r="Z249" i="3"/>
  <c r="Z193" i="3"/>
  <c r="Y193" i="3"/>
  <c r="Y273" i="3"/>
  <c r="Z273" i="3"/>
  <c r="Z73" i="3"/>
  <c r="Z80" i="3"/>
  <c r="Z111" i="3"/>
  <c r="Z118" i="3"/>
  <c r="Y155" i="3"/>
  <c r="Z182" i="3"/>
  <c r="Y182" i="3"/>
  <c r="Y257" i="3"/>
  <c r="Z257" i="3"/>
  <c r="Y162" i="3"/>
  <c r="Z162" i="3"/>
  <c r="Z5" i="3"/>
  <c r="AB15" i="3"/>
  <c r="AF15" i="3" s="1"/>
  <c r="Y26" i="3"/>
  <c r="Z36" i="3"/>
  <c r="Y77" i="3"/>
  <c r="Y84" i="3"/>
  <c r="Z84" i="3"/>
  <c r="Y122" i="3"/>
  <c r="Y125" i="3"/>
  <c r="Y204" i="3"/>
  <c r="Y211" i="3"/>
  <c r="Z211" i="3"/>
  <c r="Z30" i="3"/>
  <c r="Z33" i="3"/>
  <c r="Z49" i="3"/>
  <c r="Z108" i="3"/>
  <c r="Y142" i="3"/>
  <c r="Z145" i="3"/>
  <c r="Y173" i="3"/>
  <c r="Z173" i="3"/>
  <c r="Z190" i="3"/>
  <c r="Y190" i="3"/>
  <c r="Z218" i="3"/>
  <c r="Y260" i="3"/>
  <c r="Y41" i="3"/>
  <c r="Z60" i="3"/>
  <c r="Z149" i="3"/>
  <c r="Y198" i="3"/>
  <c r="Z198" i="3"/>
  <c r="Y71" i="3"/>
  <c r="Z205" i="3"/>
  <c r="Y205" i="3"/>
  <c r="Z215" i="3"/>
  <c r="Y215" i="3"/>
  <c r="Y229" i="3"/>
  <c r="Y10" i="3"/>
  <c r="Z10" i="3"/>
  <c r="Z64" i="3"/>
  <c r="Y109" i="3"/>
  <c r="Z109" i="3"/>
  <c r="Z136" i="3"/>
  <c r="Z3" i="3"/>
  <c r="Y3" i="3"/>
  <c r="Z54" i="3"/>
  <c r="Z68" i="3"/>
  <c r="Y89" i="3"/>
  <c r="Y99" i="3"/>
  <c r="Y106" i="3"/>
  <c r="Y133" i="3"/>
  <c r="Z143" i="3"/>
  <c r="Y143" i="3"/>
  <c r="Y164" i="3"/>
  <c r="Z174" i="3"/>
  <c r="Y177" i="3"/>
  <c r="Y180" i="3"/>
  <c r="Z202" i="3"/>
  <c r="Y202" i="3"/>
  <c r="Z254" i="3"/>
  <c r="Y254" i="3"/>
  <c r="Z82" i="3"/>
  <c r="Y140" i="3"/>
  <c r="Z140" i="3"/>
  <c r="Y154" i="3"/>
  <c r="Y167" i="3"/>
  <c r="Z199" i="3"/>
  <c r="Z65" i="3"/>
  <c r="Y65" i="3"/>
  <c r="Y86" i="3"/>
  <c r="Z93" i="3"/>
  <c r="Z96" i="3"/>
  <c r="Y124" i="3"/>
  <c r="Z161" i="3"/>
  <c r="Z171" i="3"/>
  <c r="Z248" i="3"/>
  <c r="Y248" i="3"/>
  <c r="Z25" i="3"/>
  <c r="Y32" i="3"/>
  <c r="Z43" i="3"/>
  <c r="Z62" i="3"/>
  <c r="Y62" i="3"/>
  <c r="Y137" i="3"/>
  <c r="Y192" i="3"/>
  <c r="Y213" i="3"/>
  <c r="Z48" i="3"/>
  <c r="Z100" i="3"/>
  <c r="Z114" i="3"/>
  <c r="Y158" i="3"/>
  <c r="Z165" i="3"/>
  <c r="Y165" i="3"/>
  <c r="Z210" i="3"/>
  <c r="Z59" i="3"/>
  <c r="Y59" i="3"/>
  <c r="Z289" i="3"/>
  <c r="Y289" i="3"/>
  <c r="Y298" i="3"/>
  <c r="Z305" i="3"/>
  <c r="Y331" i="3"/>
  <c r="Y346" i="3"/>
  <c r="Y327" i="3"/>
  <c r="Y342" i="3"/>
  <c r="Y286" i="3"/>
  <c r="Y153" i="3"/>
  <c r="Y217" i="3"/>
  <c r="Y226" i="3"/>
  <c r="Y53" i="3"/>
  <c r="Y75" i="3"/>
  <c r="Y81" i="3"/>
  <c r="Y113" i="3"/>
  <c r="Y188" i="3"/>
  <c r="Z197" i="3"/>
  <c r="Y200" i="3"/>
  <c r="Y214" i="3"/>
  <c r="Y236" i="3"/>
  <c r="Y242" i="3"/>
  <c r="Z245" i="3"/>
  <c r="Z72" i="3"/>
  <c r="Z78" i="3"/>
  <c r="Y88" i="3"/>
  <c r="Z104" i="3"/>
  <c r="Y107" i="3"/>
  <c r="Z129" i="3"/>
  <c r="Z132" i="3"/>
  <c r="Y135" i="3"/>
  <c r="Z150" i="3"/>
  <c r="Y178" i="3"/>
  <c r="Z17" i="3"/>
  <c r="Y50" i="3"/>
  <c r="Z120" i="3"/>
  <c r="Z147" i="3"/>
  <c r="Z160" i="3"/>
  <c r="Z185" i="3"/>
  <c r="Y191" i="3"/>
  <c r="Y203" i="3"/>
  <c r="Z209" i="3"/>
  <c r="Z233" i="3"/>
  <c r="Y274" i="3"/>
  <c r="Y306" i="3"/>
  <c r="Y340" i="3"/>
  <c r="Z297" i="3"/>
  <c r="AE25" i="3"/>
  <c r="AD25" i="3"/>
  <c r="AF25" i="3"/>
  <c r="AB4" i="3"/>
  <c r="Y7" i="3"/>
  <c r="AB11" i="3"/>
  <c r="Z14" i="3"/>
  <c r="Z21" i="3"/>
  <c r="AB24" i="3"/>
  <c r="Z27" i="3"/>
  <c r="Z39" i="3"/>
  <c r="Y47" i="3"/>
  <c r="Z52" i="3"/>
  <c r="Z70" i="3"/>
  <c r="Y83" i="3"/>
  <c r="Y119" i="3"/>
  <c r="Y159" i="3"/>
  <c r="Z194" i="3"/>
  <c r="Y194" i="3"/>
  <c r="AD8" i="3"/>
  <c r="AB18" i="3"/>
  <c r="Z24" i="3"/>
  <c r="Y24" i="3"/>
  <c r="AB30" i="3"/>
  <c r="AB14" i="3"/>
  <c r="AB21" i="3"/>
  <c r="AB27" i="3"/>
  <c r="Z55" i="3"/>
  <c r="Y55" i="3"/>
  <c r="Z91" i="3"/>
  <c r="Y91" i="3"/>
  <c r="Z127" i="3"/>
  <c r="Y127" i="3"/>
  <c r="Y6" i="3"/>
  <c r="AB10" i="3"/>
  <c r="Y13" i="3"/>
  <c r="AB17" i="3"/>
  <c r="Y20" i="3"/>
  <c r="Y23" i="3"/>
  <c r="Y29" i="3"/>
  <c r="Y31" i="3"/>
  <c r="Y58" i="3"/>
  <c r="Y76" i="3"/>
  <c r="Y94" i="3"/>
  <c r="Y112" i="3"/>
  <c r="Y130" i="3"/>
  <c r="Z148" i="3"/>
  <c r="Z183" i="3"/>
  <c r="Z186" i="3"/>
  <c r="Z195" i="3"/>
  <c r="Y195" i="3"/>
  <c r="Y157" i="3"/>
  <c r="Z163" i="3"/>
  <c r="Y163" i="3"/>
  <c r="Z151" i="3"/>
  <c r="Y151" i="3"/>
  <c r="AB3" i="3"/>
  <c r="AB26" i="3"/>
  <c r="AB23" i="3"/>
  <c r="Y61" i="3"/>
  <c r="Y92" i="3"/>
  <c r="Z115" i="3"/>
  <c r="Y115" i="3"/>
  <c r="Z175" i="3"/>
  <c r="Y175" i="3"/>
  <c r="AB20" i="3"/>
  <c r="AB6" i="3"/>
  <c r="Y9" i="3"/>
  <c r="AB13" i="3"/>
  <c r="Y16" i="3"/>
  <c r="Z37" i="3"/>
  <c r="Y37" i="3"/>
  <c r="Z79" i="3"/>
  <c r="Y79" i="3"/>
  <c r="Y97" i="3"/>
  <c r="Y102" i="3"/>
  <c r="Y2" i="3"/>
  <c r="AB16" i="3"/>
  <c r="Z56" i="3"/>
  <c r="Y87" i="3"/>
  <c r="Y105" i="3"/>
  <c r="Y110" i="3"/>
  <c r="Y123" i="3"/>
  <c r="Y141" i="3"/>
  <c r="Y146" i="3"/>
  <c r="Y152" i="3"/>
  <c r="Y169" i="3"/>
  <c r="Z172" i="3"/>
  <c r="Z187" i="3"/>
  <c r="Y187" i="3"/>
  <c r="Z207" i="3"/>
  <c r="Y207" i="3"/>
  <c r="Y4" i="3"/>
  <c r="AB7" i="3"/>
  <c r="AB29" i="3"/>
  <c r="Y66" i="3"/>
  <c r="Y19" i="3"/>
  <c r="Y22" i="3"/>
  <c r="Y51" i="3"/>
  <c r="Y69" i="3"/>
  <c r="Y74" i="3"/>
  <c r="AB9" i="3"/>
  <c r="Y12" i="3"/>
  <c r="Z28" i="3"/>
  <c r="Y28" i="3"/>
  <c r="Y181" i="3"/>
  <c r="Z184" i="3"/>
  <c r="Z196" i="3"/>
  <c r="AB12" i="3"/>
  <c r="AB19" i="3"/>
  <c r="AB22" i="3"/>
  <c r="AB28" i="3"/>
  <c r="AB5" i="3"/>
  <c r="Y8" i="3"/>
  <c r="Z67" i="3"/>
  <c r="Y67" i="3"/>
  <c r="Y85" i="3"/>
  <c r="Y90" i="3"/>
  <c r="Z103" i="3"/>
  <c r="Y103" i="3"/>
  <c r="Y116" i="3"/>
  <c r="Y121" i="3"/>
  <c r="Y126" i="3"/>
  <c r="Z139" i="3"/>
  <c r="Y139" i="3"/>
  <c r="Z208" i="3"/>
  <c r="Y208" i="3"/>
  <c r="Y98" i="3"/>
  <c r="Y134" i="3"/>
  <c r="Y170" i="3"/>
  <c r="Z220" i="3"/>
  <c r="Y220" i="3"/>
  <c r="Y234" i="3"/>
  <c r="Y246" i="3"/>
  <c r="Y258" i="3"/>
  <c r="Y270" i="3"/>
  <c r="Y282" i="3"/>
  <c r="Y294" i="3"/>
  <c r="Y335" i="3"/>
  <c r="Y350" i="3"/>
  <c r="Y356" i="3"/>
  <c r="Y227" i="3"/>
  <c r="Y239" i="3"/>
  <c r="Y251" i="3"/>
  <c r="Y263" i="3"/>
  <c r="Y275" i="3"/>
  <c r="Y287" i="3"/>
  <c r="Y299" i="3"/>
  <c r="Y307" i="3"/>
  <c r="Y322" i="3"/>
  <c r="Y328" i="3"/>
  <c r="Y343" i="3"/>
  <c r="Y232" i="3"/>
  <c r="Y244" i="3"/>
  <c r="Y256" i="3"/>
  <c r="Y268" i="3"/>
  <c r="Y223" i="3"/>
  <c r="Y235" i="3"/>
  <c r="Y247" i="3"/>
  <c r="Y259" i="3"/>
  <c r="Y271" i="3"/>
  <c r="Y283" i="3"/>
  <c r="Y295" i="3"/>
  <c r="Y303" i="3"/>
  <c r="Y336" i="3"/>
  <c r="Y339" i="3"/>
  <c r="Y351" i="3"/>
  <c r="Y156" i="3"/>
  <c r="Y168" i="3"/>
  <c r="Y216" i="3"/>
  <c r="Y228" i="3"/>
  <c r="Y240" i="3"/>
  <c r="Y252" i="3"/>
  <c r="Y264" i="3"/>
  <c r="Y276" i="3"/>
  <c r="Y288" i="3"/>
  <c r="Y300" i="3"/>
  <c r="Y308" i="3"/>
  <c r="Y323" i="3"/>
  <c r="Y334" i="3"/>
  <c r="Y355" i="3"/>
  <c r="Y219" i="3"/>
  <c r="Y267" i="3"/>
  <c r="Y279" i="3"/>
  <c r="Y291" i="3"/>
  <c r="Y311" i="3"/>
  <c r="Y359" i="3"/>
  <c r="AE15" i="3" l="1"/>
  <c r="AE8" i="3"/>
  <c r="AD15" i="3"/>
  <c r="AF18" i="3"/>
  <c r="AE18" i="3"/>
  <c r="AD18" i="3"/>
  <c r="AF24" i="3"/>
  <c r="AE24" i="3"/>
  <c r="AD24" i="3"/>
  <c r="AF6" i="3"/>
  <c r="AE6" i="3"/>
  <c r="AD6" i="3"/>
  <c r="AE5" i="3"/>
  <c r="AD5" i="3"/>
  <c r="AF5" i="3"/>
  <c r="AE11" i="3"/>
  <c r="AF11" i="3"/>
  <c r="AD11" i="3"/>
  <c r="AE9" i="3"/>
  <c r="AF9" i="3"/>
  <c r="AD9" i="3"/>
  <c r="AD22" i="3"/>
  <c r="AE22" i="3"/>
  <c r="AF22" i="3"/>
  <c r="AF27" i="3"/>
  <c r="AE27" i="3"/>
  <c r="AD27" i="3"/>
  <c r="AE13" i="3"/>
  <c r="AF13" i="3"/>
  <c r="AD13" i="3"/>
  <c r="AD28" i="3"/>
  <c r="AE28" i="3"/>
  <c r="AF28" i="3"/>
  <c r="AD19" i="3"/>
  <c r="AE19" i="3"/>
  <c r="AF19" i="3"/>
  <c r="AE21" i="3"/>
  <c r="AD21" i="3"/>
  <c r="AF21" i="3"/>
  <c r="AF20" i="3"/>
  <c r="AE20" i="3"/>
  <c r="AD20" i="3"/>
  <c r="AD12" i="3"/>
  <c r="AF12" i="3"/>
  <c r="AE12" i="3"/>
  <c r="AE17" i="3"/>
  <c r="AF17" i="3"/>
  <c r="AD17" i="3"/>
  <c r="AD14" i="3"/>
  <c r="AF14" i="3"/>
  <c r="AE14" i="3"/>
  <c r="AE4" i="3"/>
  <c r="AF4" i="3"/>
  <c r="AD4" i="3"/>
  <c r="AF1" i="3"/>
  <c r="AF3" i="3"/>
  <c r="AE3" i="3"/>
  <c r="AD3" i="3"/>
  <c r="AF10" i="3"/>
  <c r="AE10" i="3"/>
  <c r="AD10" i="3"/>
  <c r="AF16" i="3"/>
  <c r="AE16" i="3"/>
  <c r="AD16" i="3"/>
  <c r="AF23" i="3"/>
  <c r="AE23" i="3"/>
  <c r="AD23" i="3"/>
  <c r="AF7" i="3"/>
  <c r="AE7" i="3"/>
  <c r="AD7" i="3"/>
  <c r="AF26" i="3"/>
  <c r="AE26" i="3"/>
  <c r="AD26" i="3"/>
  <c r="I19" i="2" l="1"/>
  <c r="I18" i="2"/>
  <c r="I17" i="2"/>
  <c r="D5" i="32" s="1"/>
  <c r="J16" i="2"/>
  <c r="H28" i="2" s="1"/>
  <c r="I16" i="2"/>
  <c r="H16" i="2"/>
  <c r="G16" i="2"/>
  <c r="F16" i="2"/>
  <c r="E16" i="2"/>
  <c r="D16" i="2"/>
  <c r="C16" i="2"/>
  <c r="B16" i="2"/>
  <c r="A16" i="2"/>
  <c r="G30" i="2" l="1"/>
  <c r="G29" i="2"/>
  <c r="G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Dads Tower</author>
  </authors>
  <commentList>
    <comment ref="F446" authorId="0" shapeId="0" xr:uid="{06B0DA9C-A8D8-4BDD-9A75-76790688900F}">
      <text>
        <r>
          <rPr>
            <b/>
            <sz val="9"/>
            <color indexed="81"/>
            <rFont val="Tahoma"/>
            <family val="2"/>
          </rPr>
          <t>Dads Tower:</t>
        </r>
        <r>
          <rPr>
            <sz val="9"/>
            <color indexed="81"/>
            <rFont val="Tahoma"/>
            <family val="2"/>
          </rPr>
          <t xml:space="preserve">
Check the Lincoln Cents sheet to check different variations of the Lincoln Cents...</t>
        </r>
      </text>
    </comment>
    <comment ref="F1170" authorId="0" shapeId="0" xr:uid="{F086506C-FAB5-4EF3-9F69-BC0133AB1932}">
      <text>
        <r>
          <rPr>
            <b/>
            <sz val="9"/>
            <color indexed="81"/>
            <rFont val="Tahoma"/>
            <family val="2"/>
          </rPr>
          <t>Dads Tower:</t>
        </r>
        <r>
          <rPr>
            <sz val="9"/>
            <color indexed="81"/>
            <rFont val="Tahoma"/>
            <family val="2"/>
          </rPr>
          <t xml:space="preserve">
1913 has a variety so add the variety to the description EX: Buffalo Nickel Variety I. 1937 has an option for a 3 legged variety.
</t>
        </r>
      </text>
    </comment>
    <comment ref="F1217" authorId="0" shapeId="0" xr:uid="{8460C6BE-5318-42CC-9029-B8FB0E0DA21C}">
      <text>
        <r>
          <rPr>
            <b/>
            <sz val="9"/>
            <color indexed="81"/>
            <rFont val="Tahoma"/>
            <family val="2"/>
          </rPr>
          <t>Dads Tower:</t>
        </r>
        <r>
          <rPr>
            <sz val="9"/>
            <color indexed="81"/>
            <rFont val="Tahoma"/>
            <family val="2"/>
          </rPr>
          <t xml:space="preserve">
On PROOF coins, add the PROOF to the coin description to allow tracking on the check list sheet.</t>
        </r>
      </text>
    </comment>
    <comment ref="F1847" authorId="0" shapeId="0" xr:uid="{C9436528-49B5-43EA-A5CD-B201C34621DF}">
      <text>
        <r>
          <rPr>
            <b/>
            <sz val="9"/>
            <color indexed="81"/>
            <rFont val="Tahoma"/>
            <family val="2"/>
          </rPr>
          <t>Dads Tower:</t>
        </r>
        <r>
          <rPr>
            <sz val="9"/>
            <color indexed="81"/>
            <rFont val="Tahoma"/>
            <family val="2"/>
          </rPr>
          <t xml:space="preserve">
Notees on records show "SILVER", "PROOF", " Proof Filled “S”… ADD TO Description Field to track check list.
</t>
        </r>
      </text>
    </comment>
    <comment ref="F2051" authorId="0" shapeId="0" xr:uid="{BAB8345D-5821-414F-AAC1-B77FC0382238}">
      <text>
        <r>
          <rPr>
            <b/>
            <sz val="9"/>
            <color indexed="81"/>
            <rFont val="Tahoma"/>
            <family val="2"/>
          </rPr>
          <t>Dads Tower:</t>
        </r>
        <r>
          <rPr>
            <sz val="9"/>
            <color indexed="81"/>
            <rFont val="Tahoma"/>
            <family val="2"/>
          </rPr>
          <t xml:space="preserve">
1950 to 1963 have a PROOF coin each year. Add the "PROOF" to the Decription to track on the check list.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 authorId="0" shapeId="0" xr:uid="{EE899CD9-F720-46A1-8E62-5BF29E8DC94E}">
      <text>
        <r>
          <rPr>
            <sz val="10"/>
            <rFont val="Arial"/>
            <family val="2"/>
          </rPr>
          <t xml:space="preserve">Michael:
</t>
        </r>
        <r>
          <rPr>
            <sz val="9"/>
            <color rgb="FF000000"/>
            <rFont val="Tahoma"/>
            <family val="2"/>
            <charset val="1"/>
          </rPr>
          <t>Value placed at $3000.00</t>
        </r>
      </text>
    </comment>
    <comment ref="D2" authorId="0" shapeId="0" xr:uid="{E6EA2585-D0CC-4DD7-8BEC-D68C0C63DACE}">
      <text>
        <r>
          <rPr>
            <sz val="10"/>
            <rFont val="Arial"/>
            <family val="2"/>
          </rPr>
          <t xml:space="preserve">Michael:
</t>
        </r>
        <r>
          <rPr>
            <sz val="9"/>
            <color rgb="FF000000"/>
            <rFont val="Tahoma"/>
            <family val="2"/>
            <charset val="1"/>
          </rPr>
          <t>Internet has value of $100 - $800</t>
        </r>
      </text>
    </comment>
    <comment ref="A3" authorId="0" shapeId="0" xr:uid="{7C652342-3BD3-4A08-94B7-21AFA387FD1B}">
      <text>
        <r>
          <rPr>
            <sz val="10"/>
            <rFont val="Arial"/>
            <family val="2"/>
          </rPr>
          <t xml:space="preserve">Michael:
</t>
        </r>
        <r>
          <rPr>
            <sz val="9"/>
            <color rgb="FF000000"/>
            <rFont val="Tahoma"/>
            <family val="2"/>
            <charset val="1"/>
          </rPr>
          <t>Valued t $10.00 - $11.00</t>
        </r>
      </text>
    </comment>
    <comment ref="B3" authorId="0" shapeId="0" xr:uid="{61CE5B1A-A480-46F6-A173-3D2AE1BA38D6}">
      <text>
        <r>
          <rPr>
            <sz val="10"/>
            <rFont val="Arial"/>
            <family val="2"/>
          </rPr>
          <t xml:space="preserve">Michael:
</t>
        </r>
        <r>
          <rPr>
            <sz val="9"/>
            <color rgb="FF000000"/>
            <rFont val="Tahoma"/>
            <family val="2"/>
            <charset val="1"/>
          </rPr>
          <t>Valued at $500.00 - $550.00</t>
        </r>
      </text>
    </comment>
    <comment ref="C3" authorId="0" shapeId="0" xr:uid="{60C9EB11-3B4D-4B15-B723-858CB336BB0B}">
      <text>
        <r>
          <rPr>
            <sz val="10"/>
            <rFont val="Arial"/>
            <family val="2"/>
          </rPr>
          <t xml:space="preserve">Michael:
</t>
        </r>
        <r>
          <rPr>
            <sz val="9"/>
            <color rgb="FF000000"/>
            <rFont val="Tahoma"/>
            <family val="2"/>
            <charset val="1"/>
          </rPr>
          <t>Valued at $85.00</t>
        </r>
      </text>
    </comment>
    <comment ref="A4" authorId="0" shapeId="0" xr:uid="{AA559D76-3CF7-45E9-AC06-43396BEAC72E}">
      <text>
        <r>
          <rPr>
            <sz val="10"/>
            <rFont val="Arial"/>
            <family val="2"/>
          </rPr>
          <t xml:space="preserve">Michael:
</t>
        </r>
        <r>
          <rPr>
            <sz val="9"/>
            <color rgb="FF000000"/>
            <rFont val="Tahoma"/>
            <family val="2"/>
            <charset val="1"/>
          </rPr>
          <t>Valued at $30.00 - $33.00</t>
        </r>
      </text>
    </comment>
    <comment ref="B4" authorId="0" shapeId="0" xr:uid="{268002F0-1E96-4A5C-9BCA-61B0B05F33AC}">
      <text>
        <r>
          <rPr>
            <sz val="10"/>
            <rFont val="Arial"/>
            <family val="2"/>
          </rPr>
          <t xml:space="preserve">Michael:
</t>
        </r>
        <r>
          <rPr>
            <sz val="9"/>
            <color rgb="FF000000"/>
            <rFont val="Tahoma"/>
            <family val="2"/>
            <charset val="1"/>
          </rPr>
          <t>Valued at $55.00</t>
        </r>
      </text>
    </comment>
    <comment ref="A5" authorId="0" shapeId="0" xr:uid="{244D5BC0-55B8-4D2E-8B50-C3DBB8921948}">
      <text>
        <r>
          <rPr>
            <sz val="10"/>
            <rFont val="Arial"/>
            <family val="2"/>
          </rPr>
          <t xml:space="preserve">Michael:
</t>
        </r>
        <r>
          <rPr>
            <sz val="9"/>
            <color rgb="FF000000"/>
            <rFont val="Tahoma"/>
            <family val="2"/>
            <charset val="1"/>
          </rPr>
          <t>Valued t $6.00 - $6.50</t>
        </r>
      </text>
    </comment>
    <comment ref="B5" authorId="0" shapeId="0" xr:uid="{2DD73705-5F0F-45BE-8151-833B4BCB1AF8}">
      <text>
        <r>
          <rPr>
            <sz val="10"/>
            <rFont val="Arial"/>
            <family val="2"/>
          </rPr>
          <t xml:space="preserve">Michael:
</t>
        </r>
        <r>
          <rPr>
            <sz val="9"/>
            <color rgb="FF000000"/>
            <rFont val="Tahoma"/>
            <family val="2"/>
            <charset val="1"/>
          </rPr>
          <t>Valued at $750.00</t>
        </r>
      </text>
    </comment>
    <comment ref="A6" authorId="0" shapeId="0" xr:uid="{AC63C5E3-1A86-45AB-B35E-7327D3E36749}">
      <text>
        <r>
          <rPr>
            <sz val="10"/>
            <rFont val="Arial"/>
            <family val="2"/>
          </rPr>
          <t xml:space="preserve">Michael:
</t>
        </r>
        <r>
          <rPr>
            <sz val="9"/>
            <color rgb="FF000000"/>
            <rFont val="Tahoma"/>
            <family val="2"/>
            <charset val="1"/>
          </rPr>
          <t>Valued at $8.00 - $8
.50</t>
        </r>
      </text>
    </comment>
    <comment ref="A7" authorId="0" shapeId="0" xr:uid="{B966F80A-A697-47F2-8E88-59A1941B06D8}">
      <text>
        <r>
          <rPr>
            <sz val="10"/>
            <rFont val="Arial"/>
            <family val="2"/>
          </rPr>
          <t xml:space="preserve">Michael:
</t>
        </r>
        <r>
          <rPr>
            <sz val="9"/>
            <color rgb="FF000000"/>
            <rFont val="Tahoma"/>
            <family val="2"/>
            <charset val="1"/>
          </rPr>
          <t>Valued at $8.00 - $8.50</t>
        </r>
      </text>
    </comment>
    <comment ref="J21" authorId="0" shapeId="0" xr:uid="{80825189-CB77-415A-B27F-578C71D6BBF4}">
      <text>
        <r>
          <rPr>
            <sz val="10"/>
            <rFont val="Arial"/>
            <family val="2"/>
          </rPr>
          <t xml:space="preserve">Mike:
</t>
        </r>
        <r>
          <rPr>
            <sz val="9"/>
            <color rgb="FF000000"/>
            <rFont val="Tahoma"/>
            <family val="2"/>
            <charset val="1"/>
          </rPr>
          <t>Check on 'W' Mint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P1" authorId="0" shapeId="0" xr:uid="{7E10FE5C-E94E-496D-BB97-F1BD670D95A9}">
      <text>
        <r>
          <rPr>
            <b/>
            <sz val="9"/>
            <color indexed="8"/>
            <rFont val="Tahoma"/>
            <family val="2"/>
          </rPr>
          <t xml:space="preserve">Owner:
</t>
        </r>
        <r>
          <rPr>
            <sz val="9"/>
            <color indexed="8"/>
            <rFont val="Tahoma"/>
            <family val="2"/>
          </rPr>
          <t>LOOKUP VALUE FROM CHART ON SHEET2...</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5A8FB8-6A68-42A7-8307-83342D3F2962}" keepAlive="1" name="Query - Page001" description="Connection to the 'Page001' query in the workbook." type="5" refreshedVersion="0" background="1">
    <dbPr connection="Provider=Microsoft.Mashup.OleDb.1;Data Source=$Workbook$;Location=Page001;Extended Properties=&quot;&quot;" command="SELECT * FROM [Page001]"/>
  </connection>
  <connection id="2" xr16:uid="{1325DDC2-2936-427B-83CE-F62B9C787038}" keepAlive="1" name="Query - Table001 (Page 1)" description="Connection to the 'Table001 (Page 1)' query in the workbook." type="5" refreshedVersion="8" background="1" saveData="1">
    <dbPr connection="Provider=Microsoft.Mashup.OleDb.1;Data Source=$Workbook$;Location=&quot;Table001 (Page 1)&quot;;Extended Properties=&quot;&quot;" command="SELECT * FROM [Table001 (Page 1)]"/>
  </connection>
  <connection id="3" xr16:uid="{3053CF31-E90D-4D7D-807F-828445829134}" keepAlive="1" name="Query - Table001 (Page 1) (2)" description="Connection to the 'Table001 (Page 1) (2)' query in the workbook." type="5" refreshedVersion="8" background="1" saveData="1">
    <dbPr connection="Provider=Microsoft.Mashup.OleDb.1;Data Source=$Workbook$;Location=&quot;Table001 (Page 1) (2)&quot;;Extended Properties=&quot;&quot;" command="SELECT * FROM [Table001 (Page 1) (2)]"/>
  </connection>
  <connection id="4" xr16:uid="{9BCBA365-967C-482C-93FB-13035E01A2B8}" keepAlive="1" name="Query - Table001 (Page 1) (3)" description="Connection to the 'Table001 (Page 1) (3)' query in the workbook." type="5" refreshedVersion="0" background="1">
    <dbPr connection="Provider=Microsoft.Mashup.OleDb.1;Data Source=$Workbook$;Location=&quot;Table001 (Page 1) (3)&quot;;Extended Properties=&quot;&quot;" command="SELECT * FROM [Table001 (Page 1) (3)]"/>
  </connection>
  <connection id="5" xr16:uid="{697D7A03-02CF-4988-B5BD-5BAD2D1FC53D}" keepAlive="1" name="Query - Table002 (Page 1)" description="Connection to the 'Table002 (Page 1)' query in the workbook." type="5" refreshedVersion="0" background="1">
    <dbPr connection="Provider=Microsoft.Mashup.OleDb.1;Data Source=$Workbook$;Location=&quot;Table002 (Page 1)&quot;;Extended Properties=&quot;&quot;" command="SELECT * FROM [Table002 (Page 1)]"/>
  </connection>
  <connection id="6" xr16:uid="{0CADD57C-B58B-4AC9-80A2-671F6A378D9A}" keepAlive="1" name="Query - Table002 (Page 1) (2)" description="Connection to the 'Table002 (Page 1) (2)' query in the workbook." type="5" refreshedVersion="8" background="1" saveData="1">
    <dbPr connection="Provider=Microsoft.Mashup.OleDb.1;Data Source=$Workbook$;Location=&quot;Table002 (Page 1) (2)&quot;;Extended Properties=&quot;&quot;" command="SELECT * FROM [Table002 (Page 1) (2)]"/>
  </connection>
  <connection id="7" xr16:uid="{72DFAB27-E5BB-4568-A479-FAC5D6704434}" keepAlive="1" name="Query - Table002 (Page 1) (3)" description="Connection to the 'Table002 (Page 1) (3)' query in the workbook." type="5" refreshedVersion="8" background="1" saveData="1">
    <dbPr connection="Provider=Microsoft.Mashup.OleDb.1;Data Source=$Workbook$;Location=&quot;Table002 (Page 1) (3)&quot;;Extended Properties=&quot;&quot;" command="SELECT * FROM [Table002 (Page 1) (3)]"/>
  </connection>
  <connection id="8" xr16:uid="{8C7018C8-8D30-478E-8840-95BC5D7C36FA}" keepAlive="1" name="Query - Table002 (Page 1) (4)" description="Connection to the 'Table002 (Page 1) (4)' query in the workbook." type="5" refreshedVersion="8" background="1" saveData="1">
    <dbPr connection="Provider=Microsoft.Mashup.OleDb.1;Data Source=$Workbook$;Location=&quot;Table002 (Page 1) (4)&quot;;Extended Properties=&quot;&quot;" command="SELECT * FROM [Table002 (Page 1) (4)]"/>
  </connection>
  <connection id="9" xr16:uid="{AF0AE9A9-2329-4FA1-A3E8-D56D988D91A3}" keepAlive="1" name="Query - Table003 (Page 1)" description="Connection to the 'Table003 (Page 1)' query in the workbook." type="5" refreshedVersion="8" background="1" saveData="1">
    <dbPr connection="Provider=Microsoft.Mashup.OleDb.1;Data Source=$Workbook$;Location=&quot;Table003 (Page 1)&quot;;Extended Properties=&quot;&quot;" command="SELECT * FROM [Table003 (Page 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<sst xmlns="http://schemas.openxmlformats.org/spreadsheetml/2006/main" count="32538" uniqueCount="5942">
  <si>
    <t>Date</t>
  </si>
  <si>
    <t>Mint</t>
  </si>
  <si>
    <t>Serial</t>
  </si>
  <si>
    <t>Column1</t>
  </si>
  <si>
    <t>DESC</t>
  </si>
  <si>
    <t>Condition</t>
  </si>
  <si>
    <t>Paid</t>
  </si>
  <si>
    <t>Book</t>
  </si>
  <si>
    <t>Qty</t>
  </si>
  <si>
    <t>X</t>
  </si>
  <si>
    <t xml:space="preserve">F-12 FINE </t>
  </si>
  <si>
    <t>VDB</t>
  </si>
  <si>
    <t>S</t>
  </si>
  <si>
    <t>D</t>
  </si>
  <si>
    <t>VERY GOOD</t>
  </si>
  <si>
    <t>FINE</t>
  </si>
  <si>
    <t>VERY FINE</t>
  </si>
  <si>
    <t xml:space="preserve">D </t>
  </si>
  <si>
    <t>EXTREMELY FINE</t>
  </si>
  <si>
    <t xml:space="preserve">FINE/VERY FINE </t>
  </si>
  <si>
    <t>PROOF</t>
  </si>
  <si>
    <t>UNCIRCULATED</t>
  </si>
  <si>
    <t xml:space="preserve">S </t>
  </si>
  <si>
    <t>AU</t>
  </si>
  <si>
    <t xml:space="preserve"> D</t>
  </si>
  <si>
    <t>P</t>
  </si>
  <si>
    <t>Formative Years</t>
  </si>
  <si>
    <t>SATIN FINISH</t>
  </si>
  <si>
    <t>&lt; 1890's &gt;</t>
  </si>
  <si>
    <t>&lt; 1910'S &gt;</t>
  </si>
  <si>
    <t>&lt; 1920'S &gt;</t>
  </si>
  <si>
    <t>&lt; 1930 'S &gt;</t>
  </si>
  <si>
    <t>&lt; 1970’s &gt;</t>
  </si>
  <si>
    <t>&lt; 1980’s &gt;</t>
  </si>
  <si>
    <t>&lt; 1990’s &gt;</t>
  </si>
  <si>
    <t>&lt; 2000's &gt;</t>
  </si>
  <si>
    <t>&lt; 2010's &gt;</t>
  </si>
  <si>
    <t>&lt;2020's&gt;</t>
  </si>
  <si>
    <t>1908 S</t>
  </si>
  <si>
    <t>1931 S</t>
  </si>
  <si>
    <t>2009 S</t>
  </si>
  <si>
    <t>1909 S</t>
  </si>
  <si>
    <t>1924 D</t>
  </si>
  <si>
    <t>2024 D</t>
  </si>
  <si>
    <t>1912 S</t>
  </si>
  <si>
    <t>2024S</t>
  </si>
  <si>
    <t>1914 D</t>
  </si>
  <si>
    <t>2009   Lincoln Bicentennial</t>
  </si>
  <si>
    <t>Seven Valuable Lincoln Cents in Circulation Today:</t>
  </si>
  <si>
    <t>2009 D  Polished and Satin</t>
  </si>
  <si>
    <t>1. 1983 Doubled Die Reverse</t>
  </si>
  <si>
    <t>2. 1984 Double Ear</t>
  </si>
  <si>
    <t>2019 W</t>
  </si>
  <si>
    <t xml:space="preserve"> </t>
  </si>
  <si>
    <t>1960  LG &amp; SM DATES</t>
  </si>
  <si>
    <t>3. 1992-D Close-AM</t>
  </si>
  <si>
    <t>1970  LG &amp; SM DATES</t>
  </si>
  <si>
    <t>4. 1995 Doubled Die Obverse</t>
  </si>
  <si>
    <t>1982  LG &amp; SM DATES</t>
  </si>
  <si>
    <t>5. 1998 Wide AM</t>
  </si>
  <si>
    <t>6. 1999 Wide AM</t>
  </si>
  <si>
    <t>7. 1961-D Over Horizontal D</t>
  </si>
  <si>
    <t>Halves</t>
  </si>
  <si>
    <t>Walking Liberty half dollars: 1916 – 1947</t>
  </si>
  <si>
    <t>1954 S</t>
  </si>
  <si>
    <t>1949 D</t>
  </si>
  <si>
    <t>1948 Franklin half dollar</t>
  </si>
  <si>
    <t>1949 S</t>
  </si>
  <si>
    <t>1959 D</t>
  </si>
  <si>
    <t>1943 Copper Penny. In 1943, all copper pennies were made out of steel. ...</t>
  </si>
  <si>
    <t>1952 D</t>
  </si>
  <si>
    <t>1960 D</t>
  </si>
  <si>
    <t>1955 Doubled Die Penny. This penny has visible doubling on the front of the coin. ...</t>
  </si>
  <si>
    <t>1952 S</t>
  </si>
  <si>
    <t>1961 D</t>
  </si>
  <si>
    <t>1983 Doubled Die Penny. The doubling on this penny is found on the reverse (back) side of the coin. ...</t>
  </si>
  <si>
    <t>1962 D</t>
  </si>
  <si>
    <t>1984 Doubled Ear Penny. ...</t>
  </si>
  <si>
    <t>1953 S</t>
  </si>
  <si>
    <t>1963 D</t>
  </si>
  <si>
    <t>1992 Close AM Penny. ...</t>
  </si>
  <si>
    <t>1954 D</t>
  </si>
  <si>
    <t>1993 Wide AM Penny.</t>
  </si>
  <si>
    <t>Nickels</t>
  </si>
  <si>
    <t>Year</t>
  </si>
  <si>
    <t>1917 S</t>
  </si>
  <si>
    <t>1941 S</t>
  </si>
  <si>
    <t>1990 S</t>
  </si>
  <si>
    <t>2011 P</t>
  </si>
  <si>
    <t>1942 P</t>
  </si>
  <si>
    <t>2011 D</t>
  </si>
  <si>
    <t>1918 D</t>
  </si>
  <si>
    <t>1942 D</t>
  </si>
  <si>
    <t>1968 D</t>
  </si>
  <si>
    <t>1991 S</t>
  </si>
  <si>
    <t>2011 S</t>
  </si>
  <si>
    <t>1918 S</t>
  </si>
  <si>
    <t>1942 S</t>
  </si>
  <si>
    <t>1968 S</t>
  </si>
  <si>
    <t>1992 S</t>
  </si>
  <si>
    <t>2012 D</t>
  </si>
  <si>
    <t>1970 S</t>
  </si>
  <si>
    <t>1993 P</t>
  </si>
  <si>
    <t>2012 S</t>
  </si>
  <si>
    <t>1943 P</t>
  </si>
  <si>
    <t>1993 S</t>
  </si>
  <si>
    <t>2013 D</t>
  </si>
  <si>
    <t>1943 D</t>
  </si>
  <si>
    <t>1994 D</t>
  </si>
  <si>
    <t>2013 S</t>
  </si>
  <si>
    <t>1920 D</t>
  </si>
  <si>
    <t>1995 S</t>
  </si>
  <si>
    <t>2014 D</t>
  </si>
  <si>
    <t>1920 S</t>
  </si>
  <si>
    <t>1971 S</t>
  </si>
  <si>
    <t>1996 D</t>
  </si>
  <si>
    <t>2014 S</t>
  </si>
  <si>
    <t>Before 1937</t>
  </si>
  <si>
    <t>1921 S</t>
  </si>
  <si>
    <t>1972 S</t>
  </si>
  <si>
    <t>1997 S</t>
  </si>
  <si>
    <t>2015 S</t>
  </si>
  <si>
    <t>1943 S</t>
  </si>
  <si>
    <t>1973 D</t>
  </si>
  <si>
    <t>1998 S</t>
  </si>
  <si>
    <t>2016 D</t>
  </si>
  <si>
    <t>1944 D</t>
  </si>
  <si>
    <t>1973 S</t>
  </si>
  <si>
    <t>1999 D</t>
  </si>
  <si>
    <t>2016 S</t>
  </si>
  <si>
    <t>1944 S</t>
  </si>
  <si>
    <t>1974 S</t>
  </si>
  <si>
    <t>1999 S</t>
  </si>
  <si>
    <t>2017 D</t>
  </si>
  <si>
    <t>1945 P</t>
  </si>
  <si>
    <t>1975 S</t>
  </si>
  <si>
    <t>2000 S</t>
  </si>
  <si>
    <t>2017 S</t>
  </si>
  <si>
    <t>1924 S</t>
  </si>
  <si>
    <t>1945 D</t>
  </si>
  <si>
    <t>2001 S</t>
  </si>
  <si>
    <t>2018 D</t>
  </si>
  <si>
    <t>1945 S</t>
  </si>
  <si>
    <t>1976 S</t>
  </si>
  <si>
    <t>2002 D</t>
  </si>
  <si>
    <t>2018 S</t>
  </si>
  <si>
    <t>1925 D</t>
  </si>
  <si>
    <t>1946 D</t>
  </si>
  <si>
    <t>1977 D</t>
  </si>
  <si>
    <t>2002 S</t>
  </si>
  <si>
    <t>2019 D</t>
  </si>
  <si>
    <t>1925 S</t>
  </si>
  <si>
    <t>1946 S</t>
  </si>
  <si>
    <t>1977 S</t>
  </si>
  <si>
    <t>2003 P</t>
  </si>
  <si>
    <t>2019 S</t>
  </si>
  <si>
    <t>1926 D</t>
  </si>
  <si>
    <t>1947 D</t>
  </si>
  <si>
    <t>1978 D</t>
  </si>
  <si>
    <t>2003 D</t>
  </si>
  <si>
    <t>2020 D</t>
  </si>
  <si>
    <t>1926 S</t>
  </si>
  <si>
    <t>1947 S</t>
  </si>
  <si>
    <t>1978 S</t>
  </si>
  <si>
    <t>2003 S</t>
  </si>
  <si>
    <t>2020 S</t>
  </si>
  <si>
    <t>1927 D</t>
  </si>
  <si>
    <t>1948 D</t>
  </si>
  <si>
    <t>1979 D</t>
  </si>
  <si>
    <t>2004 D</t>
  </si>
  <si>
    <t>2021 D</t>
  </si>
  <si>
    <t>1927 S</t>
  </si>
  <si>
    <t>1948 S</t>
  </si>
  <si>
    <t>1979 S</t>
  </si>
  <si>
    <t>2004 S</t>
  </si>
  <si>
    <t>2021 S</t>
  </si>
  <si>
    <t>1928 D</t>
  </si>
  <si>
    <t>1980 D</t>
  </si>
  <si>
    <t>2005 S</t>
  </si>
  <si>
    <t>2022 P</t>
  </si>
  <si>
    <t>1928 S</t>
  </si>
  <si>
    <t>1980 S</t>
  </si>
  <si>
    <t>2006 P</t>
  </si>
  <si>
    <t>2022 D</t>
  </si>
  <si>
    <t>1981 S</t>
  </si>
  <si>
    <t>2006 D</t>
  </si>
  <si>
    <t>2022 S</t>
  </si>
  <si>
    <t>1929 D</t>
  </si>
  <si>
    <t>1950 D</t>
  </si>
  <si>
    <t>1982 S</t>
  </si>
  <si>
    <t>2006 S</t>
  </si>
  <si>
    <t>1929 S</t>
  </si>
  <si>
    <t>1983 S</t>
  </si>
  <si>
    <t>2007 P</t>
  </si>
  <si>
    <t>1930 S</t>
  </si>
  <si>
    <t>1984 P</t>
  </si>
  <si>
    <t>2007 D</t>
  </si>
  <si>
    <t>1951 S</t>
  </si>
  <si>
    <t>1984 S</t>
  </si>
  <si>
    <t>2007 S</t>
  </si>
  <si>
    <t>2023 P</t>
  </si>
  <si>
    <t>1985 D</t>
  </si>
  <si>
    <t>2008 P</t>
  </si>
  <si>
    <t>2023 D</t>
  </si>
  <si>
    <t>1934 D</t>
  </si>
  <si>
    <t>1985 S</t>
  </si>
  <si>
    <t>2008 D</t>
  </si>
  <si>
    <t>2023 S</t>
  </si>
  <si>
    <t>1935 D</t>
  </si>
  <si>
    <t>1986 D</t>
  </si>
  <si>
    <t>2008 S</t>
  </si>
  <si>
    <t>1935 S</t>
  </si>
  <si>
    <t>1953 D</t>
  </si>
  <si>
    <t>1986 S</t>
  </si>
  <si>
    <t>2009 P</t>
  </si>
  <si>
    <t>1936 D</t>
  </si>
  <si>
    <t>1987 P</t>
  </si>
  <si>
    <t>2009 D</t>
  </si>
  <si>
    <t>1914 S</t>
  </si>
  <si>
    <t>1936 S</t>
  </si>
  <si>
    <t>1987 S</t>
  </si>
  <si>
    <t>1988 P</t>
  </si>
  <si>
    <t>2010 P</t>
  </si>
  <si>
    <t>1915 D</t>
  </si>
  <si>
    <t>1938 D</t>
  </si>
  <si>
    <t>1988 S</t>
  </si>
  <si>
    <t>2010 D</t>
  </si>
  <si>
    <t>1915 S</t>
  </si>
  <si>
    <t>1938 S</t>
  </si>
  <si>
    <t>1955 D</t>
  </si>
  <si>
    <t>1989 S</t>
  </si>
  <si>
    <t>2010 S</t>
  </si>
  <si>
    <t>1916 D</t>
  </si>
  <si>
    <t>1939 D</t>
  </si>
  <si>
    <t>1916 S</t>
  </si>
  <si>
    <t>1939 S</t>
  </si>
  <si>
    <t>1956 D</t>
  </si>
  <si>
    <t>1917 D</t>
  </si>
  <si>
    <t>1940 S</t>
  </si>
  <si>
    <t>Dimes</t>
  </si>
  <si>
    <t>Year/Mint</t>
  </si>
  <si>
    <t>1998 P</t>
  </si>
  <si>
    <t>1980 P</t>
  </si>
  <si>
    <t>1981 D</t>
  </si>
  <si>
    <t>2000 P</t>
  </si>
  <si>
    <t>1981 P</t>
  </si>
  <si>
    <t>2001 P</t>
  </si>
  <si>
    <t>1982 D</t>
  </si>
  <si>
    <t>2002 P</t>
  </si>
  <si>
    <t>1983 D</t>
  </si>
  <si>
    <t>1983 P</t>
  </si>
  <si>
    <t>1984 D</t>
  </si>
  <si>
    <t>1950 S</t>
  </si>
  <si>
    <t>2005 D</t>
  </si>
  <si>
    <t>1951 D</t>
  </si>
  <si>
    <t>1971 D</t>
  </si>
  <si>
    <t>1971 P</t>
  </si>
  <si>
    <t>1986 P</t>
  </si>
  <si>
    <t>1972 D</t>
  </si>
  <si>
    <t>1972 P</t>
  </si>
  <si>
    <t>1973 P</t>
  </si>
  <si>
    <t>1989 D</t>
  </si>
  <si>
    <t>1974 D</t>
  </si>
  <si>
    <t>1989 P</t>
  </si>
  <si>
    <t>1974 P</t>
  </si>
  <si>
    <t>1990 D</t>
  </si>
  <si>
    <t>1975 D</t>
  </si>
  <si>
    <t>1975 P</t>
  </si>
  <si>
    <t>1991 D</t>
  </si>
  <si>
    <t>1955 S</t>
  </si>
  <si>
    <t>1991 P</t>
  </si>
  <si>
    <t>2015 D</t>
  </si>
  <si>
    <t>1976 D</t>
  </si>
  <si>
    <t>1976 P</t>
  </si>
  <si>
    <t>1992 D</t>
  </si>
  <si>
    <t>1957 D</t>
  </si>
  <si>
    <t>1977 P</t>
  </si>
  <si>
    <t>1993 D</t>
  </si>
  <si>
    <t>1958 D</t>
  </si>
  <si>
    <t>1994 S</t>
  </si>
  <si>
    <t>1978 P</t>
  </si>
  <si>
    <t>1995 D</t>
  </si>
  <si>
    <t>1995 P</t>
  </si>
  <si>
    <t>1979 P</t>
  </si>
  <si>
    <t>1996 S</t>
  </si>
  <si>
    <t>1996 W</t>
  </si>
  <si>
    <t>Description</t>
  </si>
  <si>
    <t xml:space="preserve">Paid </t>
  </si>
  <si>
    <t>Comments</t>
  </si>
  <si>
    <t xml:space="preserve">Photo Front </t>
  </si>
  <si>
    <t>Photo Bacl</t>
  </si>
  <si>
    <t>JEF</t>
  </si>
  <si>
    <t>NIC-</t>
  </si>
  <si>
    <t>SLD1869NIC-AA</t>
  </si>
  <si>
    <t>SHIELD NICKEL</t>
  </si>
  <si>
    <t>x</t>
  </si>
  <si>
    <t>SHEILD NICKEL 1869 FRONT AA</t>
  </si>
  <si>
    <t>SHEILD NICKEL 1869 BACK AA</t>
  </si>
  <si>
    <t xml:space="preserve">1869 </t>
  </si>
  <si>
    <t xml:space="preserve">LIB1883NIC-AA </t>
  </si>
  <si>
    <t xml:space="preserve">LIBERTY   V   NICKEL </t>
  </si>
  <si>
    <t>LIBERTY NICKEL 1883 FRONT AA</t>
  </si>
  <si>
    <t>LIBERTY NICKEL 1883 BACK AA</t>
  </si>
  <si>
    <t>AA</t>
  </si>
  <si>
    <t xml:space="preserve">1883 </t>
  </si>
  <si>
    <t xml:space="preserve">LIB1889NIC-AA </t>
  </si>
  <si>
    <t xml:space="preserve">G-4 GOOD </t>
  </si>
  <si>
    <t>\LIBERTY NICKEL 1889 FRONT AA</t>
  </si>
  <si>
    <t>LIBERTY NICKEL 1889 BACK AA</t>
  </si>
  <si>
    <t>AB</t>
  </si>
  <si>
    <t xml:space="preserve">1889 </t>
  </si>
  <si>
    <t xml:space="preserve">LIB1890NIC-AA </t>
  </si>
  <si>
    <t>LIBERTY NICKEL 1890 BACK AA</t>
  </si>
  <si>
    <t>AC</t>
  </si>
  <si>
    <t xml:space="preserve">1890 </t>
  </si>
  <si>
    <t>LIB1893NIC-AA</t>
  </si>
  <si>
    <t xml:space="preserve">VF-20 VERY FINE </t>
  </si>
  <si>
    <t>AD</t>
  </si>
  <si>
    <t xml:space="preserve">1893 </t>
  </si>
  <si>
    <t xml:space="preserve">LIB1896NIC-AA </t>
  </si>
  <si>
    <t>LIBERTY NICKEL 1896 FRONT AA</t>
  </si>
  <si>
    <t>LIBERTY NICKEL 1896 BACK AA</t>
  </si>
  <si>
    <t>AE</t>
  </si>
  <si>
    <t xml:space="preserve">1896 </t>
  </si>
  <si>
    <t>LIB1897NIC-AA</t>
  </si>
  <si>
    <t>AF</t>
  </si>
  <si>
    <t xml:space="preserve">1897 </t>
  </si>
  <si>
    <t>LIB1901NIC-AA</t>
  </si>
  <si>
    <t>AG</t>
  </si>
  <si>
    <t xml:space="preserve">1901 </t>
  </si>
  <si>
    <t xml:space="preserve">LIB1902NIC-AA </t>
  </si>
  <si>
    <t xml:space="preserve">VG-8 VERY GOOD </t>
  </si>
  <si>
    <t>LIBERTY NICKEL 1902 FRONT AA</t>
  </si>
  <si>
    <t>LIBERTY NICKEL 1902 BACK AA</t>
  </si>
  <si>
    <t>AH</t>
  </si>
  <si>
    <t xml:space="preserve">1902 </t>
  </si>
  <si>
    <t xml:space="preserve">LIB1902NIC-AB </t>
  </si>
  <si>
    <t>LIBERTY NICKEL 1903 FRONT AB</t>
  </si>
  <si>
    <t>LIBERTY NICKEL 1902 BACK AB</t>
  </si>
  <si>
    <t>AI</t>
  </si>
  <si>
    <t xml:space="preserve">LIB1903NIC-AA </t>
  </si>
  <si>
    <t>LIBERTY NICKEL 1903 FRONT AA</t>
  </si>
  <si>
    <t>LIBERTY NICKEL 1903 BACK AA</t>
  </si>
  <si>
    <t>AJ</t>
  </si>
  <si>
    <t xml:space="preserve">1903 </t>
  </si>
  <si>
    <t xml:space="preserve">LIB1903NIC-AB </t>
  </si>
  <si>
    <t>LIBERTY NICKEL 1903 BACK AB</t>
  </si>
  <si>
    <t>AK</t>
  </si>
  <si>
    <t xml:space="preserve">LIB1904NIC-AA </t>
  </si>
  <si>
    <t>LIBERTY NICKEL 1904 FRON AA</t>
  </si>
  <si>
    <t>LIBERTY NICKEL 1904 BACK AA</t>
  </si>
  <si>
    <t>AL</t>
  </si>
  <si>
    <t xml:space="preserve">1904 </t>
  </si>
  <si>
    <t xml:space="preserve">LIB1905NIC-AA </t>
  </si>
  <si>
    <t>AM</t>
  </si>
  <si>
    <t xml:space="preserve">1905 </t>
  </si>
  <si>
    <t>LIB1905NIC-AB</t>
  </si>
  <si>
    <t>LIBERTY NICKEL 1905 FRONT AB</t>
  </si>
  <si>
    <t>LIBERTY NICKEL 1905 BACK AB</t>
  </si>
  <si>
    <t>AN</t>
  </si>
  <si>
    <t xml:space="preserve">LIB1906NIC-AA </t>
  </si>
  <si>
    <t>Liberty 1906 Front AA</t>
  </si>
  <si>
    <t>Liberty 1906 Back AA</t>
  </si>
  <si>
    <t>AO</t>
  </si>
  <si>
    <t xml:space="preserve">1906 </t>
  </si>
  <si>
    <t xml:space="preserve">LIB1907NIC-AA </t>
  </si>
  <si>
    <t>Liberty 1907 Front AA</t>
  </si>
  <si>
    <t>Liberty 1907 Back AA</t>
  </si>
  <si>
    <t>AP</t>
  </si>
  <si>
    <t xml:space="preserve">1907 </t>
  </si>
  <si>
    <t xml:space="preserve">LIB1907NIC-AB </t>
  </si>
  <si>
    <t>AQ</t>
  </si>
  <si>
    <t>LIB1908NIC-AA</t>
  </si>
  <si>
    <t>AR</t>
  </si>
  <si>
    <t xml:space="preserve">1908 </t>
  </si>
  <si>
    <t xml:space="preserve">LIB1908NIC-AA </t>
  </si>
  <si>
    <t>AS</t>
  </si>
  <si>
    <t>LIB1909NIC-AA</t>
  </si>
  <si>
    <t>AT</t>
  </si>
  <si>
    <t xml:space="preserve">1909 </t>
  </si>
  <si>
    <t>LIB1909NIC-AB</t>
  </si>
  <si>
    <t xml:space="preserve">LIB1910NIC-AA </t>
  </si>
  <si>
    <t>AV</t>
  </si>
  <si>
    <t xml:space="preserve">1910 </t>
  </si>
  <si>
    <t xml:space="preserve">LIB1910NIC-AB </t>
  </si>
  <si>
    <t>AW</t>
  </si>
  <si>
    <t>LIB1910NIC-AC</t>
  </si>
  <si>
    <t>AX</t>
  </si>
  <si>
    <t>LIB1911NIC-AA</t>
  </si>
  <si>
    <t>AY</t>
  </si>
  <si>
    <t xml:space="preserve">1911 </t>
  </si>
  <si>
    <t xml:space="preserve">LIB1912NIC-AA </t>
  </si>
  <si>
    <t>AZ</t>
  </si>
  <si>
    <t xml:space="preserve">1912 </t>
  </si>
  <si>
    <t xml:space="preserve">LIB1912NIC-AB </t>
  </si>
  <si>
    <t>LIB1912NIC-AC</t>
  </si>
  <si>
    <t xml:space="preserve">BUF1913NIC-AA </t>
  </si>
  <si>
    <t xml:space="preserve">BUFFALO NICKEL </t>
  </si>
  <si>
    <t xml:space="preserve">1913 </t>
  </si>
  <si>
    <t>BUF1916NIC-AA</t>
  </si>
  <si>
    <t xml:space="preserve">1916 </t>
  </si>
  <si>
    <t>BUF1917NIC-AA</t>
  </si>
  <si>
    <t xml:space="preserve">1917 </t>
  </si>
  <si>
    <t>BUF1920NIC-AA</t>
  </si>
  <si>
    <t xml:space="preserve">BUF1921NIC-AA </t>
  </si>
  <si>
    <t xml:space="preserve">1921 </t>
  </si>
  <si>
    <t>BUF1923NIC-AA</t>
  </si>
  <si>
    <t xml:space="preserve">VF-VERY FINE </t>
  </si>
  <si>
    <t xml:space="preserve">1923 </t>
  </si>
  <si>
    <t>BUF1924NIC-AA</t>
  </si>
  <si>
    <t xml:space="preserve">1924 </t>
  </si>
  <si>
    <t>BUF1925NIC-AA</t>
  </si>
  <si>
    <t>VF--20 VERY FINE</t>
  </si>
  <si>
    <t xml:space="preserve">BUF1926NIC-AA </t>
  </si>
  <si>
    <t xml:space="preserve">1926 </t>
  </si>
  <si>
    <t>BUF1926NIC-AB</t>
  </si>
  <si>
    <t>BUF1927NIC-AA</t>
  </si>
  <si>
    <t xml:space="preserve">1927 </t>
  </si>
  <si>
    <t>BUF1927NIC-AB</t>
  </si>
  <si>
    <t>BUF1928NIC-AA</t>
  </si>
  <si>
    <t xml:space="preserve">1928 </t>
  </si>
  <si>
    <t>BUF1928NIC-AB</t>
  </si>
  <si>
    <t>BUF1928NIC-AC</t>
  </si>
  <si>
    <t>BUF9208NIC-AC</t>
  </si>
  <si>
    <t>BUF1929NIC-AA</t>
  </si>
  <si>
    <t>BUF1929NIC-AB</t>
  </si>
  <si>
    <t xml:space="preserve">1929 </t>
  </si>
  <si>
    <t xml:space="preserve">BUF1930NIC-AA </t>
  </si>
  <si>
    <t xml:space="preserve">1930 </t>
  </si>
  <si>
    <t>BUF1931NIC-AA</t>
  </si>
  <si>
    <t xml:space="preserve">BUF1934NIC-AA </t>
  </si>
  <si>
    <t xml:space="preserve">1934 </t>
  </si>
  <si>
    <t>BUF1934NIC-AB</t>
  </si>
  <si>
    <t>BUF1934NIC-AC</t>
  </si>
  <si>
    <t xml:space="preserve">BUF1935NIC-AA </t>
  </si>
  <si>
    <t xml:space="preserve">1935 </t>
  </si>
  <si>
    <t>BUF1935NIC-AB</t>
  </si>
  <si>
    <t>BUF1935NIC-AC</t>
  </si>
  <si>
    <t>BUF1935NIC-AD</t>
  </si>
  <si>
    <t xml:space="preserve">BUF1936NIC-AA </t>
  </si>
  <si>
    <t xml:space="preserve">1936 </t>
  </si>
  <si>
    <t xml:space="preserve">BUF1936NIC-AB </t>
  </si>
  <si>
    <t>BUF1936NIC-AC</t>
  </si>
  <si>
    <t>BUF1936NIC-AD</t>
  </si>
  <si>
    <t>BUF1936NIC-AE</t>
  </si>
  <si>
    <t>BUF1936NIC-AF</t>
  </si>
  <si>
    <t>BUF1936NIC-AG</t>
  </si>
  <si>
    <t>BUF1937NIC-AA</t>
  </si>
  <si>
    <t xml:space="preserve">1937 </t>
  </si>
  <si>
    <t>BUF1937NIC-AB</t>
  </si>
  <si>
    <t>BUF1937NIC-AC</t>
  </si>
  <si>
    <t>1937 D</t>
  </si>
  <si>
    <t>BUF1938NIC-AA</t>
  </si>
  <si>
    <t>BUF1939NIC-AA</t>
  </si>
  <si>
    <t>JEFFERSON NICKEL</t>
  </si>
  <si>
    <t xml:space="preserve">1939 </t>
  </si>
  <si>
    <t>BUF1939NIC-AB</t>
  </si>
  <si>
    <t xml:space="preserve">BUF1940NIC-AA </t>
  </si>
  <si>
    <t xml:space="preserve">1940 </t>
  </si>
  <si>
    <t xml:space="preserve">BUF1940NIC-AB </t>
  </si>
  <si>
    <t xml:space="preserve">BUF1940NIC-AC </t>
  </si>
  <si>
    <t>BUF1940NIC-AD</t>
  </si>
  <si>
    <t xml:space="preserve">JEF1940NIC-AE </t>
  </si>
  <si>
    <t xml:space="preserve">VG-VERY GOOD </t>
  </si>
  <si>
    <t xml:space="preserve">JEF1940NIC-AF </t>
  </si>
  <si>
    <t xml:space="preserve">JEF1940NIC-AG </t>
  </si>
  <si>
    <t>1940 D</t>
  </si>
  <si>
    <t>JEF1940NIC-AH</t>
  </si>
  <si>
    <t xml:space="preserve">JEF1941NIC-AA </t>
  </si>
  <si>
    <t xml:space="preserve">1941 </t>
  </si>
  <si>
    <t xml:space="preserve">JEF1941NIC-AB </t>
  </si>
  <si>
    <t xml:space="preserve">JEF1941NIC-AC </t>
  </si>
  <si>
    <t xml:space="preserve">JEF1941NIC-AD </t>
  </si>
  <si>
    <t xml:space="preserve">G-GOOD </t>
  </si>
  <si>
    <t xml:space="preserve">JEF1941NIC-AE </t>
  </si>
  <si>
    <t>1941 D</t>
  </si>
  <si>
    <t>JEF1941NIC-AF</t>
  </si>
  <si>
    <t>JEF1943NIC-AA</t>
  </si>
  <si>
    <t xml:space="preserve">1943 </t>
  </si>
  <si>
    <t xml:space="preserve">JEF1944NIC-AA </t>
  </si>
  <si>
    <t>1944 P</t>
  </si>
  <si>
    <t>JEF1944NIC-AC</t>
  </si>
  <si>
    <t xml:space="preserve">1944 </t>
  </si>
  <si>
    <t xml:space="preserve">JEF1946NIC-AA </t>
  </si>
  <si>
    <t xml:space="preserve">1946 </t>
  </si>
  <si>
    <t xml:space="preserve">JEF1946NIC-AB </t>
  </si>
  <si>
    <t xml:space="preserve">JEF1946NIC-AC </t>
  </si>
  <si>
    <t xml:space="preserve">JEF1946NIC-AD </t>
  </si>
  <si>
    <t xml:space="preserve">JEF1946NIC-AE </t>
  </si>
  <si>
    <t xml:space="preserve">JEF1946NIC-AF </t>
  </si>
  <si>
    <t xml:space="preserve">JEF1946NIC-AG </t>
  </si>
  <si>
    <t xml:space="preserve">JEF1946NIC-AH </t>
  </si>
  <si>
    <t xml:space="preserve">JEF1946NIC-AI </t>
  </si>
  <si>
    <t>JEF1946NIC-AJ</t>
  </si>
  <si>
    <t xml:space="preserve">JEF1947NIC-AA </t>
  </si>
  <si>
    <t xml:space="preserve">1947 </t>
  </si>
  <si>
    <t xml:space="preserve">JEF1948NIC-AA </t>
  </si>
  <si>
    <t xml:space="preserve">1948 </t>
  </si>
  <si>
    <t xml:space="preserve">JEF1949NIC-AA </t>
  </si>
  <si>
    <t xml:space="preserve">1949 </t>
  </si>
  <si>
    <t xml:space="preserve">JEF1952NIC-AA </t>
  </si>
  <si>
    <t xml:space="preserve">1952 </t>
  </si>
  <si>
    <t xml:space="preserve">JEF1952NIC-AB </t>
  </si>
  <si>
    <t xml:space="preserve">JEF1952NIC-AC </t>
  </si>
  <si>
    <t>JEF1955NIC-AA</t>
  </si>
  <si>
    <t xml:space="preserve">1955 </t>
  </si>
  <si>
    <t xml:space="preserve">JEF1957NIC-AA </t>
  </si>
  <si>
    <t>MS-65 CHOICE UNCIRC</t>
  </si>
  <si>
    <t xml:space="preserve">1957 </t>
  </si>
  <si>
    <t xml:space="preserve">JEF1957NIC-AB </t>
  </si>
  <si>
    <t xml:space="preserve">JEF1957NIC-AC </t>
  </si>
  <si>
    <t xml:space="preserve">JEF1957NIC-AD </t>
  </si>
  <si>
    <t xml:space="preserve">JEF1958NIC-AA </t>
  </si>
  <si>
    <t xml:space="preserve">JEF1958NIC-AB </t>
  </si>
  <si>
    <t xml:space="preserve">JEF1958NIC-AC </t>
  </si>
  <si>
    <t xml:space="preserve">JEF1958NIC-AD </t>
  </si>
  <si>
    <t xml:space="preserve">JEF1959NIC-AA </t>
  </si>
  <si>
    <t xml:space="preserve">JEF1959NIC-AB </t>
  </si>
  <si>
    <t xml:space="preserve">JEF1959NIC-AC </t>
  </si>
  <si>
    <t xml:space="preserve">JEF1960NIC-AA </t>
  </si>
  <si>
    <t xml:space="preserve">JEF1960NIC-AB </t>
  </si>
  <si>
    <t xml:space="preserve">JEF1960NIC-AC </t>
  </si>
  <si>
    <t xml:space="preserve">JEF1961NIC-AA </t>
  </si>
  <si>
    <t xml:space="preserve">1961 </t>
  </si>
  <si>
    <t xml:space="preserve">JEF1961NIC-AB </t>
  </si>
  <si>
    <t xml:space="preserve">JEF1961NIC-AC </t>
  </si>
  <si>
    <t xml:space="preserve">JEF1961NIC-AD </t>
  </si>
  <si>
    <t xml:space="preserve">JEF1961NIC-AE </t>
  </si>
  <si>
    <t xml:space="preserve">JEF1961NIC-AF </t>
  </si>
  <si>
    <t xml:space="preserve">JEF1962NIC-AA </t>
  </si>
  <si>
    <t xml:space="preserve">1962 </t>
  </si>
  <si>
    <t xml:space="preserve">JEF1962NIC-AB </t>
  </si>
  <si>
    <t xml:space="preserve">JEF1962NIC-AC </t>
  </si>
  <si>
    <t xml:space="preserve">JEF1962NIC-AD </t>
  </si>
  <si>
    <t xml:space="preserve">JEF1963NIC-AA </t>
  </si>
  <si>
    <t xml:space="preserve">1963 </t>
  </si>
  <si>
    <t xml:space="preserve">JEF1963NIC-AB </t>
  </si>
  <si>
    <t xml:space="preserve">JEF1963NIC-AC </t>
  </si>
  <si>
    <t xml:space="preserve">JEF1963NIC-AD </t>
  </si>
  <si>
    <t xml:space="preserve">JEF1963NIC-AE </t>
  </si>
  <si>
    <t xml:space="preserve">JEF1963NIC-AF </t>
  </si>
  <si>
    <t>JEF1963NIC-AG</t>
  </si>
  <si>
    <t xml:space="preserve">JEF1964NIC-AA </t>
  </si>
  <si>
    <t xml:space="preserve">1964 </t>
  </si>
  <si>
    <t xml:space="preserve">JEF1964NIC-AB </t>
  </si>
  <si>
    <t xml:space="preserve">JEF1964NIC-AC </t>
  </si>
  <si>
    <t xml:space="preserve">JEF1964NIC-AD </t>
  </si>
  <si>
    <t xml:space="preserve">JEF1964NIC-AE </t>
  </si>
  <si>
    <t xml:space="preserve">JEF1964NIC-AF </t>
  </si>
  <si>
    <t xml:space="preserve">JEF1964NIC-AG </t>
  </si>
  <si>
    <t xml:space="preserve">JEF1964NIC-AH </t>
  </si>
  <si>
    <t xml:space="preserve">JEF1964NIC-AI </t>
  </si>
  <si>
    <t xml:space="preserve">JEF1964NIC-AJ </t>
  </si>
  <si>
    <t xml:space="preserve">JEF1964NIC-AK </t>
  </si>
  <si>
    <t>1964 D</t>
  </si>
  <si>
    <t xml:space="preserve">JEF1964NIC-AL </t>
  </si>
  <si>
    <t xml:space="preserve">JEF1964NIC-AM </t>
  </si>
  <si>
    <t xml:space="preserve">JEF1964NIC-AN </t>
  </si>
  <si>
    <t xml:space="preserve">JEF1964NIC-AO </t>
  </si>
  <si>
    <t xml:space="preserve">JEF1964NIC-AP </t>
  </si>
  <si>
    <t xml:space="preserve">JEF1964NIC-AQ </t>
  </si>
  <si>
    <t xml:space="preserve">JEF1964NIC-AR </t>
  </si>
  <si>
    <t xml:space="preserve">JEF1964NIC-AS </t>
  </si>
  <si>
    <t xml:space="preserve">JEF1964NIC-AT </t>
  </si>
  <si>
    <t xml:space="preserve">JEF1964NIC-AU </t>
  </si>
  <si>
    <t xml:space="preserve">JEF1964NIC-AV </t>
  </si>
  <si>
    <t xml:space="preserve">JEF1965NIC-AA </t>
  </si>
  <si>
    <t xml:space="preserve">1965 </t>
  </si>
  <si>
    <t xml:space="preserve">JEF1966NIC-AA </t>
  </si>
  <si>
    <t xml:space="preserve">1966 </t>
  </si>
  <si>
    <t xml:space="preserve">JEF1966NIC-AB </t>
  </si>
  <si>
    <t xml:space="preserve">JEF1967NIC-AA </t>
  </si>
  <si>
    <t xml:space="preserve">1967 </t>
  </si>
  <si>
    <t>JEF1967NIC-AB</t>
  </si>
  <si>
    <t xml:space="preserve">JEF1969NIC-AA </t>
  </si>
  <si>
    <t>1969 D</t>
  </si>
  <si>
    <t xml:space="preserve">JEF1969NIC-AB </t>
  </si>
  <si>
    <t xml:space="preserve">JEF1969NIC-AC </t>
  </si>
  <si>
    <t xml:space="preserve">JEF1969NIC-AD </t>
  </si>
  <si>
    <t xml:space="preserve">JEF1969NIC-AE </t>
  </si>
  <si>
    <t xml:space="preserve">JEF1969NIC-AF </t>
  </si>
  <si>
    <t>1969 S</t>
  </si>
  <si>
    <t xml:space="preserve">JEF1970NIC-AA </t>
  </si>
  <si>
    <t>1970 D</t>
  </si>
  <si>
    <t xml:space="preserve">JEF1970NIC-AB </t>
  </si>
  <si>
    <t xml:space="preserve">JEF1970NIC-AC </t>
  </si>
  <si>
    <t xml:space="preserve">JEF1970NIC-AE </t>
  </si>
  <si>
    <t xml:space="preserve">JEF1970NIC-AF </t>
  </si>
  <si>
    <t xml:space="preserve">JEF1970NIC-AG </t>
  </si>
  <si>
    <t xml:space="preserve">JEF1971NIC-AA </t>
  </si>
  <si>
    <t xml:space="preserve">JEF1971NIC-AB </t>
  </si>
  <si>
    <t xml:space="preserve">JEF1972NIC-AA </t>
  </si>
  <si>
    <t xml:space="preserve">JEF1972NIC-AB </t>
  </si>
  <si>
    <t xml:space="preserve">JEF1972NIC-AC </t>
  </si>
  <si>
    <t>JEF1972NIC-AD</t>
  </si>
  <si>
    <t xml:space="preserve">1972 </t>
  </si>
  <si>
    <t xml:space="preserve">JEF1973NIC-AA </t>
  </si>
  <si>
    <t xml:space="preserve">1973 </t>
  </si>
  <si>
    <t xml:space="preserve">JEF1973NIC-AB </t>
  </si>
  <si>
    <t xml:space="preserve">JEF1973NIC-AC </t>
  </si>
  <si>
    <t xml:space="preserve">JEF1973NIC-AD </t>
  </si>
  <si>
    <t xml:space="preserve">JEF1973NIC-AE </t>
  </si>
  <si>
    <t xml:space="preserve">JEF1973NIC-AF </t>
  </si>
  <si>
    <t xml:space="preserve">JEF1974NIC-AA </t>
  </si>
  <si>
    <t xml:space="preserve">1974 </t>
  </si>
  <si>
    <t xml:space="preserve">JEF1974NIC-AB </t>
  </si>
  <si>
    <t xml:space="preserve">JEF1974NIC-AC </t>
  </si>
  <si>
    <t xml:space="preserve">JEF1974NIC-AD </t>
  </si>
  <si>
    <t xml:space="preserve">JEF1974NIC-AE </t>
  </si>
  <si>
    <t>JEF1974NIC-AF</t>
  </si>
  <si>
    <t xml:space="preserve">JEF1975NIC-AA </t>
  </si>
  <si>
    <t xml:space="preserve">1975 </t>
  </si>
  <si>
    <t xml:space="preserve">JEF1975NIC-AB </t>
  </si>
  <si>
    <t xml:space="preserve">JEF1975NIC-AC </t>
  </si>
  <si>
    <t>JEF1975NIC-AD</t>
  </si>
  <si>
    <t xml:space="preserve">JEF1976NIC-AA </t>
  </si>
  <si>
    <t xml:space="preserve">1976 </t>
  </si>
  <si>
    <t xml:space="preserve">JEF1976NIC-AB </t>
  </si>
  <si>
    <t xml:space="preserve">JEF1976NIC-AC </t>
  </si>
  <si>
    <t xml:space="preserve">JEF1976NIC-AD </t>
  </si>
  <si>
    <t xml:space="preserve">JEF1976NIC-AE </t>
  </si>
  <si>
    <t xml:space="preserve">JEF1976NIC-AF </t>
  </si>
  <si>
    <t>JEF1976NIC-AG</t>
  </si>
  <si>
    <t xml:space="preserve">JEF1977NIC-AA </t>
  </si>
  <si>
    <t xml:space="preserve">1977 </t>
  </si>
  <si>
    <t xml:space="preserve">JEF1977NIC-AB </t>
  </si>
  <si>
    <t xml:space="preserve">JEF1977NIC-AC </t>
  </si>
  <si>
    <t xml:space="preserve">JEF1977NIC-AD </t>
  </si>
  <si>
    <t xml:space="preserve">JEF1977NIC-AE </t>
  </si>
  <si>
    <t xml:space="preserve">JEF1978NIC-AA </t>
  </si>
  <si>
    <t xml:space="preserve">1978 </t>
  </si>
  <si>
    <t xml:space="preserve">JEF1978NIC-AB </t>
  </si>
  <si>
    <t xml:space="preserve">JEF1978NIC-AC </t>
  </si>
  <si>
    <t xml:space="preserve">JEF1978NIC-AE </t>
  </si>
  <si>
    <t xml:space="preserve">JEF1978NIC-AF </t>
  </si>
  <si>
    <t xml:space="preserve">JEF1979NIC-AA </t>
  </si>
  <si>
    <t xml:space="preserve">1979 </t>
  </si>
  <si>
    <t xml:space="preserve">JEF1979NIC-AB </t>
  </si>
  <si>
    <t>JEF1980NIC-AA</t>
  </si>
  <si>
    <t xml:space="preserve">JEF1980NIC-AB </t>
  </si>
  <si>
    <t>JEF1980NIC-AC</t>
  </si>
  <si>
    <t>JEF1980NIC-AD</t>
  </si>
  <si>
    <t>JEF1980NIC-AE</t>
  </si>
  <si>
    <t>JEF1981NIC-AA</t>
  </si>
  <si>
    <t>JEF1981NIC-AB</t>
  </si>
  <si>
    <t xml:space="preserve">JEF1981NIC-AB </t>
  </si>
  <si>
    <t>JEF1981NIC-AC</t>
  </si>
  <si>
    <t>JEF1981NIC-AE</t>
  </si>
  <si>
    <t>JEF1981NIC-AF</t>
  </si>
  <si>
    <t>JEF1981NIC-AG</t>
  </si>
  <si>
    <t xml:space="preserve">JEF1981NIC-AH </t>
  </si>
  <si>
    <t>JEF1981NIC-AI</t>
  </si>
  <si>
    <t>JEF1981NIC-AJ</t>
  </si>
  <si>
    <t>JEF1982NIC-AA</t>
  </si>
  <si>
    <t>JEF1982NIC-AB</t>
  </si>
  <si>
    <t>1982 P</t>
  </si>
  <si>
    <t>JEF1982NIC-AC</t>
  </si>
  <si>
    <t>JEF1982NIC-AD</t>
  </si>
  <si>
    <t>JEF1982NIC-AE</t>
  </si>
  <si>
    <t>JEF1982NIC-AF</t>
  </si>
  <si>
    <t>JEF1982NIC-AG</t>
  </si>
  <si>
    <t>JEF1983NIC-AA</t>
  </si>
  <si>
    <t>JEF1983NIC-AB</t>
  </si>
  <si>
    <t>JEF1983NIC-AC</t>
  </si>
  <si>
    <t>JEF1983NIC-AD</t>
  </si>
  <si>
    <t>JEF1983NIC-AE</t>
  </si>
  <si>
    <t>JEF1983NIC-AF</t>
  </si>
  <si>
    <t>JEF1983NIK-AG</t>
  </si>
  <si>
    <t>JEF1984NIC-AA</t>
  </si>
  <si>
    <t>JEF1984NIC-AB</t>
  </si>
  <si>
    <t>JEF1985NIC-AA</t>
  </si>
  <si>
    <t>1985 P</t>
  </si>
  <si>
    <t>JEF1985NIC-AB</t>
  </si>
  <si>
    <t>JEF1986NIC-AA</t>
  </si>
  <si>
    <t>JEF1987NIC-AA</t>
  </si>
  <si>
    <t>1987 D</t>
  </si>
  <si>
    <t>JEF1987NIC-AB</t>
  </si>
  <si>
    <t>JEF1988NIC-AA</t>
  </si>
  <si>
    <t>1988 D</t>
  </si>
  <si>
    <t>JEF1988NIC-AB</t>
  </si>
  <si>
    <t>JEF1989NIC-AA</t>
  </si>
  <si>
    <t>JEF1989NIC-AB</t>
  </si>
  <si>
    <t>JEF1989NIC-AC</t>
  </si>
  <si>
    <t>JEF1989NIC-AD</t>
  </si>
  <si>
    <t>JEF1989NIC-AE</t>
  </si>
  <si>
    <t>JEF1990NIC-AA</t>
  </si>
  <si>
    <t>JEF1990NIC-AB</t>
  </si>
  <si>
    <t>1990 P</t>
  </si>
  <si>
    <t>JEF1991NIC-AA</t>
  </si>
  <si>
    <t>JEF1991NIC-AB</t>
  </si>
  <si>
    <t>JEF1992NIC-AA</t>
  </si>
  <si>
    <t>1992 P</t>
  </si>
  <si>
    <t>JEF1992NIC-AB</t>
  </si>
  <si>
    <t>JEF1992NIC-AC</t>
  </si>
  <si>
    <t>JEF1992NIC-AD</t>
  </si>
  <si>
    <t>JEF1993NIC-AA</t>
  </si>
  <si>
    <t>JEF1993NIC-AB</t>
  </si>
  <si>
    <t>JEF1994NIC-AA</t>
  </si>
  <si>
    <t>1994 P</t>
  </si>
  <si>
    <t>JEF1994NIC-AB</t>
  </si>
  <si>
    <t>JEF1994NIC-AC</t>
  </si>
  <si>
    <t>JEF1994NIC-AD</t>
  </si>
  <si>
    <t>JEF1995NIC-AA</t>
  </si>
  <si>
    <t>JEF1995NIC-AB</t>
  </si>
  <si>
    <t>JEF1995NIC-AC</t>
  </si>
  <si>
    <t>JEF1995NIC-AD</t>
  </si>
  <si>
    <t>JEF1995NIC-AE</t>
  </si>
  <si>
    <t>MS-60</t>
  </si>
  <si>
    <t>JEF1995NIC-AF</t>
  </si>
  <si>
    <t>JEF1996NIC-AA</t>
  </si>
  <si>
    <t>1996 P</t>
  </si>
  <si>
    <t>JEF1996NIC-AB</t>
  </si>
  <si>
    <t>JEF1996NIC-AC</t>
  </si>
  <si>
    <t>JEF1996NIC-AD</t>
  </si>
  <si>
    <t>JEF1997NIC-AA</t>
  </si>
  <si>
    <t>1997 P</t>
  </si>
  <si>
    <t>JEF1997NIC-AB</t>
  </si>
  <si>
    <t>MS-63</t>
  </si>
  <si>
    <t>JEF1997NIC-AC</t>
  </si>
  <si>
    <t>1997 D</t>
  </si>
  <si>
    <t>JEF1997NIC-AD</t>
  </si>
  <si>
    <t>JEF1998NIC-AA</t>
  </si>
  <si>
    <t>JEF1998NIC-AB</t>
  </si>
  <si>
    <t>JEF1998NIC-AC</t>
  </si>
  <si>
    <t>JEF1998NIC-AD</t>
  </si>
  <si>
    <t>1998 D</t>
  </si>
  <si>
    <t>JEF1999NIC-AA</t>
  </si>
  <si>
    <t>1999 P</t>
  </si>
  <si>
    <t>JEF1999NIC-AB</t>
  </si>
  <si>
    <t>JEF1999NIC-AC</t>
  </si>
  <si>
    <t>JEF2000NIC-AA</t>
  </si>
  <si>
    <t>2000 D</t>
  </si>
  <si>
    <t>JEF2000NIC-AB</t>
  </si>
  <si>
    <t>JEF2001NIC-AA</t>
  </si>
  <si>
    <t>JEF2001NIC-AB</t>
  </si>
  <si>
    <t>JEF2001NIC-AC</t>
  </si>
  <si>
    <t>2001 D</t>
  </si>
  <si>
    <t>JEF2002NIC-AA</t>
  </si>
  <si>
    <t>JEF2002NIC-AB</t>
  </si>
  <si>
    <t>JEF2003NIC-AA</t>
  </si>
  <si>
    <t>JEF2004NIC-AA</t>
  </si>
  <si>
    <t>KEEL BOAT- ROLL</t>
  </si>
  <si>
    <t>2004 P</t>
  </si>
  <si>
    <t>JEF2004NIC-AB</t>
  </si>
  <si>
    <t xml:space="preserve"> LOUISIANA PURCHASE</t>
  </si>
  <si>
    <t>JEF2004NIC-AC</t>
  </si>
  <si>
    <t>LEWIS &amp; CLARK</t>
  </si>
  <si>
    <t xml:space="preserve">2004 </t>
  </si>
  <si>
    <t>JEF2005NIC-AA</t>
  </si>
  <si>
    <t>BISON ROLL</t>
  </si>
  <si>
    <t xml:space="preserve">2005 </t>
  </si>
  <si>
    <t>JEF2005NIC-AB</t>
  </si>
  <si>
    <t>PEACE MEDAL- ROLL</t>
  </si>
  <si>
    <t>JEF2005NIC-AC</t>
  </si>
  <si>
    <t>OCEAN IN VIEW- ROLL</t>
  </si>
  <si>
    <t>JEF2005NIC-AD</t>
  </si>
  <si>
    <t>JEF2005NIC-AE</t>
  </si>
  <si>
    <t>JEF2005NIC-AF</t>
  </si>
  <si>
    <t>2005 P</t>
  </si>
  <si>
    <t>JEF2005NIC-AG</t>
  </si>
  <si>
    <t>JEF2007NIC-AA</t>
  </si>
  <si>
    <t>JEF2007NIC-AB</t>
  </si>
  <si>
    <t>JEF2008NIC-AA</t>
  </si>
  <si>
    <t>JEF2010NIC-AA</t>
  </si>
  <si>
    <t>JEF2011NIC-AA</t>
  </si>
  <si>
    <t>JEF2011NIC-AB</t>
  </si>
  <si>
    <t>JEF2011NIC-AC</t>
  </si>
  <si>
    <t>JEF2012NIC-AA</t>
  </si>
  <si>
    <t>2012 P</t>
  </si>
  <si>
    <t>JEF2012NIC-AB</t>
  </si>
  <si>
    <t>JEF2012NIC-AC</t>
  </si>
  <si>
    <t>JEF2012NIC-AD</t>
  </si>
  <si>
    <t>JEF2012NIC-AE</t>
  </si>
  <si>
    <t>JEF2012NIC-AF</t>
  </si>
  <si>
    <t>JEF2013NIC-AA</t>
  </si>
  <si>
    <t>2013 P</t>
  </si>
  <si>
    <t>JEF2013NIC-AB</t>
  </si>
  <si>
    <t>JEF2013NIC-AC</t>
  </si>
  <si>
    <t>JEF2013NIC-AD</t>
  </si>
  <si>
    <t>JEF2013NIC-AE</t>
  </si>
  <si>
    <t>JEF2014NIC-AA</t>
  </si>
  <si>
    <t>2014 P</t>
  </si>
  <si>
    <t>JEF2014NIC-AB</t>
  </si>
  <si>
    <t>JEF2014NIC-AC</t>
  </si>
  <si>
    <t>JEF2015NIC-AA</t>
  </si>
  <si>
    <t>2015 P</t>
  </si>
  <si>
    <t>JEF2015NIC-AB</t>
  </si>
  <si>
    <t>JEF2015NIC-AC</t>
  </si>
  <si>
    <t>JEF2015NIC-AD</t>
  </si>
  <si>
    <t>JEF2015NIC-AE</t>
  </si>
  <si>
    <t>JEF2016NIC-AA</t>
  </si>
  <si>
    <t>2016 P</t>
  </si>
  <si>
    <t>JEF2016NIC-AB</t>
  </si>
  <si>
    <t>JEF2016NIC-AC</t>
  </si>
  <si>
    <t>JEF2016NIC-AD</t>
  </si>
  <si>
    <t>JEF2016NIC-AE</t>
  </si>
  <si>
    <t>JEF2016NIC-AF</t>
  </si>
  <si>
    <t>JEF2016NIC-AG</t>
  </si>
  <si>
    <t>JEF2017NIC-AA</t>
  </si>
  <si>
    <t>2017 P</t>
  </si>
  <si>
    <t>JEF2017NIC-AB</t>
  </si>
  <si>
    <t>JEF2017NIC-AC</t>
  </si>
  <si>
    <t>JEF2017NIC-AD</t>
  </si>
  <si>
    <t>JEF2018NIC-AA</t>
  </si>
  <si>
    <t>2018 P</t>
  </si>
  <si>
    <t>JEF2018NIC-AB</t>
  </si>
  <si>
    <t>JEF2018NIC-AC</t>
  </si>
  <si>
    <t>JEF2018NIC-AD</t>
  </si>
  <si>
    <t>JEF2018NIC-AE</t>
  </si>
  <si>
    <t>JEF2019NIC-AA</t>
  </si>
  <si>
    <t>2019 P</t>
  </si>
  <si>
    <t>JEF2019NIC-AB</t>
  </si>
  <si>
    <t>JEF2019NIC-AC</t>
  </si>
  <si>
    <t>JEF2019NIC-AD</t>
  </si>
  <si>
    <t>JEF2020NIC-AA</t>
  </si>
  <si>
    <t>2020 P</t>
  </si>
  <si>
    <t>JEF2020NIC-AB</t>
  </si>
  <si>
    <t>JEF2020NIC-AC</t>
  </si>
  <si>
    <t>JEF2021NIC-AA</t>
  </si>
  <si>
    <t>2021 P</t>
  </si>
  <si>
    <t>JEF2021NIC-AB</t>
  </si>
  <si>
    <t>JEF2021NIC-AC</t>
  </si>
  <si>
    <t>JEF2021NIC-AD</t>
  </si>
  <si>
    <t>JEF2022NIC-AA</t>
  </si>
  <si>
    <t>JEF2022NIC-AB</t>
  </si>
  <si>
    <t>JEF2022NIC-AC</t>
  </si>
  <si>
    <t>JEF2023NIC-AA</t>
  </si>
  <si>
    <t>JEF2023NIC-AB</t>
  </si>
  <si>
    <t>JEF2023NIC-AC</t>
  </si>
  <si>
    <t>JEF2024NIC-AA</t>
  </si>
  <si>
    <t xml:space="preserve">Enter Search Year --&gt;  </t>
  </si>
  <si>
    <t>Jefferson Nickel Mintages</t>
  </si>
  <si>
    <t>1938-D</t>
  </si>
  <si>
    <t>1938-S</t>
  </si>
  <si>
    <t>1939-D</t>
  </si>
  <si>
    <t>1939-S</t>
  </si>
  <si>
    <t>1940-D</t>
  </si>
  <si>
    <t>1940-S</t>
  </si>
  <si>
    <t>1941-D</t>
  </si>
  <si>
    <t>1941-S</t>
  </si>
  <si>
    <t>1942-D</t>
  </si>
  <si>
    <t>1942-P</t>
  </si>
  <si>
    <t xml:space="preserve"> Silver</t>
  </si>
  <si>
    <t>1942-S</t>
  </si>
  <si>
    <t>1943-P</t>
  </si>
  <si>
    <t>1943-D</t>
  </si>
  <si>
    <t>1943-S</t>
  </si>
  <si>
    <t>1944-P</t>
  </si>
  <si>
    <t>1944-D</t>
  </si>
  <si>
    <t>1944-S</t>
  </si>
  <si>
    <t>1945-P</t>
  </si>
  <si>
    <t>1945-D</t>
  </si>
  <si>
    <t>1945-S</t>
  </si>
  <si>
    <t>1946-D</t>
  </si>
  <si>
    <t>1946-S</t>
  </si>
  <si>
    <t>1947-D</t>
  </si>
  <si>
    <t>1947-S</t>
  </si>
  <si>
    <t>1948-D</t>
  </si>
  <si>
    <t>1948-S</t>
  </si>
  <si>
    <t>1949-D</t>
  </si>
  <si>
    <t>1949-S</t>
  </si>
  <si>
    <t>1950-D</t>
  </si>
  <si>
    <t>1951-D</t>
  </si>
  <si>
    <t>1951-S</t>
  </si>
  <si>
    <t>1952-D</t>
  </si>
  <si>
    <t>1952-S</t>
  </si>
  <si>
    <t>1953-D</t>
  </si>
  <si>
    <t>1953-S</t>
  </si>
  <si>
    <t>1954-D</t>
  </si>
  <si>
    <t>1954-S</t>
  </si>
  <si>
    <t>1955-D</t>
  </si>
  <si>
    <t>1956-D</t>
  </si>
  <si>
    <t>1957-D</t>
  </si>
  <si>
    <t>1958-D</t>
  </si>
  <si>
    <t>1959-D</t>
  </si>
  <si>
    <t>1960-D</t>
  </si>
  <si>
    <t>1961-D</t>
  </si>
  <si>
    <t>1962-D</t>
  </si>
  <si>
    <t>1963-D</t>
  </si>
  <si>
    <t>1964-D</t>
  </si>
  <si>
    <t>1968-D</t>
  </si>
  <si>
    <t>1968-S</t>
  </si>
  <si>
    <t>1969-D</t>
  </si>
  <si>
    <t>1969-S</t>
  </si>
  <si>
    <t>1970-D</t>
  </si>
  <si>
    <t>1970-S</t>
  </si>
  <si>
    <t>1971-D</t>
  </si>
  <si>
    <t>1972-D</t>
  </si>
  <si>
    <t>1973-D</t>
  </si>
  <si>
    <t>1974-D</t>
  </si>
  <si>
    <t>1975-D</t>
  </si>
  <si>
    <t>1976-D</t>
  </si>
  <si>
    <t>1977-D</t>
  </si>
  <si>
    <t>1978-D</t>
  </si>
  <si>
    <t>1979-D</t>
  </si>
  <si>
    <t>1980-P</t>
  </si>
  <si>
    <t>1980-D</t>
  </si>
  <si>
    <t>1981-P</t>
  </si>
  <si>
    <t>1981-D</t>
  </si>
  <si>
    <t>1982-P</t>
  </si>
  <si>
    <t>1982-D</t>
  </si>
  <si>
    <t>1983-P</t>
  </si>
  <si>
    <t>1983-D</t>
  </si>
  <si>
    <t>1984-P</t>
  </si>
  <si>
    <t>1984-D</t>
  </si>
  <si>
    <t>1985-P</t>
  </si>
  <si>
    <t>1985-D</t>
  </si>
  <si>
    <t>1986-P</t>
  </si>
  <si>
    <t>1986-D</t>
  </si>
  <si>
    <t>1987-P</t>
  </si>
  <si>
    <t>1987-D</t>
  </si>
  <si>
    <t>1988-P</t>
  </si>
  <si>
    <t>1988-D</t>
  </si>
  <si>
    <t>1989-P</t>
  </si>
  <si>
    <t>1989-D</t>
  </si>
  <si>
    <t>1990-P</t>
  </si>
  <si>
    <t>1990-D</t>
  </si>
  <si>
    <t>1991-P</t>
  </si>
  <si>
    <t>1991-D</t>
  </si>
  <si>
    <t>1992-P</t>
  </si>
  <si>
    <t>1992-D</t>
  </si>
  <si>
    <t>1993-P</t>
  </si>
  <si>
    <t>1993-D</t>
  </si>
  <si>
    <t>1994-P</t>
  </si>
  <si>
    <t>1994-D</t>
  </si>
  <si>
    <t>1995-P</t>
  </si>
  <si>
    <t>1995-D</t>
  </si>
  <si>
    <t>1996-P</t>
  </si>
  <si>
    <t>1996-D</t>
  </si>
  <si>
    <t>1997-P</t>
  </si>
  <si>
    <t>1997-D</t>
  </si>
  <si>
    <t>1998-P</t>
  </si>
  <si>
    <t>1998-D</t>
  </si>
  <si>
    <t>1999-P</t>
  </si>
  <si>
    <t>1999-D</t>
  </si>
  <si>
    <t>2000-P</t>
  </si>
  <si>
    <t>2000-D</t>
  </si>
  <si>
    <t>2001-P</t>
  </si>
  <si>
    <t>2001-D</t>
  </si>
  <si>
    <t>2002-P</t>
  </si>
  <si>
    <t>2002-D</t>
  </si>
  <si>
    <t>2003-P</t>
  </si>
  <si>
    <t>2003-D</t>
  </si>
  <si>
    <t>2004-P</t>
  </si>
  <si>
    <t xml:space="preserve"> Peace Medal</t>
  </si>
  <si>
    <t>2004-D</t>
  </si>
  <si>
    <t xml:space="preserve"> Keelboat</t>
  </si>
  <si>
    <t>2005-P</t>
  </si>
  <si>
    <t xml:space="preserve"> Bison</t>
  </si>
  <si>
    <t>2005-D</t>
  </si>
  <si>
    <t xml:space="preserve"> Ocean</t>
  </si>
  <si>
    <t>2006-P</t>
  </si>
  <si>
    <t>2006-D</t>
  </si>
  <si>
    <t>2007-P</t>
  </si>
  <si>
    <t>2007-D</t>
  </si>
  <si>
    <t>2008-P</t>
  </si>
  <si>
    <t>2008-D</t>
  </si>
  <si>
    <t>2009-P</t>
  </si>
  <si>
    <t>2009-D</t>
  </si>
  <si>
    <t>2010-P</t>
  </si>
  <si>
    <t>2010-D</t>
  </si>
  <si>
    <t>2011-P</t>
  </si>
  <si>
    <t>2011-D</t>
  </si>
  <si>
    <t>2012-P</t>
  </si>
  <si>
    <t>2012-D</t>
  </si>
  <si>
    <t>2013-P</t>
  </si>
  <si>
    <t>2013-D</t>
  </si>
  <si>
    <t>2014-P</t>
  </si>
  <si>
    <t>2014-D</t>
  </si>
  <si>
    <t>2015-P</t>
  </si>
  <si>
    <t>2015-D</t>
  </si>
  <si>
    <t>2016-P</t>
  </si>
  <si>
    <t>2016-D</t>
  </si>
  <si>
    <t>2017-P</t>
  </si>
  <si>
    <t>2017-D</t>
  </si>
  <si>
    <t>2018-P</t>
  </si>
  <si>
    <t>2018-D</t>
  </si>
  <si>
    <t>2019-P</t>
  </si>
  <si>
    <t>2019-D</t>
  </si>
  <si>
    <t>2020-P</t>
  </si>
  <si>
    <t>2020-D</t>
  </si>
  <si>
    <t>←-- Not Equal #N/A</t>
  </si>
  <si>
    <t>←-- Equals #N/A</t>
  </si>
  <si>
    <t>ROS</t>
  </si>
  <si>
    <t>DIM</t>
  </si>
  <si>
    <t>MUR1939DIM-AA</t>
  </si>
  <si>
    <t>MURCURY DIME</t>
  </si>
  <si>
    <t>MUR1941DIM-AA</t>
  </si>
  <si>
    <t>MUR1942DIM-AA</t>
  </si>
  <si>
    <t>ROS1946DIM-AA</t>
  </si>
  <si>
    <t>ROOSEVELT DIME</t>
  </si>
  <si>
    <t>ROS1946DIM-AB</t>
  </si>
  <si>
    <t>1946</t>
  </si>
  <si>
    <t>ROS1951DIM-AA</t>
  </si>
  <si>
    <t xml:space="preserve">1951 </t>
  </si>
  <si>
    <t>ROS1954DIM-AA</t>
  </si>
  <si>
    <t>GOOD</t>
  </si>
  <si>
    <t xml:space="preserve">1954 </t>
  </si>
  <si>
    <t>ROS1957DIM-AA</t>
  </si>
  <si>
    <t>ROS1960DIM-AA</t>
  </si>
  <si>
    <t xml:space="preserve">1960 </t>
  </si>
  <si>
    <t>ROS1963DIM-AA</t>
  </si>
  <si>
    <t>1963 P</t>
  </si>
  <si>
    <t>ROS1964DIM-AA</t>
  </si>
  <si>
    <t>ROS1965DIM-AA</t>
  </si>
  <si>
    <t>ROS1965DIM-AB</t>
  </si>
  <si>
    <t>ROS1966DIM-AA</t>
  </si>
  <si>
    <t>ROS1966DIM-AB</t>
  </si>
  <si>
    <t>ROS1967DIM-AA</t>
  </si>
  <si>
    <t>ROS1967DIM-AB</t>
  </si>
  <si>
    <t>ROS1967DIM-AC</t>
  </si>
  <si>
    <t>ROS1969DIM-AA</t>
  </si>
  <si>
    <t>ROS1969DIM-AB</t>
  </si>
  <si>
    <t>ROS1970DIM-AA</t>
  </si>
  <si>
    <t>ROS1970DIM-AB</t>
  </si>
  <si>
    <t>ROS1974DIM-AA</t>
  </si>
  <si>
    <t>ROS1975DIM-AA</t>
  </si>
  <si>
    <t>ROS1977DIM-AA</t>
  </si>
  <si>
    <t>ROS1977DIM-AB</t>
  </si>
  <si>
    <t>AU-55</t>
  </si>
  <si>
    <t>ROS1981DIM-AA</t>
  </si>
  <si>
    <t>ROS1981DIM-AB</t>
  </si>
  <si>
    <t>ROS1981DIM-AC</t>
  </si>
  <si>
    <t>ROS1982DIM-AA</t>
  </si>
  <si>
    <t>ROS1983DIM-AA</t>
  </si>
  <si>
    <t>ROS1985DIM-AA</t>
  </si>
  <si>
    <t>ROS1985DIM-AB</t>
  </si>
  <si>
    <t>ROS1985DIM-AC</t>
  </si>
  <si>
    <t>ROS1985DIM-AD</t>
  </si>
  <si>
    <t>ROS1986DIM-AA</t>
  </si>
  <si>
    <t>ROS1986DIM-AB</t>
  </si>
  <si>
    <t>ROS1986DIM-AC</t>
  </si>
  <si>
    <t>ROS1987DIM-AA</t>
  </si>
  <si>
    <t>ROS1988DIM-AA</t>
  </si>
  <si>
    <t>ROS1988DIM-AB</t>
  </si>
  <si>
    <t>ROS1989DIM-AA</t>
  </si>
  <si>
    <t>ROS1990DIM-AA</t>
  </si>
  <si>
    <t>ROS1989DIM-AB</t>
  </si>
  <si>
    <t>ROS1991DIM-AA</t>
  </si>
  <si>
    <t>ROS1992DIM-AB</t>
  </si>
  <si>
    <t>ROS1993DIM-AA</t>
  </si>
  <si>
    <t>ROS1992DIM-AC</t>
  </si>
  <si>
    <t>ROS1993DIM-AB</t>
  </si>
  <si>
    <t>ROS1993DIM-AC</t>
  </si>
  <si>
    <t>ROS1994DIM-AA</t>
  </si>
  <si>
    <t>ROS1993DIM-AD</t>
  </si>
  <si>
    <t>ROS1994DIM-AB</t>
  </si>
  <si>
    <t>ROS1994DIM-AC</t>
  </si>
  <si>
    <t>MS-65</t>
  </si>
  <si>
    <t>ROS1994DIM-AD</t>
  </si>
  <si>
    <t>ROS1994DIM-AE</t>
  </si>
  <si>
    <t>ROS1995DIM-AA</t>
  </si>
  <si>
    <t>ROS1995DIM-AB</t>
  </si>
  <si>
    <t>ROS1996DIM-AA</t>
  </si>
  <si>
    <t>ROS1996DIM-AB</t>
  </si>
  <si>
    <t>ROS1996DIM-AC</t>
  </si>
  <si>
    <t>ROS1996DIM-AD</t>
  </si>
  <si>
    <t>ROS1996DIM-AE</t>
  </si>
  <si>
    <t>ROS1997DIM-AA</t>
  </si>
  <si>
    <t>ROS1996DIM-AF</t>
  </si>
  <si>
    <t>ROS1997DIM-AB</t>
  </si>
  <si>
    <t>ROS1997DIM-AC</t>
  </si>
  <si>
    <t>ROS1997DIM-AD</t>
  </si>
  <si>
    <t>ROS1998DIM-AA</t>
  </si>
  <si>
    <t>ROS1998DIM-AB</t>
  </si>
  <si>
    <t>ROS1998DIM-AC</t>
  </si>
  <si>
    <t>ROS1999DIM-AA</t>
  </si>
  <si>
    <t>ROS1998DIM-AD</t>
  </si>
  <si>
    <t>ROS1999DIM-AB</t>
  </si>
  <si>
    <t>ROS1999DIM-AC</t>
  </si>
  <si>
    <t>ROS1999DIM-AD</t>
  </si>
  <si>
    <t>ROS2000DIM-AA</t>
  </si>
  <si>
    <t>ROS2000DIM-AB</t>
  </si>
  <si>
    <t>ROS2001DIM-AA</t>
  </si>
  <si>
    <t>ROS2002DIM-AA</t>
  </si>
  <si>
    <t>ROS2003DIMEAA</t>
  </si>
  <si>
    <t>ROS2001DIM-AB</t>
  </si>
  <si>
    <t>ROS2003DIM-AB</t>
  </si>
  <si>
    <t>ROS2004DIM-AA</t>
  </si>
  <si>
    <t>ROS2003DIM-AC</t>
  </si>
  <si>
    <t>ROS2004DIM-AB</t>
  </si>
  <si>
    <t>ROS2005DIM-AA</t>
  </si>
  <si>
    <t>ROS2005DIM-AB</t>
  </si>
  <si>
    <t>ROS2004DIM-AC</t>
  </si>
  <si>
    <t>ROS2006DIM-AA</t>
  </si>
  <si>
    <t>ROS2007DIM-AA</t>
  </si>
  <si>
    <t>ROS2007DIM-AB</t>
  </si>
  <si>
    <t>ROS2007DIM-AC</t>
  </si>
  <si>
    <t>ROS2007DIM-AD</t>
  </si>
  <si>
    <t>ROS2008DIM-AA</t>
  </si>
  <si>
    <t>ROS2008DIM-AB</t>
  </si>
  <si>
    <t>ROS2010DIM-AA</t>
  </si>
  <si>
    <t>ROS2010DIM-AB</t>
  </si>
  <si>
    <t>ROS2010DIM-AC</t>
  </si>
  <si>
    <t>ROS2010DIM-AD</t>
  </si>
  <si>
    <t>ROS2011DIM-AA</t>
  </si>
  <si>
    <t>ROS2011DIM-AB</t>
  </si>
  <si>
    <t>ROS2011DIM-AC</t>
  </si>
  <si>
    <t>ROS2011DIM-AD</t>
  </si>
  <si>
    <t>ROS2011DIM-AE</t>
  </si>
  <si>
    <t>ROS2011DIM-AF</t>
  </si>
  <si>
    <t>ROS2012DIM-AA</t>
  </si>
  <si>
    <t>ROS2012DIM-AB</t>
  </si>
  <si>
    <t>ROS2012DIM-AC</t>
  </si>
  <si>
    <t>ROS2012DIM-AD</t>
  </si>
  <si>
    <t>ROS2013DIM-AA</t>
  </si>
  <si>
    <t>ROS2013DIM-AB</t>
  </si>
  <si>
    <t>ROS2014DIM-AA</t>
  </si>
  <si>
    <t>ROS2014DIM-AB</t>
  </si>
  <si>
    <t>ROS2014DIM-AC</t>
  </si>
  <si>
    <t>ROS2014DIM-AD</t>
  </si>
  <si>
    <t>ROS2014DIM-AE</t>
  </si>
  <si>
    <t>ROS2014DIM-AF</t>
  </si>
  <si>
    <t>ROS2014DIM-AG</t>
  </si>
  <si>
    <t>ROS2015DIM-AA</t>
  </si>
  <si>
    <t>ROS2015DIM-AB</t>
  </si>
  <si>
    <t>ROS2015DIM-AC</t>
  </si>
  <si>
    <t>ROS2003DIM-AD</t>
  </si>
  <si>
    <t>20154 P</t>
  </si>
  <si>
    <t>ROS2015DIM-AD</t>
  </si>
  <si>
    <t>ROS2016DIN-AA</t>
  </si>
  <si>
    <t>ROS2016DIM-AB</t>
  </si>
  <si>
    <t>ROS2016DIM-AC</t>
  </si>
  <si>
    <t>ROS2016DIM-AD</t>
  </si>
  <si>
    <t>ROS2016DIM-AE</t>
  </si>
  <si>
    <t>ROS2016DIM-AF</t>
  </si>
  <si>
    <t>ROS2016DIM-AG</t>
  </si>
  <si>
    <t>ROS2016DIM-AH</t>
  </si>
  <si>
    <t>ROS2016DIM-AA</t>
  </si>
  <si>
    <t>ROS2016DIM-AI</t>
  </si>
  <si>
    <t>ROS2017DIM-AB</t>
  </si>
  <si>
    <t>ROS2017DIM-AC</t>
  </si>
  <si>
    <t>AU-56</t>
  </si>
  <si>
    <t>ROS2017DIM-AD</t>
  </si>
  <si>
    <t>ROS2017DIM-AE</t>
  </si>
  <si>
    <t>ROS2018DIM-AA</t>
  </si>
  <si>
    <t>ROS2018DIM-AB</t>
  </si>
  <si>
    <t>ROS2018DIM-AC</t>
  </si>
  <si>
    <t>ROS2018DIM-AD</t>
  </si>
  <si>
    <t>ROS2019DIM-AA</t>
  </si>
  <si>
    <t>ROS2019DIM-AB</t>
  </si>
  <si>
    <t>ROS2019DIM-AC</t>
  </si>
  <si>
    <t>ROS2020DIM-AA</t>
  </si>
  <si>
    <t>ROS2020DIM-AB</t>
  </si>
  <si>
    <t>ROS2021DIM-AA</t>
  </si>
  <si>
    <t>ROS2020DIM-AC</t>
  </si>
  <si>
    <t>ROS2021DIM-AB</t>
  </si>
  <si>
    <t>ROS2022DIM-AC</t>
  </si>
  <si>
    <t>ROS2021DIM-AC</t>
  </si>
  <si>
    <t>ROS2022DIM-AA</t>
  </si>
  <si>
    <t>Price Paid</t>
  </si>
  <si>
    <t>Value</t>
  </si>
  <si>
    <t>Quantity</t>
  </si>
  <si>
    <t>Rec Count</t>
  </si>
  <si>
    <t>DATE</t>
  </si>
  <si>
    <t>TYPE</t>
  </si>
  <si>
    <t>MAKE</t>
  </si>
  <si>
    <t>CK MINTAGE AGAINST MY COLLECTION</t>
  </si>
  <si>
    <t>MY COLLECTION FORMULA</t>
  </si>
  <si>
    <t>MY COLLECTION NUMERIC</t>
  </si>
  <si>
    <t>MATCH MY LIST TO MINTAGE LIST</t>
  </si>
  <si>
    <t>MERCURY DIMES</t>
  </si>
  <si>
    <t>1919 D</t>
  </si>
  <si>
    <t>1919 S</t>
  </si>
  <si>
    <t>1921 D</t>
  </si>
  <si>
    <t>1923 S</t>
  </si>
  <si>
    <t>1931 D</t>
  </si>
  <si>
    <t>1937 S</t>
  </si>
  <si>
    <t>2 OVER 1</t>
  </si>
  <si>
    <t>MICRO S</t>
  </si>
  <si>
    <t>ROOSEVELT</t>
  </si>
  <si>
    <t>1956 S</t>
  </si>
  <si>
    <t>FILLED S</t>
  </si>
  <si>
    <t>CLEAR S</t>
  </si>
  <si>
    <t>SILVER</t>
  </si>
  <si>
    <t>2000S</t>
  </si>
  <si>
    <t>2024 P</t>
  </si>
  <si>
    <t>2024 S</t>
  </si>
  <si>
    <t>2025 P</t>
  </si>
  <si>
    <t>2025 D</t>
  </si>
  <si>
    <t>2025 S</t>
  </si>
  <si>
    <t>Number</t>
  </si>
  <si>
    <t>Desc</t>
  </si>
  <si>
    <t/>
  </si>
  <si>
    <t>WSH1939QTR-AA</t>
  </si>
  <si>
    <t>WASHINGTON QUARTER</t>
  </si>
  <si>
    <t>WSH1942QTR-AA</t>
  </si>
  <si>
    <t>WSH1946QTR-AA</t>
  </si>
  <si>
    <t>WSH1952QTR-AA</t>
  </si>
  <si>
    <t>EF-40 EXTREMELY FINE</t>
  </si>
  <si>
    <t>WSH1952QTR-AB</t>
  </si>
  <si>
    <t>WSH1965QTR-AA</t>
  </si>
  <si>
    <t>WSH1965QTR-AB</t>
  </si>
  <si>
    <t>WSH1966QTR-AA</t>
  </si>
  <si>
    <t>WSH1999QTR-AA</t>
  </si>
  <si>
    <t>WSH1972QTR-AA</t>
  </si>
  <si>
    <t>WSH1972QTR-AB</t>
  </si>
  <si>
    <t>WSH1974QTR-AA</t>
  </si>
  <si>
    <t>WSH1974QTR-AB</t>
  </si>
  <si>
    <t>WSH1976QTR-AA</t>
  </si>
  <si>
    <t>WSH1976QTR-AB</t>
  </si>
  <si>
    <t>WSH1976QTR-AC</t>
  </si>
  <si>
    <t>WSH1976QTR-AD</t>
  </si>
  <si>
    <t>WSH1976QTR-AE</t>
  </si>
  <si>
    <t>WSH1976QTR-AF</t>
  </si>
  <si>
    <t>WSH1976QTR-AG</t>
  </si>
  <si>
    <t>WSH1978QTR-AA</t>
  </si>
  <si>
    <t>WSH1978QTR-AB</t>
  </si>
  <si>
    <t>WSH1984QTR-AA</t>
  </si>
  <si>
    <t>WSH1985QTR-AA</t>
  </si>
  <si>
    <t>WSH1986QTR-AA</t>
  </si>
  <si>
    <t>WSH1986QTR-AB</t>
  </si>
  <si>
    <t>WSH1987QTR-AA</t>
  </si>
  <si>
    <t>WSH1988QTR-AA</t>
  </si>
  <si>
    <t>WSH1989QTR-AA</t>
  </si>
  <si>
    <t>WSH1990QTR-AA</t>
  </si>
  <si>
    <t>WSH1990QTR-AB</t>
  </si>
  <si>
    <t>WSH1990QTR-AC</t>
  </si>
  <si>
    <t>WSH1990QTR-AD</t>
  </si>
  <si>
    <t>WSH1991QTR-AA</t>
  </si>
  <si>
    <t>WSH1991QTR-AB</t>
  </si>
  <si>
    <t>WSH1992QTR-AA</t>
  </si>
  <si>
    <t>WSH1993QTR-AA</t>
  </si>
  <si>
    <t>WSH1996QTR-AA</t>
  </si>
  <si>
    <t>WSH1996QTR-AB</t>
  </si>
  <si>
    <t>WSH1997QTR-AA</t>
  </si>
  <si>
    <t>WSH1997QTR-AB</t>
  </si>
  <si>
    <t>WSH1998QTR-AA</t>
  </si>
  <si>
    <t>WSH1998QTR-AB</t>
  </si>
  <si>
    <t>CONNECTICUT</t>
  </si>
  <si>
    <t>WSH1999QTR-AB</t>
  </si>
  <si>
    <t>GEORGIA</t>
  </si>
  <si>
    <t>WSH1999QTR-AC</t>
  </si>
  <si>
    <t>DELAWARE</t>
  </si>
  <si>
    <t>WSH1999QTR-AD</t>
  </si>
  <si>
    <t>PENNSYLVANIA</t>
  </si>
  <si>
    <t>WSH1999QTR-AE</t>
  </si>
  <si>
    <t>NEW JERSEY</t>
  </si>
  <si>
    <t>WSH1999QTR-AF</t>
  </si>
  <si>
    <t>WSH1999QTR-AG</t>
  </si>
  <si>
    <t>WSH1999QTR-AH</t>
  </si>
  <si>
    <t>WSH1999QTR-AI</t>
  </si>
  <si>
    <t>WSH1999QTR-AJ</t>
  </si>
  <si>
    <t>WSH1999QTR-AK</t>
  </si>
  <si>
    <t>WSH1999QTR-AL</t>
  </si>
  <si>
    <t>WSH1999QTR-AM</t>
  </si>
  <si>
    <t>WSH1999QTR-AN</t>
  </si>
  <si>
    <t>WSH1999QTR-AO</t>
  </si>
  <si>
    <t>WSH1999QTR-AP</t>
  </si>
  <si>
    <t>WSH1999QTR-AQ</t>
  </si>
  <si>
    <t>WSH1999QTR-AR</t>
  </si>
  <si>
    <t>WSH1999QTR-AS</t>
  </si>
  <si>
    <t>WSH1999QTR-AT</t>
  </si>
  <si>
    <t>WSH1999QTR-AU</t>
  </si>
  <si>
    <t>WSH1999QTR-AV</t>
  </si>
  <si>
    <t>WSH1999QTR-AW</t>
  </si>
  <si>
    <t>WSH1999QTR-AX</t>
  </si>
  <si>
    <t>WSH1999QTR-AY</t>
  </si>
  <si>
    <t>WSH1999QTR-AZ</t>
  </si>
  <si>
    <t>WSH1999QTR-BA</t>
  </si>
  <si>
    <t>WSH1999QTR-BB</t>
  </si>
  <si>
    <t>WSH1999QTR-BC</t>
  </si>
  <si>
    <t>WSH1999QTR-BD</t>
  </si>
  <si>
    <t>WSH2000QTR-AA</t>
  </si>
  <si>
    <t>MARYLAND</t>
  </si>
  <si>
    <t>WSH2000QTR-AB</t>
  </si>
  <si>
    <t>WSH2000QTR-AC</t>
  </si>
  <si>
    <t>SOUTH CAROLINA</t>
  </si>
  <si>
    <t>WSH2000QTR-AD</t>
  </si>
  <si>
    <t>WSH2001QTR-AA</t>
  </si>
  <si>
    <t>RHODE ISLAND</t>
  </si>
  <si>
    <t>WSH2001QTR-AB</t>
  </si>
  <si>
    <t>KENTUCKY</t>
  </si>
  <si>
    <t>WSH2001QTR-AC</t>
  </si>
  <si>
    <t>NEW YORK</t>
  </si>
  <si>
    <t>WSH2001QTR-AD</t>
  </si>
  <si>
    <t>NORTH CAROLINA</t>
  </si>
  <si>
    <t>WSH2001QTR-AE</t>
  </si>
  <si>
    <t>VERMONT</t>
  </si>
  <si>
    <t>WSH2002QTR-AA</t>
  </si>
  <si>
    <t>LOUISIANA</t>
  </si>
  <si>
    <t>WSH2006QTR-AA</t>
  </si>
  <si>
    <t>NEBRASKA</t>
  </si>
  <si>
    <t>WSH2006QTR-AB</t>
  </si>
  <si>
    <t>WSH2006QTR-AC</t>
  </si>
  <si>
    <t>NEVADA</t>
  </si>
  <si>
    <t>WSH2006QTR-AD</t>
  </si>
  <si>
    <t>WSH2009QTR-AA</t>
  </si>
  <si>
    <t>DISTRICT OF COLUMBIA</t>
  </si>
  <si>
    <t>WSH2011QTR-AA</t>
  </si>
  <si>
    <t>GLACIER</t>
  </si>
  <si>
    <t>WSH2012QTR-AA</t>
  </si>
  <si>
    <t>ACADIA</t>
  </si>
  <si>
    <t>WSH2012QTR-AB</t>
  </si>
  <si>
    <t>DENALI</t>
  </si>
  <si>
    <t>WSH2013QTR-AA</t>
  </si>
  <si>
    <t>MOUNT RUSHMOORE</t>
  </si>
  <si>
    <t>WSH2013QTR-AB</t>
  </si>
  <si>
    <t>PERRYS VICTORY</t>
  </si>
  <si>
    <t>WSH2013QTR-AC</t>
  </si>
  <si>
    <t>FORT MCHENRY</t>
  </si>
  <si>
    <t>WSH2014QTR-AA</t>
  </si>
  <si>
    <t>EVERGLADES</t>
  </si>
  <si>
    <t>WSH2014QTR-AB</t>
  </si>
  <si>
    <t>SHENANDOAH</t>
  </si>
  <si>
    <t>WSH2014QTR-AC</t>
  </si>
  <si>
    <t>WSH2014QTR-AD</t>
  </si>
  <si>
    <t>PATSY TAKEMOTO MINK</t>
  </si>
  <si>
    <t>WSH2015QTR-AA</t>
  </si>
  <si>
    <t>KISATCHIE</t>
  </si>
  <si>
    <t>WSH2015QTR-AB</t>
  </si>
  <si>
    <t>SARATOGA</t>
  </si>
  <si>
    <t>WSH2015QTR-AC</t>
  </si>
  <si>
    <t>BLUE RIDGE PARKWAY</t>
  </si>
  <si>
    <t>WSH2015QTR-AD</t>
  </si>
  <si>
    <t>BOMBAY HOOK</t>
  </si>
  <si>
    <t>WSH2015QTR-AE</t>
  </si>
  <si>
    <t>WSH2015QTR-AF</t>
  </si>
  <si>
    <t>WSH2015QTR-AG</t>
  </si>
  <si>
    <t>WSH2015QTR-AH</t>
  </si>
  <si>
    <t>WSG2016QTR-AG</t>
  </si>
  <si>
    <t>CUMBERLAND GAP</t>
  </si>
  <si>
    <t>WSH2016QTR-AA</t>
  </si>
  <si>
    <t>FORT MOULTRIE</t>
  </si>
  <si>
    <t>WSH2016QTR-AB</t>
  </si>
  <si>
    <t>SHAWNEE</t>
  </si>
  <si>
    <t>WSH2016QTR-AC</t>
  </si>
  <si>
    <t>WSH2016QTR-AD</t>
  </si>
  <si>
    <t>THEODORE ROOSEVELT</t>
  </si>
  <si>
    <t>WSH2016QTR-AE</t>
  </si>
  <si>
    <t>WSH2016QTR-AF</t>
  </si>
  <si>
    <t>WSH2016QTR-AH</t>
  </si>
  <si>
    <t>FREDERICK DOUGLAS</t>
  </si>
  <si>
    <t>WSH2017QTR-AB</t>
  </si>
  <si>
    <t>WSH2017QTR-AC</t>
  </si>
  <si>
    <t>OZARK RIVERWAYS</t>
  </si>
  <si>
    <t>WSH2017QTR-AD</t>
  </si>
  <si>
    <t>WSH2017QTR-AE</t>
  </si>
  <si>
    <t>AMERICAN MEMORIAL PARK</t>
  </si>
  <si>
    <t>WSH2017QTR-AF</t>
  </si>
  <si>
    <t>ELLIS ISLAND</t>
  </si>
  <si>
    <t>WSH2017QTR-AG</t>
  </si>
  <si>
    <t>WSH2017QTR-AH</t>
  </si>
  <si>
    <t>EFFIGY MOUNDS</t>
  </si>
  <si>
    <t>WSH2017QTR-AI</t>
  </si>
  <si>
    <t>GEORGE ROGERS CLARK</t>
  </si>
  <si>
    <t>WSH2017QTR-AJ</t>
  </si>
  <si>
    <t>WSH2018QTR-AA</t>
  </si>
  <si>
    <t>PICTURED ROCKS</t>
  </si>
  <si>
    <t>WSH2018QTR-AB</t>
  </si>
  <si>
    <t>WSH2018QTR-AC</t>
  </si>
  <si>
    <t>WSH2018QTR-AD</t>
  </si>
  <si>
    <t>WSH2018QTR-AE</t>
  </si>
  <si>
    <t>WSH2018QTR-AF</t>
  </si>
  <si>
    <t>WSH2018QTR-AG</t>
  </si>
  <si>
    <t>VOYAGEURAS</t>
  </si>
  <si>
    <t>WSH2018QTR-AH</t>
  </si>
  <si>
    <t>WSH2018QTR-AI</t>
  </si>
  <si>
    <t>WSH2019QTR-AA</t>
  </si>
  <si>
    <t>LOWELL NATIONAL PARK</t>
  </si>
  <si>
    <t>WSH2019QTR-AB</t>
  </si>
  <si>
    <t>WSH2019QTR-AC</t>
  </si>
  <si>
    <t>RIVER OF NO RETURN</t>
  </si>
  <si>
    <t>WSH2019QTR-AD</t>
  </si>
  <si>
    <t>SAN ANTONIO MISSION</t>
  </si>
  <si>
    <t>WSH2019QTR-AE</t>
  </si>
  <si>
    <t>WSH2021QTR-AA</t>
  </si>
  <si>
    <t>TUSKEGEE AIRMEN</t>
  </si>
  <si>
    <t>WSH2021QTR-AB</t>
  </si>
  <si>
    <t>WSH2021QTR-AC</t>
  </si>
  <si>
    <t>CROSSING THE DELAWARE</t>
  </si>
  <si>
    <t>WSH2022QTR-AA</t>
  </si>
  <si>
    <t>MAYA ANGELOU</t>
  </si>
  <si>
    <t>WSH2022QTR-AB</t>
  </si>
  <si>
    <t>WILMA MANKILLER</t>
  </si>
  <si>
    <t>WSH2023QTR-AC</t>
  </si>
  <si>
    <t>WSH2023QTR-AD</t>
  </si>
  <si>
    <t>SALLY RIDE</t>
  </si>
  <si>
    <t>WSH2023QTR-AE</t>
  </si>
  <si>
    <t>WSH2023QTR-AA</t>
  </si>
  <si>
    <t>MARIA TALLCHIEF</t>
  </si>
  <si>
    <t>WSH2023QTR-AB</t>
  </si>
  <si>
    <t>BESSIE COLEMAN</t>
  </si>
  <si>
    <t>WSH2024QTR-AA</t>
  </si>
  <si>
    <t>Match</t>
  </si>
  <si>
    <t>1932 D</t>
  </si>
  <si>
    <t>1932 S</t>
  </si>
  <si>
    <t>MINT</t>
  </si>
  <si>
    <t>ID#</t>
  </si>
  <si>
    <t>CONDITION</t>
  </si>
  <si>
    <t>KEN</t>
  </si>
  <si>
    <t>HALF</t>
  </si>
  <si>
    <t>LIB1936HALF-AA</t>
  </si>
  <si>
    <t>STANDING LIBERTY HALF</t>
  </si>
  <si>
    <t>LIB1937HALF-AA</t>
  </si>
  <si>
    <t>LIB1938HALF-AA</t>
  </si>
  <si>
    <t>LIB1938HALF-AB</t>
  </si>
  <si>
    <t>LIB1939HALF-AA</t>
  </si>
  <si>
    <t>LIB1940HALF-AA</t>
  </si>
  <si>
    <t>LIB1941HALF-AA</t>
  </si>
  <si>
    <t>FRANKLIN HALF</t>
  </si>
  <si>
    <t>LIB1942HALF-AA</t>
  </si>
  <si>
    <t>LIB1943HALF-AA</t>
  </si>
  <si>
    <t>KENNEDY HALF</t>
  </si>
  <si>
    <t>LIB1943HALF-AB</t>
  </si>
  <si>
    <t>LIB1944HALF-AA</t>
  </si>
  <si>
    <t>LIB1945HALF-AA</t>
  </si>
  <si>
    <t>LIB1946HALF-AA</t>
  </si>
  <si>
    <t>LIB1947HALF-AA</t>
  </si>
  <si>
    <t>XF</t>
  </si>
  <si>
    <t>FRN1948HALF-AA</t>
  </si>
  <si>
    <t>FRN1949HALF-AA</t>
  </si>
  <si>
    <t>FRN1949HALF-AB</t>
  </si>
  <si>
    <t>AU58</t>
  </si>
  <si>
    <t>1949 P</t>
  </si>
  <si>
    <t>FRN1950HALF-AA</t>
  </si>
  <si>
    <t>FRN1950HALF-AB</t>
  </si>
  <si>
    <t>FRN1951HALF-AA</t>
  </si>
  <si>
    <t>FRN1951HALF-AB</t>
  </si>
  <si>
    <t>MS64</t>
  </si>
  <si>
    <t>FRN1951HALF-AC</t>
  </si>
  <si>
    <t>FRN1952HALF-AA</t>
  </si>
  <si>
    <t>FRN1953HALF-AA</t>
  </si>
  <si>
    <t>FRN1954HALF-AA</t>
  </si>
  <si>
    <t>FRN1955HALF-AA</t>
  </si>
  <si>
    <t>FRN1956HALF-AB</t>
  </si>
  <si>
    <t>FRN1956HALF-AA</t>
  </si>
  <si>
    <t>FRN1957HALF-AB</t>
  </si>
  <si>
    <t>FRN1957HALF-AA</t>
  </si>
  <si>
    <t>FRN1958HALF-AA</t>
  </si>
  <si>
    <t>FRN1959HALF-AB</t>
  </si>
  <si>
    <t>FRN1959HALF-AA</t>
  </si>
  <si>
    <t>FRN1960HALF-AB</t>
  </si>
  <si>
    <t>1960 P</t>
  </si>
  <si>
    <t>FRN1960HALF-AA</t>
  </si>
  <si>
    <t>FRN1961HALF-AA</t>
  </si>
  <si>
    <t>FRN1962HALF-AA</t>
  </si>
  <si>
    <t>FRN1962HALF-AB</t>
  </si>
  <si>
    <t>FRN1962HALF-AC</t>
  </si>
  <si>
    <t>1962 P</t>
  </si>
  <si>
    <t>FRN1963HALF-AC</t>
  </si>
  <si>
    <t>FRN1963HALF-AD</t>
  </si>
  <si>
    <t>FRN1963HALF-AA</t>
  </si>
  <si>
    <t>KEN1964HALF-AA</t>
  </si>
  <si>
    <t>KEN1964HALF-AB</t>
  </si>
  <si>
    <t>KEN1964HALF-AC</t>
  </si>
  <si>
    <t>KEN1964HALF-AD</t>
  </si>
  <si>
    <t>KEN1964HALF-AE</t>
  </si>
  <si>
    <t>KEN1965HALF-AA</t>
  </si>
  <si>
    <t>KEN1965HALF-AB</t>
  </si>
  <si>
    <t>BU</t>
  </si>
  <si>
    <t>KEN1965HALF-AC</t>
  </si>
  <si>
    <t>KEN1966HALF-AB</t>
  </si>
  <si>
    <t>KEN1966HALF-AA</t>
  </si>
  <si>
    <t>KEN1966HALF-AC</t>
  </si>
  <si>
    <t>KEN1967HALF-AA</t>
  </si>
  <si>
    <t>KEN1967HALF-AB</t>
  </si>
  <si>
    <t>KEN1967HALF-AC</t>
  </si>
  <si>
    <t>KEN1967HALF-AD</t>
  </si>
  <si>
    <t>KEN1967HALF-AE</t>
  </si>
  <si>
    <t>KEN1967HALF-AF</t>
  </si>
  <si>
    <t>KEN1967HALF-AG</t>
  </si>
  <si>
    <t>KEN1868HALF-AA</t>
  </si>
  <si>
    <t>KEN1968HALF-AB</t>
  </si>
  <si>
    <t>KEN1968HALF-AC</t>
  </si>
  <si>
    <t>KEN1969HALF-AA</t>
  </si>
  <si>
    <t>KEN1969HALF-AB</t>
  </si>
  <si>
    <t>KEN1969HALF-AC</t>
  </si>
  <si>
    <t>KEN1969HALF-AD</t>
  </si>
  <si>
    <t>KEN1969HALF-AE</t>
  </si>
  <si>
    <t>KEN1969HALF-AF</t>
  </si>
  <si>
    <t>KEN1969HALF-AG</t>
  </si>
  <si>
    <t>KEN1969HALF-AH</t>
  </si>
  <si>
    <t>KEN1971HALF-AA</t>
  </si>
  <si>
    <t>KEN1971HALF-AB</t>
  </si>
  <si>
    <t>KEN1971HALF-AC</t>
  </si>
  <si>
    <t>KEN1971HALF-AD</t>
  </si>
  <si>
    <t>KEN1971HALF-AE</t>
  </si>
  <si>
    <t>KEN1971HALF-AF</t>
  </si>
  <si>
    <t>KEN1971HALF-AG</t>
  </si>
  <si>
    <t>KEN1971HALF-AH</t>
  </si>
  <si>
    <t>KEN1971HALF-AI</t>
  </si>
  <si>
    <t>KEN1971HALF-AJ</t>
  </si>
  <si>
    <t>KEN1971HALF-AK</t>
  </si>
  <si>
    <t>KEN1971HALF-AL</t>
  </si>
  <si>
    <t>KEN1971HALF-AM</t>
  </si>
  <si>
    <t>KEN1971HALF-AN</t>
  </si>
  <si>
    <t>KEN1971HALF-AO</t>
  </si>
  <si>
    <t>KEN1971HALF-AP</t>
  </si>
  <si>
    <t>KEN1971HALF-AQ</t>
  </si>
  <si>
    <t>KEN1971HALF-AR</t>
  </si>
  <si>
    <t>KEN1971HALF-AS</t>
  </si>
  <si>
    <t>KEN1971HALF-AT</t>
  </si>
  <si>
    <t>KEN1972HALF-AA</t>
  </si>
  <si>
    <t>KEN1972HALF-AB</t>
  </si>
  <si>
    <t>KEN1972HALF-AC</t>
  </si>
  <si>
    <t>KEN1972HALF-AD</t>
  </si>
  <si>
    <t>KEN1972HALF-AE</t>
  </si>
  <si>
    <t>KEN1972HALF-AF</t>
  </si>
  <si>
    <t>KEN1973HALF-AA</t>
  </si>
  <si>
    <t>KEN1973HALF-AB</t>
  </si>
  <si>
    <t>KEN1973HALF-AC</t>
  </si>
  <si>
    <t>KEN1973HALF-AD</t>
  </si>
  <si>
    <t>KEN1973HALF-AE</t>
  </si>
  <si>
    <t>KEN1973HALF-AF</t>
  </si>
  <si>
    <t>KEN1974HALF-AA</t>
  </si>
  <si>
    <t>KEN1974HALF-AD</t>
  </si>
  <si>
    <t>KEN1974HALF-AE</t>
  </si>
  <si>
    <t>KEN1974HALF-AF</t>
  </si>
  <si>
    <t>KEN1974HALF-AG</t>
  </si>
  <si>
    <t>KEN1974HALF-AH</t>
  </si>
  <si>
    <t>KEN1974HALF-AI</t>
  </si>
  <si>
    <t>KEN1974HALF-AJ</t>
  </si>
  <si>
    <t>KEN1974HALF-AK</t>
  </si>
  <si>
    <t>KEN1974HALF-AL</t>
  </si>
  <si>
    <t>KEN1974HALF-AM</t>
  </si>
  <si>
    <t>KEN1974HALF-AN</t>
  </si>
  <si>
    <t>MS-63 SELECT UNCIRC</t>
  </si>
  <si>
    <t>KEN1976HALF-AB</t>
  </si>
  <si>
    <t>KEN1976HALF-AC</t>
  </si>
  <si>
    <t>KEN1976HALF-AD</t>
  </si>
  <si>
    <t>KEN1976HALF-AE</t>
  </si>
  <si>
    <t>KEN1976HALF-AF</t>
  </si>
  <si>
    <t>KEN1976HALF-AG</t>
  </si>
  <si>
    <t>KEN1976HALF-AH</t>
  </si>
  <si>
    <t>KEN1976HALF-AI</t>
  </si>
  <si>
    <t>KEN1976HALF-AJ</t>
  </si>
  <si>
    <t>KEN1976HALF-AK</t>
  </si>
  <si>
    <t>KEN1976HALF-AL</t>
  </si>
  <si>
    <t>KEN1976HALF-AM</t>
  </si>
  <si>
    <t>KEN1976HALF-AN</t>
  </si>
  <si>
    <t>KEN1976HALF-AO</t>
  </si>
  <si>
    <t>KEN1976HALF-AP</t>
  </si>
  <si>
    <t>KEN1976HALF-AQ</t>
  </si>
  <si>
    <t>KEN1976HALF-AR</t>
  </si>
  <si>
    <t>KEN1976HALF-AS</t>
  </si>
  <si>
    <t>KEN1977HALF-AA</t>
  </si>
  <si>
    <t>KEN1977HALF-AB</t>
  </si>
  <si>
    <t>KEN1977HALF-AC</t>
  </si>
  <si>
    <t>KEN1977HALF-AD</t>
  </si>
  <si>
    <t>KEN1977HALF-AE</t>
  </si>
  <si>
    <t>KEN1977HALF-AF</t>
  </si>
  <si>
    <t>KEN1978HALF-AA</t>
  </si>
  <si>
    <t>KEN1978HALF-AB</t>
  </si>
  <si>
    <t>KEN1979HALF-AA</t>
  </si>
  <si>
    <t>KEN1979HALF-AB</t>
  </si>
  <si>
    <t>KEN1979HALF-AC</t>
  </si>
  <si>
    <t>KEN1979HALF-AD</t>
  </si>
  <si>
    <t>KEN1979HALF-AE</t>
  </si>
  <si>
    <t>KEN1979HALF-AF</t>
  </si>
  <si>
    <t>KEN1979HALF-AG</t>
  </si>
  <si>
    <t>KEN1980HALF-AA</t>
  </si>
  <si>
    <t>KEN1980HALF-AB</t>
  </si>
  <si>
    <t>KEN1980HALF-AC</t>
  </si>
  <si>
    <t>KEN1980HALF-AD</t>
  </si>
  <si>
    <t>KEN1980HALF-AE</t>
  </si>
  <si>
    <t>KEN1981HALF-AA</t>
  </si>
  <si>
    <t>KEN1981HALF-AB</t>
  </si>
  <si>
    <t>KEN1981HALF-AC</t>
  </si>
  <si>
    <t>KEN1983HAF-AA</t>
  </si>
  <si>
    <t>KEN1983HAF-AB</t>
  </si>
  <si>
    <t>KEN1983HAF-AC</t>
  </si>
  <si>
    <t>KEN1983HAF-AD</t>
  </si>
  <si>
    <t>KEN1983HAF-AE</t>
  </si>
  <si>
    <t>KEN1983HALF-AF</t>
  </si>
  <si>
    <t>KEN1983HALF-AG</t>
  </si>
  <si>
    <t>KEN1984HAF-AA</t>
  </si>
  <si>
    <t>KEN1984HAF-AB</t>
  </si>
  <si>
    <t>KEN1984HAF-AC</t>
  </si>
  <si>
    <t>KEN1985HAF-AA</t>
  </si>
  <si>
    <t>KEN1985HAF-AB</t>
  </si>
  <si>
    <t>KEN1988HAF-AA</t>
  </si>
  <si>
    <t>KEN1988HAF-AB</t>
  </si>
  <si>
    <t>KEN1988HALF-AC</t>
  </si>
  <si>
    <t>KEN1889HALF-AA</t>
  </si>
  <si>
    <t>KEN1990HALF-AA</t>
  </si>
  <si>
    <t>KEN1990HALF-AB</t>
  </si>
  <si>
    <t>KEN1990HALF-AC</t>
  </si>
  <si>
    <t>KEN1991HALF-AA</t>
  </si>
  <si>
    <t>KEN1992HALF-AA</t>
  </si>
  <si>
    <t>KEN1992HALF-AB</t>
  </si>
  <si>
    <t>KEN1992HALF-AC</t>
  </si>
  <si>
    <t>KEN1992HALF-AD</t>
  </si>
  <si>
    <t>KEN1993DOL-AA</t>
  </si>
  <si>
    <t>LOOKUP</t>
  </si>
  <si>
    <t>Silver</t>
  </si>
  <si>
    <t>2026 P</t>
  </si>
  <si>
    <t>2026 D</t>
  </si>
  <si>
    <t xml:space="preserve">BOOK VALUE LOOKUP </t>
  </si>
  <si>
    <t>1883</t>
  </si>
  <si>
    <t>O</t>
  </si>
  <si>
    <t>MOR1883DOL-AA</t>
  </si>
  <si>
    <t>MORGAN DOLLAR</t>
  </si>
  <si>
    <t>Extra Fine</t>
  </si>
  <si>
    <t>MOR1885DOL-AA</t>
  </si>
  <si>
    <t>MOR1891DOL-AA</t>
  </si>
  <si>
    <t>MOR1921DOL-AB</t>
  </si>
  <si>
    <t>MOR1921DOL-AC</t>
  </si>
  <si>
    <t>MOR1922DOL-AA</t>
  </si>
  <si>
    <t>MOR1923DOL-AA</t>
  </si>
  <si>
    <t>MOR1924DOL-AA</t>
  </si>
  <si>
    <t>MOR1926DOL-AA</t>
  </si>
  <si>
    <t>EIS1971DOL-AA</t>
  </si>
  <si>
    <t>EISENHOWER DOLLAR</t>
  </si>
  <si>
    <t>EIS1971DOL-AB</t>
  </si>
  <si>
    <t>EIS1971DOL-AC</t>
  </si>
  <si>
    <t>EIS1971DOL-AD</t>
  </si>
  <si>
    <t>EIS1972DOL-AA</t>
  </si>
  <si>
    <t>EIS1972DOL-AB</t>
  </si>
  <si>
    <t>EIS1972DOL-AC</t>
  </si>
  <si>
    <t>EIS1972DOL-AD</t>
  </si>
  <si>
    <t>CAN1975DOL-AB</t>
  </si>
  <si>
    <t>CANADIAN DOLLAR</t>
  </si>
  <si>
    <t>CAN1975DOL-AC</t>
  </si>
  <si>
    <t>CAN1975DOL-AD</t>
  </si>
  <si>
    <t>CAN1975DOL-AE</t>
  </si>
  <si>
    <t>CAN1975DOL-AA</t>
  </si>
  <si>
    <t>EIS1976DOL-AA</t>
  </si>
  <si>
    <t>SBA1979DOL-AV</t>
  </si>
  <si>
    <t>SUSAN B ANTHONY</t>
  </si>
  <si>
    <t>SBA1979DOL-AW</t>
  </si>
  <si>
    <t>SBA1979DOL-AA</t>
  </si>
  <si>
    <t>SBA1979DOL-AB</t>
  </si>
  <si>
    <t>SBA1979DOL-AC</t>
  </si>
  <si>
    <t>SBA1979DOL-AD</t>
  </si>
  <si>
    <t>SBA1979DOL-AE</t>
  </si>
  <si>
    <t>SBA1979DOL-AF</t>
  </si>
  <si>
    <t>1979</t>
  </si>
  <si>
    <t>SBA1979DOL-AG</t>
  </si>
  <si>
    <t>SBA1979DOL-AH</t>
  </si>
  <si>
    <t>SBA1979DOL-AI</t>
  </si>
  <si>
    <t>SBA1979DOL-AJ</t>
  </si>
  <si>
    <t>SBA1979DOL-AK</t>
  </si>
  <si>
    <t>SBA1979DOL-AL</t>
  </si>
  <si>
    <t>SBA1979DOL-AM</t>
  </si>
  <si>
    <t>SBA1979DOL-AN</t>
  </si>
  <si>
    <t>SBA1979DOL-AO</t>
  </si>
  <si>
    <t>SBA1979DOL-AP</t>
  </si>
  <si>
    <t>SBA1979DOL-AQ</t>
  </si>
  <si>
    <t>SBA1979DOL-AR</t>
  </si>
  <si>
    <t>SBA1979DOL-AS</t>
  </si>
  <si>
    <t>SBA1979DOL-AT</t>
  </si>
  <si>
    <t>SBA1979DOL-AU</t>
  </si>
  <si>
    <t>SET</t>
  </si>
  <si>
    <t>SBA1979DOL-ST</t>
  </si>
  <si>
    <t>PROOF  P,D,S</t>
  </si>
  <si>
    <t>SBA1980DOL-AF</t>
  </si>
  <si>
    <t>SBA1980DOL-AG</t>
  </si>
  <si>
    <t>SBA1980DOL-AH</t>
  </si>
  <si>
    <t>1980</t>
  </si>
  <si>
    <t>SBA1980DOL-ST</t>
  </si>
  <si>
    <t>SBA1980DOL-AA</t>
  </si>
  <si>
    <t>SBA1980DOL-AB</t>
  </si>
  <si>
    <t>SBA1980DOL-AC</t>
  </si>
  <si>
    <t>SBA1980DOL-AD</t>
  </si>
  <si>
    <t>SBA1980DOL-AE</t>
  </si>
  <si>
    <t>LIB1986DOL-AA</t>
  </si>
  <si>
    <t>LIBERTY SILVER DOLLAR</t>
  </si>
  <si>
    <t>AE1986DOL-AA</t>
  </si>
  <si>
    <t>AMERICAN EAGLE</t>
  </si>
  <si>
    <t>AE1987DOL-AA</t>
  </si>
  <si>
    <t>OTH1987DOL-AA</t>
  </si>
  <si>
    <t>US CONSTITUTION</t>
  </si>
  <si>
    <t>AE1988DOL-AA</t>
  </si>
  <si>
    <t>AE1989DOL-AA</t>
  </si>
  <si>
    <t>AE1990DOL-AA</t>
  </si>
  <si>
    <t>AE1991DOL-AA</t>
  </si>
  <si>
    <t>OTH1991DOL-AB</t>
  </si>
  <si>
    <t>KOREAN MEMORIAL</t>
  </si>
  <si>
    <t>OTH1991DOL-AA</t>
  </si>
  <si>
    <t>USO SILVER DOLLAR</t>
  </si>
  <si>
    <t>OTH1991DOL-AC</t>
  </si>
  <si>
    <t>MT RUSHMORE</t>
  </si>
  <si>
    <t>AE1992DOL-AB</t>
  </si>
  <si>
    <t>OTH1992DOL-AA</t>
  </si>
  <si>
    <t>OLYMPIC DOLLAR</t>
  </si>
  <si>
    <t>OTH1992DOL-AC</t>
  </si>
  <si>
    <t>AE1993DOL-AA</t>
  </si>
  <si>
    <t>AE2000DOL-AA</t>
  </si>
  <si>
    <t>SAC2000DOL-AA</t>
  </si>
  <si>
    <t>SACAGAWEA</t>
  </si>
  <si>
    <t>PRE2007DOL-AA</t>
  </si>
  <si>
    <t xml:space="preserve">GEORGE WASHINGTON </t>
  </si>
  <si>
    <t>PRE2009DOL-AA</t>
  </si>
  <si>
    <t>JOHN TYLER</t>
  </si>
  <si>
    <t>PRE2011DOL-AA</t>
  </si>
  <si>
    <t>PRE2011DOL-AB</t>
  </si>
  <si>
    <t>PRE2011DOL-AC</t>
  </si>
  <si>
    <t>PRESIDENT- GRANT</t>
  </si>
  <si>
    <t>PRE2011DOL-AD</t>
  </si>
  <si>
    <t>PRE2011DOL-AE</t>
  </si>
  <si>
    <t>PRESIDENT- GARFIELD</t>
  </si>
  <si>
    <t>PRE2011DOL-AF</t>
  </si>
  <si>
    <t>PRE2011DOL-AG</t>
  </si>
  <si>
    <t>PRE2011DOL-AH</t>
  </si>
  <si>
    <t>PRE2011DOL-AI</t>
  </si>
  <si>
    <t>PRE2011DOL-AJ</t>
  </si>
  <si>
    <t>SAC2015DOL-AA</t>
  </si>
  <si>
    <t>SAC2016DOL-AA</t>
  </si>
  <si>
    <t>AE2020DOL-AA</t>
  </si>
  <si>
    <t>Silver Dollar Receipt 2020 2021 2022</t>
  </si>
  <si>
    <t>SHIPPING</t>
  </si>
  <si>
    <t>AE2021DOL-AA</t>
  </si>
  <si>
    <t>AE2022DOL-AA</t>
  </si>
  <si>
    <t>W</t>
  </si>
  <si>
    <t>AE2022DOL-AB</t>
  </si>
  <si>
    <t>Silver Dollar Receipt 2022 W</t>
  </si>
  <si>
    <t>5.95 Shipping &amp; Handling</t>
  </si>
  <si>
    <t>C</t>
  </si>
  <si>
    <t>S04673088C</t>
  </si>
  <si>
    <t>DOLLAR BILL</t>
  </si>
  <si>
    <t>B67540668A</t>
  </si>
  <si>
    <t>G06869445</t>
  </si>
  <si>
    <t>C00476475A</t>
  </si>
  <si>
    <t>D76714113A</t>
  </si>
  <si>
    <t>A</t>
  </si>
  <si>
    <t>C80743811A</t>
  </si>
  <si>
    <t>E69120486C</t>
  </si>
  <si>
    <t>C76157734A</t>
  </si>
  <si>
    <t>B</t>
  </si>
  <si>
    <t>S53545041A</t>
  </si>
  <si>
    <t>*20712738B</t>
  </si>
  <si>
    <t>C03246613A</t>
  </si>
  <si>
    <t>H02291463A</t>
  </si>
  <si>
    <t>E</t>
  </si>
  <si>
    <t>T32980344G</t>
  </si>
  <si>
    <t>F</t>
  </si>
  <si>
    <t>V66281924I</t>
  </si>
  <si>
    <t>G</t>
  </si>
  <si>
    <t>C04284538J</t>
  </si>
  <si>
    <t>D14402171H</t>
  </si>
  <si>
    <t>X92517375I</t>
  </si>
  <si>
    <t>TEAR UPPER RIGHT</t>
  </si>
  <si>
    <t>H07033592I</t>
  </si>
  <si>
    <t>V86976481I</t>
  </si>
  <si>
    <t>Y42618977G</t>
  </si>
  <si>
    <t>E27114222A</t>
  </si>
  <si>
    <t>TWO DOLLAR BILL</t>
  </si>
  <si>
    <t>B25730883A</t>
  </si>
  <si>
    <t>C19129530A</t>
  </si>
  <si>
    <t>A07981937A</t>
  </si>
  <si>
    <t>SILVER COIN &amp; FIRST DAY COVER</t>
  </si>
  <si>
    <t>A700524452A</t>
  </si>
  <si>
    <t>A69218733A</t>
  </si>
  <si>
    <t>A74881513A</t>
  </si>
  <si>
    <t>A37846894A</t>
  </si>
  <si>
    <t>A74844504A</t>
  </si>
  <si>
    <t>A59410417A</t>
  </si>
  <si>
    <t>A78636455A</t>
  </si>
  <si>
    <t>E13939800A</t>
  </si>
  <si>
    <t>DESERT STORM &amp; MARSHALL ISLAND</t>
  </si>
  <si>
    <t>MSET1977SET-AA</t>
  </si>
  <si>
    <t>SBA1979DOLSV-AA</t>
  </si>
  <si>
    <t>SBA1980DOLSV-AA</t>
  </si>
  <si>
    <t>COM1982HAV-AA</t>
  </si>
  <si>
    <t>SN1991DOL</t>
  </si>
  <si>
    <t>D &amp; P</t>
  </si>
  <si>
    <t>MSET1991SET-AA</t>
  </si>
  <si>
    <t>MSET1991SET-AB</t>
  </si>
  <si>
    <t>COM1991FIVE</t>
  </si>
  <si>
    <t>MSET1992SET-AA</t>
  </si>
  <si>
    <t>MSET1992SET-AB</t>
  </si>
  <si>
    <t>MSET1995SET-AA</t>
  </si>
  <si>
    <t>QTR1999SET-AA</t>
  </si>
  <si>
    <t>QTR2001SET-AA</t>
  </si>
  <si>
    <t>Dollar Want List – 8-27-2021</t>
  </si>
  <si>
    <t>Notes</t>
  </si>
  <si>
    <t>Date1</t>
  </si>
  <si>
    <t>Notes1</t>
  </si>
  <si>
    <t>1884 O</t>
  </si>
  <si>
    <t>1899 S</t>
  </si>
  <si>
    <t>2000 &amp; up</t>
  </si>
  <si>
    <t>American Eagle</t>
  </si>
  <si>
    <t>1884 S</t>
  </si>
  <si>
    <t>1885 CC</t>
  </si>
  <si>
    <t>1900 O</t>
  </si>
  <si>
    <t>Eisenhower</t>
  </si>
  <si>
    <t>1885 O</t>
  </si>
  <si>
    <t>1900 S</t>
  </si>
  <si>
    <t>1885 S</t>
  </si>
  <si>
    <t>1901 O</t>
  </si>
  <si>
    <t>1886 O</t>
  </si>
  <si>
    <t>1901 S</t>
  </si>
  <si>
    <t>Susan B Anthony</t>
  </si>
  <si>
    <t>1886 S</t>
  </si>
  <si>
    <t>1902 O</t>
  </si>
  <si>
    <t>1887 O</t>
  </si>
  <si>
    <t>1902 S</t>
  </si>
  <si>
    <t>1887 S</t>
  </si>
  <si>
    <t>1903 O</t>
  </si>
  <si>
    <t>1888 O</t>
  </si>
  <si>
    <t>1903 S</t>
  </si>
  <si>
    <t>1888 S</t>
  </si>
  <si>
    <t>1904 O</t>
  </si>
  <si>
    <t>1889 CC</t>
  </si>
  <si>
    <t>1904 S</t>
  </si>
  <si>
    <t>1889 O</t>
  </si>
  <si>
    <t>1889 S</t>
  </si>
  <si>
    <t>1922 D</t>
  </si>
  <si>
    <t>1922 S</t>
  </si>
  <si>
    <t>1890 CC</t>
  </si>
  <si>
    <t>1923 D</t>
  </si>
  <si>
    <t>1890 O</t>
  </si>
  <si>
    <t>1890 S</t>
  </si>
  <si>
    <t>1891 CC</t>
  </si>
  <si>
    <t>1891 O</t>
  </si>
  <si>
    <t>1891 S</t>
  </si>
  <si>
    <t>1892 CC</t>
  </si>
  <si>
    <t>1892 O</t>
  </si>
  <si>
    <t>1892 S</t>
  </si>
  <si>
    <t>1893 CC</t>
  </si>
  <si>
    <t>1893 O</t>
  </si>
  <si>
    <t>1893 S</t>
  </si>
  <si>
    <t>1934 S</t>
  </si>
  <si>
    <t>1894 O</t>
  </si>
  <si>
    <t>1894 S</t>
  </si>
  <si>
    <t>1895 O</t>
  </si>
  <si>
    <t>1895 S</t>
  </si>
  <si>
    <t>1896 O</t>
  </si>
  <si>
    <t>1896 S</t>
  </si>
  <si>
    <t>1897 O</t>
  </si>
  <si>
    <t>1897 S</t>
  </si>
  <si>
    <t>1898 O</t>
  </si>
  <si>
    <t>1898 S</t>
  </si>
  <si>
    <t>1899 O</t>
  </si>
  <si>
    <t>Comment1</t>
  </si>
  <si>
    <t>Comment 2</t>
  </si>
  <si>
    <t>Photo Back</t>
  </si>
  <si>
    <t>Serial#</t>
  </si>
  <si>
    <t>Legend: Nickels</t>
  </si>
  <si>
    <t xml:space="preserve">     Shield</t>
  </si>
  <si>
    <t>1866-1883</t>
  </si>
  <si>
    <t xml:space="preserve">     Liberty Head "V" </t>
  </si>
  <si>
    <t>1883-1913</t>
  </si>
  <si>
    <t xml:space="preserve">     Indian Head "Buffalo"</t>
  </si>
  <si>
    <t>1913-1938</t>
  </si>
  <si>
    <t xml:space="preserve">     Jefferson</t>
  </si>
  <si>
    <t>1938-2003</t>
  </si>
  <si>
    <t xml:space="preserve">     Western Journey</t>
  </si>
  <si>
    <t>2004-2005</t>
  </si>
  <si>
    <t xml:space="preserve">     Modified Jefferson "Monticello"</t>
  </si>
  <si>
    <t>2006-Date</t>
  </si>
  <si>
    <t>Quantrity</t>
  </si>
  <si>
    <t>3  History</t>
  </si>
  <si>
    <t xml:space="preserve">     3.1  Early dollar coins</t>
  </si>
  <si>
    <t xml:space="preserve">     3.2  The 1804 dollar</t>
  </si>
  <si>
    <t xml:space="preserve">     3.3  Seated Liberty dollar (1836–1873)</t>
  </si>
  <si>
    <t xml:space="preserve">     3.4  Gold dollar coins (1849–1889)</t>
  </si>
  <si>
    <t xml:space="preserve">     3.5  Trade dollar (1873–1885)</t>
  </si>
  <si>
    <t xml:space="preserve">     3.6  Morgan dollar (1878–1904; 1921)</t>
  </si>
  <si>
    <t xml:space="preserve">     3.7  Peace dollar (1921–1928, 1934–1935)</t>
  </si>
  <si>
    <t xml:space="preserve">     3.8  Release of dollars by the U.S. Treasury: the GSA sale</t>
  </si>
  <si>
    <t xml:space="preserve">     3.9  Eisenhower dollar (1971–1978)</t>
  </si>
  <si>
    <t xml:space="preserve">     3.10  Susan B. Anthony dollar (1979–1981; 1999)</t>
  </si>
  <si>
    <t xml:space="preserve">     3.11  American Silver Eagle (1986–present)</t>
  </si>
  <si>
    <t xml:space="preserve">     3.12  Sacagawea dollar (2000–present)</t>
  </si>
  <si>
    <t xml:space="preserve">          3.12.1  Native American series</t>
  </si>
  <si>
    <t xml:space="preserve">     3.13  Presidential Dollar Coins (2007–2016)</t>
  </si>
  <si>
    <t xml:space="preserve">     3.14  American Innovation Dollar Coins (2018–present)</t>
  </si>
  <si>
    <t>Condition: Walking Liberty</t>
  </si>
  <si>
    <t>Legend:</t>
  </si>
  <si>
    <t>LIB</t>
  </si>
  <si>
    <t>G-4 Good</t>
  </si>
  <si>
    <t>Rims defined. Motto IN GOD WE TRUST ligible</t>
  </si>
  <si>
    <t>1794-1795</t>
  </si>
  <si>
    <t>Flowing Hair Bust</t>
  </si>
  <si>
    <t>FRN</t>
  </si>
  <si>
    <t>VG-8 Very Good</t>
  </si>
  <si>
    <t>Motto distinct. About half of skirt lines at left clear.</t>
  </si>
  <si>
    <t>1796-1807</t>
  </si>
  <si>
    <t>Draped Bust</t>
  </si>
  <si>
    <t>F-12 Fine</t>
  </si>
  <si>
    <t>All skirt lines evident., but worn in spots. Clear details in sandal below motto.</t>
  </si>
  <si>
    <t>1807-1836</t>
  </si>
  <si>
    <t>Capped Bust</t>
  </si>
  <si>
    <t>VF-20 Very Fine</t>
  </si>
  <si>
    <t>Skirt lines sharp, including leg area. Little wear on breast and right arm.</t>
  </si>
  <si>
    <t>1836-1839</t>
  </si>
  <si>
    <t>Capped Bust - Reeded Edge</t>
  </si>
  <si>
    <t>EF-40 Extremely Fine</t>
  </si>
  <si>
    <t>Nearly all gown lines visable</t>
  </si>
  <si>
    <t>1839-1891</t>
  </si>
  <si>
    <t>Liberty Seated</t>
  </si>
  <si>
    <t>AU-50 About Uncirculated</t>
  </si>
  <si>
    <t>Slight trave of wear on Liberty's head, Knee, and breasts, and on eagl's claws and head.</t>
  </si>
  <si>
    <t>1892-1915</t>
  </si>
  <si>
    <t>Barber or Liberty Head</t>
  </si>
  <si>
    <t>MS-60 Uncirculated</t>
  </si>
  <si>
    <t>No trace of wear. Light blemishes.</t>
  </si>
  <si>
    <t>1916-1647</t>
  </si>
  <si>
    <t>Liberty Walkig</t>
  </si>
  <si>
    <t>MS-63 Choice Uncircluated</t>
  </si>
  <si>
    <t>Some distracting contact marks or blemishes in prime focal areas.</t>
  </si>
  <si>
    <t>1948-1963</t>
  </si>
  <si>
    <t>Frankin</t>
  </si>
  <si>
    <t>PF-65 Gem Proof</t>
  </si>
  <si>
    <t>Brilliant surfaces with no noticable blemishes or flaws. A few scattered, barely noticable marks or hairlines possible.</t>
  </si>
  <si>
    <t>1964-Date</t>
  </si>
  <si>
    <t>Kennedy</t>
  </si>
  <si>
    <t>Condition: Franklin</t>
  </si>
  <si>
    <t>At least half of the lower and upper incused lines on rim of Libert Bellon reverse visable.</t>
  </si>
  <si>
    <t>Wear spots at top of end of Franlin's curls and hair at back of ears. Wear evident at top and on lettering of Liberty Bell.</t>
  </si>
  <si>
    <t>Some distracting contact marks oe blemishes in prime foacal areas. Impaired luster possible.</t>
  </si>
  <si>
    <t>MS-65 Gem Uncirculated</t>
  </si>
  <si>
    <t>Only light, scattered contact marks that are not distracting. Strong luster, good eye appeal.</t>
  </si>
  <si>
    <t>Brilliant surfaces with no noticable blemishes or flaws. A few scattered, barely noticable marks or hairlines possible</t>
  </si>
  <si>
    <t>Condition: Kennedy</t>
  </si>
  <si>
    <t>VF20 Very Fine</t>
  </si>
  <si>
    <t>Wear spots on the hair below the part and along the cheek and jaw. Hairlines are weak but have nearly full 
details. On the reverse, wear shows on the arrow points but some details are visible. All central tail feathers are plain.</t>
  </si>
  <si>
    <t>EF40 Extremely Fine</t>
  </si>
  <si>
    <t>Slight wear on the cheek, along the jawbone and on high points of the hair below the part. 
Hairlines are sharp and detailed. High points of the arrows and right wing tip are lightly worn. 
Central tail feathers are worn.</t>
  </si>
  <si>
    <t>AU50 About Uncirculated</t>
  </si>
  <si>
    <t>Only a trace of wear on the highest points of the cheek, jawbone and hair below the part. 
A trace of wear shows on the central tail feather. Nearly all of the mint luster is still present.</t>
  </si>
  <si>
    <t>MS60 Uncirculated</t>
  </si>
  <si>
    <t>No trace of wear, but with minor blemishes. It has full mint luster, but the surface may be dull, 
spotted or heavily toned. Check for signs of abrasion on the high points of the cheek and jawbone, 
center of neck, hair below part.</t>
  </si>
  <si>
    <t>MS63 Select Uncirculated</t>
  </si>
  <si>
    <t>No trace of wear. Light blemishes. Attractive mint luster.</t>
  </si>
  <si>
    <t>MS65 Choice Uncirculated</t>
  </si>
  <si>
    <t>No trace of wear except for some small blemish. It has full mint luster but may be unevenly toned or 
lightly finger marked. A few barely noticeable nicks or marks may be present.</t>
  </si>
  <si>
    <t>Legacy:  Quarters</t>
  </si>
  <si>
    <t xml:space="preserve">     Draped Bust</t>
  </si>
  <si>
    <t xml:space="preserve">     Heraldic Eagle Reverse</t>
  </si>
  <si>
    <t>1804-1807</t>
  </si>
  <si>
    <t xml:space="preserve">     Capped Bust Large</t>
  </si>
  <si>
    <t>1815-1828</t>
  </si>
  <si>
    <t xml:space="preserve">     Capped Bust Small</t>
  </si>
  <si>
    <t>1831-1838</t>
  </si>
  <si>
    <t xml:space="preserve">     Caped Bust Reduced Diameter</t>
  </si>
  <si>
    <t xml:space="preserve">     Seated Liberty No Motto above Eagle</t>
  </si>
  <si>
    <t>1838-1891</t>
  </si>
  <si>
    <t xml:space="preserve">        Seated Liberty Var 2 Arrows Above Date</t>
  </si>
  <si>
    <t xml:space="preserve">        Seated Liberty Var 3 Arrows t Date</t>
  </si>
  <si>
    <t>1854-1855</t>
  </si>
  <si>
    <t xml:space="preserve">        Seated Liberty Var 2 Resumed</t>
  </si>
  <si>
    <t>1856-1865</t>
  </si>
  <si>
    <t xml:space="preserve">        Seated Liberty Var 4 Motto above Eagle</t>
  </si>
  <si>
    <t>1866-1873</t>
  </si>
  <si>
    <t xml:space="preserve">        Seated Liberty Var 5 Arrows at Date</t>
  </si>
  <si>
    <t>1873-1874</t>
  </si>
  <si>
    <t xml:space="preserve">        Seated Liberty Var 4 Resumed</t>
  </si>
  <si>
    <t>1875-1891</t>
  </si>
  <si>
    <t xml:space="preserve">     Barber or Liberty Head</t>
  </si>
  <si>
    <t>1892-1916</t>
  </si>
  <si>
    <t xml:space="preserve">     Standing Liberty Var  1</t>
  </si>
  <si>
    <t>1916-1930</t>
  </si>
  <si>
    <t xml:space="preserve">     Wahington</t>
  </si>
  <si>
    <t>1932-Date</t>
  </si>
  <si>
    <t>Legend:  Dimes</t>
  </si>
  <si>
    <t xml:space="preserve">     Capped Bust</t>
  </si>
  <si>
    <t>1809-1837</t>
  </si>
  <si>
    <t xml:space="preserve">     Liberty Seated</t>
  </si>
  <si>
    <t>1837-1891</t>
  </si>
  <si>
    <t xml:space="preserve">     Barber Dimes</t>
  </si>
  <si>
    <t xml:space="preserve">     Winged Liberty Head "Mercury"</t>
  </si>
  <si>
    <t>1916-1945</t>
  </si>
  <si>
    <t xml:space="preserve">     Roosevelt</t>
  </si>
  <si>
    <t>1946-Date</t>
  </si>
  <si>
    <t>Ext Val</t>
  </si>
  <si>
    <t>Column12</t>
  </si>
  <si>
    <t>Comments1</t>
  </si>
  <si>
    <t>Type</t>
  </si>
  <si>
    <t>Penney</t>
  </si>
  <si>
    <t>Nickel</t>
  </si>
  <si>
    <t>Dime</t>
  </si>
  <si>
    <t>Comment2</t>
  </si>
  <si>
    <t>Quarter</t>
  </si>
  <si>
    <t>Half Dollar</t>
  </si>
  <si>
    <t>Commemt2</t>
  </si>
  <si>
    <t>Dollar</t>
  </si>
  <si>
    <t xml:space="preserve"> &lt;-- Total Quantity</t>
  </si>
  <si>
    <t xml:space="preserve"> &lt;-- Total Paid</t>
  </si>
  <si>
    <t xml:space="preserve"> &lt;-- Total Book</t>
  </si>
  <si>
    <t>Paper Bill</t>
  </si>
  <si>
    <t>Sets</t>
  </si>
  <si>
    <t>Tubes</t>
  </si>
  <si>
    <t>PNY1970's-Tube-AB</t>
  </si>
  <si>
    <t>PNY1970's-Tube-AA</t>
  </si>
  <si>
    <t>PNY1970's-Tube-AC</t>
  </si>
  <si>
    <t>PNY1980'S-Tube-AD</t>
  </si>
  <si>
    <t>PNY1960's-Tube-AE</t>
  </si>
  <si>
    <t>PNY2000's-Tube-AF</t>
  </si>
  <si>
    <t>PNY2000's-Tube-AG</t>
  </si>
  <si>
    <t>PNY2010's-Tube-AH</t>
  </si>
  <si>
    <t>All Series Wheat pennies</t>
  </si>
  <si>
    <t>HAV1960's-Tube-AK</t>
  </si>
  <si>
    <t>HAV1960's-Tube-AL</t>
  </si>
  <si>
    <t>Roll</t>
  </si>
  <si>
    <t>2004 Hand Shake Nickel</t>
  </si>
  <si>
    <t>2005 Ocean View</t>
  </si>
  <si>
    <t>2005 Buffalo</t>
  </si>
  <si>
    <t>2004 Fishing Boat</t>
  </si>
  <si>
    <t>QTR2010-Tube-AM</t>
  </si>
  <si>
    <t>National Parks Issue 2010-2019</t>
  </si>
  <si>
    <t>QTR2010-Tube-AN</t>
  </si>
  <si>
    <t>QTR2010-Tube-AO</t>
  </si>
  <si>
    <t xml:space="preserve">Enter Type  --&gt;  </t>
  </si>
  <si>
    <t>PNY1960's-Tube-AU</t>
  </si>
  <si>
    <t>PNY1960's-Tube-AV</t>
  </si>
  <si>
    <t>PNY1970's-Tube-AW</t>
  </si>
  <si>
    <t>PNY1970's-Tube-AX</t>
  </si>
  <si>
    <t>PNY1980's-Tube-AY</t>
  </si>
  <si>
    <t>PNY1980's-Tube-AZ</t>
  </si>
  <si>
    <t>PNY1990's-Tube-BA</t>
  </si>
  <si>
    <t>PNY1990'S-Tube-BB</t>
  </si>
  <si>
    <t>PNY2000's-Tube-BC</t>
  </si>
  <si>
    <t>PNY2010's-Tube-BD</t>
  </si>
  <si>
    <t xml:space="preserve">1883–1913 </t>
  </si>
  <si>
    <t>The Liberty Head nickel replaced the Shield nickel. </t>
  </si>
  <si>
    <t xml:space="preserve">1913–1938 </t>
  </si>
  <si>
    <t>The Buffalo nickel was designed by James Earle Fraser and featured a Native American chief on the obverse and a bison on the reverse. </t>
  </si>
  <si>
    <t xml:space="preserve">1938–present </t>
  </si>
  <si>
    <t>The Jefferson nickel is the modern form of the nickel, and is primarily composed of 75% copper and 25% nickel.</t>
  </si>
  <si>
    <t>The first dime was released by the United States Mint, featuring the Draped Bust design. </t>
  </si>
  <si>
    <t xml:space="preserve">1916–1945 </t>
  </si>
  <si>
    <t>The Mercury Dime was minted, featuring an image of Lady Liberty with a winged Phrygian cap. </t>
  </si>
  <si>
    <t>The Roosevelt dime was first minted, featuring a profile of President Franklin D. Roosevelt on the front and a torch flanked by branches on the back. This design is still in use today. </t>
  </si>
  <si>
    <t xml:space="preserve">1892–1916 </t>
  </si>
  <si>
    <t>The Barber Dime was minted, created by Charles E. Barber, the Chief Engraver of the U.S. </t>
  </si>
  <si>
    <t>1815-1838</t>
  </si>
  <si>
    <t>1932-1998</t>
  </si>
  <si>
    <t>1999-2008</t>
  </si>
  <si>
    <t>2009-today</t>
  </si>
  <si>
    <t>Capped Bust Quarter. View Subtypes.</t>
  </si>
  <si>
    <t>Liberty Seated Quarter. View Subtypes.</t>
  </si>
  <si>
    <t>Draped Bust Quarter. View Subtypes.</t>
  </si>
  <si>
    <t>Barber Quarter. ...</t>
  </si>
  <si>
    <t>Standing Liberty Quarter. ...</t>
  </si>
  <si>
    <t>Washington Quarter. ...</t>
  </si>
  <si>
    <t>50 States Quarter. ...</t>
  </si>
  <si>
    <t xml:space="preserve">U.S. Territories Quarter. </t>
  </si>
  <si>
    <t>Quarters</t>
  </si>
  <si>
    <t>Flowing Hair Half Dollar</t>
  </si>
  <si>
    <t>Draped Bust Half Dollar</t>
  </si>
  <si>
    <t>1807-1839</t>
  </si>
  <si>
    <t>Capped Bust Half Dollar</t>
  </si>
  <si>
    <t>Liberty Seated Half Dollar</t>
  </si>
  <si>
    <t>Barber Half Dollar</t>
  </si>
  <si>
    <t>1916-1947</t>
  </si>
  <si>
    <t>Walking Liberty Half Dollar</t>
  </si>
  <si>
    <t>Franklin Half Dollar</t>
  </si>
  <si>
    <t>1964 to Date</t>
  </si>
  <si>
    <t>Kennedy Half Dollar</t>
  </si>
  <si>
    <t>Flying Eagle cent: The first small US cent, minted in 1856 as a pattern piece and then in 1857 and 1858 for circulation. It was made of 88% copper and 12% nickel. </t>
  </si>
  <si>
    <t>Indian Head cent: Minted from 1859 to 1909. </t>
  </si>
  <si>
    <t>Lincoln Wheat cent: Minted from 1909 to 1958. This penny features a portrait of Abraham Lincoln on one side and two stalks of wheat on the other. In 1943, the composition changed from 95% copper to zinc-coated steel due to the need for copper in the war. </t>
  </si>
  <si>
    <t>Lincoln Memorial cent: Minted from 1959 to 2008. </t>
  </si>
  <si>
    <t>Lincoln Bicentennial 4 reverse designs: Minted in 2009. </t>
  </si>
  <si>
    <t>Lincoln Union Shield cent: Minted from 2010 to the present. The reverse design depicts an image of President Lincoln. </t>
  </si>
  <si>
    <t>1857-1858</t>
  </si>
  <si>
    <t>1859-1909</t>
  </si>
  <si>
    <t>1959-2008</t>
  </si>
  <si>
    <t>1909-1958</t>
  </si>
  <si>
    <t>2010-today</t>
  </si>
  <si>
    <t>Pennies</t>
  </si>
  <si>
    <t>Eisenhower dollars: 1971-78.</t>
  </si>
  <si>
    <t>Susan B. Anthony dollars: 1979-1981, 1999.</t>
  </si>
  <si>
    <t>Sacagawea: 2000-2008.</t>
  </si>
  <si>
    <t>Native American dollars: 2009 to present.</t>
  </si>
  <si>
    <t>Presidential dollars: 2007 to 2016, 2020.</t>
  </si>
  <si>
    <t>American Innovation dollars: 2018 to present.</t>
  </si>
  <si>
    <t>1971-1978</t>
  </si>
  <si>
    <t>1979-1981, 1999</t>
  </si>
  <si>
    <t>2007 to 2016, 2020</t>
  </si>
  <si>
    <t>2000-2008</t>
  </si>
  <si>
    <t>2009 to present</t>
  </si>
  <si>
    <t>2018 to present</t>
  </si>
  <si>
    <t>Dollars</t>
  </si>
  <si>
    <t>2009 Lincoln Over The Years</t>
  </si>
  <si>
    <t>4 Plain &amp; 4 "D" Mints</t>
  </si>
  <si>
    <t>HAV1970's-Tube-BE</t>
  </si>
  <si>
    <t>Kennedy Half Dollars</t>
  </si>
  <si>
    <t>Various Dates</t>
  </si>
  <si>
    <t>QTR1976-Tube-BF</t>
  </si>
  <si>
    <t>Bicentennial Quarters</t>
  </si>
  <si>
    <t>QTR1970's-Tube-BG</t>
  </si>
  <si>
    <t>Assorted Date Quarters</t>
  </si>
  <si>
    <t>QTR2016's-Tube-BH</t>
  </si>
  <si>
    <t>Assorted Date Quarters 2010-2020</t>
  </si>
  <si>
    <t>DOL1970's-Tube-BI</t>
  </si>
  <si>
    <t>Eisenhower Haves Assorted Dates</t>
  </si>
  <si>
    <t>NIC1970's-Tube-BK</t>
  </si>
  <si>
    <t>Jefferson Nickels Assorted Dates</t>
  </si>
  <si>
    <t>DIM1990's-Tube-BJ</t>
  </si>
  <si>
    <t>Roosevelt Dimes Assorted Dates</t>
  </si>
  <si>
    <t>Jefferson Nickel Assorted Dates</t>
  </si>
  <si>
    <t>PNY1970's-Tube-BM</t>
  </si>
  <si>
    <t>Lincoln Pennies Assorted Dates [Dads]</t>
  </si>
  <si>
    <t>Book Value based on .05 each</t>
  </si>
  <si>
    <t>Lincoln Pennies Assorted Dates</t>
  </si>
  <si>
    <t>PNY2000's-Tube-BO</t>
  </si>
  <si>
    <t>QTR1970's-Tube-BP</t>
  </si>
  <si>
    <t>Quarters with Assorted Dates</t>
  </si>
  <si>
    <t xml:space="preserve">Enter Year ---&gt;  </t>
  </si>
  <si>
    <t>QTR2001's-Tube-BQ</t>
  </si>
  <si>
    <t>Jefferson Nickel Book</t>
  </si>
  <si>
    <t>State Quarters Book</t>
  </si>
  <si>
    <t>Blue Book</t>
  </si>
  <si>
    <t>Green Book</t>
  </si>
  <si>
    <t>Penney Book</t>
  </si>
  <si>
    <t>Missing: 1944 d, 1945 D, 1947 D,1948 D,1951, 1952 D</t>
  </si>
  <si>
    <t>Missing: 1988 D,1988 D, 1988 S,1989, 1990 D, 1990 S, 1991 S, 1992 S,1993</t>
  </si>
  <si>
    <t>Missing: 64</t>
  </si>
  <si>
    <t>Missing: 1942 D, 1944 S, 1946 D, 1947 S, 1948 D, 1948 S, 1949 S, 1950 S, 1951 S, 1952, 1952 D, 1953 S, 1954 S, 1955 D,1959, 1971 S, 1973 S</t>
  </si>
  <si>
    <t>Missing: 21</t>
  </si>
  <si>
    <t>PEC2023DOL-AA</t>
  </si>
  <si>
    <t>PEC2023DOL-AB</t>
  </si>
  <si>
    <t>PEACE DOLLAR</t>
  </si>
  <si>
    <t>4023 MORGAN DOLLAR</t>
  </si>
  <si>
    <t>2023 MORGAN DOLLAR BACK</t>
  </si>
  <si>
    <t>2023 PEACE DOLLAR</t>
  </si>
  <si>
    <t>2023 PEACE DOLLAR BACK</t>
  </si>
  <si>
    <t>1979 SBA PHOTO SET</t>
  </si>
  <si>
    <t>1980 SBA PHOTO SET</t>
  </si>
  <si>
    <t>1979 SBA PHOTO BACK</t>
  </si>
  <si>
    <t>1980 SBA DOLLAR SET BACK</t>
  </si>
  <si>
    <t>Kennedy Etched on the face</t>
  </si>
  <si>
    <t>Silver Certificate</t>
  </si>
  <si>
    <t>42 Nickels Missing From Book</t>
  </si>
  <si>
    <t xml:space="preserve">Enter Quantity to Search ---&gt;  </t>
  </si>
  <si>
    <t xml:space="preserve">Enter Book Value to Search ---&gt;  </t>
  </si>
  <si>
    <t xml:space="preserve">Enter Year  ---&gt;  </t>
  </si>
  <si>
    <t>Text editing </t>
  </si>
  <si>
    <t>Document creation and saving </t>
  </si>
  <si>
    <t>Ctrl + A</t>
  </si>
  <si>
    <t xml:space="preserve"> Selects all text </t>
  </si>
  <si>
    <t>Ctrl + B</t>
  </si>
  <si>
    <t xml:space="preserve"> Makes selected text bold </t>
  </si>
  <si>
    <t>Ctrl + C</t>
  </si>
  <si>
    <t xml:space="preserve"> Copies selected text or objects </t>
  </si>
  <si>
    <t>Ctrl + Del</t>
  </si>
  <si>
    <t xml:space="preserve"> Deletes words to the right </t>
  </si>
  <si>
    <t>Ctrl + End</t>
  </si>
  <si>
    <t xml:space="preserve"> Goes to the end of the document </t>
  </si>
  <si>
    <t>Ctrl + F</t>
  </si>
  <si>
    <t xml:space="preserve"> Finds text </t>
  </si>
  <si>
    <t>Ctrl + H</t>
  </si>
  <si>
    <t xml:space="preserve"> Finds and replaces text </t>
  </si>
  <si>
    <t>Ctrl + I</t>
  </si>
  <si>
    <t xml:space="preserve"> Makes selected text italic </t>
  </si>
  <si>
    <t>Ctrl + U</t>
  </si>
  <si>
    <t xml:space="preserve"> Underlines selected text </t>
  </si>
  <si>
    <t>Ctrl + V</t>
  </si>
  <si>
    <t xml:space="preserve"> Pastes copied or cut text or objects </t>
  </si>
  <si>
    <t>Ctrl + X</t>
  </si>
  <si>
    <t xml:space="preserve"> Cuts selected text or objects </t>
  </si>
  <si>
    <t>Ctrl + Z</t>
  </si>
  <si>
    <t xml:space="preserve"> Undoes the last action </t>
  </si>
  <si>
    <t>Ctrl + Y</t>
  </si>
  <si>
    <t xml:space="preserve"> Redoes an action </t>
  </si>
  <si>
    <t>Ctrl + N</t>
  </si>
  <si>
    <t xml:space="preserve"> Creates a new document </t>
  </si>
  <si>
    <t>Ctrl + S</t>
  </si>
  <si>
    <t xml:space="preserve"> Saves the current document </t>
  </si>
  <si>
    <t>Ctrl + W</t>
  </si>
  <si>
    <t xml:space="preserve"> Closes the document </t>
  </si>
  <si>
    <t>Halves 1992 &amp; Newer</t>
  </si>
  <si>
    <t>JEF1938NIC-AB</t>
  </si>
  <si>
    <t>JEF1938NIC-AC</t>
  </si>
  <si>
    <t>JEF1938NIC-AD</t>
  </si>
  <si>
    <t>JEF1939NIC-AC</t>
  </si>
  <si>
    <t>JEF1939NIC-AD</t>
  </si>
  <si>
    <t>BUF1920NIC-AB</t>
  </si>
  <si>
    <t>BUF1923NIC-AB</t>
  </si>
  <si>
    <t>BUF1924NIC-AB</t>
  </si>
  <si>
    <t>BUF1929NIC-AC</t>
  </si>
  <si>
    <t>BUF1929NIC-AD</t>
  </si>
  <si>
    <t>BUF1930NIC-AB</t>
  </si>
  <si>
    <t>BUF1934NIC-AD</t>
  </si>
  <si>
    <t>BUF1936NIC-AI</t>
  </si>
  <si>
    <t>WSH1970QTR-AA</t>
  </si>
  <si>
    <t>ROS2022DIM-AB</t>
  </si>
  <si>
    <t>WSH2022QTR-AC</t>
  </si>
  <si>
    <t>JEF1940NIC-AI</t>
  </si>
  <si>
    <t>JEF1941NIC-AG</t>
  </si>
  <si>
    <t>JEF1942NIC-AA</t>
  </si>
  <si>
    <t>JEF1942NIC-AB</t>
  </si>
  <si>
    <t>JEF1942NIC-AC</t>
  </si>
  <si>
    <t>JEF1943NIC-AB</t>
  </si>
  <si>
    <t>JEF1943NIC-AC</t>
  </si>
  <si>
    <t>JEF1944NIC-AB</t>
  </si>
  <si>
    <t>JEF1944NIC-AD</t>
  </si>
  <si>
    <t>JEF1945NIC-AA</t>
  </si>
  <si>
    <t>JEF1945NIC-AB</t>
  </si>
  <si>
    <t>JEF1945NIC-AC</t>
  </si>
  <si>
    <t>JEF1946NIC-AK</t>
  </si>
  <si>
    <t>JEF1946NIC-AL</t>
  </si>
  <si>
    <t>JEF1947NIC-AB</t>
  </si>
  <si>
    <t>JEF1948NIC-AB</t>
  </si>
  <si>
    <t>JEF1948NIC-AC</t>
  </si>
  <si>
    <t>JEF1949NIC-AB</t>
  </si>
  <si>
    <t>JEF1949NIC-AC</t>
  </si>
  <si>
    <t>JEF1950NIC-AA</t>
  </si>
  <si>
    <t>JEF1950NIC-AB</t>
  </si>
  <si>
    <t>JEF1951NIC-AA</t>
  </si>
  <si>
    <t>JEF1951NIC-AB</t>
  </si>
  <si>
    <t>JEF1951NIC-AC</t>
  </si>
  <si>
    <t>JEF1952NIC-AD</t>
  </si>
  <si>
    <t>JEF1953NIC-AA</t>
  </si>
  <si>
    <t>JEF1953NIC-AB</t>
  </si>
  <si>
    <t>JEF1953NIC-AC</t>
  </si>
  <si>
    <t>JEF1954NIC-AA</t>
  </si>
  <si>
    <t>JEF1954NIC-AB</t>
  </si>
  <si>
    <t>JEF1954NIC-AC</t>
  </si>
  <si>
    <t>JEF2020NIC-AD</t>
  </si>
  <si>
    <t>JEF2020NIC-AE</t>
  </si>
  <si>
    <t>JEF2021NIC-AE</t>
  </si>
  <si>
    <t>JEF2021NIC-AF</t>
  </si>
  <si>
    <t>JEF2021NIC-AG</t>
  </si>
  <si>
    <t>JEF2022NIC-AD</t>
  </si>
  <si>
    <t>JEF2022NIC-AE</t>
  </si>
  <si>
    <t>JEF2022NIC-AF</t>
  </si>
  <si>
    <t>JEF2023NIC-AD</t>
  </si>
  <si>
    <t>JEF2023NIC-AE</t>
  </si>
  <si>
    <t>JEF2024NIC-AB</t>
  </si>
  <si>
    <t>JEF2024NIC-AC</t>
  </si>
  <si>
    <t>JEF2011NIC-AD</t>
  </si>
  <si>
    <t>JEF2011NIC-AE</t>
  </si>
  <si>
    <t>JEF2011NIC-AF</t>
  </si>
  <si>
    <t>JEF2012NIC-AG</t>
  </si>
  <si>
    <t>JEF2012NIC-AH</t>
  </si>
  <si>
    <t>JEF2013NIC-AF</t>
  </si>
  <si>
    <t>JEF2013NIC-AG</t>
  </si>
  <si>
    <t>JEF2014NIC-AD</t>
  </si>
  <si>
    <t>JEF2014NIC-AE</t>
  </si>
  <si>
    <t>JEF2015NIC-AF</t>
  </si>
  <si>
    <t>JEF2016NIC-AH</t>
  </si>
  <si>
    <t>JEF2016NIC-AI</t>
  </si>
  <si>
    <t>JEF2017NIC-AE</t>
  </si>
  <si>
    <t>JEF2017NIC-AF</t>
  </si>
  <si>
    <t>JEF2018NIC-AF</t>
  </si>
  <si>
    <t>JEF2018NIC-AG</t>
  </si>
  <si>
    <t>JEF2019NIC-AE</t>
  </si>
  <si>
    <t>JEF2019NIC-AF</t>
  </si>
  <si>
    <t>AE1995DOL-AA</t>
  </si>
  <si>
    <t>AE2024DOL-AA</t>
  </si>
  <si>
    <t>ROS2002DIM-AB</t>
  </si>
  <si>
    <t>Roosevelt Dime</t>
  </si>
  <si>
    <t>ROS2022DIM-AD</t>
  </si>
  <si>
    <t>ROS2023DIM-AA</t>
  </si>
  <si>
    <t>ROS1985DIM-AE</t>
  </si>
  <si>
    <t>ROS1992DIM-AA</t>
  </si>
  <si>
    <t>ROS2005DIM-AC</t>
  </si>
  <si>
    <t>JEF2020NIC-AF</t>
  </si>
  <si>
    <t>JEF2022NIC-AG</t>
  </si>
  <si>
    <t>1883 Cents</t>
  </si>
  <si>
    <t>1971 S PROOF</t>
  </si>
  <si>
    <t>1972 S PROOF</t>
  </si>
  <si>
    <t>1976 S PROOF</t>
  </si>
  <si>
    <t>1975 S PROOF</t>
  </si>
  <si>
    <t>1974 S PROOF</t>
  </si>
  <si>
    <t>1977 S PROOF</t>
  </si>
  <si>
    <t>1978 S PROOF</t>
  </si>
  <si>
    <t>1979 S PROOF FILLED S</t>
  </si>
  <si>
    <t>1979 S PROOF CLEAR S</t>
  </si>
  <si>
    <t>1980 S PROOF</t>
  </si>
  <si>
    <t>1981 S PROOF FILLED S</t>
  </si>
  <si>
    <t>1981 S PROOF CLEAR S</t>
  </si>
  <si>
    <t>1982 S PROOF</t>
  </si>
  <si>
    <t>1983 S PROOF</t>
  </si>
  <si>
    <t>1984 S PROOF</t>
  </si>
  <si>
    <t>1985 S PROOF</t>
  </si>
  <si>
    <t>1986 S PROOF</t>
  </si>
  <si>
    <t>1987 S PROOF</t>
  </si>
  <si>
    <t>1988 S PROOF</t>
  </si>
  <si>
    <t>1989 S PROOF</t>
  </si>
  <si>
    <t>1990 S PROOF</t>
  </si>
  <si>
    <t>1991 S PROOF</t>
  </si>
  <si>
    <t>1992 S PROOF</t>
  </si>
  <si>
    <t>1993 S PROOF</t>
  </si>
  <si>
    <t>1994 S PROOF</t>
  </si>
  <si>
    <t>1995 S PROOF</t>
  </si>
  <si>
    <t>1996 S PROOF</t>
  </si>
  <si>
    <t>1997 S PROOF</t>
  </si>
  <si>
    <t>1998 S PROOF</t>
  </si>
  <si>
    <t>1999 S PROOF</t>
  </si>
  <si>
    <t>2000 S PROOF</t>
  </si>
  <si>
    <t>2001 S PROOF</t>
  </si>
  <si>
    <t>2002 S PROOF</t>
  </si>
  <si>
    <t>2003 S PROOF</t>
  </si>
  <si>
    <t>2004 S PROOF</t>
  </si>
  <si>
    <t>WEDSTWARD JOURNEY</t>
  </si>
  <si>
    <t>KEELBOAT</t>
  </si>
  <si>
    <t>2005 S PROOF</t>
  </si>
  <si>
    <t>BISON</t>
  </si>
  <si>
    <t>OCEAN IN VIEW</t>
  </si>
  <si>
    <t>2006 S PROOF</t>
  </si>
  <si>
    <t>MONTICELLO</t>
  </si>
  <si>
    <t>2007 S PROOF</t>
  </si>
  <si>
    <t>2020 W PROOF</t>
  </si>
  <si>
    <t>2020 W REV PROOF</t>
  </si>
  <si>
    <t>HAVE</t>
  </si>
  <si>
    <t>NEED</t>
  </si>
  <si>
    <t xml:space="preserve">  &lt;--- NEEDED</t>
  </si>
  <si>
    <t>&lt;-- BUFFALO NICKELS NEEDED</t>
  </si>
  <si>
    <t>&lt;-- LIBERTY NICKELS NEEDED</t>
  </si>
  <si>
    <t>1973 S PROOF</t>
  </si>
  <si>
    <t>2008 S PROOF</t>
  </si>
  <si>
    <t>2009 S PROOF</t>
  </si>
  <si>
    <t>&lt;-- JEFFERSON NICKELS NEEDED</t>
  </si>
  <si>
    <t>WSH1995QTR-AA</t>
  </si>
  <si>
    <t>WSH1991QTR-AC</t>
  </si>
  <si>
    <t>ROS1980DIM-AA</t>
  </si>
  <si>
    <t>JEF1980NIC-AF</t>
  </si>
  <si>
    <t>WSH2022QTR-AD</t>
  </si>
  <si>
    <t>JEF1947NIC-AC</t>
  </si>
  <si>
    <t>Silver 40%</t>
  </si>
  <si>
    <t>S04673088E</t>
  </si>
  <si>
    <t>BUF1936NIC-AH</t>
  </si>
  <si>
    <t>Verified</t>
  </si>
  <si>
    <t>BUF1928NIC-AD</t>
  </si>
  <si>
    <t>1913 D</t>
  </si>
  <si>
    <t>1913 S</t>
  </si>
  <si>
    <t>1968 P</t>
  </si>
  <si>
    <t>19116 D</t>
  </si>
  <si>
    <t>1917 D OBVERSE</t>
  </si>
  <si>
    <t>1917 D REVERSE</t>
  </si>
  <si>
    <t>1917 S OBVERSE</t>
  </si>
  <si>
    <t>1917 S REVERSE</t>
  </si>
  <si>
    <t>1933 S</t>
  </si>
  <si>
    <t>1950 PROOF</t>
  </si>
  <si>
    <t>1951 PROOF</t>
  </si>
  <si>
    <t>1952 PROOF</t>
  </si>
  <si>
    <t>1953 PROOF</t>
  </si>
  <si>
    <t>1954 PROOF</t>
  </si>
  <si>
    <t>1955 PROOF</t>
  </si>
  <si>
    <t>1956 PROOF</t>
  </si>
  <si>
    <t>1958 PROOF</t>
  </si>
  <si>
    <t>1957 PROOF</t>
  </si>
  <si>
    <t>1959 PROOF</t>
  </si>
  <si>
    <t>1960 PROOF</t>
  </si>
  <si>
    <t>1961 PROOF</t>
  </si>
  <si>
    <t>1962 PROOF</t>
  </si>
  <si>
    <t>1963 PROOF</t>
  </si>
  <si>
    <t>1964 PROOF</t>
  </si>
  <si>
    <t>1968 S PROOF</t>
  </si>
  <si>
    <t>1969 S PROOF</t>
  </si>
  <si>
    <t>1970 S PROOF</t>
  </si>
  <si>
    <t>1976 CN</t>
  </si>
  <si>
    <t>1976 D CN</t>
  </si>
  <si>
    <t>1976 S CN PROOF</t>
  </si>
  <si>
    <t>1976 S SILVER CLAD PROOF</t>
  </si>
  <si>
    <t>1976 S SILVER CLAD</t>
  </si>
  <si>
    <t>1981 S PROOF</t>
  </si>
  <si>
    <t>19884 D</t>
  </si>
  <si>
    <t>1992 S SILVER PROOF</t>
  </si>
  <si>
    <t>1993 S SILVER PROOF</t>
  </si>
  <si>
    <t>1994 S SILVER PROOF</t>
  </si>
  <si>
    <t>1996 S SILVER PROOF</t>
  </si>
  <si>
    <t>1997 S SILVER PROOF</t>
  </si>
  <si>
    <t>1998 S SILVER PROOF</t>
  </si>
  <si>
    <t>1999 S SILVER PROOF</t>
  </si>
  <si>
    <t>2000 S SILVER PROOF</t>
  </si>
  <si>
    <t>2001 S SILVER PROOF</t>
  </si>
  <si>
    <t>2002 S SILVER PROOF</t>
  </si>
  <si>
    <t>2003 S SILVER PROOF</t>
  </si>
  <si>
    <t>2004 S SILVER PROOF</t>
  </si>
  <si>
    <t>2005 S SILVER PROOF</t>
  </si>
  <si>
    <t>2006 S SILVER PROOF</t>
  </si>
  <si>
    <t>2007 S SILVER PROOF</t>
  </si>
  <si>
    <t>2008 S SILVER PROOF</t>
  </si>
  <si>
    <t>2009 S SILVER PROOF</t>
  </si>
  <si>
    <t>2010 S PROOF</t>
  </si>
  <si>
    <t>2010 S SILVER PROOF</t>
  </si>
  <si>
    <t>2011 S PROOF</t>
  </si>
  <si>
    <t>2011 S SILVER PROOF</t>
  </si>
  <si>
    <t>2012 S PROOF</t>
  </si>
  <si>
    <t>2012 S SILVER PROOF</t>
  </si>
  <si>
    <t>2013 S PROOF</t>
  </si>
  <si>
    <t>2013 S SILVER PROOF</t>
  </si>
  <si>
    <t>2014 S PROOF</t>
  </si>
  <si>
    <t>2014 S SILVER PROOF</t>
  </si>
  <si>
    <t>2015 S PROOF</t>
  </si>
  <si>
    <t>2015 S SILVER PROOF</t>
  </si>
  <si>
    <t>2016 S PROOF</t>
  </si>
  <si>
    <t>2016 S SILVER PROOF</t>
  </si>
  <si>
    <t>2017 S PROOF</t>
  </si>
  <si>
    <t>2017 S SILVER PROOF</t>
  </si>
  <si>
    <t>2018 S PROOF</t>
  </si>
  <si>
    <t>2018 S SILVER PROOF</t>
  </si>
  <si>
    <t>2019 S PROOF</t>
  </si>
  <si>
    <t>2019 S SILVER PROOF</t>
  </si>
  <si>
    <t>2020 S PROOF</t>
  </si>
  <si>
    <t>2020 S SILVER PROOF</t>
  </si>
  <si>
    <t>2021 S PROOF</t>
  </si>
  <si>
    <t>2021 S SILVER PROOF</t>
  </si>
  <si>
    <t>2025 S SILVER PROOF</t>
  </si>
  <si>
    <t>2022 S PROOF</t>
  </si>
  <si>
    <t>2022 S SILVER PROOF</t>
  </si>
  <si>
    <t>2023 S PROOF</t>
  </si>
  <si>
    <t>2023 S SILVER PROOF</t>
  </si>
  <si>
    <t>2024 S PROOF</t>
  </si>
  <si>
    <t>2024 S SILVER PROOF</t>
  </si>
  <si>
    <t>2025 S PROOF</t>
  </si>
  <si>
    <t>1884</t>
  </si>
  <si>
    <t>1887</t>
  </si>
  <si>
    <t>1888</t>
  </si>
  <si>
    <t>1889</t>
  </si>
  <si>
    <t>1890</t>
  </si>
  <si>
    <t>1891</t>
  </si>
  <si>
    <t>1892</t>
  </si>
  <si>
    <t>1905</t>
  </si>
  <si>
    <t>1906</t>
  </si>
  <si>
    <t>1907</t>
  </si>
  <si>
    <t>1908</t>
  </si>
  <si>
    <t>1909</t>
  </si>
  <si>
    <t>1910</t>
  </si>
  <si>
    <t>1911</t>
  </si>
  <si>
    <t>1912</t>
  </si>
  <si>
    <t>1912-D</t>
  </si>
  <si>
    <t>1913</t>
  </si>
  <si>
    <t>1913-D</t>
  </si>
  <si>
    <t>1913-S</t>
  </si>
  <si>
    <t>1914</t>
  </si>
  <si>
    <t>1914-D</t>
  </si>
  <si>
    <t>1914-S</t>
  </si>
  <si>
    <t>1915</t>
  </si>
  <si>
    <t>1915-D</t>
  </si>
  <si>
    <t>1915-S</t>
  </si>
  <si>
    <t>1916</t>
  </si>
  <si>
    <t>1916-D</t>
  </si>
  <si>
    <t>1916-S</t>
  </si>
  <si>
    <t>1917</t>
  </si>
  <si>
    <t>1917-D</t>
  </si>
  <si>
    <t>1917-S</t>
  </si>
  <si>
    <t>1918</t>
  </si>
  <si>
    <t>1918-D</t>
  </si>
  <si>
    <t>1918-D*</t>
  </si>
  <si>
    <t>8 over 7</t>
  </si>
  <si>
    <t>1918-S</t>
  </si>
  <si>
    <t>1919</t>
  </si>
  <si>
    <t>1919-D</t>
  </si>
  <si>
    <t>1919-S</t>
  </si>
  <si>
    <t>1920</t>
  </si>
  <si>
    <t>1920-D</t>
  </si>
  <si>
    <t>1920-S</t>
  </si>
  <si>
    <t>1921</t>
  </si>
  <si>
    <t>1921-S</t>
  </si>
  <si>
    <t>1923</t>
  </si>
  <si>
    <t>1923-S</t>
  </si>
  <si>
    <t>1924</t>
  </si>
  <si>
    <t>1924-D</t>
  </si>
  <si>
    <t>1924-S</t>
  </si>
  <si>
    <t>1925</t>
  </si>
  <si>
    <t>1925-D</t>
  </si>
  <si>
    <t>1925-S</t>
  </si>
  <si>
    <t>1926</t>
  </si>
  <si>
    <t>1926-D</t>
  </si>
  <si>
    <t>1926-S</t>
  </si>
  <si>
    <t>1927</t>
  </si>
  <si>
    <t>1927-D</t>
  </si>
  <si>
    <t>1927-S</t>
  </si>
  <si>
    <t>1928</t>
  </si>
  <si>
    <t>1928-D</t>
  </si>
  <si>
    <t>1928-S</t>
  </si>
  <si>
    <t>1929</t>
  </si>
  <si>
    <t>1929-D</t>
  </si>
  <si>
    <t>1929-S</t>
  </si>
  <si>
    <t>1930</t>
  </si>
  <si>
    <t>1930-S</t>
  </si>
  <si>
    <t>1931-S</t>
  </si>
  <si>
    <t>1934</t>
  </si>
  <si>
    <t>1934-D</t>
  </si>
  <si>
    <t>1935</t>
  </si>
  <si>
    <t>1935-D</t>
  </si>
  <si>
    <t>1935-S</t>
  </si>
  <si>
    <t>1936</t>
  </si>
  <si>
    <t>1936-D</t>
  </si>
  <si>
    <t>1936-S</t>
  </si>
  <si>
    <t>1937</t>
  </si>
  <si>
    <t>1937-D</t>
  </si>
  <si>
    <t>1937-S</t>
  </si>
  <si>
    <t>1938</t>
  </si>
  <si>
    <t>1939</t>
  </si>
  <si>
    <t>1940</t>
  </si>
  <si>
    <t>1941</t>
  </si>
  <si>
    <t>1942</t>
  </si>
  <si>
    <t>Wartime Variety</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</si>
  <si>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</si>
  <si>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</si>
  <si>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</si>
  <si>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</si>
  <si>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</si>
  <si>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</si>
  <si>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</si>
  <si>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</si>
  <si>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</si>
  <si>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</si>
  <si>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</si>
  <si>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</si>
  <si>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</si>
  <si>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</si>
  <si>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</si>
  <si>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</si>
  <si>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</si>
  <si>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</si>
  <si>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</si>
  <si>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</si>
  <si>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</si>
  <si>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1971</t>
  </si>
  <si>
    <t>1971-S Proof</t>
  </si>
  <si>
    <t>1972</t>
  </si>
  <si>
    <t>1972-S Proof</t>
  </si>
  <si>
    <t>1973</t>
  </si>
  <si>
    <t>1973-S Proof</t>
  </si>
  <si>
    <t>1974</t>
  </si>
  <si>
    <t>1974-S Proof</t>
  </si>
  <si>
    <t>1975</t>
  </si>
  <si>
    <t>1975-S Proof</t>
  </si>
  <si>
    <t>1976</t>
  </si>
  <si>
    <t>1976-S Proof</t>
  </si>
  <si>
    <t>1977</t>
  </si>
  <si>
    <t>1977-S Proof</t>
  </si>
  <si>
    <t>1978</t>
  </si>
  <si>
    <t>1978-S Proof</t>
  </si>
  <si>
    <t>1979-S Proof,</t>
  </si>
  <si>
    <t>Filled “S”</t>
  </si>
  <si>
    <t>Clear “S”</t>
  </si>
  <si>
    <t>1980-S Proof</t>
  </si>
  <si>
    <t>1981-S Proof</t>
  </si>
  <si>
    <t>1982-S Proof</t>
  </si>
  <si>
    <t>1983-S Proof</t>
  </si>
  <si>
    <t>1984-S Proof</t>
  </si>
  <si>
    <t>1985-S Proof</t>
  </si>
  <si>
    <t>1986-S Proof</t>
  </si>
  <si>
    <t>1987-S Proof</t>
  </si>
  <si>
    <t>1988-S Proof</t>
  </si>
  <si>
    <t>1989-S Proof</t>
  </si>
  <si>
    <t>Westward Journey</t>
  </si>
  <si>
    <t>1990-S Proof</t>
  </si>
  <si>
    <t>Peace Medal</t>
  </si>
  <si>
    <t>1991-S Proof</t>
  </si>
  <si>
    <t>Keelboat</t>
  </si>
  <si>
    <t>1992-S Proof</t>
  </si>
  <si>
    <t>1993-S Proof</t>
  </si>
  <si>
    <t>1994-S Proof</t>
  </si>
  <si>
    <t>Bison</t>
  </si>
  <si>
    <t>Ocean-in-View</t>
  </si>
  <si>
    <t>1995-S Proof</t>
  </si>
  <si>
    <t>1996-S Proof</t>
  </si>
  <si>
    <t>Return to Monticello</t>
  </si>
  <si>
    <t>1997-S Proof</t>
  </si>
  <si>
    <t>1998-S Proof</t>
  </si>
  <si>
    <t>1999-S Proof</t>
  </si>
  <si>
    <t>2000-S Proof</t>
  </si>
  <si>
    <t>2001-S Proof</t>
  </si>
  <si>
    <t>2002-S Proof</t>
  </si>
  <si>
    <t>2003-S Proof</t>
  </si>
  <si>
    <t>2004-S Proof</t>
  </si>
  <si>
    <t>2005-S Proof</t>
  </si>
  <si>
    <t>2006-S Proof</t>
  </si>
  <si>
    <t>2007-S Proof</t>
  </si>
  <si>
    <t>2008-S Proof</t>
  </si>
  <si>
    <t>2009-S Proof</t>
  </si>
  <si>
    <t>2010-S Proof</t>
  </si>
  <si>
    <t>2011-S Proof</t>
  </si>
  <si>
    <t>2012-S Proof</t>
  </si>
  <si>
    <t>2013-S Proof</t>
  </si>
  <si>
    <t>2014-S Proof</t>
  </si>
  <si>
    <t>2015-S Proof</t>
  </si>
  <si>
    <t>2016-S Proof</t>
  </si>
  <si>
    <t>2017-S Proof</t>
  </si>
  <si>
    <t>2018-S Proof</t>
  </si>
  <si>
    <t>2019-S Proof</t>
  </si>
  <si>
    <t>2020-S Proof</t>
  </si>
  <si>
    <t>2021-P</t>
  </si>
  <si>
    <t>2021-D</t>
  </si>
  <si>
    <t>2022-D</t>
  </si>
  <si>
    <t>2022-P</t>
  </si>
  <si>
    <t>2023-P</t>
  </si>
  <si>
    <t>2023-D</t>
  </si>
  <si>
    <t>2022-S</t>
  </si>
  <si>
    <t>2024-P</t>
  </si>
  <si>
    <t>2024-D</t>
  </si>
  <si>
    <t>MOR2025DOL-AB</t>
  </si>
  <si>
    <t>Peace Dollar</t>
  </si>
  <si>
    <t>MOR2025DOL-AC</t>
  </si>
  <si>
    <t>MOR2025DOL-AD</t>
  </si>
  <si>
    <t>PEC2025DOL-AF</t>
  </si>
  <si>
    <t>From The Us Mint</t>
  </si>
  <si>
    <t>About Uncirculated</t>
  </si>
  <si>
    <t>Extremely Fine</t>
  </si>
  <si>
    <t xml:space="preserve">F-12 Fine </t>
  </si>
  <si>
    <t>Good</t>
  </si>
  <si>
    <t>MS-63 Select Uncirculated</t>
  </si>
  <si>
    <t>Proof</t>
  </si>
  <si>
    <t>Select Uncirculated</t>
  </si>
  <si>
    <t>Uncirculated</t>
  </si>
  <si>
    <t>Very Fine</t>
  </si>
  <si>
    <t xml:space="preserve">Buffalo Nickel </t>
  </si>
  <si>
    <t>Dollar Bill</t>
  </si>
  <si>
    <t>Franklin Half</t>
  </si>
  <si>
    <t>Canadian Dollar</t>
  </si>
  <si>
    <t>American President Set</t>
  </si>
  <si>
    <t>Eisenhower Dollar</t>
  </si>
  <si>
    <t>Indian Head Penny</t>
  </si>
  <si>
    <t>Jefferon Nickel</t>
  </si>
  <si>
    <t>George Washinton Commem Have</t>
  </si>
  <si>
    <t>Desert Storm &amp; Marshall Island</t>
  </si>
  <si>
    <t>Heros Of Desert Storm $5 Silver</t>
  </si>
  <si>
    <t>Korean Memorial</t>
  </si>
  <si>
    <t xml:space="preserve">Liberty   V   Nickel </t>
  </si>
  <si>
    <t>Liberty Silver Dollar</t>
  </si>
  <si>
    <t>Memorial</t>
  </si>
  <si>
    <t>Morgan Dollar</t>
  </si>
  <si>
    <t>Mt Rushmore</t>
  </si>
  <si>
    <t>Murcury Dime</t>
  </si>
  <si>
    <t>Olympic Dollar</t>
  </si>
  <si>
    <t>Shield Penney</t>
  </si>
  <si>
    <t>Shield Nickel</t>
  </si>
  <si>
    <t>Standing Liberty Half</t>
  </si>
  <si>
    <t>Steel Penney</t>
  </si>
  <si>
    <t>Sacagawea</t>
  </si>
  <si>
    <t>AE2025DOL-AA</t>
  </si>
  <si>
    <t>IND1887CNT-AB</t>
  </si>
  <si>
    <t>IND1887CNT-AA</t>
  </si>
  <si>
    <t>IND1888CNT-AA</t>
  </si>
  <si>
    <t>IND1889CNT-AA</t>
  </si>
  <si>
    <t>IND1889CNT-AB</t>
  </si>
  <si>
    <t>IND1889CNT-AC</t>
  </si>
  <si>
    <t>IND1890CNT-AA</t>
  </si>
  <si>
    <t>IND1890CNT-AB</t>
  </si>
  <si>
    <t>IND1891CNT-AA</t>
  </si>
  <si>
    <t>IND1896CNT-AA</t>
  </si>
  <si>
    <t>IND1899CNT-AA</t>
  </si>
  <si>
    <t>IND1900CNT-AA</t>
  </si>
  <si>
    <t>IND1901CNT-AA</t>
  </si>
  <si>
    <t>IND1901CNT-AB</t>
  </si>
  <si>
    <t>IND1901CNT-AC</t>
  </si>
  <si>
    <t>IND1902CNT-AA</t>
  </si>
  <si>
    <t>IND1902CNT-AB</t>
  </si>
  <si>
    <t>IND1902CNT-AC</t>
  </si>
  <si>
    <t>IND1903CNT-AA</t>
  </si>
  <si>
    <t>IND1903CNT-AB</t>
  </si>
  <si>
    <t>IND1903CNT-AC</t>
  </si>
  <si>
    <t>IND1903CNT-AD</t>
  </si>
  <si>
    <t>IND1904CNT-AA</t>
  </si>
  <si>
    <t>IND1904CNT-AB</t>
  </si>
  <si>
    <t>IND1905CNT-AA</t>
  </si>
  <si>
    <t>IND1905CNT-AB</t>
  </si>
  <si>
    <t>IND1905CNT-AC</t>
  </si>
  <si>
    <t>IND1906CNT-AA</t>
  </si>
  <si>
    <t>IND1906CNT-AB</t>
  </si>
  <si>
    <t>IND1906CNT-AC</t>
  </si>
  <si>
    <t>IND1906CNT-AD</t>
  </si>
  <si>
    <t>IND1906CNT-AE</t>
  </si>
  <si>
    <t>IND1907CNT-AA</t>
  </si>
  <si>
    <t>IND1907CNT-AB</t>
  </si>
  <si>
    <t>IND1907CNT-AC</t>
  </si>
  <si>
    <t>IND1908CNT-AA</t>
  </si>
  <si>
    <t>IND1908CNT-AB</t>
  </si>
  <si>
    <t>IND1908CNT-AC</t>
  </si>
  <si>
    <t>WHT1909CNT-AA</t>
  </si>
  <si>
    <t>WHT1909CNT-AB</t>
  </si>
  <si>
    <t>WHT1909CNT-AC</t>
  </si>
  <si>
    <t>WHT1909CNT-AD</t>
  </si>
  <si>
    <t>WHT1910CNT-AA</t>
  </si>
  <si>
    <t>WHT1910CNT-AB</t>
  </si>
  <si>
    <t>WHT1911CNT-AA</t>
  </si>
  <si>
    <t>WHT1911CNT-AB</t>
  </si>
  <si>
    <t>WHT1911CNT-AC</t>
  </si>
  <si>
    <t>WHT1911CNT-AD</t>
  </si>
  <si>
    <t>WHT1912CNT-AA</t>
  </si>
  <si>
    <t>WHT1912CNT-AB</t>
  </si>
  <si>
    <t>WHT1913CNT-AA</t>
  </si>
  <si>
    <t>WHT1913CNT-AB</t>
  </si>
  <si>
    <t>WHT1913CNT-AC</t>
  </si>
  <si>
    <t>WHT1913CNT-AD</t>
  </si>
  <si>
    <t>WHT1914CNT-AA</t>
  </si>
  <si>
    <t>WHT1914CNT-AB</t>
  </si>
  <si>
    <t>WHT1914CNT-AC</t>
  </si>
  <si>
    <t>WHT1915CNT-AA</t>
  </si>
  <si>
    <t>WHT1915CNT-AB</t>
  </si>
  <si>
    <t>WHT1915CNT-AC</t>
  </si>
  <si>
    <t>WHT1915CNT-AD</t>
  </si>
  <si>
    <t>WHT1916CNT-AA</t>
  </si>
  <si>
    <t>WHT1916CNT-AB</t>
  </si>
  <si>
    <t>WHT1916CNT-AC</t>
  </si>
  <si>
    <t>WHT1916CNT-AD</t>
  </si>
  <si>
    <t>WHT1916CNT-AE</t>
  </si>
  <si>
    <t>WHT1917CNT-AA</t>
  </si>
  <si>
    <t>WHT1917CNT-AB</t>
  </si>
  <si>
    <t>WHT1917CNT-AC</t>
  </si>
  <si>
    <t>WHT1917CNT-AD</t>
  </si>
  <si>
    <t>WHT1917CNT-AE</t>
  </si>
  <si>
    <t>WHT1917CNT-AF</t>
  </si>
  <si>
    <t>WHT1917CNT-AG</t>
  </si>
  <si>
    <t>WHT1918CNT-AA</t>
  </si>
  <si>
    <t>WHT1918CNT-AB</t>
  </si>
  <si>
    <t>WHT1918CNT-AC</t>
  </si>
  <si>
    <t>WHT1918CNT-AD</t>
  </si>
  <si>
    <t>WHT1918CNT-AE</t>
  </si>
  <si>
    <t>WHT1918CNT-AF</t>
  </si>
  <si>
    <t>WHT1919CNT-AA</t>
  </si>
  <si>
    <t>WHT1919CNT-AB</t>
  </si>
  <si>
    <t>WHT1919CNT-AC</t>
  </si>
  <si>
    <t>WHT1919CNT-AD</t>
  </si>
  <si>
    <t>WHT1919CNT-AE</t>
  </si>
  <si>
    <t>WHT1919CNT-AG</t>
  </si>
  <si>
    <t>WHT1920CNT-AA</t>
  </si>
  <si>
    <t>WHT1920CNT-AB</t>
  </si>
  <si>
    <t>WHT1920CNT-AD</t>
  </si>
  <si>
    <t>WHT1920CNT-AE</t>
  </si>
  <si>
    <t>WHT1920CNT-AF</t>
  </si>
  <si>
    <t>WHT1921CNT-AA</t>
  </si>
  <si>
    <t>WHT1921CNT-AB</t>
  </si>
  <si>
    <t>WHT1922CNT-AA</t>
  </si>
  <si>
    <t>WHT1923CNT-AA</t>
  </si>
  <si>
    <t>WHT1923CNT-AB</t>
  </si>
  <si>
    <t>WHT1924CNT-AA</t>
  </si>
  <si>
    <t>WHT1924CNT-AB</t>
  </si>
  <si>
    <t>WHT1924CNT-AC</t>
  </si>
  <si>
    <t>WHT1924CNT-AD</t>
  </si>
  <si>
    <t>WHT1925CNT-AA</t>
  </si>
  <si>
    <t>WHT1925CNT-AB</t>
  </si>
  <si>
    <t>WHT1925CNT-AE</t>
  </si>
  <si>
    <t>WHT1925CNT-AF</t>
  </si>
  <si>
    <t>WHT1925CNT-AG</t>
  </si>
  <si>
    <t>WHT1926CNT-AA</t>
  </si>
  <si>
    <t>WHT1926CNT-AB</t>
  </si>
  <si>
    <t>WHT1926CNT-AC</t>
  </si>
  <si>
    <t>WHT1926CNT-AD</t>
  </si>
  <si>
    <t>WHT1926CNT-AE</t>
  </si>
  <si>
    <t>WHT1926CNT-AF</t>
  </si>
  <si>
    <t>WHT1927CNT-AA</t>
  </si>
  <si>
    <t>WHT1927CNT-AB</t>
  </si>
  <si>
    <t>WHT1927CNT-AC</t>
  </si>
  <si>
    <t>WHT1927CNT-AD</t>
  </si>
  <si>
    <t>WHT1927CNT-AE</t>
  </si>
  <si>
    <t>WHT1927CNT-AF</t>
  </si>
  <si>
    <t>WHT1927CNT-AG</t>
  </si>
  <si>
    <t>WHT1928CNT-AA</t>
  </si>
  <si>
    <t>WHT1928CNT-AB</t>
  </si>
  <si>
    <t>WHT1928CNT-AC</t>
  </si>
  <si>
    <t>WHT1928CNT-AD</t>
  </si>
  <si>
    <t>WHT1928CNT-AE</t>
  </si>
  <si>
    <t>WHT1928CNT-AF</t>
  </si>
  <si>
    <t>WHT1929CNT-AA</t>
  </si>
  <si>
    <t>WHT1929CNT-AB</t>
  </si>
  <si>
    <t>WHT1929CNT-AC</t>
  </si>
  <si>
    <t>WHT1929CNT-AD</t>
  </si>
  <si>
    <t>WHT1929CNT-AE</t>
  </si>
  <si>
    <t>WHT1929CNT-AF</t>
  </si>
  <si>
    <t>WHT1929CNT-AG</t>
  </si>
  <si>
    <t>WHT1930CNT-AA</t>
  </si>
  <si>
    <t>WHT1930CNT-AB</t>
  </si>
  <si>
    <t>WHT1930CNT-AC</t>
  </si>
  <si>
    <t>WHT1931CNT-AA</t>
  </si>
  <si>
    <t>WHT1931CNT-AB</t>
  </si>
  <si>
    <t>WHT1931CNT-AC</t>
  </si>
  <si>
    <t>WHT1932CNT-AA</t>
  </si>
  <si>
    <t>WHT1932CNT-AB</t>
  </si>
  <si>
    <t>WHT1933CNT-AA</t>
  </si>
  <si>
    <t>WHT1933CNT-AB</t>
  </si>
  <si>
    <t>WHT1933CNT-AC</t>
  </si>
  <si>
    <t>WHT1934CNT-AA</t>
  </si>
  <si>
    <t>WHT1934CNT-AB</t>
  </si>
  <si>
    <t>WHT1934CNT-AC</t>
  </si>
  <si>
    <t>WHT1934CNT-AD</t>
  </si>
  <si>
    <t>WHT1935CNT-AA</t>
  </si>
  <si>
    <t>WHT1935CNT-AB</t>
  </si>
  <si>
    <t>WHT1935CNT-AC</t>
  </si>
  <si>
    <t>WHT1935CNT-AD</t>
  </si>
  <si>
    <t>WHT1936CNT-AA</t>
  </si>
  <si>
    <t>WHT1936CNT-AB</t>
  </si>
  <si>
    <t>WHT1936CNT-AC</t>
  </si>
  <si>
    <t>WHT1936CNT-AD</t>
  </si>
  <si>
    <t>WHT1936CNT-AE</t>
  </si>
  <si>
    <t>WHT1936CNT-AF</t>
  </si>
  <si>
    <t>WHT1936CNT-AG</t>
  </si>
  <si>
    <t>WHT1936CNT-AH</t>
  </si>
  <si>
    <t>WHT1936CNT-AI</t>
  </si>
  <si>
    <t>WHT1936CNT-AJ</t>
  </si>
  <si>
    <t>WHT1936CNT-AK</t>
  </si>
  <si>
    <t>WHT1936CNT-AL</t>
  </si>
  <si>
    <t>WHT1937CNT-AA</t>
  </si>
  <si>
    <t>WHT1937CNT-AB</t>
  </si>
  <si>
    <t>WHT1937CNT-AC</t>
  </si>
  <si>
    <t>WHT1937CNT-AD</t>
  </si>
  <si>
    <t>WHT1937CNT-AE</t>
  </si>
  <si>
    <t>WHT1937CNT-AF</t>
  </si>
  <si>
    <t>WHT1937CNT-AG</t>
  </si>
  <si>
    <t>WHT1937CNT-AH</t>
  </si>
  <si>
    <t>WHT1937CNT-AI</t>
  </si>
  <si>
    <t>WHT1938CNT-AA</t>
  </si>
  <si>
    <t>WHT1938CNT-AB</t>
  </si>
  <si>
    <t>WHT1938CNT-AC</t>
  </si>
  <si>
    <t>WHT1938CNT-AD</t>
  </si>
  <si>
    <t>WHT1938CNT-AE</t>
  </si>
  <si>
    <t>WHT1938CNT-AF</t>
  </si>
  <si>
    <t>WHT1938CNT-AG</t>
  </si>
  <si>
    <t>WHT1938CNT-AH</t>
  </si>
  <si>
    <t>WHT1938CNT-AI</t>
  </si>
  <si>
    <t>WHT1938CNT-AJ</t>
  </si>
  <si>
    <t>WHT1939CNT-AA</t>
  </si>
  <si>
    <t>WHT1939CNT-AB</t>
  </si>
  <si>
    <t>WHT1939CNT-AC</t>
  </si>
  <si>
    <t>WHT1939CNT-AD</t>
  </si>
  <si>
    <t>WHT1939CNT-AE</t>
  </si>
  <si>
    <t>WHT1939CNT-AF</t>
  </si>
  <si>
    <t>WHT1939CNT-AG</t>
  </si>
  <si>
    <t>WHT1939CNT-AH</t>
  </si>
  <si>
    <t>WHT1939CNT-AI</t>
  </si>
  <si>
    <t>WHT1939CNT-AJ</t>
  </si>
  <si>
    <t>WHT1939CNT-AK</t>
  </si>
  <si>
    <t>WHT1939CNT-AL</t>
  </si>
  <si>
    <t>WHT1939CNT-AM</t>
  </si>
  <si>
    <t>WHT1940CNT-AA</t>
  </si>
  <si>
    <t>WHT1940CNT-AB</t>
  </si>
  <si>
    <t>WHT1940CNT-AC</t>
  </si>
  <si>
    <t>WHT1940CNT-AD</t>
  </si>
  <si>
    <t>WHT1940CNT-AE</t>
  </si>
  <si>
    <t>WHT1940CNT-AF</t>
  </si>
  <si>
    <t>WHT1940CNT-AG</t>
  </si>
  <si>
    <t>WHT1941CNT-AA</t>
  </si>
  <si>
    <t>WHT1941CNT-AB</t>
  </si>
  <si>
    <t>WHT1941CNT-AC</t>
  </si>
  <si>
    <t>WHT1941CNT-AD</t>
  </si>
  <si>
    <t>WHT1941CNT-AE</t>
  </si>
  <si>
    <t>WHT1941CNT-AF</t>
  </si>
  <si>
    <t>WHT1941CNT-AG</t>
  </si>
  <si>
    <t>WHT1941CNT-AH</t>
  </si>
  <si>
    <t>WHT1941CNT-AI</t>
  </si>
  <si>
    <t>WHT1941CNT-AJ</t>
  </si>
  <si>
    <t>WHT1941CNT-AK</t>
  </si>
  <si>
    <t>WHT1941CNT-AL</t>
  </si>
  <si>
    <t>WHT1941CNT-AM</t>
  </si>
  <si>
    <t>WHT1941CNT-AN</t>
  </si>
  <si>
    <t>WHT1941CNT-AP</t>
  </si>
  <si>
    <t>WHT1941CNT-AQ</t>
  </si>
  <si>
    <t>WHT1941CNT-AR</t>
  </si>
  <si>
    <t>WHT1941CNT-AS</t>
  </si>
  <si>
    <t>WHT1941CNT-AT</t>
  </si>
  <si>
    <t>WHT1941CNT-AU</t>
  </si>
  <si>
    <t>WHT1942CNT-AA</t>
  </si>
  <si>
    <t>WHT1942CNT-AB</t>
  </si>
  <si>
    <t>WHT1942CNT-AC</t>
  </si>
  <si>
    <t>WHT1942CNT-AD</t>
  </si>
  <si>
    <t>WHT1942CNT-AE</t>
  </si>
  <si>
    <t>WHT1942CNT-AF</t>
  </si>
  <si>
    <t>WHT1942CNT-AG</t>
  </si>
  <si>
    <t>WHT1942CNT-AH</t>
  </si>
  <si>
    <t>WHT1942CNT-AI</t>
  </si>
  <si>
    <t>WHT1942CNT-AJ</t>
  </si>
  <si>
    <t>WHT1942CNT-AK</t>
  </si>
  <si>
    <t>WHT1942CNT-AL</t>
  </si>
  <si>
    <t>WHT1943CNT-AA</t>
  </si>
  <si>
    <t>WHT1943CNT-AB</t>
  </si>
  <si>
    <t>WHT1943CNT-AC</t>
  </si>
  <si>
    <t>WHT1943CNT-AD</t>
  </si>
  <si>
    <t>WHT1943CNT-AE</t>
  </si>
  <si>
    <t>WHT1943CNT-AF</t>
  </si>
  <si>
    <t>WHT1943CNT-AG</t>
  </si>
  <si>
    <t>WHT1943CNT-AH</t>
  </si>
  <si>
    <t>WHT1943CNT-AI</t>
  </si>
  <si>
    <t>WHT1943CNT-AJ</t>
  </si>
  <si>
    <t>WHT1943CNT-AK</t>
  </si>
  <si>
    <t>WHT1943CNT-AL</t>
  </si>
  <si>
    <t>WHT1943CNT-AM</t>
  </si>
  <si>
    <t>WHT1943CNT-AN</t>
  </si>
  <si>
    <t>WHT1943CNT-AO</t>
  </si>
  <si>
    <t>WHT1943CNT-AP</t>
  </si>
  <si>
    <t>WHT1944CNT-AA</t>
  </si>
  <si>
    <t>WHT1944CNT-AB</t>
  </si>
  <si>
    <t>WHT1944CNT-AC</t>
  </si>
  <si>
    <t>WHT1944CNT-AD</t>
  </si>
  <si>
    <t>WHT1944CNT-AE</t>
  </si>
  <si>
    <t>WHT1944CNT-AF</t>
  </si>
  <si>
    <t>WHT1944CNT-AG</t>
  </si>
  <si>
    <t>WHT1944CNT-AH</t>
  </si>
  <si>
    <t>WHT1944CNT-AI</t>
  </si>
  <si>
    <t>WHT1944CNT-AJ</t>
  </si>
  <si>
    <t>WHT1944CNT-AK</t>
  </si>
  <si>
    <t>WHT1944CNT-AL</t>
  </si>
  <si>
    <t>WHT1944CNT-AM</t>
  </si>
  <si>
    <t>WHT1944CNT-AN</t>
  </si>
  <si>
    <t>WHT1944CNT-AO</t>
  </si>
  <si>
    <t>WHT1944CNT-AP</t>
  </si>
  <si>
    <t>WHT1944CNT-AQ</t>
  </si>
  <si>
    <t>WHT1944CNT-AR</t>
  </si>
  <si>
    <t>WHT1944CNT-AS</t>
  </si>
  <si>
    <t>WHT1944CNT-AT</t>
  </si>
  <si>
    <t>WHT1944CNT-AU</t>
  </si>
  <si>
    <t>WHT1944CNT-AV</t>
  </si>
  <si>
    <t>WHT1944CNT-AW</t>
  </si>
  <si>
    <t>WHT1945CNT-AA</t>
  </si>
  <si>
    <t>WHT1945CNT-AB</t>
  </si>
  <si>
    <t>WHT1945CNT-AC</t>
  </si>
  <si>
    <t>WHT1945CNT-AD</t>
  </si>
  <si>
    <t>WHT1945CNT-AE</t>
  </si>
  <si>
    <t>WHT1945CNT-AF</t>
  </si>
  <si>
    <t>WHT1945CNT-AG</t>
  </si>
  <si>
    <t>WHT1945CNT-AH</t>
  </si>
  <si>
    <t>WHT1945CNT-AI</t>
  </si>
  <si>
    <t>WHT1945CNT-AJ</t>
  </si>
  <si>
    <t>WHT1945CNT-AK</t>
  </si>
  <si>
    <t>WHT1945CNT-AL</t>
  </si>
  <si>
    <t>WHT1945CNT-AM</t>
  </si>
  <si>
    <t>WHT1945CNT-AN</t>
  </si>
  <si>
    <t>WHT1945CNT-AO</t>
  </si>
  <si>
    <t>WHT1945CNT-AP</t>
  </si>
  <si>
    <t>WHT1946CNT-AA</t>
  </si>
  <si>
    <t>WHT1946CNT-AB</t>
  </si>
  <si>
    <t>WHT1946CNT-AC</t>
  </si>
  <si>
    <t>WHT1946CNT-AD</t>
  </si>
  <si>
    <t>WHT1946CNT-AE</t>
  </si>
  <si>
    <t>WHT1946CNT-AF</t>
  </si>
  <si>
    <t>WHT1946CNT-AG</t>
  </si>
  <si>
    <t>WHT1946CNT-AH</t>
  </si>
  <si>
    <t>WHT1946CNT-AI</t>
  </si>
  <si>
    <t>WHT1946CNT-AJ</t>
  </si>
  <si>
    <t>WHT1946CNT-AK</t>
  </si>
  <si>
    <t>WHT1946CNT-AL</t>
  </si>
  <si>
    <t>WHT1946CNT-AM</t>
  </si>
  <si>
    <t>WHT1946CNT-AN</t>
  </si>
  <si>
    <t>WHT1946CNT-AO</t>
  </si>
  <si>
    <t>WHT1946CNT-AP</t>
  </si>
  <si>
    <t>WHT1946CNT-AQ</t>
  </si>
  <si>
    <t>WHT1946CNT-AR</t>
  </si>
  <si>
    <t>WHT1946CNT-AS</t>
  </si>
  <si>
    <t>WHT1946CNT-AT</t>
  </si>
  <si>
    <t>WHT1946CNT-AU</t>
  </si>
  <si>
    <t>WHT1947CNT-AA</t>
  </si>
  <si>
    <t>WHT1947CNT-AB</t>
  </si>
  <si>
    <t>WHT1947CNT-AC</t>
  </si>
  <si>
    <t>WHT1947CNT-AD</t>
  </si>
  <si>
    <t>WHT1947CNT-AE</t>
  </si>
  <si>
    <t>WHT1947CNT-AF</t>
  </si>
  <si>
    <t>WHT1947CNT-AG</t>
  </si>
  <si>
    <t>WHT1947CNT-AH</t>
  </si>
  <si>
    <t>WHT1948CNT-AA</t>
  </si>
  <si>
    <t>WHT1948CNT-AB</t>
  </si>
  <si>
    <t>WHT1948CNT-AC</t>
  </si>
  <si>
    <t>WHT1948CNT-AD</t>
  </si>
  <si>
    <t>WHT1948CNT-AE</t>
  </si>
  <si>
    <t>WHT1948CNT-AF</t>
  </si>
  <si>
    <t>WHT1948CNT-AG</t>
  </si>
  <si>
    <t>WHT1948CNT-AH</t>
  </si>
  <si>
    <t>WHT1948CNT-AI</t>
  </si>
  <si>
    <t>WHT1948CNT-AJ</t>
  </si>
  <si>
    <t>WHT1948CNT-AK</t>
  </si>
  <si>
    <t>WHT1948CNT-AL</t>
  </si>
  <si>
    <t>WHT1948CNT-AM</t>
  </si>
  <si>
    <t>WHT1949CNT-AA</t>
  </si>
  <si>
    <t>WHT1949CNT-AB</t>
  </si>
  <si>
    <t>WHT1949CNT-AC</t>
  </si>
  <si>
    <t>WHT1949CNT-AD</t>
  </si>
  <si>
    <t>WHT1949CNT-AE</t>
  </si>
  <si>
    <t>WHT1950CNT-AA</t>
  </si>
  <si>
    <t>WHT1950CNT-AB</t>
  </si>
  <si>
    <t>WHT1950CNT-AC</t>
  </si>
  <si>
    <t>WHT1950CNT-AD</t>
  </si>
  <si>
    <t>WHT1950CNT-AE</t>
  </si>
  <si>
    <t>WHT1950CNT-AF</t>
  </si>
  <si>
    <t>WHT1950CNT-AG</t>
  </si>
  <si>
    <t>WHT1950CNT-AH</t>
  </si>
  <si>
    <t>WHT1950CNT-AI</t>
  </si>
  <si>
    <t>WHT1951CNT-AA</t>
  </si>
  <si>
    <t>WHT1951CNT-AB</t>
  </si>
  <si>
    <t>WHT1951CNT-AC</t>
  </si>
  <si>
    <t>WHT1951CNT-AD</t>
  </si>
  <si>
    <t>WHT1951CNT-AE</t>
  </si>
  <si>
    <t>WHT1951CNT-AF</t>
  </si>
  <si>
    <t>WHT1951CNT-AG</t>
  </si>
  <si>
    <t>WHT1951CNT-AH</t>
  </si>
  <si>
    <t>WHT1951CNT-AI</t>
  </si>
  <si>
    <t>WHT1951CNT-AJ</t>
  </si>
  <si>
    <t>WHT1951CNT-AK</t>
  </si>
  <si>
    <t>WHT1951CNT-AL</t>
  </si>
  <si>
    <t>WHT1951CNT-AM</t>
  </si>
  <si>
    <t>WHT1951CNT-AN</t>
  </si>
  <si>
    <t>WHT1952CNT-AA</t>
  </si>
  <si>
    <t>WHT1952CNT-AB</t>
  </si>
  <si>
    <t>WHT1952CNT-AC</t>
  </si>
  <si>
    <t>WHT1952CNT-AD</t>
  </si>
  <si>
    <t>WHT1952CNT-AE</t>
  </si>
  <si>
    <t>WHT1952CNT-AF</t>
  </si>
  <si>
    <t>WHT1952CNT-AG</t>
  </si>
  <si>
    <t>WHT1952CNT-AH</t>
  </si>
  <si>
    <t>WHT1952CNT-AI</t>
  </si>
  <si>
    <t>WHT1952CNT-AJ</t>
  </si>
  <si>
    <t>WHT1952CNT-AK</t>
  </si>
  <si>
    <t>WHT1952CNT-AL</t>
  </si>
  <si>
    <t>WHT1952CNT-AM</t>
  </si>
  <si>
    <t>WHT1952CNT-AN</t>
  </si>
  <si>
    <t>WHT1952CNT-AO</t>
  </si>
  <si>
    <t>WHT1952CNT-AP</t>
  </si>
  <si>
    <t>WHT1952CNT-AQ</t>
  </si>
  <si>
    <t>WHT1952CNT-AR</t>
  </si>
  <si>
    <t>WHT1953CNT-AA</t>
  </si>
  <si>
    <t>WHT1953CNT-AB</t>
  </si>
  <si>
    <t>WHT1953CNT-AC</t>
  </si>
  <si>
    <t>WHT1953CNT-AD</t>
  </si>
  <si>
    <t>WHT1953CNT-AE</t>
  </si>
  <si>
    <t>WHT1953CNT-AF</t>
  </si>
  <si>
    <t>WHT1953CNT-AG</t>
  </si>
  <si>
    <t>WHT1953CNT-AH</t>
  </si>
  <si>
    <t>WHT1953CNT-AI</t>
  </si>
  <si>
    <t>WHT1953CNT-AJ</t>
  </si>
  <si>
    <t>WHT1953CNT-AK</t>
  </si>
  <si>
    <t>WHT1953CNT-AL</t>
  </si>
  <si>
    <t>WHT1953CNT-AM</t>
  </si>
  <si>
    <t>WHT1954CNT-AA</t>
  </si>
  <si>
    <t>WHT1954CNT-AB</t>
  </si>
  <si>
    <t>WHT1954CNT-AC</t>
  </si>
  <si>
    <t>WHT1954CNT-AD</t>
  </si>
  <si>
    <t>WHT1955CNT-AA</t>
  </si>
  <si>
    <t>WHT1955CNT-AB</t>
  </si>
  <si>
    <t>WHT1955CNT-AC</t>
  </si>
  <si>
    <t>WHT1955CNT-AD</t>
  </si>
  <si>
    <t>WHT1955CNT-AE</t>
  </si>
  <si>
    <t>WHT1955CNT-AF</t>
  </si>
  <si>
    <t>WHT1955CNT-AG</t>
  </si>
  <si>
    <t>WHT1955CNT-AH</t>
  </si>
  <si>
    <t>WHT1956CNT-AA</t>
  </si>
  <si>
    <t>WHT1956CNT-AB</t>
  </si>
  <si>
    <t>WHT1956CNT-AC</t>
  </si>
  <si>
    <t>WHT1956CNT-AD</t>
  </si>
  <si>
    <t>WHT1956CNT-AE</t>
  </si>
  <si>
    <t>WHT1956CNT-AF</t>
  </si>
  <si>
    <t>WHT1956CNT-AG</t>
  </si>
  <si>
    <t>WHT1956CNT-AH</t>
  </si>
  <si>
    <t>WHT1956CNT-AI</t>
  </si>
  <si>
    <t>WHT1956CNT-AJ</t>
  </si>
  <si>
    <t>WHT1956CNT-AK</t>
  </si>
  <si>
    <t>WHT1956CNT-AL</t>
  </si>
  <si>
    <t>WHT1956CNT-AM</t>
  </si>
  <si>
    <t>WHT1956CNT-AN</t>
  </si>
  <si>
    <t>WHT1956CNT-AO</t>
  </si>
  <si>
    <t>WHT1956CNT-AP</t>
  </si>
  <si>
    <t>WHT1956CNT-AQ</t>
  </si>
  <si>
    <t>WHT1956CNT-AR</t>
  </si>
  <si>
    <t>WHT1956CNT-AS</t>
  </si>
  <si>
    <t>WHT1956CNT-AT</t>
  </si>
  <si>
    <t>WHT1956CNT-AU</t>
  </si>
  <si>
    <t>WHT1956CNT-AV</t>
  </si>
  <si>
    <t>WHT1957CNT-AA</t>
  </si>
  <si>
    <t>WHT1957CNT-AB</t>
  </si>
  <si>
    <t>WHT1957CNT-AC</t>
  </si>
  <si>
    <t>WHT1957CNT-AD</t>
  </si>
  <si>
    <t>WHT1957CNT-AE</t>
  </si>
  <si>
    <t>WHT1957CNT-AF</t>
  </si>
  <si>
    <t>WHT1957CNT-AG</t>
  </si>
  <si>
    <t>WHT1957CNT-AH</t>
  </si>
  <si>
    <t>WHT1957CNT-AI</t>
  </si>
  <si>
    <t>WHT1957CNT-AJ</t>
  </si>
  <si>
    <t>WHT1957CNT-AK</t>
  </si>
  <si>
    <t>WHT1957CNT-AL</t>
  </si>
  <si>
    <t>WHT1957CNT-AM</t>
  </si>
  <si>
    <t>WHT1958CNT-AA</t>
  </si>
  <si>
    <t>WHT1958CNT-AB</t>
  </si>
  <si>
    <t>WHT1958CNT-AC</t>
  </si>
  <si>
    <t>WHT1958CNT-AD</t>
  </si>
  <si>
    <t>WHT1958CNT-AE</t>
  </si>
  <si>
    <t>WHT1958CNT-AF</t>
  </si>
  <si>
    <t>WHT1958CNT-AG</t>
  </si>
  <si>
    <t>WHT1958CNT-AH</t>
  </si>
  <si>
    <t>WHT1958CNT-AI</t>
  </si>
  <si>
    <t>MEM1959CNT-AA</t>
  </si>
  <si>
    <t>MEM1959CNT-AB</t>
  </si>
  <si>
    <t>MEM1959CNT-AC</t>
  </si>
  <si>
    <t>MEM1959CNT-AD</t>
  </si>
  <si>
    <t>MEM1959CNT-AE</t>
  </si>
  <si>
    <t>MEM1959CNT-AF</t>
  </si>
  <si>
    <t>MEM1959CNT-AG</t>
  </si>
  <si>
    <t>MEM1959CNT-AH</t>
  </si>
  <si>
    <t>MEM1959CNT-AI</t>
  </si>
  <si>
    <t>MEM1959CNT-AJ</t>
  </si>
  <si>
    <t>MEM1959CNT-AK</t>
  </si>
  <si>
    <t>MEM1959CNT-AL</t>
  </si>
  <si>
    <t>MEM1959CNT-AM</t>
  </si>
  <si>
    <t>MEM1959CNT-AN</t>
  </si>
  <si>
    <t>MEM1959CNT-AO</t>
  </si>
  <si>
    <t>MEM1960CNT-AA</t>
  </si>
  <si>
    <t>MEM1960CNT-AB</t>
  </si>
  <si>
    <t>MEM1960CNT-AC</t>
  </si>
  <si>
    <t>MEM1960CNT-AD</t>
  </si>
  <si>
    <t>MEM1960CNT-AE</t>
  </si>
  <si>
    <t>MEM1960CNT-AF</t>
  </si>
  <si>
    <t>MEM1960CNT-AG</t>
  </si>
  <si>
    <t>MEM1960CNT-AH</t>
  </si>
  <si>
    <t>MEM1960CNT-AI</t>
  </si>
  <si>
    <t>MEM1960CNT-AJ</t>
  </si>
  <si>
    <t>MEM1960CNT-AK</t>
  </si>
  <si>
    <t>MEM1961CNT-AA</t>
  </si>
  <si>
    <t>MEM1961CNT-AB</t>
  </si>
  <si>
    <t>MEM1961CNT-AC</t>
  </si>
  <si>
    <t>MEM1961CNT-AD</t>
  </si>
  <si>
    <t>MEM1961CNT-AE</t>
  </si>
  <si>
    <t>MEM1961CNT-AF</t>
  </si>
  <si>
    <t>MEM1961CNT-AG</t>
  </si>
  <si>
    <t>MEM1961CNT-AH</t>
  </si>
  <si>
    <t>MEM1962CNT-AA</t>
  </si>
  <si>
    <t>MEM1962CNT-AB</t>
  </si>
  <si>
    <t>MEM1962CNT-AC</t>
  </si>
  <si>
    <t>MEM1962CNT-AD</t>
  </si>
  <si>
    <t>MEM1962CNT-AE</t>
  </si>
  <si>
    <t>MEM1962CNT-AF</t>
  </si>
  <si>
    <t>MEM1962CNT-AG</t>
  </si>
  <si>
    <t>MEM1962CNT-AH</t>
  </si>
  <si>
    <t>MEM1962CNT-AI</t>
  </si>
  <si>
    <t>MEM1962CNT-AJ</t>
  </si>
  <si>
    <t>MEM1962CNT-AK</t>
  </si>
  <si>
    <t>MEM1962CNT-AL</t>
  </si>
  <si>
    <t>MEM1962CNT-AM</t>
  </si>
  <si>
    <t>MEM1963CNT-AA</t>
  </si>
  <si>
    <t>MEM1963CNT-AB</t>
  </si>
  <si>
    <t>MEM1963CNT-AC</t>
  </si>
  <si>
    <t>MEM1963CNT-AD</t>
  </si>
  <si>
    <t>MEM1963CNT-AE</t>
  </si>
  <si>
    <t>MEM1963CNT-AF</t>
  </si>
  <si>
    <t>MEM1963CNT-AG</t>
  </si>
  <si>
    <t>MEM1963CNT-AH</t>
  </si>
  <si>
    <t>MEM1963CNT-AI</t>
  </si>
  <si>
    <t>MEM1963CNT-AJ</t>
  </si>
  <si>
    <t>MEM1963CNT-AK</t>
  </si>
  <si>
    <t>MEM1963CNT-AL</t>
  </si>
  <si>
    <t>MEM1963CNT-AM</t>
  </si>
  <si>
    <t>MEM1963CNT-AN</t>
  </si>
  <si>
    <t>MEM1963CNT-AO</t>
  </si>
  <si>
    <t>MEM1964CNT-AA</t>
  </si>
  <si>
    <t>MEM1964CNT-AB</t>
  </si>
  <si>
    <t>MEM1964CNT-AC</t>
  </si>
  <si>
    <t>MEM1964CNT-AD</t>
  </si>
  <si>
    <t>MEM1964CNT-AE</t>
  </si>
  <si>
    <t>MEM1964CNT-AF</t>
  </si>
  <si>
    <t>MEM1964CNT-AG</t>
  </si>
  <si>
    <t>MEM1964CNT-AH</t>
  </si>
  <si>
    <t>MEM1964CNT-AI</t>
  </si>
  <si>
    <t>MEM1964CNT-AJ</t>
  </si>
  <si>
    <t>MEM1964CNT-AK</t>
  </si>
  <si>
    <t>MEM1964CNT-AL</t>
  </si>
  <si>
    <t>MEM1964CNT-AM</t>
  </si>
  <si>
    <t>MEM1964CNT-AN</t>
  </si>
  <si>
    <t>MEM1964CNT-AO</t>
  </si>
  <si>
    <t>MEM1964CNT-AP</t>
  </si>
  <si>
    <t>MEM1964CNT-AQ</t>
  </si>
  <si>
    <t>MEM1965CNT-AA</t>
  </si>
  <si>
    <t>MEM1965CNT-AB</t>
  </si>
  <si>
    <t>MEM1965CNT-AC</t>
  </si>
  <si>
    <t>MEM1965CNT-AD</t>
  </si>
  <si>
    <t>MEM1965CNT-AE</t>
  </si>
  <si>
    <t>MEM1966CNT-AA</t>
  </si>
  <si>
    <t>MEM1966CNT-AB</t>
  </si>
  <si>
    <t>MEM1966CNT-AC</t>
  </si>
  <si>
    <t>MEM1966CNT-AD</t>
  </si>
  <si>
    <t>MEM1966CNT-AE</t>
  </si>
  <si>
    <t>MEM1967CNT-AA</t>
  </si>
  <si>
    <t>MEM1967CNT-AB</t>
  </si>
  <si>
    <t>MEM1967CNT-AC</t>
  </si>
  <si>
    <t>MEM1967CNT-AD</t>
  </si>
  <si>
    <t>MEM1967CNT-AE</t>
  </si>
  <si>
    <t>MEM1967CNT-AF</t>
  </si>
  <si>
    <t>MEM1968CNT-AA</t>
  </si>
  <si>
    <t>MEM1968CNT-AB</t>
  </si>
  <si>
    <t>MEM1968CNT-AC</t>
  </si>
  <si>
    <t>MEM1968CNT-AD</t>
  </si>
  <si>
    <t>MEM1968CNT-AE</t>
  </si>
  <si>
    <t>MEM1968CNT-AF</t>
  </si>
  <si>
    <t>MEM1968CNT-AG</t>
  </si>
  <si>
    <t>MEM1968CNT-AH</t>
  </si>
  <si>
    <t>MEM1968CNT-AI</t>
  </si>
  <si>
    <t>MEM1968CNT-AJ</t>
  </si>
  <si>
    <t>MEM1968CNT-AK</t>
  </si>
  <si>
    <t>MEM1968CNT-AL</t>
  </si>
  <si>
    <t>MEM1968CNT-AM</t>
  </si>
  <si>
    <t>MEM1968CNT-AN</t>
  </si>
  <si>
    <t>MEM1968CNT-AO</t>
  </si>
  <si>
    <t>MEM1968CNT-AP</t>
  </si>
  <si>
    <t>MEM1968CNT-AQ</t>
  </si>
  <si>
    <t>MEM1969CNT-AA</t>
  </si>
  <si>
    <t>MEM1969CNT-AB</t>
  </si>
  <si>
    <t>MEM1969CNT-AC</t>
  </si>
  <si>
    <t>MEM1969CNT-AD</t>
  </si>
  <si>
    <t>MEM1969CNT-AE</t>
  </si>
  <si>
    <t>MEM1969CNT-AF</t>
  </si>
  <si>
    <t>MEM1969CNT-AG</t>
  </si>
  <si>
    <t>MEM1969CNT-AH</t>
  </si>
  <si>
    <t>MEM1969CNT-AI</t>
  </si>
  <si>
    <t>MEM1969CNT-AJ</t>
  </si>
  <si>
    <t>MEM1969CNT-AK</t>
  </si>
  <si>
    <t>MEM1969CNT-AL</t>
  </si>
  <si>
    <t>MEM1970CNT-AA</t>
  </si>
  <si>
    <t>MEM1970CNT-AB</t>
  </si>
  <si>
    <t>MEM1970CNT-AC</t>
  </si>
  <si>
    <t>MEM1970CNT-AD</t>
  </si>
  <si>
    <t>MEM1970CNT-AE</t>
  </si>
  <si>
    <t>MEM1970CNT-AF</t>
  </si>
  <si>
    <t>MEM1970CNT-AG</t>
  </si>
  <si>
    <t>MEM1970CNT-AH</t>
  </si>
  <si>
    <t>MEM1970CNT-AI</t>
  </si>
  <si>
    <t>MEM1970CNT-AJ</t>
  </si>
  <si>
    <t>MEM1970CNT-AK</t>
  </si>
  <si>
    <t>MEM1970CNT-AL</t>
  </si>
  <si>
    <t>MEM1970CNT-AM</t>
  </si>
  <si>
    <t>MEM1971CNT-AA</t>
  </si>
  <si>
    <t>MEM1971CNT-AB</t>
  </si>
  <si>
    <t>MEM1971CNT-AC</t>
  </si>
  <si>
    <t>MEM1971CNT-AD</t>
  </si>
  <si>
    <t>MEM1971CNT-AE</t>
  </si>
  <si>
    <t>MEM1971CNT-AF</t>
  </si>
  <si>
    <t>MEM1971CNT-AG</t>
  </si>
  <si>
    <t>MEM1971CNT-AH</t>
  </si>
  <si>
    <t>MEM1971CNT-AI</t>
  </si>
  <si>
    <t>MEM1971CNT-AJ</t>
  </si>
  <si>
    <t>MEM1971CNT-AK</t>
  </si>
  <si>
    <t>MEM1971CNT-AL</t>
  </si>
  <si>
    <t>MEM1972CNT-AA</t>
  </si>
  <si>
    <t>MEM1972CNT-AB</t>
  </si>
  <si>
    <t>MEM1972CNT-AC</t>
  </si>
  <si>
    <t>MEM1972CNT-AD</t>
  </si>
  <si>
    <t>MEM1972CNT-AE</t>
  </si>
  <si>
    <t>MEM1972CNT-AF</t>
  </si>
  <si>
    <t>MEM1972CNT-AG</t>
  </si>
  <si>
    <t>MEM1972CNT-AH</t>
  </si>
  <si>
    <t>MEM1972CNT-AJ</t>
  </si>
  <si>
    <t>MEM1972CNT-AK</t>
  </si>
  <si>
    <t>MEM1972CNT-AL</t>
  </si>
  <si>
    <t>MEM1973CNT-AP</t>
  </si>
  <si>
    <t>MEM1973CNT-AA</t>
  </si>
  <si>
    <t>MEM1973CNT-AB</t>
  </si>
  <si>
    <t>MEM1973CNT-AC</t>
  </si>
  <si>
    <t>MEM1973CNT-AD</t>
  </si>
  <si>
    <t>MEM1973CNT-AE</t>
  </si>
  <si>
    <t>MEM1973CNT-AF</t>
  </si>
  <si>
    <t>MEM1973CNT-AG</t>
  </si>
  <si>
    <t>MEM1973CNT-AH</t>
  </si>
  <si>
    <t>MEM1973CNT-AI</t>
  </si>
  <si>
    <t>MEM1973CNT-AJ</t>
  </si>
  <si>
    <t>MEM1973CNT-AK</t>
  </si>
  <si>
    <t>MEM1973CNT-AL</t>
  </si>
  <si>
    <t>MEM1973CNT-AN</t>
  </si>
  <si>
    <t>MEM1973CNT-AO</t>
  </si>
  <si>
    <t>MEM1974CNT-AA</t>
  </si>
  <si>
    <t>MEM1974CNT-AB</t>
  </si>
  <si>
    <t>MEM1974CNT-AC</t>
  </si>
  <si>
    <t>MEM1974CNT-AD</t>
  </si>
  <si>
    <t>MEM1974CNT-AE</t>
  </si>
  <si>
    <t>MEM1974CNT-AF</t>
  </si>
  <si>
    <t>MEM1974CNT-AG</t>
  </si>
  <si>
    <t>MEM1974CNT-AH</t>
  </si>
  <si>
    <t>MEM1974CNT-AI</t>
  </si>
  <si>
    <t>MEM1974CNT-AJ</t>
  </si>
  <si>
    <t>MEM1974CNT-AK</t>
  </si>
  <si>
    <t>MEM1974CNT-AL</t>
  </si>
  <si>
    <t>MEM1974CNT-AN</t>
  </si>
  <si>
    <t>MEM1974CNT-AO</t>
  </si>
  <si>
    <t>MEM1974CNT-AP</t>
  </si>
  <si>
    <t>MEM1975CNT-AA</t>
  </si>
  <si>
    <t>MEM1975CNT-AB</t>
  </si>
  <si>
    <t>MEM1975CNT-AC</t>
  </si>
  <si>
    <t>MEM1975CNT-AD</t>
  </si>
  <si>
    <t>MEM1975CNT-AE</t>
  </si>
  <si>
    <t>MEM1975CNT-AF</t>
  </si>
  <si>
    <t>MEM1975CNT-AG</t>
  </si>
  <si>
    <t>MEM1975CNT-AH</t>
  </si>
  <si>
    <t>MEM1975CNT-AI</t>
  </si>
  <si>
    <t>MEM1975CNT-AJ</t>
  </si>
  <si>
    <t>MEM1975CNT-AK</t>
  </si>
  <si>
    <t>MEM1975CNT-AL</t>
  </si>
  <si>
    <t>MEM1976CNT-AA</t>
  </si>
  <si>
    <t>MEM1976CNT-AB</t>
  </si>
  <si>
    <t>MEM1976CNT-AC</t>
  </si>
  <si>
    <t>MEM1976CNT-AD</t>
  </si>
  <si>
    <t>MEM1976CNT-AE</t>
  </si>
  <si>
    <t>MEM1976CNT-AF</t>
  </si>
  <si>
    <t>MEM1976CNT-AG</t>
  </si>
  <si>
    <t>MEM1976CNT-AJ</t>
  </si>
  <si>
    <t>MEM1976CNT-AK</t>
  </si>
  <si>
    <t>MEM1976CNT-AL</t>
  </si>
  <si>
    <t>MEM1976CNT-AM</t>
  </si>
  <si>
    <t>MEM1977CNT-AA</t>
  </si>
  <si>
    <t>MEM1977CNT-AB</t>
  </si>
  <si>
    <t>MEM1977CNT-AC</t>
  </si>
  <si>
    <t>MEM1977CNT-AD</t>
  </si>
  <si>
    <t>MEM1977CNT-AF</t>
  </si>
  <si>
    <t>MEM1977CNT-AG</t>
  </si>
  <si>
    <t>MEM1977CNT-AH</t>
  </si>
  <si>
    <t>MEM1977CNT-AJ</t>
  </si>
  <si>
    <t>MEM1977CNT-AK</t>
  </si>
  <si>
    <t>MEM1978CNT-AA</t>
  </si>
  <si>
    <t>MEM1978CNT-AB</t>
  </si>
  <si>
    <t>MEM1978CNT-AC</t>
  </si>
  <si>
    <t>MEM1978CNT-AD</t>
  </si>
  <si>
    <t>MEM1978CNT-AE</t>
  </si>
  <si>
    <t>MEM1978CNT-AG</t>
  </si>
  <si>
    <t>MEM1978CNT-AH</t>
  </si>
  <si>
    <t>MEM1978CNT-AI</t>
  </si>
  <si>
    <t>MEM1978CNT-AJ</t>
  </si>
  <si>
    <t>MEM1978CNT-AK</t>
  </si>
  <si>
    <t>MEM1979CNT-AA</t>
  </si>
  <si>
    <t>MEM1979CNT-AB</t>
  </si>
  <si>
    <t>MEM1979CNT-AC</t>
  </si>
  <si>
    <t>MEM1979CNT-AD</t>
  </si>
  <si>
    <t>MEM1979CNT-AE</t>
  </si>
  <si>
    <t>MEM1979CNT-AF</t>
  </si>
  <si>
    <t>MEM1979CNT-AG</t>
  </si>
  <si>
    <t>MEM1979CNT-AH</t>
  </si>
  <si>
    <t>MEM1979CNT-AI</t>
  </si>
  <si>
    <t>MEM1980CNT-AA</t>
  </si>
  <si>
    <t>MEM1980CNT-AB</t>
  </si>
  <si>
    <t>MEM1980CNT-AC</t>
  </si>
  <si>
    <t>MEM1980CNT-AD</t>
  </si>
  <si>
    <t>MEM1980CNT-AE</t>
  </si>
  <si>
    <t>MEM1980CNT-AF</t>
  </si>
  <si>
    <t>MEM1980CNT-AG</t>
  </si>
  <si>
    <t>MEM1980CNT-AH</t>
  </si>
  <si>
    <t>MEM1980CNT-AI</t>
  </si>
  <si>
    <t>MEM1980CNT-AJ</t>
  </si>
  <si>
    <t>MEM1980CNT-AK</t>
  </si>
  <si>
    <t>MEM1980CNT-AL</t>
  </si>
  <si>
    <t>MEM1981CNT-AA</t>
  </si>
  <si>
    <t>MEM1981CNT-AB</t>
  </si>
  <si>
    <t>MEM1981CNT-AC</t>
  </si>
  <si>
    <t>MEM1981CNT-AD</t>
  </si>
  <si>
    <t>MEM1981CNT-AE</t>
  </si>
  <si>
    <t>MEM1981CNT-AF</t>
  </si>
  <si>
    <t>MEM1981CNT-AG</t>
  </si>
  <si>
    <t>MEM1981CNT-AH</t>
  </si>
  <si>
    <t>MEM1981CNT-AI</t>
  </si>
  <si>
    <t>MEM1981CNT-AJ</t>
  </si>
  <si>
    <t>MEM1981CNT-AK</t>
  </si>
  <si>
    <t>MEM1981CNT-AL</t>
  </si>
  <si>
    <t>MEM1981CNT-AM</t>
  </si>
  <si>
    <t>MEM1981CNT-AN</t>
  </si>
  <si>
    <t>MEM1982CNT-AA</t>
  </si>
  <si>
    <t>MEM1982CNT-AB</t>
  </si>
  <si>
    <t>MEM1982CNT-AC</t>
  </si>
  <si>
    <t>MEM1982CNT-AD</t>
  </si>
  <si>
    <t>MEM1982CNT-AE</t>
  </si>
  <si>
    <t>MEM1982CNT-AF</t>
  </si>
  <si>
    <t>MEM1982CNT-AG</t>
  </si>
  <si>
    <t>MEM1982CNT-AH</t>
  </si>
  <si>
    <t>MEM1982CNT-AI</t>
  </si>
  <si>
    <t>MEM1982CNT-AJ</t>
  </si>
  <si>
    <t>MEM1982CNT-AK</t>
  </si>
  <si>
    <t>MEM1982CNT-AL</t>
  </si>
  <si>
    <t>MEM1982CNT-AM</t>
  </si>
  <si>
    <t>MEM1983CNT-AA</t>
  </si>
  <si>
    <t>MEM1983CNT-AB</t>
  </si>
  <si>
    <t>MEM1983CNT-AC</t>
  </si>
  <si>
    <t>MEM1983CNT-AD</t>
  </si>
  <si>
    <t>MEM1983CNT-AE</t>
  </si>
  <si>
    <t>MEM1983CNT-AF</t>
  </si>
  <si>
    <t>MEM1983CNT-AG</t>
  </si>
  <si>
    <t>MEM1983CNT-AH</t>
  </si>
  <si>
    <t>MEM1983CNT-AI</t>
  </si>
  <si>
    <t>MEM1983CNT-AJ</t>
  </si>
  <si>
    <t>MEM1983CNT-AK</t>
  </si>
  <si>
    <t>MEM1983CNT-AL</t>
  </si>
  <si>
    <t>MEM1983CNT-AM</t>
  </si>
  <si>
    <t>MEM1983CNT-AN</t>
  </si>
  <si>
    <t>MEM1983CNT-AO</t>
  </si>
  <si>
    <t>MEM1984CNT-AA</t>
  </si>
  <si>
    <t>MEM1984CNT-AB</t>
  </si>
  <si>
    <t>MEM1984CNT-AC</t>
  </si>
  <si>
    <t>MEM1984CNT-AD</t>
  </si>
  <si>
    <t>MEM1984CNT-AE</t>
  </si>
  <si>
    <t>MEM1984CNT-AF</t>
  </si>
  <si>
    <t>MEM1984CNT-AG</t>
  </si>
  <si>
    <t>MEM1984CNT-AH</t>
  </si>
  <si>
    <t>MEM1984CNT-AJ</t>
  </si>
  <si>
    <t>MEM1984CNT-AK</t>
  </si>
  <si>
    <t>MEM1984CNT-AL</t>
  </si>
  <si>
    <t>MEM1984CNT-AM</t>
  </si>
  <si>
    <t>MEM1984CNT-AI</t>
  </si>
  <si>
    <t>MEM1985CNT-AH</t>
  </si>
  <si>
    <t>MEM1985CNT-AA</t>
  </si>
  <si>
    <t>MEM1985CNT-AB</t>
  </si>
  <si>
    <t>MEM1985CNT-AC</t>
  </si>
  <si>
    <t>MEM1985CNT-AD</t>
  </si>
  <si>
    <t>MEM1985CNT-AE</t>
  </si>
  <si>
    <t>MEM1985CNT-AF</t>
  </si>
  <si>
    <t>MEM1985CNT-AG</t>
  </si>
  <si>
    <t>MEM1986CNT-AA</t>
  </si>
  <si>
    <t>MEM1986CNT-AB</t>
  </si>
  <si>
    <t>MEM1986CNT-AC</t>
  </si>
  <si>
    <t>MEM1986CNT-AD</t>
  </si>
  <si>
    <t>MEM1986CNT-AE</t>
  </si>
  <si>
    <t>MEM1986CNT-AF</t>
  </si>
  <si>
    <t>MEM1987CNT-AA</t>
  </si>
  <si>
    <t>MEM1987CNT-AB</t>
  </si>
  <si>
    <t>MEM1987CNT-AC</t>
  </si>
  <si>
    <t>MEM1987CNT-AD</t>
  </si>
  <si>
    <t>MEM1987CNT-AE</t>
  </si>
  <si>
    <t>MEM1987CNT-AF</t>
  </si>
  <si>
    <t>MEM1987CNT-AG</t>
  </si>
  <si>
    <t>MEM1987CNT-AH</t>
  </si>
  <si>
    <t>MEM1987CNT-AI</t>
  </si>
  <si>
    <t>MEM1988CNT-AA</t>
  </si>
  <si>
    <t>MEM1988CNT-AB</t>
  </si>
  <si>
    <t>MEM1988CNT-AC</t>
  </si>
  <si>
    <t>MEM1988CNT-AD</t>
  </si>
  <si>
    <t>MEM1988CNT-AE</t>
  </si>
  <si>
    <t>MEM1988CNT-AF</t>
  </si>
  <si>
    <t>MEM1988CNT-AG</t>
  </si>
  <si>
    <t>MEM1988CNT-AH</t>
  </si>
  <si>
    <t>MEM1988CNT-AI</t>
  </si>
  <si>
    <t>MEM1989CNT-AA</t>
  </si>
  <si>
    <t>MEM1989CNT-AB</t>
  </si>
  <si>
    <t>MEM1989CNT-AC</t>
  </si>
  <si>
    <t>MEM1989CNT-AD</t>
  </si>
  <si>
    <t>MEM1989CNT-AE</t>
  </si>
  <si>
    <t>MEM1989CNT-AF</t>
  </si>
  <si>
    <t>MEM1989CNT-AG</t>
  </si>
  <si>
    <t>MEM1989CNT-AH</t>
  </si>
  <si>
    <t>MEM1989CNT-AI</t>
  </si>
  <si>
    <t>MEM1989CNT-AJ</t>
  </si>
  <si>
    <t>MEM1990CNT-AA</t>
  </si>
  <si>
    <t>MEM1990CNT-AB</t>
  </si>
  <si>
    <t>MEM1990CNT-AC</t>
  </si>
  <si>
    <t>MEM1990CNT-AD</t>
  </si>
  <si>
    <t>MEM1990CNT-AE</t>
  </si>
  <si>
    <t>MEM1990CNT-AF</t>
  </si>
  <si>
    <t>MEM1990CNT-AG</t>
  </si>
  <si>
    <t>MEM1990CNT-AH</t>
  </si>
  <si>
    <t>MEM1990CNT-AI</t>
  </si>
  <si>
    <t>MEM1991CNT-AA</t>
  </si>
  <si>
    <t>MEM1991CNT-AB</t>
  </si>
  <si>
    <t>MEM1991CNT-AC</t>
  </si>
  <si>
    <t>MEM1991CNT-AD</t>
  </si>
  <si>
    <t>MEM1991CNT-AE</t>
  </si>
  <si>
    <t>MEM1991CNT-AF</t>
  </si>
  <si>
    <t>MEM1992CNT-AA</t>
  </si>
  <si>
    <t>MEM1992CNT-AB</t>
  </si>
  <si>
    <t>MEM1992CNT-AC</t>
  </si>
  <si>
    <t>MEM1992CNT-AD</t>
  </si>
  <si>
    <t>MEM1992CNT-AE</t>
  </si>
  <si>
    <t>MEM1992CNT-AF</t>
  </si>
  <si>
    <t>MEM1992CNT-AG</t>
  </si>
  <si>
    <t>MEM1993CNT-AA</t>
  </si>
  <si>
    <t>MEM1993CNT-AB</t>
  </si>
  <si>
    <t>MEM1993CNT-AC</t>
  </si>
  <si>
    <t>MEM1993CNT-AD</t>
  </si>
  <si>
    <t>MEM1993CNT-AE</t>
  </si>
  <si>
    <t>MEM1993CNT-AF</t>
  </si>
  <si>
    <t>MEM1993CNT-AG</t>
  </si>
  <si>
    <t>MEM1993CNT-AH</t>
  </si>
  <si>
    <t>MEM1994CNT-AA</t>
  </si>
  <si>
    <t>MEM1994CNT-AB</t>
  </si>
  <si>
    <t>MEM1994CNT-AC</t>
  </si>
  <si>
    <t>MEM1994CNT-AD</t>
  </si>
  <si>
    <t>MEM1994CNT-AF</t>
  </si>
  <si>
    <t>MEM1994CNT-AG</t>
  </si>
  <si>
    <t>MEM1994CNT-AH</t>
  </si>
  <si>
    <t>MEM1994CNT-AI</t>
  </si>
  <si>
    <t>MEM1994CNT-AJ</t>
  </si>
  <si>
    <t>MEM1994CNT-AK</t>
  </si>
  <si>
    <t>MEM1994CNT-AL</t>
  </si>
  <si>
    <t>MEM1994CNT-AM</t>
  </si>
  <si>
    <t>MEM1994CNT-AN</t>
  </si>
  <si>
    <t>MEM1994CNT-AO</t>
  </si>
  <si>
    <t>MEM1994CNT-AP</t>
  </si>
  <si>
    <t>MEM1994CNT-AQ</t>
  </si>
  <si>
    <t>MEM1995CNT-AA</t>
  </si>
  <si>
    <t>MEM1995CNT-AB</t>
  </si>
  <si>
    <t>MEM1995CNT-AC</t>
  </si>
  <si>
    <t>MEM1995CNT-AD</t>
  </si>
  <si>
    <t>MEM1995CNT-AE</t>
  </si>
  <si>
    <t>MEM1995CNT-AF</t>
  </si>
  <si>
    <t>MEM1995CNT-AG</t>
  </si>
  <si>
    <t>MEM1995CNT-AH</t>
  </si>
  <si>
    <t>MEM1995CNT-AI</t>
  </si>
  <si>
    <t>MEM1996CNT-AA</t>
  </si>
  <si>
    <t>MEM1996CNT-AB</t>
  </si>
  <si>
    <t>MEM1996CNT-AC</t>
  </si>
  <si>
    <t>MEM1996CNT-AD</t>
  </si>
  <si>
    <t>MEM1996CNT-AE</t>
  </si>
  <si>
    <t>MEM1996CNT-AF</t>
  </si>
  <si>
    <t>MEM1996CNT-AG</t>
  </si>
  <si>
    <t>MEM1996CNT-AH</t>
  </si>
  <si>
    <t>MEM1996CNT-AI</t>
  </si>
  <si>
    <t>MEM1997CNT-AA</t>
  </si>
  <si>
    <t>MEM1997CNT-AB</t>
  </si>
  <si>
    <t>MEM1997CNT-AC</t>
  </si>
  <si>
    <t>MEM1997CNT-AD</t>
  </si>
  <si>
    <t>MEM1997CNT-AE</t>
  </si>
  <si>
    <t>MEM1997CNT-AF</t>
  </si>
  <si>
    <t>MEM1997CNT-AG</t>
  </si>
  <si>
    <t>MEM1997CNT-AH</t>
  </si>
  <si>
    <t>MEM1998CNT-AA</t>
  </si>
  <si>
    <t>MEM1998CNT-AB</t>
  </si>
  <si>
    <t>MEM1998CNT-AC</t>
  </si>
  <si>
    <t>MEM1998CNT-AD</t>
  </si>
  <si>
    <t>MEM1998CNT-AE</t>
  </si>
  <si>
    <t>MEM1998CNT-AF</t>
  </si>
  <si>
    <t>MEM1998CNT-AG</t>
  </si>
  <si>
    <t>MEM1998CNT-AH</t>
  </si>
  <si>
    <t>MEM1998CNT-AI</t>
  </si>
  <si>
    <t>MEM1998CNT-AJ</t>
  </si>
  <si>
    <t>MEM1998CNT-AK</t>
  </si>
  <si>
    <t>MEM1999CNT-AA</t>
  </si>
  <si>
    <t>MEM1999CNT-AB</t>
  </si>
  <si>
    <t>MEM1999CNT-AC</t>
  </si>
  <si>
    <t>MEM1999CNT-AD</t>
  </si>
  <si>
    <t>MEM1999CNT-AE</t>
  </si>
  <si>
    <t>MEM1999CNT-AF</t>
  </si>
  <si>
    <t>MEM1999CNT-AG</t>
  </si>
  <si>
    <t>MEM1999CNT-AH</t>
  </si>
  <si>
    <t>MEM1999CNT-AI</t>
  </si>
  <si>
    <t>MEM1999CNT-AJ</t>
  </si>
  <si>
    <t>MEM1999CNT-AK</t>
  </si>
  <si>
    <t>MEM1999CNT-AL</t>
  </si>
  <si>
    <t>MEM1999CNT-AM</t>
  </si>
  <si>
    <t>MEM1999CNT-AN</t>
  </si>
  <si>
    <t>MEM1999CNT-AO</t>
  </si>
  <si>
    <t>MEM1999CNT-AP</t>
  </si>
  <si>
    <t>MEM1999CNT-AQ</t>
  </si>
  <si>
    <t>MEM1999CNT-AR</t>
  </si>
  <si>
    <t>MEM2000CNT-AA</t>
  </si>
  <si>
    <t>MEM2000CNT-AB</t>
  </si>
  <si>
    <t>MEM2000CNT-AC</t>
  </si>
  <si>
    <t>MEM2000CNT-AD</t>
  </si>
  <si>
    <t>MEM2000CNT-AE</t>
  </si>
  <si>
    <t>MEM2000CNT-AF</t>
  </si>
  <si>
    <t>MEM2000CNT-AG</t>
  </si>
  <si>
    <t>MEM2000CNT-AH</t>
  </si>
  <si>
    <t>MEM2000CNT-AI</t>
  </si>
  <si>
    <t>MEM2001CNT-AA</t>
  </si>
  <si>
    <t>MEM2001CNT-AB</t>
  </si>
  <si>
    <t>MEM2001CNT-AC</t>
  </si>
  <si>
    <t>MEM2001CNT-AD</t>
  </si>
  <si>
    <t>MEM2001CNT-AE</t>
  </si>
  <si>
    <t>MEM2001CNT-AF</t>
  </si>
  <si>
    <t>MEM2001CNT-AG</t>
  </si>
  <si>
    <t>MEM2002CNT-AA</t>
  </si>
  <si>
    <t>MEM2002CNT-AB</t>
  </si>
  <si>
    <t>MEM2002CNT-AC</t>
  </si>
  <si>
    <t>MEM2002CNT-AD</t>
  </si>
  <si>
    <t>MEM2002CNT-AE</t>
  </si>
  <si>
    <t>MEM2002CNT-AF</t>
  </si>
  <si>
    <t>MEM2002CNT-AG</t>
  </si>
  <si>
    <t>MEM2002CNT-AH</t>
  </si>
  <si>
    <t>MEM2003CNT-AA</t>
  </si>
  <si>
    <t>MEM2003CNT-AB</t>
  </si>
  <si>
    <t>MEM2003CNT-AC</t>
  </si>
  <si>
    <t>MEM2003CNT-AD</t>
  </si>
  <si>
    <t>MEM2003CNT-AE</t>
  </si>
  <si>
    <t>MEM2003CNT-AF</t>
  </si>
  <si>
    <t>MEM2003CNT-AG</t>
  </si>
  <si>
    <t>MEM2003CNT-AH</t>
  </si>
  <si>
    <t>MEM2003CNT-AI</t>
  </si>
  <si>
    <t>MEM2003CNT-AJ</t>
  </si>
  <si>
    <t>MEM2004CNT-AA</t>
  </si>
  <si>
    <t>MEM2004CNT-AB</t>
  </si>
  <si>
    <t>MEM2004CNT-AC</t>
  </si>
  <si>
    <t>MEM2004CNT-AD</t>
  </si>
  <si>
    <t>MEM2004CNT-AE</t>
  </si>
  <si>
    <t>MEM2004CNT-AF</t>
  </si>
  <si>
    <t>MEM2004CNT-AG</t>
  </si>
  <si>
    <t>MEM2004CNT-AH</t>
  </si>
  <si>
    <t>MEM2004CNT-AI</t>
  </si>
  <si>
    <t>MEM2004CNT-AJ</t>
  </si>
  <si>
    <t>MEM2004CNT-AK</t>
  </si>
  <si>
    <t>MEM2005CNT-AA</t>
  </si>
  <si>
    <t>MEM2005CNT-AB</t>
  </si>
  <si>
    <t>MEM2005CNT-AC</t>
  </si>
  <si>
    <t>MEM2005CNT-AD</t>
  </si>
  <si>
    <t>MEM2005CNT-AE</t>
  </si>
  <si>
    <t>MEM2005CNT-AF</t>
  </si>
  <si>
    <t>MEM2005CNT-AG</t>
  </si>
  <si>
    <t>MEM2005CNT-AH</t>
  </si>
  <si>
    <t>MEM2006CNT-AA</t>
  </si>
  <si>
    <t>MEM2006CNT-AB</t>
  </si>
  <si>
    <t>MEM2006CNT-AC</t>
  </si>
  <si>
    <t>MEM2006CNT-AD</t>
  </si>
  <si>
    <t>MEM2006CNT-AE</t>
  </si>
  <si>
    <t>MEM2006CNT-AF</t>
  </si>
  <si>
    <t>MEM2007CNT-AA</t>
  </si>
  <si>
    <t>MEM2007CNT-AB</t>
  </si>
  <si>
    <t>MEM2007CNT-AC</t>
  </si>
  <si>
    <t>MEM2007CNT-AD</t>
  </si>
  <si>
    <t>MEM2007CNT-AE</t>
  </si>
  <si>
    <t>MEM2007CNT-AF</t>
  </si>
  <si>
    <t>MEM2008CNT-AA</t>
  </si>
  <si>
    <t>MEM2008CNT-AB</t>
  </si>
  <si>
    <t>MEM2008CNT-AC</t>
  </si>
  <si>
    <t>MEM2008CNT-AD</t>
  </si>
  <si>
    <t>MEM2008CNT-AE</t>
  </si>
  <si>
    <t>MEM2008CNT-AF</t>
  </si>
  <si>
    <t>MEM2008CNT-AG</t>
  </si>
  <si>
    <t>MEM2008CNT-AH</t>
  </si>
  <si>
    <t>MEM2008CNT-AI</t>
  </si>
  <si>
    <t>MEM2008CNT-AJ</t>
  </si>
  <si>
    <t>MEM2008CNT-AK</t>
  </si>
  <si>
    <t>MEM2009CNT-AA</t>
  </si>
  <si>
    <t>MEM2009CNT-AB</t>
  </si>
  <si>
    <t>MEM2009CNT-AC</t>
  </si>
  <si>
    <t>MEM2009CNT-AD</t>
  </si>
  <si>
    <t>MEM2009CNT-AE</t>
  </si>
  <si>
    <t>MEM2009CNT-AF</t>
  </si>
  <si>
    <t>MEM2009CNT-AG</t>
  </si>
  <si>
    <t>MEM2009CNT-AH</t>
  </si>
  <si>
    <t>MEM2009CNT-AI</t>
  </si>
  <si>
    <t>MEM2009CNT-AJ</t>
  </si>
  <si>
    <t>SLD2024CNT-AA</t>
  </si>
  <si>
    <t>SLD2024CNT-AB</t>
  </si>
  <si>
    <t>SLD2024CNT-AC</t>
  </si>
  <si>
    <t>SLD2024CNT-AD</t>
  </si>
  <si>
    <t>SLD2010CNT-AA</t>
  </si>
  <si>
    <t>SLD2010CNT-AB</t>
  </si>
  <si>
    <t>SLD2010CNT-AC</t>
  </si>
  <si>
    <t>SLD2010CNT-AD</t>
  </si>
  <si>
    <t>SLD2010CNT-AE</t>
  </si>
  <si>
    <t>SLD2010CNT-AF</t>
  </si>
  <si>
    <t>SLD2011CNT-AA</t>
  </si>
  <si>
    <t>SLD2011CNT-AB</t>
  </si>
  <si>
    <t>SLD2011CNT-AC</t>
  </si>
  <si>
    <t>SLD2011CNT-AD</t>
  </si>
  <si>
    <t>SLD2011CNT-AE</t>
  </si>
  <si>
    <t>SLD2011CNT-AF</t>
  </si>
  <si>
    <t>SLD2012CNT-AA</t>
  </si>
  <si>
    <t>SLD2012CNT-AB</t>
  </si>
  <si>
    <t>SLD2012CNT-AC</t>
  </si>
  <si>
    <t>SLD2012CNT-AD</t>
  </si>
  <si>
    <t>SLD2012CNT-AE</t>
  </si>
  <si>
    <t>SLD2012CNT-AG</t>
  </si>
  <si>
    <t>SLD2012CNT-AH</t>
  </si>
  <si>
    <t>SLD2012CNT-AI</t>
  </si>
  <si>
    <t>SLD2013CNT-AA</t>
  </si>
  <si>
    <t>SLD2013CNT-AB</t>
  </si>
  <si>
    <t>SLD2013CNT-AC</t>
  </si>
  <si>
    <t>SLD2013CNT-AD</t>
  </si>
  <si>
    <t>SLD2013CNT-AE</t>
  </si>
  <si>
    <t>SLD2013CNT-AF</t>
  </si>
  <si>
    <t>SLD2013CNT-AG</t>
  </si>
  <si>
    <t>SLD2013CNT-AH</t>
  </si>
  <si>
    <t>SLD2013CNT-AI</t>
  </si>
  <si>
    <t>SLD2013CNT-AJ</t>
  </si>
  <si>
    <t>SLD2013CNT-AK</t>
  </si>
  <si>
    <t>SLD2014CNT-AA</t>
  </si>
  <si>
    <t>SLD2014CNT-AB</t>
  </si>
  <si>
    <t>SLD2014CNT-AC</t>
  </si>
  <si>
    <t>SLD2014CNT-AD</t>
  </si>
  <si>
    <t>SLD2014CNT-AE</t>
  </si>
  <si>
    <t>SLD2014CNT-AF</t>
  </si>
  <si>
    <t>SLD2014CNT-AG</t>
  </si>
  <si>
    <t>SLD2014CNT-AH</t>
  </si>
  <si>
    <t>SLD2014CNT-AI</t>
  </si>
  <si>
    <t>SLD2015CNT-AA</t>
  </si>
  <si>
    <t>SLD2015CNT-AB</t>
  </si>
  <si>
    <t>SLD2015CNT-AC</t>
  </si>
  <si>
    <t>SLD2015CNT-AD</t>
  </si>
  <si>
    <t>SLD2015CNT-AE</t>
  </si>
  <si>
    <t>SLD2015CNT-AF</t>
  </si>
  <si>
    <t>SLD2015CNT-AG</t>
  </si>
  <si>
    <t>SLD2015CNT-AH</t>
  </si>
  <si>
    <t>SLD2015CNT-AI</t>
  </si>
  <si>
    <t>SLD2015CNT-AJ</t>
  </si>
  <si>
    <t>SLD2016CNT-AA</t>
  </si>
  <si>
    <t>SLD2016CNT-AB</t>
  </si>
  <si>
    <t>SLD2016CNT-AC</t>
  </si>
  <si>
    <t>SLD2016CNT-AD</t>
  </si>
  <si>
    <t>SLD2016CNT-AE</t>
  </si>
  <si>
    <t>SLD2016CNT-AF</t>
  </si>
  <si>
    <t>SLD2016CNT-AG</t>
  </si>
  <si>
    <t>SLD2016CNT-AH</t>
  </si>
  <si>
    <t>SLD2016CNT-AI</t>
  </si>
  <si>
    <t>SLD2016CNT-AJ</t>
  </si>
  <si>
    <t>SLD2016CNT-AK</t>
  </si>
  <si>
    <t>SLD2016CNT-AL</t>
  </si>
  <si>
    <t>SLD2016CNT-AM</t>
  </si>
  <si>
    <t>SLD2016CNT-AN</t>
  </si>
  <si>
    <t>SLD2016CNT-AO</t>
  </si>
  <si>
    <t>SLD2016CNT-AP</t>
  </si>
  <si>
    <t>SLD2016CNT-AQ</t>
  </si>
  <si>
    <t>SLD2017CNT-AA</t>
  </si>
  <si>
    <t>SLD2017CNT-AB</t>
  </si>
  <si>
    <t>SLD2017CNT-AC</t>
  </si>
  <si>
    <t>SLD2017CNT-AD</t>
  </si>
  <si>
    <t>SLD2017CNT-AE</t>
  </si>
  <si>
    <t>SLD2017CNT-AF</t>
  </si>
  <si>
    <t>SLD2017CNT-AG</t>
  </si>
  <si>
    <t>SLD2017CNT-AH</t>
  </si>
  <si>
    <t>SLD2017CNT-AI</t>
  </si>
  <si>
    <t>SLD2017CNT-AJ</t>
  </si>
  <si>
    <t>SLD2017CNT-AK</t>
  </si>
  <si>
    <t>SLD2017CNT-AL</t>
  </si>
  <si>
    <t>SLD2017CNT-AM</t>
  </si>
  <si>
    <t>SLD2017CNT-AN</t>
  </si>
  <si>
    <t>SLD2017CNT-AO</t>
  </si>
  <si>
    <t>SLD2018CNT-AA</t>
  </si>
  <si>
    <t>SLD2018CNT-AB</t>
  </si>
  <si>
    <t>SLD2018CNT-AC</t>
  </si>
  <si>
    <t>SLD2018CNT-AD</t>
  </si>
  <si>
    <t>SLD2018CNT-AE</t>
  </si>
  <si>
    <t>SLD2018CNT-AF</t>
  </si>
  <si>
    <t>SLD2018CNT-AG</t>
  </si>
  <si>
    <t>SLD2018CNT-AH</t>
  </si>
  <si>
    <t>SLD2018CNT-AI</t>
  </si>
  <si>
    <t>SLD2018CNT-AJ</t>
  </si>
  <si>
    <t>SLD2018CNT-AK</t>
  </si>
  <si>
    <t>SLD2018CNT-AL</t>
  </si>
  <si>
    <t>SLD2019CNT-AA</t>
  </si>
  <si>
    <t>SLD2019CNT-AB</t>
  </si>
  <si>
    <t>SLD2019CNT-AC</t>
  </si>
  <si>
    <t>SLD2019CNT-AD</t>
  </si>
  <si>
    <t>SLD2019CNT-AE</t>
  </si>
  <si>
    <t>SLD2019CNT-AF</t>
  </si>
  <si>
    <t>SLD2019CNT-AG</t>
  </si>
  <si>
    <t>SLD2019CNT-AH</t>
  </si>
  <si>
    <t>SLD2019CNT-AI</t>
  </si>
  <si>
    <t>SLD2019CNT-AJ</t>
  </si>
  <si>
    <t>SLD2019CNT-AK</t>
  </si>
  <si>
    <t>SLD2019CNT-AL</t>
  </si>
  <si>
    <t>SLD2019CNT-AM</t>
  </si>
  <si>
    <t>SLD2019CNT-AN</t>
  </si>
  <si>
    <t>SLD2020CNT-AA</t>
  </si>
  <si>
    <t>SLD2020CNT-AB</t>
  </si>
  <si>
    <t>SLD2020CNT-AC</t>
  </si>
  <si>
    <t>SLD2020CNT-AD</t>
  </si>
  <si>
    <t>SLD2020CNT-AE</t>
  </si>
  <si>
    <t>SLD2020CNT-AF</t>
  </si>
  <si>
    <t>SLD2020CNT-AG</t>
  </si>
  <si>
    <t>SLD2021CNT-AA</t>
  </si>
  <si>
    <t>SLD2021CNT-AB</t>
  </si>
  <si>
    <t>SLD2021CNT-AC</t>
  </si>
  <si>
    <t>SLD2021CNT-AD</t>
  </si>
  <si>
    <t>SLD2021CNT-AE</t>
  </si>
  <si>
    <t>SLD2021CNT-AF</t>
  </si>
  <si>
    <t>SLD2021CNT-AH</t>
  </si>
  <si>
    <t>SLD2021CNT-AI</t>
  </si>
  <si>
    <t>SLD2021CNT-AG</t>
  </si>
  <si>
    <t>SLD2024CNT-AJ</t>
  </si>
  <si>
    <t>SLD2022CNT-AA</t>
  </si>
  <si>
    <t>SLD2022CNT-AB</t>
  </si>
  <si>
    <t>SLD2022CNT-AC</t>
  </si>
  <si>
    <t>SLD2022CNT-AD</t>
  </si>
  <si>
    <t>SLD2022CNT-AE</t>
  </si>
  <si>
    <t>SLD2022CNT-AF</t>
  </si>
  <si>
    <t>SLD2022CNT-AG</t>
  </si>
  <si>
    <t>SLD2022CNT-AH</t>
  </si>
  <si>
    <t>SLD2023CNT-AA</t>
  </si>
  <si>
    <t>SLD2023CNT-AB</t>
  </si>
  <si>
    <t>SLD2023CNT-AC</t>
  </si>
  <si>
    <t>Two Dollar Bill</t>
  </si>
  <si>
    <t>Silver Coin &amp; First Day Cover</t>
  </si>
  <si>
    <t>1990'S Series Pennies</t>
  </si>
  <si>
    <t>2000'S Series Pennies</t>
  </si>
  <si>
    <t>1980;S Series Pennies</t>
  </si>
  <si>
    <t>1980'S Series Pennies</t>
  </si>
  <si>
    <t>1970'S Series Pennies</t>
  </si>
  <si>
    <t>1970;S Series Pennies</t>
  </si>
  <si>
    <t>1999 State Quarter</t>
  </si>
  <si>
    <t>1991 New York Collector Set</t>
  </si>
  <si>
    <t>1992 Mint Set</t>
  </si>
  <si>
    <t>1992 Proof Set</t>
  </si>
  <si>
    <t>1991 Mint Set</t>
  </si>
  <si>
    <t xml:space="preserve">Stormin Normin </t>
  </si>
  <si>
    <t>1977 Mint Proof Set</t>
  </si>
  <si>
    <t>Susan B Anthony Souvenir Set</t>
  </si>
  <si>
    <t>Uso Silver Dollar</t>
  </si>
  <si>
    <t>US Constitution</t>
  </si>
  <si>
    <t>Washington Quarter</t>
  </si>
  <si>
    <t>Wheat Penny</t>
  </si>
  <si>
    <t>2010'S Series Pennies</t>
  </si>
  <si>
    <t>Satin Finish</t>
  </si>
  <si>
    <t>Keel Boat- Roll</t>
  </si>
  <si>
    <t>Louisiana Purchase</t>
  </si>
  <si>
    <t>Lewis &amp; Clark</t>
  </si>
  <si>
    <t>Connecticut</t>
  </si>
  <si>
    <t>Georgia</t>
  </si>
  <si>
    <t>Delaware</t>
  </si>
  <si>
    <t>Pennsylvania</t>
  </si>
  <si>
    <t>New Jersey</t>
  </si>
  <si>
    <t>Maryland</t>
  </si>
  <si>
    <t>South Carolina</t>
  </si>
  <si>
    <t>Rhode Island</t>
  </si>
  <si>
    <t>Kentucky</t>
  </si>
  <si>
    <t>New York</t>
  </si>
  <si>
    <t>North Carolina</t>
  </si>
  <si>
    <t>Vermont</t>
  </si>
  <si>
    <t>Louisiana</t>
  </si>
  <si>
    <t>Nebraska</t>
  </si>
  <si>
    <t>Nevada</t>
  </si>
  <si>
    <t>District Of Columbia</t>
  </si>
  <si>
    <t>Glacier</t>
  </si>
  <si>
    <t>Acadia</t>
  </si>
  <si>
    <t>Denali</t>
  </si>
  <si>
    <t>Mount Rushmoore</t>
  </si>
  <si>
    <t>Perrys Victory</t>
  </si>
  <si>
    <t>Fort Mchenry</t>
  </si>
  <si>
    <t>Everglades</t>
  </si>
  <si>
    <t>Shenandoah</t>
  </si>
  <si>
    <t>Patsy Takemoto Mink</t>
  </si>
  <si>
    <t>Kisatchie</t>
  </si>
  <si>
    <t>Saratoga</t>
  </si>
  <si>
    <t>Blue Ridge Parkway</t>
  </si>
  <si>
    <t>Bombay Hook</t>
  </si>
  <si>
    <t>Cumberland Gap</t>
  </si>
  <si>
    <t>Fort Moultrie</t>
  </si>
  <si>
    <t>Shawnee</t>
  </si>
  <si>
    <t>Theodore Roosevelt</t>
  </si>
  <si>
    <t>Frederick Douglas</t>
  </si>
  <si>
    <t>Ozark Riverways</t>
  </si>
  <si>
    <t>American Memorial Park</t>
  </si>
  <si>
    <t>Ellis Island</t>
  </si>
  <si>
    <t>Effigy Mounds</t>
  </si>
  <si>
    <t>George Rogers Clark</t>
  </si>
  <si>
    <t>Pictured Rocks</t>
  </si>
  <si>
    <t>Voyageuras</t>
  </si>
  <si>
    <t>Lowell National Park</t>
  </si>
  <si>
    <t>River Of No Return</t>
  </si>
  <si>
    <t>San Antonio Mission</t>
  </si>
  <si>
    <t>Tuskegee Airmen</t>
  </si>
  <si>
    <t>Crossing The Delaware</t>
  </si>
  <si>
    <t>Maya Angelou</t>
  </si>
  <si>
    <t>Wilma Mankiller</t>
  </si>
  <si>
    <t>Sally Ride</t>
  </si>
  <si>
    <t>Maria Tallchief</t>
  </si>
  <si>
    <t>Bessie Coleman</t>
  </si>
  <si>
    <t>Tear Upper Right</t>
  </si>
  <si>
    <t>Log Cabin</t>
  </si>
  <si>
    <t>Rail Splitter</t>
  </si>
  <si>
    <t>Professional Life</t>
  </si>
  <si>
    <t>Presidentcy</t>
  </si>
  <si>
    <t>PEC2025DOL-AH</t>
  </si>
  <si>
    <t>MOR2025DOL-AE</t>
  </si>
  <si>
    <t>PEC2025DOL-AG</t>
  </si>
  <si>
    <t>PEC2025DOL-AI</t>
  </si>
  <si>
    <t>Medal</t>
  </si>
  <si>
    <t>OTH1991DOL-AD</t>
  </si>
  <si>
    <t>Marshaal Island</t>
  </si>
  <si>
    <t>\coins1\PHOTOS\</t>
  </si>
  <si>
    <t>.JPG</t>
  </si>
  <si>
    <t>HYPERLINK($Y$2&amp;E1153&amp;$AA$2,"Photo")</t>
  </si>
  <si>
    <t>Photos</t>
  </si>
  <si>
    <t>WSH2024QTR-AB</t>
  </si>
  <si>
    <t>Medal Of Honor</t>
  </si>
  <si>
    <t>next coin show april 11, 2026 581 vetrerans hwy, ridgeley,wv 26753</t>
  </si>
  <si>
    <t>ROS1984DIM-AA</t>
  </si>
  <si>
    <t>SLD2023CNT-AD</t>
  </si>
  <si>
    <t>MEM2002CNT-AI</t>
  </si>
  <si>
    <t>WSH2024QTR-AC</t>
  </si>
  <si>
    <t>WSH2024QTR-AD</t>
  </si>
  <si>
    <t>Dr Mary Edward Walker</t>
  </si>
  <si>
    <t>WSH2022QTR-AE</t>
  </si>
  <si>
    <t>Edith Kanakaole</t>
  </si>
  <si>
    <t>WSH2024QTR-AE</t>
  </si>
  <si>
    <t>Dr Paul Murray</t>
  </si>
  <si>
    <t>p</t>
  </si>
  <si>
    <t>WSH2022QTR-AF</t>
  </si>
  <si>
    <t>WSH2022QTR-AG</t>
  </si>
  <si>
    <t>WSH2022QTR-AH</t>
  </si>
  <si>
    <t>WSH2019QTR-AF</t>
  </si>
  <si>
    <t>WSH2016QTR-AI</t>
  </si>
  <si>
    <t>WSH2012QTR-AC</t>
  </si>
  <si>
    <t>WSH1995QTR-AB</t>
  </si>
  <si>
    <t>SLD2024CNT-AE</t>
  </si>
  <si>
    <t>SLD2024CNT-AF</t>
  </si>
  <si>
    <t>WSH2016QTR-AG</t>
  </si>
  <si>
    <t>ROS2002DIM-AC</t>
  </si>
  <si>
    <t>ROS2021DIM-AD</t>
  </si>
  <si>
    <t>ROS1983DIM-AB</t>
  </si>
  <si>
    <t>JEF1961NIC-AG</t>
  </si>
  <si>
    <t>PEC1934DOL-AA</t>
  </si>
  <si>
    <t>MOR1904DOL-AA</t>
  </si>
  <si>
    <t>PEC1935DOL-AA</t>
  </si>
  <si>
    <t>PEC1924DOL-AD</t>
  </si>
  <si>
    <t>Morgan Doller</t>
  </si>
  <si>
    <t>Brilliant Unciculated</t>
  </si>
  <si>
    <t>MOR1921DOL-AA</t>
  </si>
  <si>
    <t>PEC1924DOL-AA</t>
  </si>
  <si>
    <t>PEC1926DOL-AA</t>
  </si>
  <si>
    <t>IND</t>
  </si>
  <si>
    <t>Indian Head</t>
  </si>
  <si>
    <t>WHT</t>
  </si>
  <si>
    <t>Wheat Penney</t>
  </si>
  <si>
    <t>MEM</t>
  </si>
  <si>
    <t>SLD</t>
  </si>
  <si>
    <t>Sheild</t>
  </si>
  <si>
    <t>Liberty "V" Nickel</t>
  </si>
  <si>
    <t>BUF</t>
  </si>
  <si>
    <t>Buffalo</t>
  </si>
  <si>
    <t>Jefferson</t>
  </si>
  <si>
    <t>MUR</t>
  </si>
  <si>
    <t>Murcury</t>
  </si>
  <si>
    <t>Roosevelt</t>
  </si>
  <si>
    <t>Washington</t>
  </si>
  <si>
    <t>WSH</t>
  </si>
  <si>
    <t>Halve</t>
  </si>
  <si>
    <t>Liberty</t>
  </si>
  <si>
    <t>Franklin</t>
  </si>
  <si>
    <t>SBA</t>
  </si>
  <si>
    <t>SAC</t>
  </si>
  <si>
    <t>Doallar</t>
  </si>
  <si>
    <t>MOR</t>
  </si>
  <si>
    <t>Morgan</t>
  </si>
  <si>
    <t>PEC</t>
  </si>
  <si>
    <t>Peace</t>
  </si>
  <si>
    <t>EIS</t>
  </si>
  <si>
    <t>OTH</t>
  </si>
  <si>
    <t>Commemorative Dollars</t>
  </si>
  <si>
    <t>PRE</t>
  </si>
  <si>
    <t>Presidential</t>
  </si>
  <si>
    <t>PREFIXES</t>
  </si>
  <si>
    <t>SUFFIXES</t>
  </si>
  <si>
    <t>CNT</t>
  </si>
  <si>
    <t>NIC</t>
  </si>
  <si>
    <t>QTR</t>
  </si>
  <si>
    <t>HAV</t>
  </si>
  <si>
    <t>DOL</t>
  </si>
  <si>
    <t>CAN1975DOL-AF</t>
  </si>
  <si>
    <t>George Washington</t>
  </si>
  <si>
    <t>John Tyler</t>
  </si>
  <si>
    <t>James Garfield</t>
  </si>
  <si>
    <t>Presidential Dollar</t>
  </si>
  <si>
    <t>SAC2000DOL-AB</t>
  </si>
  <si>
    <t>SAC2000DOL-AC</t>
  </si>
  <si>
    <t>1991 Uncirculated Set</t>
  </si>
  <si>
    <t>Michael's</t>
  </si>
  <si>
    <t>KEN2025HAV-AA</t>
  </si>
  <si>
    <t>KEN2025HAV-AB</t>
  </si>
  <si>
    <t>WSH1995QTR-AC</t>
  </si>
  <si>
    <t>WSH1984QTR-AB</t>
  </si>
  <si>
    <t>Very Good</t>
  </si>
  <si>
    <t>WSH1983QTR-AA</t>
  </si>
  <si>
    <t>WSH1974QTR-AC</t>
  </si>
  <si>
    <t>WSH2022QTR-AI</t>
  </si>
  <si>
    <t>WSH2022QTR-AJ</t>
  </si>
  <si>
    <t>WSH2023QTR-AF</t>
  </si>
  <si>
    <t>WSH2023QTR-AG</t>
  </si>
  <si>
    <t>P Jovita Idar</t>
  </si>
  <si>
    <t>WSH2012QTR-AD</t>
  </si>
  <si>
    <t>WSH1998QTR-AC</t>
  </si>
  <si>
    <t>WSH2017QTR-AK</t>
  </si>
  <si>
    <t>WSH2021QTR-AD</t>
  </si>
  <si>
    <t>Eeleanor Roosevelt</t>
  </si>
  <si>
    <t>WSH2023QTR-AH</t>
  </si>
  <si>
    <t>WSH2023QTR-AI</t>
  </si>
  <si>
    <t>WSH2023QTR-AJ</t>
  </si>
  <si>
    <t>WSH2023QTR-AK</t>
  </si>
  <si>
    <t>Nina Otera Warren</t>
  </si>
  <si>
    <t>WSH1980QTR-AA</t>
  </si>
  <si>
    <t>WSH1977QTR-AA</t>
  </si>
  <si>
    <t>WSG1967QTR-AA</t>
  </si>
  <si>
    <t>WSH2017QTR-AA</t>
  </si>
  <si>
    <t>WSG2023QTR-AL</t>
  </si>
  <si>
    <t>ROS1978DIM-AA</t>
  </si>
  <si>
    <t>ROS1965DIM-AC</t>
  </si>
  <si>
    <t>ROS2017DIM-AA</t>
  </si>
  <si>
    <t>ROS2003DIM-AA</t>
  </si>
  <si>
    <t>ROS1988DIM-AC</t>
  </si>
  <si>
    <t>ROS2001DIM-AC</t>
  </si>
  <si>
    <t>ROS1983DIM-AC</t>
  </si>
  <si>
    <t>ROS2023DIM-AB</t>
  </si>
  <si>
    <t>ROS2015DIM-AE</t>
  </si>
  <si>
    <t>SLD2024CNT-AG</t>
  </si>
  <si>
    <t>SLD2024CNT-AH</t>
  </si>
  <si>
    <t>MEM2009CNT-AK</t>
  </si>
  <si>
    <t>MEM2009CNT-AL</t>
  </si>
  <si>
    <t>MEM2009CNT-AM</t>
  </si>
  <si>
    <t>MEM2009CNT-AN</t>
  </si>
  <si>
    <t>Log Splitter</t>
  </si>
  <si>
    <t>MEM2009CNT-AO</t>
  </si>
  <si>
    <t>MEM2009CNT-AP</t>
  </si>
  <si>
    <t>MEM2009CNT-AQ</t>
  </si>
  <si>
    <t>MEM2009CNT-AR</t>
  </si>
  <si>
    <t>MEM2009CNT-AS</t>
  </si>
  <si>
    <t>JEF1998NIC-AE</t>
  </si>
  <si>
    <t>JEF1986NIC-AB</t>
  </si>
  <si>
    <t>JEF1955NIC-AB</t>
  </si>
  <si>
    <t>JEF1975NIC-AE</t>
  </si>
  <si>
    <t>JEF1973NIC-AG</t>
  </si>
  <si>
    <t>LIB1908NIC-AB</t>
  </si>
  <si>
    <t xml:space="preserve">Nickel Count --&gt;  </t>
  </si>
  <si>
    <t>2010-S</t>
  </si>
  <si>
    <t>2011-S</t>
  </si>
  <si>
    <t>2012-S</t>
  </si>
  <si>
    <t>2013-S</t>
  </si>
  <si>
    <t>2014-S</t>
  </si>
  <si>
    <t>2015-S</t>
  </si>
  <si>
    <t>2016-S</t>
  </si>
  <si>
    <t>2017-S</t>
  </si>
  <si>
    <t>2018-S</t>
  </si>
  <si>
    <t>2019-S</t>
  </si>
  <si>
    <t>2020-S</t>
  </si>
  <si>
    <t>2021-S</t>
  </si>
  <si>
    <t>2023-S</t>
  </si>
  <si>
    <t>2024-S</t>
  </si>
  <si>
    <t>2020-W</t>
  </si>
  <si>
    <t>2020-W Reverse Proof</t>
  </si>
  <si>
    <t>2025-P</t>
  </si>
  <si>
    <t>2025-D</t>
  </si>
  <si>
    <t>2025-S</t>
  </si>
  <si>
    <t>MEM1994CNT-AE</t>
  </si>
  <si>
    <t>WSH2021QTR-AE</t>
  </si>
  <si>
    <t>WSH2021QTR-AF</t>
  </si>
  <si>
    <t>regextract</t>
  </si>
  <si>
    <t>LIB1936HAV-AA</t>
  </si>
  <si>
    <t>LIB1937HAV-AA</t>
  </si>
  <si>
    <t>LIB1938HAV-AA</t>
  </si>
  <si>
    <t>LIB1938HAV-AB</t>
  </si>
  <si>
    <t>LIB1939HAV-AA</t>
  </si>
  <si>
    <t>LIB1940HAV-AA</t>
  </si>
  <si>
    <t>LIB1941HAV-AA</t>
  </si>
  <si>
    <t>LIB1942HAV-AA</t>
  </si>
  <si>
    <t>LIB1943HAV-AA</t>
  </si>
  <si>
    <t>LIB1943HAV-AB</t>
  </si>
  <si>
    <t>LIB1944HAV-AA</t>
  </si>
  <si>
    <t>LIB1945HAV-AA</t>
  </si>
  <si>
    <t>LIB1946HAV-AA</t>
  </si>
  <si>
    <t>LIB1947HAV-AA</t>
  </si>
  <si>
    <t>FRN1948HAV-AA</t>
  </si>
  <si>
    <t>FRN1949HAV-AA</t>
  </si>
  <si>
    <t>FRN1949HAV-AB</t>
  </si>
  <si>
    <t>FRN1950HAV-AA</t>
  </si>
  <si>
    <t>FRN1950HAV-AB</t>
  </si>
  <si>
    <t>FRN1951HAV-AA</t>
  </si>
  <si>
    <t>FRN1951HAV-AB</t>
  </si>
  <si>
    <t>FRN1951HAV-AC</t>
  </si>
  <si>
    <t>FRN1952HAV-AA</t>
  </si>
  <si>
    <t>FRN1953HAV-AA</t>
  </si>
  <si>
    <t>FRN1954HAV-AA</t>
  </si>
  <si>
    <t>FRN1955HAV-AA</t>
  </si>
  <si>
    <t>FRN1956HAV-AA</t>
  </si>
  <si>
    <t>FRN1956HAV-AB</t>
  </si>
  <si>
    <t>FRN1957HAV-AA</t>
  </si>
  <si>
    <t>FRN1957HAV-AB</t>
  </si>
  <si>
    <t>FRN1958HAV-AA</t>
  </si>
  <si>
    <t>FRN1959HAV-AA</t>
  </si>
  <si>
    <t>FRN1959HAV-AB</t>
  </si>
  <si>
    <t>FRN1960HAV-AA</t>
  </si>
  <si>
    <t>FRN1960HAV-AB</t>
  </si>
  <si>
    <t>FRN1961HAV-AA</t>
  </si>
  <si>
    <t>FRN1962HAV-AA</t>
  </si>
  <si>
    <t>FRN1962HAV-AB</t>
  </si>
  <si>
    <t>FRN1962HAV-AC</t>
  </si>
  <si>
    <t>FRN1963HAV-AA</t>
  </si>
  <si>
    <t>FRN1963HAV-AC</t>
  </si>
  <si>
    <t>FRN1963HAV-AD</t>
  </si>
  <si>
    <t>KEN1964HAV-AA</t>
  </si>
  <si>
    <t>KEN1964HAV-AB</t>
  </si>
  <si>
    <t>KEN1964HAV-AC</t>
  </si>
  <si>
    <t>KEN1964HAV-AD</t>
  </si>
  <si>
    <t>KEN1964HAV-AE</t>
  </si>
  <si>
    <t>KEN1965HAV-AA</t>
  </si>
  <si>
    <t>KEN1965HAV-AB</t>
  </si>
  <si>
    <t>KEN1965HAV-AC</t>
  </si>
  <si>
    <t>KEN1966HAV-AA</t>
  </si>
  <si>
    <t>KEN1966HAV-AB</t>
  </si>
  <si>
    <t>KEN1966HAV-AC</t>
  </si>
  <si>
    <t>KEN1967HAV-AA</t>
  </si>
  <si>
    <t>KEN1967HAV-AB</t>
  </si>
  <si>
    <t>KEN1967HAV-AC</t>
  </si>
  <si>
    <t>KEN1967HAV-AD</t>
  </si>
  <si>
    <t>KEN1967HAV-AE</t>
  </si>
  <si>
    <t>KEN1967HAV-AF</t>
  </si>
  <si>
    <t>KEN1967HAV-AG</t>
  </si>
  <si>
    <t>KEN1868HAV-AA</t>
  </si>
  <si>
    <t>KEN1968HAV-AB</t>
  </si>
  <si>
    <t>KEN1968HAV-AC</t>
  </si>
  <si>
    <t>KEN1969HAV-AA</t>
  </si>
  <si>
    <t>KEN1969HAV-AB</t>
  </si>
  <si>
    <t>KEN1969HAV-AC</t>
  </si>
  <si>
    <t>KEN1969HAV-AD</t>
  </si>
  <si>
    <t>KEN1969HAV-AE</t>
  </si>
  <si>
    <t>KEN1969HAV-AF</t>
  </si>
  <si>
    <t>KEN1969HAV-AG</t>
  </si>
  <si>
    <t>KEN1969HAV-AH</t>
  </si>
  <si>
    <t>KEN1971HAV-AA</t>
  </si>
  <si>
    <t>KEN1971HAV-AB</t>
  </si>
  <si>
    <t>KEN1971HAV-AC</t>
  </si>
  <si>
    <t>KEN1971HAV-AD</t>
  </si>
  <si>
    <t>KEN1971HAV-AE</t>
  </si>
  <si>
    <t>KEN1971HAV-AF</t>
  </si>
  <si>
    <t>KEN1971HAV-AG</t>
  </si>
  <si>
    <t>KEN1971HAV-AH</t>
  </si>
  <si>
    <t>KEN1971HAV-AI</t>
  </si>
  <si>
    <t>KEN1971HAV-AJ</t>
  </si>
  <si>
    <t>KEN1971HAV-AK</t>
  </si>
  <si>
    <t>KEN1971HAV-AL</t>
  </si>
  <si>
    <t>KEN1971HAV-AM</t>
  </si>
  <si>
    <t>KEN1971HAV-AN</t>
  </si>
  <si>
    <t>KEN1971HAV-AO</t>
  </si>
  <si>
    <t>KEN1971HAV-AP</t>
  </si>
  <si>
    <t>KEN1971HAV-AQ</t>
  </si>
  <si>
    <t>KEN1971HAV-AR</t>
  </si>
  <si>
    <t>KEN1971HAV-AS</t>
  </si>
  <si>
    <t>KEN1971HAV-AT</t>
  </si>
  <si>
    <t>KEN1972HAV-AA</t>
  </si>
  <si>
    <t>KEN1972HAV-AB</t>
  </si>
  <si>
    <t>KEN1972HAV-AC</t>
  </si>
  <si>
    <t>KEN1972HAV-AD</t>
  </si>
  <si>
    <t>KEN1972HAV-AE</t>
  </si>
  <si>
    <t>KEN1972HAV-AF</t>
  </si>
  <si>
    <t>KEN1973HAV-AA</t>
  </si>
  <si>
    <t>KEN1973HAV-AB</t>
  </si>
  <si>
    <t>KEN1973HAV-AC</t>
  </si>
  <si>
    <t>KEN1973HAV-AD</t>
  </si>
  <si>
    <t>KEN1973HAV-AE</t>
  </si>
  <si>
    <t>KEN1973HAV-AF</t>
  </si>
  <si>
    <t>KEN1974HAV-AD</t>
  </si>
  <si>
    <t>KEN1974HAV-AE</t>
  </si>
  <si>
    <t>KEN1974HAV-AF</t>
  </si>
  <si>
    <t>KEN1974HAV-AG</t>
  </si>
  <si>
    <t>KEN1974HAV-AH</t>
  </si>
  <si>
    <t>KEN1974HAV-AI</t>
  </si>
  <si>
    <t>KEN1974HAV-AJ</t>
  </si>
  <si>
    <t>KEN1974HAV-AK</t>
  </si>
  <si>
    <t>KEN1974HAV-AL</t>
  </si>
  <si>
    <t>KEN1974HAV-AM</t>
  </si>
  <si>
    <t>KEN1974HAV-AN</t>
  </si>
  <si>
    <t>KEN1975HAV-AA</t>
  </si>
  <si>
    <t>KEN1976HAV-AB</t>
  </si>
  <si>
    <t>KEN1976HAV-AC</t>
  </si>
  <si>
    <t>KEN1976HAV-AD</t>
  </si>
  <si>
    <t>KEN1976HAV-AE</t>
  </si>
  <si>
    <t>KEN1976HAV-AF</t>
  </si>
  <si>
    <t>KEN1976HAV-AG</t>
  </si>
  <si>
    <t>KEN1976HAV-AH</t>
  </si>
  <si>
    <t>KEN1976HAV-AI</t>
  </si>
  <si>
    <t>KEN1976HAV-AJ</t>
  </si>
  <si>
    <t>KEN1976HAV-AK</t>
  </si>
  <si>
    <t>KEN1976HAV-AL</t>
  </si>
  <si>
    <t>KEN1976HAV-AM</t>
  </si>
  <si>
    <t>KEN1976HAV-AN</t>
  </si>
  <si>
    <t>KEN1976HAV-AO</t>
  </si>
  <si>
    <t>KEN1976HAV-AP</t>
  </si>
  <si>
    <t>KEN1976HAV-AQ</t>
  </si>
  <si>
    <t>KEN1976HAV-AR</t>
  </si>
  <si>
    <t>KEN1976HAV-AS</t>
  </si>
  <si>
    <t>KEN1976HAV-AT</t>
  </si>
  <si>
    <t>KEN1977HAV-AA</t>
  </si>
  <si>
    <t>KEN1977HAV-AB</t>
  </si>
  <si>
    <t>KEN1977HAV-AC</t>
  </si>
  <si>
    <t>KEN1977HAV-AD</t>
  </si>
  <si>
    <t>KEN1977HAV-AE</t>
  </si>
  <si>
    <t>KEN1977HAV-AF</t>
  </si>
  <si>
    <t>KEN1978HAV-AA</t>
  </si>
  <si>
    <t>KEN1978HAV-AB</t>
  </si>
  <si>
    <t>KEN1979HAV-AA</t>
  </si>
  <si>
    <t>KEN1979HAV-AB</t>
  </si>
  <si>
    <t>KEN1979HAV-AC</t>
  </si>
  <si>
    <t>KEN1979HAV-AD</t>
  </si>
  <si>
    <t>KEN1979HAV-AE</t>
  </si>
  <si>
    <t>KEN1979HAV-AF</t>
  </si>
  <si>
    <t>KEN1979HAV-AG</t>
  </si>
  <si>
    <t>KEN1980HAV-AA</t>
  </si>
  <si>
    <t>KEN1980HAV-AB</t>
  </si>
  <si>
    <t>KEN1980HAV-AC</t>
  </si>
  <si>
    <t>KEN1980HAV-AD</t>
  </si>
  <si>
    <t>KEN1980HAV-AE</t>
  </si>
  <si>
    <t>KEN1981HAV-AA</t>
  </si>
  <si>
    <t>KEN1981HAV-AB</t>
  </si>
  <si>
    <t>KEN1981HAV-AC</t>
  </si>
  <si>
    <t>KEN1983HAV-AA</t>
  </si>
  <si>
    <t>KEN1983HAV-AB</t>
  </si>
  <si>
    <t>KEN1983HAV-AC</t>
  </si>
  <si>
    <t>KEN1983HAV-AD</t>
  </si>
  <si>
    <t>KEN1983HAV-AE</t>
  </si>
  <si>
    <t>KEN1983HAV-AF</t>
  </si>
  <si>
    <t>KEN1983HAV-AG</t>
  </si>
  <si>
    <t>KEN1984HAV-AA</t>
  </si>
  <si>
    <t>KEN1984HAV-AB</t>
  </si>
  <si>
    <t>KEN1984HAV-AC</t>
  </si>
  <si>
    <t>KEN1985HAV-AA</t>
  </si>
  <si>
    <t>KEN1985HAV-AB</t>
  </si>
  <si>
    <t>KEN1988HAV-AA</t>
  </si>
  <si>
    <t>KEN1988HAV-AB</t>
  </si>
  <si>
    <t>KEN1988HAV-AC</t>
  </si>
  <si>
    <t>KEN1889HAV-AA</t>
  </si>
  <si>
    <t>KEN1990HAV-AA</t>
  </si>
  <si>
    <t>KEN1990HAV-AB</t>
  </si>
  <si>
    <t>KEN1990HAV-AC</t>
  </si>
  <si>
    <t>KEN1991HAV-AA</t>
  </si>
  <si>
    <t>KEN1992HAV-AA</t>
  </si>
  <si>
    <t>KEN1992HAV-AB</t>
  </si>
  <si>
    <t>KEN1992HAV-AC</t>
  </si>
  <si>
    <t>KEN1992HAV-AD</t>
  </si>
  <si>
    <t>KEN1993HAV-AA</t>
  </si>
  <si>
    <t>1896</t>
  </si>
  <si>
    <t>1899</t>
  </si>
  <si>
    <t>1900</t>
  </si>
  <si>
    <t>1901</t>
  </si>
  <si>
    <t>1902</t>
  </si>
  <si>
    <t>1903</t>
  </si>
  <si>
    <t>1904</t>
  </si>
  <si>
    <t>1922</t>
  </si>
  <si>
    <t>1931</t>
  </si>
  <si>
    <t>1932</t>
  </si>
  <si>
    <t>1933</t>
  </si>
  <si>
    <t>1943</t>
  </si>
  <si>
    <t>1944</t>
  </si>
  <si>
    <t>1945</t>
  </si>
  <si>
    <t>1968</t>
  </si>
  <si>
    <t>1969</t>
  </si>
  <si>
    <t>1970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</si>
  <si>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</si>
  <si>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</si>
  <si>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</si>
  <si>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</si>
  <si>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</si>
  <si>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</si>
  <si>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</si>
  <si>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</si>
  <si>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</si>
  <si>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</si>
  <si>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</si>
  <si>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</si>
  <si>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</si>
  <si>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</si>
  <si>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</si>
  <si>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</si>
  <si>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</si>
  <si>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</si>
  <si>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</si>
  <si>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</si>
  <si>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</si>
  <si>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</si>
  <si>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</si>
  <si>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</si>
  <si>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</si>
  <si>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</si>
  <si>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</si>
  <si>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</si>
  <si>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</si>
  <si>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</si>
  <si>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</si>
  <si>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</si>
  <si>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</si>
  <si>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</si>
  <si>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</si>
  <si>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</si>
  <si>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</si>
  <si>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</si>
  <si>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</si>
  <si>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</si>
  <si>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</si>
  <si>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2024</t>
  </si>
  <si>
    <t>2022</t>
  </si>
  <si>
    <t>2023</t>
  </si>
  <si>
    <t>1869</t>
  </si>
  <si>
    <t>1893</t>
  </si>
  <si>
    <t>1897</t>
  </si>
  <si>
    <t>NIK</t>
  </si>
  <si>
    <t>1868</t>
  </si>
  <si>
    <t>2025</t>
  </si>
  <si>
    <t>1885</t>
  </si>
  <si>
    <t xml:space="preserve">Pennies needed =  </t>
  </si>
  <si>
    <t xml:space="preserve">Nickels needed =  </t>
  </si>
  <si>
    <t xml:space="preserve">Dimes needed =  </t>
  </si>
  <si>
    <t xml:space="preserve">Quarters needed =  </t>
  </si>
  <si>
    <t xml:space="preserve">Halves needed =  </t>
  </si>
  <si>
    <t>Liberty Walking</t>
  </si>
  <si>
    <t xml:space="preserve">Dollars needed = </t>
  </si>
  <si>
    <t>Silver Eagle</t>
  </si>
  <si>
    <t>Not #N/A</t>
  </si>
  <si>
    <t>Dimes Needed</t>
  </si>
  <si>
    <t>Quarters needed</t>
  </si>
  <si>
    <t>Halves needed</t>
  </si>
  <si>
    <t>Legend:  Halves</t>
  </si>
  <si>
    <t>Legacy: Dimes</t>
  </si>
  <si>
    <t>Legend Pennies</t>
  </si>
  <si>
    <t>1947–1958: "Double" Mint Sets produced in cardboard.</t>
  </si>
  <si>
    <t>1959–1964: Sets switched to single coins in cellophane packs.</t>
  </si>
  <si>
    <t>1965–1967: Special Mint Sets (SMS) were produced instead of standard sets.</t>
  </si>
  <si>
    <t>1968–Present: Annual sets produced consistently, with the exception of 1982–1983</t>
  </si>
  <si>
    <t xml:space="preserve">The U.S. Mint began selling annual uncirculated coin sets, </t>
  </si>
  <si>
    <t xml:space="preserve">contained two examples of each denomination from both </t>
  </si>
  <si>
    <t xml:space="preserve">the Philadelphia and Denver mints, packaged in cardboard </t>
  </si>
  <si>
    <t>holders.</t>
  </si>
  <si>
    <r>
      <t>known as</t>
    </r>
    <r>
      <rPr>
        <b/>
        <sz val="10"/>
        <color theme="3" tint="0.249977111117893"/>
        <rFont val="Arial"/>
        <family val="2"/>
      </rPr>
      <t xml:space="preserve"> "Mint Sets,"</t>
    </r>
    <r>
      <rPr>
        <sz val="10"/>
        <rFont val="Arial"/>
        <family val="2"/>
        <charset val="1"/>
      </rPr>
      <t xml:space="preserve"> in 1947. These initial sets (1947–1958) </t>
    </r>
  </si>
  <si>
    <t>List of Mint Sets 1959–1964</t>
  </si>
  <si>
    <t>1¢</t>
  </si>
  <si>
    <t>5¢</t>
  </si>
  <si>
    <t>10¢</t>
  </si>
  <si>
    <t>25¢</t>
  </si>
  <si>
    <t>50¢</t>
  </si>
  <si>
    <t>Total face value</t>
  </si>
  <si>
    <t>Mintage</t>
  </si>
  <si>
    <t>Lincoln Memorial Cent</t>
  </si>
  <si>
    <t>(P),D</t>
  </si>
  <si>
    <t>Jefferson Nickel</t>
  </si>
  <si>
    <t>List of Special Mint Sets 1964–1967</t>
  </si>
  <si>
    <t>Other</t>
  </si>
  <si>
    <t>(S)</t>
  </si>
  <si>
    <t>–</t>
  </si>
  <si>
    <t>≈20-50</t>
  </si>
  <si>
    <t>U.S. Mint token</t>
  </si>
  <si>
    <t>List of Mint Sets 1968–2004</t>
  </si>
  <si>
    <t>Missing from the set</t>
  </si>
  <si>
    <t>(P),D,S</t>
  </si>
  <si>
    <t>D,S</t>
  </si>
  <si>
    <r>
      <t>(</t>
    </r>
    <r>
      <rPr>
        <b/>
        <i/>
        <sz val="12"/>
        <color rgb="FF202122"/>
        <rFont val="Arial"/>
        <family val="2"/>
      </rPr>
      <t>P</t>
    </r>
    <r>
      <rPr>
        <i/>
        <sz val="12"/>
        <color rgb="FF202122"/>
        <rFont val="Arial"/>
        <family val="2"/>
      </rPr>
      <t>),</t>
    </r>
    <r>
      <rPr>
        <b/>
        <i/>
        <sz val="12"/>
        <color rgb="FF202122"/>
        <rFont val="Arial"/>
        <family val="2"/>
      </rPr>
      <t>D</t>
    </r>
  </si>
  <si>
    <t>Susan B. Anthony Dollar</t>
  </si>
  <si>
    <t>P,D</t>
  </si>
  <si>
    <t>Susan B. Anthony dollar</t>
  </si>
  <si>
    <t>P,D,S</t>
  </si>
  <si>
    <t>US Mint tokens</t>
  </si>
  <si>
    <r>
      <t>P,D,</t>
    </r>
    <r>
      <rPr>
        <b/>
        <i/>
        <sz val="12"/>
        <color rgb="FF202122"/>
        <rFont val="Arial"/>
        <family val="2"/>
      </rPr>
      <t>W</t>
    </r>
  </si>
  <si>
    <t>50 State Quarters Program:</t>
  </si>
  <si>
    <r>
      <t>Delaware </t>
    </r>
    <r>
      <rPr>
        <i/>
        <sz val="12"/>
        <color rgb="FF202122"/>
        <rFont val="Arial"/>
        <family val="2"/>
      </rPr>
      <t>P,D</t>
    </r>
  </si>
  <si>
    <r>
      <t>Pennsylvania </t>
    </r>
    <r>
      <rPr>
        <i/>
        <sz val="12"/>
        <color rgb="FF202122"/>
        <rFont val="Arial"/>
        <family val="2"/>
      </rPr>
      <t>P,D</t>
    </r>
  </si>
  <si>
    <r>
      <t>New Jersey </t>
    </r>
    <r>
      <rPr>
        <i/>
        <sz val="12"/>
        <color rgb="FF202122"/>
        <rFont val="Arial"/>
        <family val="2"/>
      </rPr>
      <t>P,D</t>
    </r>
  </si>
  <si>
    <r>
      <t>Georgia </t>
    </r>
    <r>
      <rPr>
        <i/>
        <sz val="12"/>
        <color rgb="FF202122"/>
        <rFont val="Arial"/>
        <family val="2"/>
      </rPr>
      <t>P,D</t>
    </r>
  </si>
  <si>
    <r>
      <t>Connecticut </t>
    </r>
    <r>
      <rPr>
        <i/>
        <sz val="12"/>
        <color rgb="FF202122"/>
        <rFont val="Arial"/>
        <family val="2"/>
      </rPr>
      <t>P,D</t>
    </r>
  </si>
  <si>
    <r>
      <t>Massachusetts </t>
    </r>
    <r>
      <rPr>
        <i/>
        <sz val="12"/>
        <color rgb="FF202122"/>
        <rFont val="Arial"/>
        <family val="2"/>
      </rPr>
      <t>P,D</t>
    </r>
  </si>
  <si>
    <r>
      <t>Maryland </t>
    </r>
    <r>
      <rPr>
        <i/>
        <sz val="12"/>
        <color rgb="FF202122"/>
        <rFont val="Arial"/>
        <family val="2"/>
      </rPr>
      <t>P,D</t>
    </r>
  </si>
  <si>
    <r>
      <t>South Carolina </t>
    </r>
    <r>
      <rPr>
        <i/>
        <sz val="12"/>
        <color rgb="FF202122"/>
        <rFont val="Arial"/>
        <family val="2"/>
      </rPr>
      <t>P,D</t>
    </r>
  </si>
  <si>
    <r>
      <t>New Hampshire </t>
    </r>
    <r>
      <rPr>
        <i/>
        <sz val="12"/>
        <color rgb="FF202122"/>
        <rFont val="Arial"/>
        <family val="2"/>
      </rPr>
      <t>P,D</t>
    </r>
  </si>
  <si>
    <r>
      <t>Virginia </t>
    </r>
    <r>
      <rPr>
        <i/>
        <sz val="12"/>
        <color rgb="FF202122"/>
        <rFont val="Arial"/>
        <family val="2"/>
      </rPr>
      <t>P,D</t>
    </r>
  </si>
  <si>
    <t>Sacagawea Golden Dollar</t>
  </si>
  <si>
    <r>
      <t>New York </t>
    </r>
    <r>
      <rPr>
        <i/>
        <sz val="12"/>
        <color rgb="FF202122"/>
        <rFont val="Arial"/>
        <family val="2"/>
      </rPr>
      <t>P,D</t>
    </r>
  </si>
  <si>
    <r>
      <t>North Carolina </t>
    </r>
    <r>
      <rPr>
        <i/>
        <sz val="12"/>
        <color rgb="FF202122"/>
        <rFont val="Arial"/>
        <family val="2"/>
      </rPr>
      <t>P,D</t>
    </r>
  </si>
  <si>
    <r>
      <t>Rhode Island </t>
    </r>
    <r>
      <rPr>
        <i/>
        <sz val="12"/>
        <color rgb="FF202122"/>
        <rFont val="Arial"/>
        <family val="2"/>
      </rPr>
      <t>P,D</t>
    </r>
  </si>
  <si>
    <r>
      <t>Vermont </t>
    </r>
    <r>
      <rPr>
        <i/>
        <sz val="12"/>
        <color rgb="FF202122"/>
        <rFont val="Arial"/>
        <family val="2"/>
      </rPr>
      <t>P,D</t>
    </r>
  </si>
  <si>
    <r>
      <t>Kentucky </t>
    </r>
    <r>
      <rPr>
        <i/>
        <sz val="12"/>
        <color rgb="FF202122"/>
        <rFont val="Arial"/>
        <family val="2"/>
      </rPr>
      <t>P,D</t>
    </r>
  </si>
  <si>
    <r>
      <t>Tennessee </t>
    </r>
    <r>
      <rPr>
        <i/>
        <sz val="12"/>
        <color rgb="FF202122"/>
        <rFont val="Arial"/>
        <family val="2"/>
      </rPr>
      <t>P,D</t>
    </r>
  </si>
  <si>
    <r>
      <t>Ohio </t>
    </r>
    <r>
      <rPr>
        <i/>
        <sz val="12"/>
        <color rgb="FF202122"/>
        <rFont val="Arial"/>
        <family val="2"/>
      </rPr>
      <t>P,D</t>
    </r>
  </si>
  <si>
    <r>
      <t>Louisiana </t>
    </r>
    <r>
      <rPr>
        <i/>
        <sz val="12"/>
        <color rgb="FF202122"/>
        <rFont val="Arial"/>
        <family val="2"/>
      </rPr>
      <t>P,D</t>
    </r>
  </si>
  <si>
    <r>
      <t>Indiana </t>
    </r>
    <r>
      <rPr>
        <i/>
        <sz val="12"/>
        <color rgb="FF202122"/>
        <rFont val="Arial"/>
        <family val="2"/>
      </rPr>
      <t>P,D</t>
    </r>
  </si>
  <si>
    <r>
      <t>Mississippi </t>
    </r>
    <r>
      <rPr>
        <i/>
        <sz val="12"/>
        <color rgb="FF202122"/>
        <rFont val="Arial"/>
        <family val="2"/>
      </rPr>
      <t>P,D</t>
    </r>
  </si>
  <si>
    <r>
      <t>Illinois </t>
    </r>
    <r>
      <rPr>
        <i/>
        <sz val="12"/>
        <color rgb="FF202122"/>
        <rFont val="Arial"/>
        <family val="2"/>
      </rPr>
      <t>P,D</t>
    </r>
  </si>
  <si>
    <r>
      <t>Alabama </t>
    </r>
    <r>
      <rPr>
        <i/>
        <sz val="12"/>
        <color rgb="FF202122"/>
        <rFont val="Arial"/>
        <family val="2"/>
      </rPr>
      <t>P,D</t>
    </r>
  </si>
  <si>
    <r>
      <t>Maine </t>
    </r>
    <r>
      <rPr>
        <i/>
        <sz val="12"/>
        <color rgb="FF202122"/>
        <rFont val="Arial"/>
        <family val="2"/>
      </rPr>
      <t>P,D</t>
    </r>
  </si>
  <si>
    <r>
      <t>Missouri </t>
    </r>
    <r>
      <rPr>
        <i/>
        <sz val="12"/>
        <color rgb="FF202122"/>
        <rFont val="Arial"/>
        <family val="2"/>
      </rPr>
      <t>P,D</t>
    </r>
  </si>
  <si>
    <r>
      <t>Arkansas </t>
    </r>
    <r>
      <rPr>
        <i/>
        <sz val="12"/>
        <color rgb="FF202122"/>
        <rFont val="Arial"/>
        <family val="2"/>
      </rPr>
      <t>P,D</t>
    </r>
  </si>
  <si>
    <t>Westward Journey Nickel Series:</t>
  </si>
  <si>
    <t>Peace Medal P,D</t>
  </si>
  <si>
    <t>Keelboat P,D</t>
  </si>
  <si>
    <r>
      <t>Michigan </t>
    </r>
    <r>
      <rPr>
        <i/>
        <sz val="12"/>
        <color rgb="FF202122"/>
        <rFont val="Arial"/>
        <family val="2"/>
      </rPr>
      <t>P,D</t>
    </r>
  </si>
  <si>
    <r>
      <t>Florida </t>
    </r>
    <r>
      <rPr>
        <i/>
        <sz val="12"/>
        <color rgb="FF202122"/>
        <rFont val="Arial"/>
        <family val="2"/>
      </rPr>
      <t>P,D</t>
    </r>
  </si>
  <si>
    <r>
      <t>Texas </t>
    </r>
    <r>
      <rPr>
        <i/>
        <sz val="12"/>
        <color rgb="FF202122"/>
        <rFont val="Arial"/>
        <family val="2"/>
      </rPr>
      <t>P,D</t>
    </r>
  </si>
  <si>
    <r>
      <t>Iowa </t>
    </r>
    <r>
      <rPr>
        <i/>
        <sz val="12"/>
        <color rgb="FF202122"/>
        <rFont val="Arial"/>
        <family val="2"/>
      </rPr>
      <t>P,D</t>
    </r>
  </si>
  <si>
    <r>
      <t>Wisconsin </t>
    </r>
    <r>
      <rPr>
        <i/>
        <sz val="12"/>
        <color rgb="FF202122"/>
        <rFont val="Arial"/>
        <family val="2"/>
      </rPr>
      <t>P,D</t>
    </r>
  </si>
  <si>
    <r>
      <t>Bold</t>
    </r>
    <r>
      <rPr>
        <sz val="12"/>
        <color rgb="FF202122"/>
        <rFont val="Arial"/>
        <family val="2"/>
      </rPr>
      <t> mintmarks indicate coins that were not issued for circulation</t>
    </r>
  </si>
  <si>
    <t>Satin-finish Mint Sets (2005–2010)</t>
  </si>
  <si>
    <t>A penny from the 2010 Mint Set</t>
  </si>
  <si>
    <t>List of Mint Sets 2005–2010</t>
  </si>
  <si>
    <t xml:space="preserve">In 2005, the US Mint started to produce Mint Set coins using special sandblasted dies, giving the coins a distinctive </t>
  </si>
  <si>
    <t xml:space="preserve">satin finish similar to the Special Mint Set coins. Like the Special Mint Set coins, many numismatists consider </t>
  </si>
  <si>
    <t>these to be separate issues from the circulation coins.</t>
  </si>
  <si>
    <r>
      <t>American Bison </t>
    </r>
    <r>
      <rPr>
        <i/>
        <sz val="12"/>
        <color rgb="FF202122"/>
        <rFont val="Arial"/>
        <family val="2"/>
      </rPr>
      <t>P,D</t>
    </r>
  </si>
  <si>
    <r>
      <t>Ocean in View </t>
    </r>
    <r>
      <rPr>
        <i/>
        <sz val="12"/>
        <color rgb="FF202122"/>
        <rFont val="Arial"/>
        <family val="2"/>
      </rPr>
      <t>P,D</t>
    </r>
  </si>
  <si>
    <r>
      <t>California </t>
    </r>
    <r>
      <rPr>
        <i/>
        <sz val="12"/>
        <color rgb="FF202122"/>
        <rFont val="Arial"/>
        <family val="2"/>
      </rPr>
      <t>P,D</t>
    </r>
  </si>
  <si>
    <r>
      <t>Minnesota </t>
    </r>
    <r>
      <rPr>
        <i/>
        <sz val="12"/>
        <color rgb="FF202122"/>
        <rFont val="Arial"/>
        <family val="2"/>
      </rPr>
      <t>P,D</t>
    </r>
  </si>
  <si>
    <r>
      <t>Oregon </t>
    </r>
    <r>
      <rPr>
        <i/>
        <sz val="12"/>
        <color rgb="FF202122"/>
        <rFont val="Arial"/>
        <family val="2"/>
      </rPr>
      <t>P,D</t>
    </r>
  </si>
  <si>
    <r>
      <t>Kansas </t>
    </r>
    <r>
      <rPr>
        <i/>
        <sz val="12"/>
        <color rgb="FF202122"/>
        <rFont val="Arial"/>
        <family val="2"/>
      </rPr>
      <t>P,D</t>
    </r>
  </si>
  <si>
    <r>
      <t>West Virginia </t>
    </r>
    <r>
      <rPr>
        <i/>
        <sz val="12"/>
        <color rgb="FF202122"/>
        <rFont val="Arial"/>
        <family val="2"/>
      </rPr>
      <t>P,D</t>
    </r>
  </si>
  <si>
    <t>[[:|Return to Monticello]] P,D</t>
  </si>
  <si>
    <r>
      <t>Nevada </t>
    </r>
    <r>
      <rPr>
        <i/>
        <sz val="12"/>
        <color rgb="FF202122"/>
        <rFont val="Arial"/>
        <family val="2"/>
      </rPr>
      <t>P,D</t>
    </r>
  </si>
  <si>
    <r>
      <t>Nebraska </t>
    </r>
    <r>
      <rPr>
        <i/>
        <sz val="12"/>
        <color rgb="FF202122"/>
        <rFont val="Arial"/>
        <family val="2"/>
      </rPr>
      <t>P,D</t>
    </r>
  </si>
  <si>
    <r>
      <t>Colorado </t>
    </r>
    <r>
      <rPr>
        <i/>
        <sz val="12"/>
        <color rgb="FF202122"/>
        <rFont val="Arial"/>
        <family val="2"/>
      </rPr>
      <t>P,D</t>
    </r>
  </si>
  <si>
    <r>
      <t>North Dakota </t>
    </r>
    <r>
      <rPr>
        <i/>
        <sz val="12"/>
        <color rgb="FF202122"/>
        <rFont val="Arial"/>
        <family val="2"/>
      </rPr>
      <t>P,D</t>
    </r>
  </si>
  <si>
    <r>
      <t>South Dakota </t>
    </r>
    <r>
      <rPr>
        <i/>
        <sz val="12"/>
        <color rgb="FF202122"/>
        <rFont val="Arial"/>
        <family val="2"/>
      </rPr>
      <t>P,D</t>
    </r>
  </si>
  <si>
    <r>
      <t>Montana </t>
    </r>
    <r>
      <rPr>
        <i/>
        <sz val="12"/>
        <color rgb="FF202122"/>
        <rFont val="Arial"/>
        <family val="2"/>
      </rPr>
      <t>P,D</t>
    </r>
  </si>
  <si>
    <r>
      <t>Washington </t>
    </r>
    <r>
      <rPr>
        <i/>
        <sz val="12"/>
        <color rgb="FF202122"/>
        <rFont val="Arial"/>
        <family val="2"/>
      </rPr>
      <t>P,D</t>
    </r>
  </si>
  <si>
    <r>
      <t>Idaho </t>
    </r>
    <r>
      <rPr>
        <i/>
        <sz val="12"/>
        <color rgb="FF202122"/>
        <rFont val="Arial"/>
        <family val="2"/>
      </rPr>
      <t>P,D</t>
    </r>
  </si>
  <si>
    <r>
      <t>Wyoming </t>
    </r>
    <r>
      <rPr>
        <i/>
        <sz val="12"/>
        <color rgb="FF202122"/>
        <rFont val="Arial"/>
        <family val="2"/>
      </rPr>
      <t>P,D</t>
    </r>
  </si>
  <si>
    <r>
      <t>Utah </t>
    </r>
    <r>
      <rPr>
        <i/>
        <sz val="12"/>
        <color rgb="FF202122"/>
        <rFont val="Arial"/>
        <family val="2"/>
      </rPr>
      <t>P,D</t>
    </r>
  </si>
  <si>
    <r>
      <t>Sacagawea </t>
    </r>
    <r>
      <rPr>
        <b/>
        <i/>
        <sz val="12"/>
        <color rgb="FF202122"/>
        <rFont val="Arial"/>
        <family val="2"/>
      </rPr>
      <t>P,D</t>
    </r>
  </si>
  <si>
    <t>Presidential $1 Coin Program:</t>
  </si>
  <si>
    <r>
      <t>George Washington </t>
    </r>
    <r>
      <rPr>
        <i/>
        <sz val="12"/>
        <color rgb="FF202122"/>
        <rFont val="Arial"/>
        <family val="2"/>
      </rPr>
      <t>P,D</t>
    </r>
  </si>
  <si>
    <r>
      <t>John Adams </t>
    </r>
    <r>
      <rPr>
        <i/>
        <sz val="12"/>
        <color rgb="FF202122"/>
        <rFont val="Arial"/>
        <family val="2"/>
      </rPr>
      <t>P,D</t>
    </r>
  </si>
  <si>
    <r>
      <t>Thomas Jefferson </t>
    </r>
    <r>
      <rPr>
        <i/>
        <sz val="12"/>
        <color rgb="FF202122"/>
        <rFont val="Arial"/>
        <family val="2"/>
      </rPr>
      <t>P,D</t>
    </r>
  </si>
  <si>
    <r>
      <t>James Madison </t>
    </r>
    <r>
      <rPr>
        <i/>
        <sz val="12"/>
        <color rgb="FF202122"/>
        <rFont val="Arial"/>
        <family val="2"/>
      </rPr>
      <t>P,D</t>
    </r>
  </si>
  <si>
    <r>
      <t>Oklahoma </t>
    </r>
    <r>
      <rPr>
        <i/>
        <sz val="12"/>
        <color rgb="FF202122"/>
        <rFont val="Arial"/>
        <family val="2"/>
      </rPr>
      <t>P,D</t>
    </r>
  </si>
  <si>
    <r>
      <t>New Mexico </t>
    </r>
    <r>
      <rPr>
        <i/>
        <sz val="12"/>
        <color rgb="FF202122"/>
        <rFont val="Arial"/>
        <family val="2"/>
      </rPr>
      <t>P,D</t>
    </r>
  </si>
  <si>
    <r>
      <t>Arizona </t>
    </r>
    <r>
      <rPr>
        <i/>
        <sz val="12"/>
        <color rgb="FF202122"/>
        <rFont val="Arial"/>
        <family val="2"/>
      </rPr>
      <t>P,D</t>
    </r>
  </si>
  <si>
    <r>
      <t>Alaska </t>
    </r>
    <r>
      <rPr>
        <i/>
        <sz val="12"/>
        <color rgb="FF202122"/>
        <rFont val="Arial"/>
        <family val="2"/>
      </rPr>
      <t>P,D</t>
    </r>
  </si>
  <si>
    <r>
      <t>Hawaii </t>
    </r>
    <r>
      <rPr>
        <i/>
        <sz val="12"/>
        <color rgb="FF202122"/>
        <rFont val="Arial"/>
        <family val="2"/>
      </rPr>
      <t>P,D</t>
    </r>
  </si>
  <si>
    <r>
      <t>James Monroe </t>
    </r>
    <r>
      <rPr>
        <i/>
        <sz val="12"/>
        <color rgb="FF202122"/>
        <rFont val="Arial"/>
        <family val="2"/>
      </rPr>
      <t>P,D</t>
    </r>
  </si>
  <si>
    <r>
      <t>John Quincy Adams </t>
    </r>
    <r>
      <rPr>
        <i/>
        <sz val="12"/>
        <color rgb="FF202122"/>
        <rFont val="Arial"/>
        <family val="2"/>
      </rPr>
      <t>P,D</t>
    </r>
  </si>
  <si>
    <r>
      <t>Andrew Jackson </t>
    </r>
    <r>
      <rPr>
        <i/>
        <sz val="12"/>
        <color rgb="FF202122"/>
        <rFont val="Arial"/>
        <family val="2"/>
      </rPr>
      <t>P,D</t>
    </r>
  </si>
  <si>
    <r>
      <t>Martin Van Buren </t>
    </r>
    <r>
      <rPr>
        <i/>
        <sz val="12"/>
        <color rgb="FF202122"/>
        <rFont val="Arial"/>
        <family val="2"/>
      </rPr>
      <t>P,D</t>
    </r>
  </si>
  <si>
    <t>Lincoln Bicentennial One Cent Program:</t>
  </si>
  <si>
    <t>Birthplace P,D</t>
  </si>
  <si>
    <t>Formative Years P,D</t>
  </si>
  <si>
    <t>Professional Life P,D</t>
  </si>
  <si>
    <t>Presidency P,D</t>
  </si>
  <si>
    <t>DC and U.S. Territories Quarters:</t>
  </si>
  <si>
    <r>
      <t>District of Columbia </t>
    </r>
    <r>
      <rPr>
        <i/>
        <sz val="12"/>
        <color rgb="FF202122"/>
        <rFont val="Arial"/>
        <family val="2"/>
      </rPr>
      <t>P,D</t>
    </r>
  </si>
  <si>
    <r>
      <t>Puerto Rico </t>
    </r>
    <r>
      <rPr>
        <i/>
        <sz val="12"/>
        <color rgb="FF202122"/>
        <rFont val="Arial"/>
        <family val="2"/>
      </rPr>
      <t>P,D</t>
    </r>
  </si>
  <si>
    <r>
      <t>Guam </t>
    </r>
    <r>
      <rPr>
        <i/>
        <sz val="12"/>
        <color rgb="FF202122"/>
        <rFont val="Arial"/>
        <family val="2"/>
      </rPr>
      <t>P,D</t>
    </r>
  </si>
  <si>
    <r>
      <t>American Samoa </t>
    </r>
    <r>
      <rPr>
        <i/>
        <sz val="12"/>
        <color rgb="FF202122"/>
        <rFont val="Arial"/>
        <family val="2"/>
      </rPr>
      <t>P,D</t>
    </r>
  </si>
  <si>
    <r>
      <t>US Virgin Islands </t>
    </r>
    <r>
      <rPr>
        <i/>
        <sz val="12"/>
        <color rgb="FF202122"/>
        <rFont val="Arial"/>
        <family val="2"/>
      </rPr>
      <t>P,D</t>
    </r>
  </si>
  <si>
    <r>
      <t>Northern Mariana Islands </t>
    </r>
    <r>
      <rPr>
        <i/>
        <sz val="12"/>
        <color rgb="FF202122"/>
        <rFont val="Arial"/>
        <family val="2"/>
      </rPr>
      <t>P,D</t>
    </r>
  </si>
  <si>
    <t>Native American $1 Coin Program:</t>
  </si>
  <si>
    <r>
      <t>Sacagawea Agriculture </t>
    </r>
    <r>
      <rPr>
        <i/>
        <sz val="12"/>
        <color rgb="FF202122"/>
        <rFont val="Arial"/>
        <family val="2"/>
      </rPr>
      <t>P,D</t>
    </r>
  </si>
  <si>
    <r>
      <t>William Henry Harrison </t>
    </r>
    <r>
      <rPr>
        <i/>
        <sz val="12"/>
        <color rgb="FF202122"/>
        <rFont val="Arial"/>
        <family val="2"/>
      </rPr>
      <t>P,D</t>
    </r>
  </si>
  <si>
    <r>
      <t>John Tyler </t>
    </r>
    <r>
      <rPr>
        <i/>
        <sz val="12"/>
        <color rgb="FF202122"/>
        <rFont val="Arial"/>
        <family val="2"/>
      </rPr>
      <t>P,D</t>
    </r>
  </si>
  <si>
    <r>
      <t>James K. Polk </t>
    </r>
    <r>
      <rPr>
        <i/>
        <sz val="12"/>
        <color rgb="FF202122"/>
        <rFont val="Arial"/>
        <family val="2"/>
      </rPr>
      <t>P,D</t>
    </r>
  </si>
  <si>
    <r>
      <t>Zachary Taylor </t>
    </r>
    <r>
      <rPr>
        <i/>
        <sz val="12"/>
        <color rgb="FF202122"/>
        <rFont val="Arial"/>
        <family val="2"/>
      </rPr>
      <t>P,D</t>
    </r>
  </si>
  <si>
    <t>Lincoln Shield Cent:</t>
  </si>
  <si>
    <t>America the Beautiful Quarters Program:</t>
  </si>
  <si>
    <r>
      <t>Hot Springs National Park </t>
    </r>
    <r>
      <rPr>
        <i/>
        <sz val="12"/>
        <color rgb="FF202122"/>
        <rFont val="Arial"/>
        <family val="2"/>
      </rPr>
      <t>P,D</t>
    </r>
  </si>
  <si>
    <r>
      <t>Yellowstone National Park </t>
    </r>
    <r>
      <rPr>
        <i/>
        <sz val="12"/>
        <color rgb="FF202122"/>
        <rFont val="Arial"/>
        <family val="2"/>
      </rPr>
      <t>P,D</t>
    </r>
  </si>
  <si>
    <r>
      <t>Yosemite National Park </t>
    </r>
    <r>
      <rPr>
        <i/>
        <sz val="12"/>
        <color rgb="FF202122"/>
        <rFont val="Arial"/>
        <family val="2"/>
      </rPr>
      <t>P,D</t>
    </r>
  </si>
  <si>
    <r>
      <t>Grand Canyon National Park </t>
    </r>
    <r>
      <rPr>
        <i/>
        <sz val="12"/>
        <color rgb="FF202122"/>
        <rFont val="Arial"/>
        <family val="2"/>
      </rPr>
      <t>P,D</t>
    </r>
  </si>
  <si>
    <r>
      <t>Mount Hood National Forest </t>
    </r>
    <r>
      <rPr>
        <i/>
        <sz val="12"/>
        <color rgb="FF202122"/>
        <rFont val="Arial"/>
        <family val="2"/>
      </rPr>
      <t>P,D</t>
    </r>
  </si>
  <si>
    <t>Sacagawea Great Law Of Peace P,D</t>
  </si>
  <si>
    <r>
      <t>P,D</t>
    </r>
    <r>
      <rPr>
        <sz val="12"/>
        <color rgb="FF202122"/>
        <rFont val="Arial"/>
        <family val="2"/>
      </rPr>
      <t> Millard Fillmore </t>
    </r>
    <r>
      <rPr>
        <i/>
        <sz val="12"/>
        <color rgb="FF202122"/>
        <rFont val="Arial"/>
        <family val="2"/>
      </rPr>
      <t>P,D</t>
    </r>
  </si>
  <si>
    <r>
      <t>Franklin Pierce </t>
    </r>
    <r>
      <rPr>
        <i/>
        <sz val="12"/>
        <color rgb="FF202122"/>
        <rFont val="Arial"/>
        <family val="2"/>
      </rPr>
      <t>P,D</t>
    </r>
  </si>
  <si>
    <r>
      <t>James Buchanan </t>
    </r>
    <r>
      <rPr>
        <i/>
        <sz val="12"/>
        <color rgb="FF202122"/>
        <rFont val="Arial"/>
        <family val="2"/>
      </rPr>
      <t>P,D</t>
    </r>
  </si>
  <si>
    <r>
      <t>Abraham Lincoln </t>
    </r>
    <r>
      <rPr>
        <i/>
        <sz val="12"/>
        <color rgb="FF202122"/>
        <rFont val="Arial"/>
        <family val="2"/>
      </rPr>
      <t>P,D</t>
    </r>
  </si>
  <si>
    <t>583,912[4]</t>
  </si>
  <si>
    <t>Brilliant-Finish Mint Sets (2011–present)</t>
  </si>
  <si>
    <r>
      <t>A </t>
    </r>
    <r>
      <rPr>
        <sz val="12"/>
        <color rgb="FF3366CC"/>
        <rFont val="Arial"/>
        <family val="2"/>
      </rPr>
      <t>penny</t>
    </r>
    <r>
      <rPr>
        <sz val="12"/>
        <color rgb="FF202122"/>
        <rFont val="Arial"/>
        <family val="2"/>
      </rPr>
      <t> with the W mint mark was included in the 2019 Mint Set to commemorate the 110th anniversary of the </t>
    </r>
    <r>
      <rPr>
        <sz val="12"/>
        <color rgb="FF3366CC"/>
        <rFont val="Arial"/>
        <family val="2"/>
      </rPr>
      <t>Lincoln cent</t>
    </r>
    <r>
      <rPr>
        <sz val="12"/>
        <color rgb="FF202122"/>
        <rFont val="Arial"/>
        <family val="2"/>
      </rPr>
      <t>.</t>
    </r>
    <r>
      <rPr>
        <vertAlign val="superscript"/>
        <sz val="10"/>
        <color rgb="FF3366CC"/>
        <rFont val="Arial"/>
        <family val="2"/>
      </rPr>
      <t>[6]</t>
    </r>
    <r>
      <rPr>
        <sz val="12"/>
        <color rgb="FF202122"/>
        <rFont val="Arial"/>
        <family val="2"/>
      </rPr>
      <t> Similarly, a W mint mark nickel was planned to be included in the 2020 Mint Set; however due to the COVID pandemic, the coin was not produced.</t>
    </r>
    <r>
      <rPr>
        <vertAlign val="superscript"/>
        <sz val="10"/>
        <color rgb="FF3366CC"/>
        <rFont val="Arial"/>
        <family val="2"/>
      </rPr>
      <t>[7]</t>
    </r>
  </si>
  <si>
    <t>In 2011, the US Mint changed the finish of Mint Set coins to a more proof-like "brilliant" finish. 
This change was made because the satin finish of the 2005–2010 coins made contact marks 
more apparent.[5] The brilliant finish coins are struck with more force than circulation coins, 
resulting in higher quality and more detailed design. However, like the pre-2005 Mint Sets, 
these coins are not considered different issues.</t>
  </si>
  <si>
    <t>List of Mint Sets 2011–present</t>
  </si>
  <si>
    <t>Lincoln Shield Cent</t>
  </si>
  <si>
    <r>
      <t>Gettysburg National Park </t>
    </r>
    <r>
      <rPr>
        <i/>
        <sz val="12"/>
        <color rgb="FF202122"/>
        <rFont val="Arial"/>
        <family val="2"/>
      </rPr>
      <t>P,D</t>
    </r>
  </si>
  <si>
    <r>
      <t>Glacier National Park </t>
    </r>
    <r>
      <rPr>
        <i/>
        <sz val="12"/>
        <color rgb="FF202122"/>
        <rFont val="Arial"/>
        <family val="2"/>
      </rPr>
      <t>P,D</t>
    </r>
  </si>
  <si>
    <r>
      <t>Olympic National Park </t>
    </r>
    <r>
      <rPr>
        <i/>
        <sz val="12"/>
        <color rgb="FF202122"/>
        <rFont val="Arial"/>
        <family val="2"/>
      </rPr>
      <t>P,D</t>
    </r>
  </si>
  <si>
    <r>
      <t>Vicksburg National Park </t>
    </r>
    <r>
      <rPr>
        <i/>
        <sz val="12"/>
        <color rgb="FF202122"/>
        <rFont val="Arial"/>
        <family val="2"/>
      </rPr>
      <t>P,D</t>
    </r>
  </si>
  <si>
    <r>
      <t>Chickasaw Recreation Area </t>
    </r>
    <r>
      <rPr>
        <i/>
        <sz val="12"/>
        <color rgb="FF202122"/>
        <rFont val="Arial"/>
        <family val="2"/>
      </rPr>
      <t>P,D</t>
    </r>
  </si>
  <si>
    <r>
      <t>Sacagawea Wampanoag Treaty </t>
    </r>
    <r>
      <rPr>
        <i/>
        <sz val="12"/>
        <color rgb="FF202122"/>
        <rFont val="Arial"/>
        <family val="2"/>
      </rPr>
      <t>P,D</t>
    </r>
  </si>
  <si>
    <r>
      <t>Andrew Johnson </t>
    </r>
    <r>
      <rPr>
        <i/>
        <sz val="12"/>
        <color rgb="FF202122"/>
        <rFont val="Arial"/>
        <family val="2"/>
      </rPr>
      <t>P,D</t>
    </r>
  </si>
  <si>
    <r>
      <t>Ulysses S. Grant </t>
    </r>
    <r>
      <rPr>
        <i/>
        <sz val="12"/>
        <color rgb="FF202122"/>
        <rFont val="Arial"/>
        <family val="2"/>
      </rPr>
      <t>P,D</t>
    </r>
  </si>
  <si>
    <r>
      <t>Rutherford B. Hayes </t>
    </r>
    <r>
      <rPr>
        <i/>
        <sz val="12"/>
        <color rgb="FF202122"/>
        <rFont val="Arial"/>
        <family val="2"/>
      </rPr>
      <t>P,D</t>
    </r>
  </si>
  <si>
    <r>
      <t>James A. Garfield </t>
    </r>
    <r>
      <rPr>
        <i/>
        <sz val="12"/>
        <color rgb="FF202122"/>
        <rFont val="Arial"/>
        <family val="2"/>
      </rPr>
      <t>P,D</t>
    </r>
  </si>
  <si>
    <r>
      <t>El Yunque National Forest </t>
    </r>
    <r>
      <rPr>
        <i/>
        <sz val="12"/>
        <color rgb="FF202122"/>
        <rFont val="Arial"/>
        <family val="2"/>
      </rPr>
      <t>P,D</t>
    </r>
  </si>
  <si>
    <r>
      <t>Chaco Culture National Historical Park </t>
    </r>
    <r>
      <rPr>
        <i/>
        <sz val="12"/>
        <color rgb="FF202122"/>
        <rFont val="Arial"/>
        <family val="2"/>
      </rPr>
      <t>P,D</t>
    </r>
  </si>
  <si>
    <r>
      <t>Acadia National Park </t>
    </r>
    <r>
      <rPr>
        <i/>
        <sz val="12"/>
        <color rgb="FF202122"/>
        <rFont val="Arial"/>
        <family val="2"/>
      </rPr>
      <t>P,D</t>
    </r>
  </si>
  <si>
    <r>
      <t>Hawaii Volcanoes National Park </t>
    </r>
    <r>
      <rPr>
        <i/>
        <sz val="12"/>
        <color rgb="FF202122"/>
        <rFont val="Arial"/>
        <family val="2"/>
      </rPr>
      <t>P,D</t>
    </r>
  </si>
  <si>
    <r>
      <t>Denali National Park </t>
    </r>
    <r>
      <rPr>
        <i/>
        <sz val="12"/>
        <color rgb="FF202122"/>
        <rFont val="Arial"/>
        <family val="2"/>
      </rPr>
      <t>P,D</t>
    </r>
  </si>
  <si>
    <r>
      <t>Sacagawea Trade Routes </t>
    </r>
    <r>
      <rPr>
        <b/>
        <i/>
        <sz val="12"/>
        <color rgb="FF202122"/>
        <rFont val="Arial"/>
        <family val="2"/>
      </rPr>
      <t>P,D</t>
    </r>
  </si>
  <si>
    <r>
      <t>Chester Arthur </t>
    </r>
    <r>
      <rPr>
        <b/>
        <sz val="12"/>
        <color rgb="FF202122"/>
        <rFont val="Arial"/>
        <family val="2"/>
      </rPr>
      <t>P,D</t>
    </r>
  </si>
  <si>
    <t>Grover Cleveland (1st term)</t>
  </si>
  <si>
    <t>Benjamin Harrison</t>
  </si>
  <si>
    <t>Grover Cleveland (2nd term)</t>
  </si>
  <si>
    <r>
      <t>White Mountain National Forest </t>
    </r>
    <r>
      <rPr>
        <i/>
        <sz val="12"/>
        <color rgb="FF202122"/>
        <rFont val="Arial"/>
        <family val="2"/>
      </rPr>
      <t>P,D</t>
    </r>
  </si>
  <si>
    <r>
      <t>Perry's Victory International Peace Memorial </t>
    </r>
    <r>
      <rPr>
        <i/>
        <sz val="12"/>
        <color rgb="FF202122"/>
        <rFont val="Arial"/>
        <family val="2"/>
      </rPr>
      <t>P,D</t>
    </r>
  </si>
  <si>
    <r>
      <t>Great Basin National Park </t>
    </r>
    <r>
      <rPr>
        <i/>
        <sz val="12"/>
        <color rgb="FF202122"/>
        <rFont val="Arial"/>
        <family val="2"/>
      </rPr>
      <t>P,D</t>
    </r>
  </si>
  <si>
    <r>
      <t>Fort McHenry National Monument </t>
    </r>
    <r>
      <rPr>
        <i/>
        <sz val="12"/>
        <color rgb="FF202122"/>
        <rFont val="Arial"/>
        <family val="2"/>
      </rPr>
      <t>P,D</t>
    </r>
  </si>
  <si>
    <r>
      <t>Mount Rushmore National Memorial </t>
    </r>
    <r>
      <rPr>
        <i/>
        <sz val="12"/>
        <color rgb="FF202122"/>
        <rFont val="Arial"/>
        <family val="2"/>
      </rPr>
      <t>P,D</t>
    </r>
  </si>
  <si>
    <r>
      <t>Sacagawea Delaware Treaty </t>
    </r>
    <r>
      <rPr>
        <b/>
        <i/>
        <sz val="12"/>
        <color rgb="FF202122"/>
        <rFont val="Arial"/>
        <family val="2"/>
      </rPr>
      <t>P,D</t>
    </r>
  </si>
  <si>
    <r>
      <t>William McKinley </t>
    </r>
    <r>
      <rPr>
        <b/>
        <i/>
        <sz val="12"/>
        <color rgb="FF202122"/>
        <rFont val="Arial"/>
        <family val="2"/>
      </rPr>
      <t>P,D</t>
    </r>
  </si>
  <si>
    <r>
      <t>Theodore Roosevelt </t>
    </r>
    <r>
      <rPr>
        <b/>
        <i/>
        <sz val="12"/>
        <color rgb="FF202122"/>
        <rFont val="Arial"/>
        <family val="2"/>
      </rPr>
      <t>P,D</t>
    </r>
  </si>
  <si>
    <r>
      <t>William Howard Taft </t>
    </r>
    <r>
      <rPr>
        <b/>
        <i/>
        <sz val="12"/>
        <color rgb="FF202122"/>
        <rFont val="Arial"/>
        <family val="2"/>
      </rPr>
      <t>P,D</t>
    </r>
  </si>
  <si>
    <r>
      <t>Woodrow Wilson </t>
    </r>
    <r>
      <rPr>
        <b/>
        <i/>
        <sz val="12"/>
        <color rgb="FF202122"/>
        <rFont val="Arial"/>
        <family val="2"/>
      </rPr>
      <t>P,D</t>
    </r>
  </si>
  <si>
    <r>
      <t>Great Smoky Mountains National Park </t>
    </r>
    <r>
      <rPr>
        <i/>
        <sz val="12"/>
        <color rgb="FF202122"/>
        <rFont val="Arial"/>
        <family val="2"/>
      </rPr>
      <t>P,D</t>
    </r>
  </si>
  <si>
    <r>
      <t>Shenandoah National Park </t>
    </r>
    <r>
      <rPr>
        <i/>
        <sz val="12"/>
        <color rgb="FF202122"/>
        <rFont val="Arial"/>
        <family val="2"/>
      </rPr>
      <t>P,D</t>
    </r>
  </si>
  <si>
    <r>
      <t>Arches National Park </t>
    </r>
    <r>
      <rPr>
        <i/>
        <sz val="12"/>
        <color rgb="FF202122"/>
        <rFont val="Arial"/>
        <family val="2"/>
      </rPr>
      <t>P,D</t>
    </r>
  </si>
  <si>
    <r>
      <t>Great Sand Dunes National Park </t>
    </r>
    <r>
      <rPr>
        <i/>
        <sz val="12"/>
        <color rgb="FF202122"/>
        <rFont val="Arial"/>
        <family val="2"/>
      </rPr>
      <t>P,D</t>
    </r>
  </si>
  <si>
    <r>
      <t>Everglades National Park </t>
    </r>
    <r>
      <rPr>
        <i/>
        <sz val="12"/>
        <color rgb="FF202122"/>
        <rFont val="Arial"/>
        <family val="2"/>
      </rPr>
      <t>P,D</t>
    </r>
  </si>
  <si>
    <r>
      <t>Sacagawea Native Hospitality </t>
    </r>
    <r>
      <rPr>
        <b/>
        <i/>
        <sz val="12"/>
        <color rgb="FF202122"/>
        <rFont val="Arial"/>
        <family val="2"/>
      </rPr>
      <t>P,D</t>
    </r>
  </si>
  <si>
    <r>
      <t>Warren G. Harding </t>
    </r>
    <r>
      <rPr>
        <b/>
        <i/>
        <sz val="12"/>
        <color rgb="FF202122"/>
        <rFont val="Arial"/>
        <family val="2"/>
      </rPr>
      <t>P,D</t>
    </r>
  </si>
  <si>
    <r>
      <t>Calvin Coolidge </t>
    </r>
    <r>
      <rPr>
        <b/>
        <i/>
        <sz val="12"/>
        <color rgb="FF202122"/>
        <rFont val="Arial"/>
        <family val="2"/>
      </rPr>
      <t>P,D</t>
    </r>
  </si>
  <si>
    <r>
      <t>Herbert Hoover </t>
    </r>
    <r>
      <rPr>
        <b/>
        <i/>
        <sz val="12"/>
        <color rgb="FF202122"/>
        <rFont val="Arial"/>
        <family val="2"/>
      </rPr>
      <t>P,D</t>
    </r>
  </si>
  <si>
    <r>
      <t>Franklin D. Roosevelt </t>
    </r>
    <r>
      <rPr>
        <b/>
        <i/>
        <sz val="12"/>
        <color rgb="FF202122"/>
        <rFont val="Arial"/>
        <family val="2"/>
      </rPr>
      <t>P,D</t>
    </r>
  </si>
  <si>
    <r>
      <t>Homestead National Monument of America </t>
    </r>
    <r>
      <rPr>
        <i/>
        <sz val="12"/>
        <color rgb="FF202122"/>
        <rFont val="Arial"/>
        <family val="2"/>
      </rPr>
      <t>P,D</t>
    </r>
  </si>
  <si>
    <r>
      <t>Kisatchie National Forest </t>
    </r>
    <r>
      <rPr>
        <i/>
        <sz val="12"/>
        <color rgb="FF202122"/>
        <rFont val="Arial"/>
        <family val="2"/>
      </rPr>
      <t>P,D</t>
    </r>
  </si>
  <si>
    <r>
      <t>Blue Ridge Parkway </t>
    </r>
    <r>
      <rPr>
        <i/>
        <sz val="12"/>
        <color rgb="FF202122"/>
        <rFont val="Arial"/>
        <family val="2"/>
      </rPr>
      <t>P,D</t>
    </r>
  </si>
  <si>
    <r>
      <t>Bombay Hook National Wildlife Refuge </t>
    </r>
    <r>
      <rPr>
        <i/>
        <sz val="12"/>
        <color rgb="FF202122"/>
        <rFont val="Arial"/>
        <family val="2"/>
      </rPr>
      <t>P,D</t>
    </r>
  </si>
  <si>
    <r>
      <t>Saratoga National Historical Park </t>
    </r>
    <r>
      <rPr>
        <i/>
        <sz val="12"/>
        <color rgb="FF202122"/>
        <rFont val="Arial"/>
        <family val="2"/>
      </rPr>
      <t>P,D</t>
    </r>
  </si>
  <si>
    <r>
      <t>Sacagawea Mohawk Ironworker </t>
    </r>
    <r>
      <rPr>
        <b/>
        <i/>
        <sz val="12"/>
        <color rgb="FF202122"/>
        <rFont val="Arial"/>
        <family val="2"/>
      </rPr>
      <t>P,D</t>
    </r>
  </si>
  <si>
    <r>
      <t>Harry S. Truman </t>
    </r>
    <r>
      <rPr>
        <b/>
        <i/>
        <sz val="12"/>
        <color rgb="FF202122"/>
        <rFont val="Arial"/>
        <family val="2"/>
      </rPr>
      <t>P,D</t>
    </r>
  </si>
  <si>
    <r>
      <t>Dwight D. Eisenhower </t>
    </r>
    <r>
      <rPr>
        <b/>
        <i/>
        <sz val="12"/>
        <color rgb="FF202122"/>
        <rFont val="Arial"/>
        <family val="2"/>
      </rPr>
      <t>P,D</t>
    </r>
  </si>
  <si>
    <r>
      <t>John F. Kennedy </t>
    </r>
    <r>
      <rPr>
        <b/>
        <i/>
        <sz val="12"/>
        <color rgb="FF202122"/>
        <rFont val="Arial"/>
        <family val="2"/>
      </rPr>
      <t>P,D</t>
    </r>
  </si>
  <si>
    <r>
      <t>Lyndon B. Johnson </t>
    </r>
    <r>
      <rPr>
        <b/>
        <i/>
        <sz val="12"/>
        <color rgb="FF202122"/>
        <rFont val="Arial"/>
        <family val="2"/>
      </rPr>
      <t>P,D</t>
    </r>
  </si>
  <si>
    <r>
      <t>Shawnee National Forest </t>
    </r>
    <r>
      <rPr>
        <i/>
        <sz val="12"/>
        <color rgb="FF202122"/>
        <rFont val="Arial"/>
        <family val="2"/>
      </rPr>
      <t>P,D</t>
    </r>
  </si>
  <si>
    <r>
      <t>Cumberland Gap National Historical Park </t>
    </r>
    <r>
      <rPr>
        <i/>
        <sz val="12"/>
        <color rgb="FF202122"/>
        <rFont val="Arial"/>
        <family val="2"/>
      </rPr>
      <t>P,D</t>
    </r>
  </si>
  <si>
    <r>
      <t>Harpers Ferry National Historical Park </t>
    </r>
    <r>
      <rPr>
        <i/>
        <sz val="12"/>
        <color rgb="FF202122"/>
        <rFont val="Arial"/>
        <family val="2"/>
      </rPr>
      <t>P,D</t>
    </r>
  </si>
  <si>
    <r>
      <t>Theodore Roosevelt National Park </t>
    </r>
    <r>
      <rPr>
        <i/>
        <sz val="12"/>
        <color rgb="FF202122"/>
        <rFont val="Arial"/>
        <family val="2"/>
      </rPr>
      <t>P,D</t>
    </r>
  </si>
  <si>
    <r>
      <t>Fort Moultrie </t>
    </r>
    <r>
      <rPr>
        <i/>
        <sz val="12"/>
        <color rgb="FF202122"/>
        <rFont val="Arial"/>
        <family val="2"/>
      </rPr>
      <t>P,D</t>
    </r>
  </si>
  <si>
    <r>
      <t>Sacagawea Code Talkers </t>
    </r>
    <r>
      <rPr>
        <b/>
        <i/>
        <sz val="12"/>
        <color rgb="FF202122"/>
        <rFont val="Arial"/>
        <family val="2"/>
      </rPr>
      <t>P,D</t>
    </r>
  </si>
  <si>
    <r>
      <t>Richard M. Nixon </t>
    </r>
    <r>
      <rPr>
        <b/>
        <i/>
        <sz val="12"/>
        <color rgb="FF202122"/>
        <rFont val="Arial"/>
        <family val="2"/>
      </rPr>
      <t>P,D</t>
    </r>
  </si>
  <si>
    <r>
      <t>Gerald R. Ford </t>
    </r>
    <r>
      <rPr>
        <b/>
        <i/>
        <sz val="12"/>
        <color rgb="FF202122"/>
        <rFont val="Arial"/>
        <family val="2"/>
      </rPr>
      <t>P,D</t>
    </r>
  </si>
  <si>
    <r>
      <t>Ronald Reagan </t>
    </r>
    <r>
      <rPr>
        <b/>
        <i/>
        <sz val="12"/>
        <color rgb="FF202122"/>
        <rFont val="Arial"/>
        <family val="2"/>
      </rPr>
      <t>P,D</t>
    </r>
  </si>
  <si>
    <r>
      <t>Effigy Mounds National Monument </t>
    </r>
    <r>
      <rPr>
        <i/>
        <sz val="12"/>
        <color rgb="FF202122"/>
        <rFont val="Arial"/>
        <family val="2"/>
      </rPr>
      <t>P,D</t>
    </r>
  </si>
  <si>
    <r>
      <t>Frederick Douglass National Historic Site </t>
    </r>
    <r>
      <rPr>
        <i/>
        <sz val="12"/>
        <color rgb="FF202122"/>
        <rFont val="Arial"/>
        <family val="2"/>
      </rPr>
      <t>P,D</t>
    </r>
  </si>
  <si>
    <r>
      <t>Ozark National Scenic Riverways </t>
    </r>
    <r>
      <rPr>
        <i/>
        <sz val="12"/>
        <color rgb="FF202122"/>
        <rFont val="Arial"/>
        <family val="2"/>
      </rPr>
      <t>P,D</t>
    </r>
  </si>
  <si>
    <r>
      <t>Ellis Island </t>
    </r>
    <r>
      <rPr>
        <i/>
        <sz val="12"/>
        <color rgb="FF202122"/>
        <rFont val="Arial"/>
        <family val="2"/>
      </rPr>
      <t>P,D</t>
    </r>
  </si>
  <si>
    <r>
      <t>George Rogers Clark National Historical Park </t>
    </r>
    <r>
      <rPr>
        <i/>
        <sz val="12"/>
        <color rgb="FF202122"/>
        <rFont val="Arial"/>
        <family val="2"/>
      </rPr>
      <t>P,D</t>
    </r>
  </si>
  <si>
    <r>
      <t>Sacagawea Sequoyah </t>
    </r>
    <r>
      <rPr>
        <b/>
        <i/>
        <sz val="12"/>
        <color rgb="FF202122"/>
        <rFont val="Arial"/>
        <family val="2"/>
      </rPr>
      <t>P,D</t>
    </r>
  </si>
  <si>
    <r>
      <t>Pictured Rocks National Lakeshore </t>
    </r>
    <r>
      <rPr>
        <i/>
        <sz val="12"/>
        <color rgb="FF202122"/>
        <rFont val="Arial"/>
        <family val="2"/>
      </rPr>
      <t>P,D</t>
    </r>
  </si>
  <si>
    <r>
      <t>Apostle Islands National Lakeshore </t>
    </r>
    <r>
      <rPr>
        <i/>
        <sz val="12"/>
        <color rgb="FF202122"/>
        <rFont val="Arial"/>
        <family val="2"/>
      </rPr>
      <t>P,D</t>
    </r>
  </si>
  <si>
    <r>
      <t>Voyageurs National Park </t>
    </r>
    <r>
      <rPr>
        <i/>
        <sz val="12"/>
        <color rgb="FF202122"/>
        <rFont val="Arial"/>
        <family val="2"/>
      </rPr>
      <t>P,D</t>
    </r>
  </si>
  <si>
    <r>
      <t>Cumberland Island National Seashore </t>
    </r>
    <r>
      <rPr>
        <i/>
        <sz val="12"/>
        <color rgb="FF202122"/>
        <rFont val="Arial"/>
        <family val="2"/>
      </rPr>
      <t>P,D</t>
    </r>
  </si>
  <si>
    <r>
      <t>Block Island National Wildlife Refuge </t>
    </r>
    <r>
      <rPr>
        <i/>
        <sz val="12"/>
        <color rgb="FF202122"/>
        <rFont val="Arial"/>
        <family val="2"/>
      </rPr>
      <t>P,D</t>
    </r>
  </si>
  <si>
    <r>
      <t>Sacagawea Jim Thorpe </t>
    </r>
    <r>
      <rPr>
        <b/>
        <i/>
        <sz val="12"/>
        <color rgb="FF202122"/>
        <rFont val="Arial"/>
        <family val="2"/>
      </rPr>
      <t>P,D</t>
    </r>
  </si>
  <si>
    <r>
      <t>(P),D,</t>
    </r>
    <r>
      <rPr>
        <b/>
        <i/>
        <sz val="12"/>
        <color rgb="FF202122"/>
        <rFont val="Arial"/>
        <family val="2"/>
      </rPr>
      <t>W</t>
    </r>
  </si>
  <si>
    <r>
      <t>Lowell National Historical Park </t>
    </r>
    <r>
      <rPr>
        <i/>
        <sz val="12"/>
        <color rgb="FF202122"/>
        <rFont val="Arial"/>
        <family val="2"/>
      </rPr>
      <t>P,D</t>
    </r>
  </si>
  <si>
    <r>
      <t>American Memorial Park </t>
    </r>
    <r>
      <rPr>
        <i/>
        <sz val="12"/>
        <color rgb="FF202122"/>
        <rFont val="Arial"/>
        <family val="2"/>
      </rPr>
      <t>P,D</t>
    </r>
  </si>
  <si>
    <r>
      <t>War in the Pacific National Historical Park </t>
    </r>
    <r>
      <rPr>
        <i/>
        <sz val="12"/>
        <color rgb="FF202122"/>
        <rFont val="Arial"/>
        <family val="2"/>
      </rPr>
      <t>P,D</t>
    </r>
  </si>
  <si>
    <r>
      <t>San Antonio Missions National Historical Park </t>
    </r>
    <r>
      <rPr>
        <i/>
        <sz val="12"/>
        <color rgb="FF202122"/>
        <rFont val="Arial"/>
        <family val="2"/>
      </rPr>
      <t>P,D</t>
    </r>
  </si>
  <si>
    <r>
      <t>Frank Church River of No Return Wilderness </t>
    </r>
    <r>
      <rPr>
        <i/>
        <sz val="12"/>
        <color rgb="FF202122"/>
        <rFont val="Arial"/>
        <family val="2"/>
      </rPr>
      <t>P,D</t>
    </r>
  </si>
  <si>
    <r>
      <t>Sacagawea Mary Golda Ross </t>
    </r>
    <r>
      <rPr>
        <b/>
        <i/>
        <sz val="12"/>
        <color rgb="FF202122"/>
        <rFont val="Arial"/>
        <family val="2"/>
      </rPr>
      <t>P,D</t>
    </r>
  </si>
  <si>
    <r>
      <t>P,D,</t>
    </r>
    <r>
      <rPr>
        <b/>
        <i/>
        <sz val="12"/>
        <color rgb="FF202122"/>
        <rFont val="Arial"/>
        <family val="2"/>
      </rPr>
      <t>(W Never Minted)</t>
    </r>
  </si>
  <si>
    <r>
      <t>National Park </t>
    </r>
    <r>
      <rPr>
        <i/>
        <sz val="12"/>
        <color rgb="FF202122"/>
        <rFont val="Arial"/>
        <family val="2"/>
      </rPr>
      <t>P,D</t>
    </r>
  </si>
  <si>
    <r>
      <t>Weir Farm </t>
    </r>
    <r>
      <rPr>
        <i/>
        <sz val="12"/>
        <color rgb="FF202122"/>
        <rFont val="Arial"/>
        <family val="2"/>
      </rPr>
      <t>P,D</t>
    </r>
  </si>
  <si>
    <r>
      <t>Salt River Bay </t>
    </r>
    <r>
      <rPr>
        <i/>
        <sz val="12"/>
        <color rgb="FF202122"/>
        <rFont val="Arial"/>
        <family val="2"/>
      </rPr>
      <t>P,D</t>
    </r>
  </si>
  <si>
    <r>
      <t>Marsh-Billings-Rockefeller </t>
    </r>
    <r>
      <rPr>
        <i/>
        <sz val="12"/>
        <color rgb="FF202122"/>
        <rFont val="Arial"/>
        <family val="2"/>
      </rPr>
      <t>P,D</t>
    </r>
  </si>
  <si>
    <r>
      <t>Tallgrass Prairie </t>
    </r>
    <r>
      <rPr>
        <i/>
        <sz val="12"/>
        <color rgb="FF202122"/>
        <rFont val="Arial"/>
        <family val="2"/>
      </rPr>
      <t>P,D</t>
    </r>
  </si>
  <si>
    <t>P,D,</t>
  </si>
  <si>
    <r>
      <t>Tuskegee Airmen National Historic Site </t>
    </r>
    <r>
      <rPr>
        <i/>
        <sz val="12"/>
        <color rgb="FF202122"/>
        <rFont val="Arial"/>
        <family val="2"/>
      </rPr>
      <t>P,D</t>
    </r>
  </si>
  <si>
    <r>
      <t>Crossing the Delaware </t>
    </r>
    <r>
      <rPr>
        <i/>
        <sz val="12"/>
        <color rgb="FF202122"/>
        <rFont val="Arial"/>
        <family val="2"/>
      </rPr>
      <t>P,D</t>
    </r>
  </si>
  <si>
    <t>TBD</t>
  </si>
  <si>
    <t>Bicentennial Silver Mint Set (1976)</t>
  </si>
  <si>
    <t>Main article: United States Bicentennial coinage</t>
  </si>
  <si>
    <t>Washington quarter</t>
  </si>
  <si>
    <t>Kennedy half dollar</t>
  </si>
  <si>
    <t>Eisenhower dollar</t>
  </si>
  <si>
    <t>Souvenir Sets</t>
  </si>
  <si>
    <t>Standard set</t>
  </si>
  <si>
    <t>Susan B. Anthony dollar sets</t>
  </si>
  <si>
    <r>
      <t>Starting in 1972, the </t>
    </r>
    <r>
      <rPr>
        <sz val="12"/>
        <color rgb="FF3366CC"/>
        <rFont val="Arial"/>
        <family val="2"/>
      </rPr>
      <t>Denver Mint</t>
    </r>
    <r>
      <rPr>
        <sz val="12"/>
        <color rgb="FF202122"/>
        <rFont val="Arial"/>
        <family val="2"/>
      </rPr>
      <t> started selling Souvenir Sets, and the </t>
    </r>
    <r>
      <rPr>
        <sz val="12"/>
        <color rgb="FF3366CC"/>
        <rFont val="Arial"/>
        <family val="2"/>
      </rPr>
      <t>Philadelphia Mint</t>
    </r>
    <r>
      <rPr>
        <sz val="12"/>
        <color rgb="FF202122"/>
        <rFont val="Arial"/>
        <family val="2"/>
      </rPr>
      <t> did the same in 1973. 
These sets, available in each mints' gift shop following a public tour, contained one example of that mints' 
penny, nickel, dime, quarter, and half dollar, along with a medal featuring an image of its mint. These sets 
were sold until they were discontinued with the launch of the </t>
    </r>
    <r>
      <rPr>
        <sz val="12"/>
        <color rgb="FF3366CC"/>
        <rFont val="Arial"/>
        <family val="2"/>
      </rPr>
      <t>50 State Quarter Program</t>
    </r>
    <r>
      <rPr>
        <sz val="12"/>
        <color rgb="FF202122"/>
        <rFont val="Arial"/>
        <family val="2"/>
      </rPr>
      <t> in 1999.</t>
    </r>
    <r>
      <rPr>
        <vertAlign val="superscript"/>
        <sz val="10"/>
        <color rgb="FF3366CC"/>
        <rFont val="Arial"/>
        <family val="2"/>
      </rPr>
      <t>[8]</t>
    </r>
    <r>
      <rPr>
        <sz val="12"/>
        <color rgb="FF202122"/>
        <rFont val="Arial"/>
        <family val="2"/>
      </rPr>
      <t> Production 
figures were not recorded by the mint, and the sets receive relatively little attention from coin collectors. 
The 1982 and 1983 sets are an exception, though, as no Mint Sets were sold for those years, so these were 
collected instead.</t>
    </r>
  </si>
  <si>
    <r>
      <t>Souvenir Sets containing </t>
    </r>
    <r>
      <rPr>
        <sz val="12"/>
        <color rgb="FF3366CC"/>
        <rFont val="Arial"/>
        <family val="2"/>
      </rPr>
      <t>Susan B. Anthony dollars</t>
    </r>
    <r>
      <rPr>
        <sz val="12"/>
        <color rgb="FF202122"/>
        <rFont val="Arial"/>
        <family val="2"/>
      </rPr>
      <t> from the Philadelphia, 
Denver, and </t>
    </r>
    <r>
      <rPr>
        <sz val="12"/>
        <color rgb="FF3366CC"/>
        <rFont val="Arial"/>
        <family val="2"/>
      </rPr>
      <t>San Francisco Mints</t>
    </r>
    <r>
      <rPr>
        <sz val="12"/>
        <color rgb="FF202122"/>
        <rFont val="Arial"/>
        <family val="2"/>
      </rPr>
      <t> were offered from 1979 through 1981.</t>
    </r>
  </si>
  <si>
    <t>In 1976, the US Mint issued a mint set containing a quarter, half dollar, 
and dollar coin minted in silver. These coins featured special reverse 
designs commemorating the bicentennial of American independence.</t>
  </si>
  <si>
    <t>Book1938JEF-AA</t>
  </si>
  <si>
    <t>Book1940PNY-AG</t>
  </si>
  <si>
    <t>Book1942PNY-AD</t>
  </si>
  <si>
    <t>Book1959PNY--AE</t>
  </si>
  <si>
    <t>Book1999PNY-AH</t>
  </si>
  <si>
    <t>Book1999QTR-AB</t>
  </si>
  <si>
    <t>Book1999QTR-AC</t>
  </si>
  <si>
    <t>Roll2005NIC-AC</t>
  </si>
  <si>
    <t>Roll2005NIC-AB</t>
  </si>
  <si>
    <t>Book1909PNY-AF</t>
  </si>
  <si>
    <t>Roll2004NIC-AD</t>
  </si>
  <si>
    <t>Roll2004NIC-AA</t>
  </si>
  <si>
    <t>Tube2020CNT-BN</t>
  </si>
  <si>
    <t>Tube2020NIC-BL</t>
  </si>
  <si>
    <t>Assorted 1930's Wheat Pennies</t>
  </si>
  <si>
    <t>Assorted 1950's Wheat Pennies</t>
  </si>
  <si>
    <t>Tube1930CNT--AI</t>
  </si>
  <si>
    <t>Tube1950CNT-AT</t>
  </si>
  <si>
    <t>Set2009CNT-AA</t>
  </si>
  <si>
    <t>Set2009CNT-AB</t>
  </si>
  <si>
    <t>Tube1950CNT-AP</t>
  </si>
  <si>
    <t>Tube1950CNT-AQ</t>
  </si>
  <si>
    <t>Assorted 1960's Wheat Pennies</t>
  </si>
  <si>
    <t>Tube1950CNT-AR</t>
  </si>
  <si>
    <t>Tube1950CNT-AS</t>
  </si>
  <si>
    <t>Tube1960CNT-AJ</t>
  </si>
  <si>
    <t>Fugio Cents (1787): Often considered the first official U.S. coin en.numista.com.</t>
  </si>
  <si>
    <t>Half Cents:</t>
  </si>
  <si>
    <t>Liberty Cap Half Cent (1793-1797)</t>
  </si>
  <si>
    <t>Draped Bust Half Cent (1800-1808)</t>
  </si>
  <si>
    <t>Classic Head Half Cent (1809-1836)</t>
  </si>
  <si>
    <t>Braided Hair Half Cent (1840-1857)</t>
  </si>
  <si>
    <t>Cents (Large Cents):</t>
  </si>
  <si>
    <t>Flowing Hair Large Cent (1793-1796)</t>
  </si>
  <si>
    <t>Draped Bust Cent (1796-1807)</t>
  </si>
  <si>
    <t>Classic Head Cent (1808-1814)</t>
  </si>
  <si>
    <t>Coronet Head Cent (1816-1839)</t>
  </si>
  <si>
    <t>Braided Hair Cent (1839-1857)</t>
  </si>
  <si>
    <t>19th Century Additions and Changes</t>
  </si>
  <si>
    <t>Silver Half Dimes (later replaced by Nickels):</t>
  </si>
  <si>
    <t>Bust Half Dime (1792)</t>
  </si>
  <si>
    <t>Flowing Hair Half Dime (1794-1795)</t>
  </si>
  <si>
    <t>Draped Bust Half Dime (1796-1805)</t>
  </si>
  <si>
    <t>Capped Bust Half Dime (1829-1837)</t>
  </si>
  <si>
    <t>Liberty Seated Half Dime (1837-1873)</t>
  </si>
  <si>
    <t>Dimes:</t>
  </si>
  <si>
    <t>Draped Bust Dime (1796-1807)</t>
  </si>
  <si>
    <t>Capped Bust Dime (1809-1837)</t>
  </si>
  <si>
    <t>Liberty Seated Dime (1837-1891)</t>
  </si>
  <si>
    <t>Barber Dime (1892-1916)</t>
  </si>
  <si>
    <t>Quarters:</t>
  </si>
  <si>
    <t>Draped Bust Quarter (1796-1807)</t>
  </si>
  <si>
    <t>Capped Bust Quarter (1815-1838)</t>
  </si>
  <si>
    <t>Liberty Seated Quarter (1838-1891)</t>
  </si>
  <si>
    <t>Barber Quarter (1892-1916)</t>
  </si>
  <si>
    <t>Half Dollars:</t>
  </si>
  <si>
    <t>Flowing Hair Half Dollar (1794-1795)</t>
  </si>
  <si>
    <t>Draped Bust Half Dollar (1796-1807)</t>
  </si>
  <si>
    <t>Capped Bust Half Dollar (1807-1839)</t>
  </si>
  <si>
    <t>Liberty Seated Half Dollar (1839-1891)</t>
  </si>
  <si>
    <t>Barber Half Dollar (1892-1915)</t>
  </si>
  <si>
    <t>Dollars (Silver):</t>
  </si>
  <si>
    <t>Flowing Hair Dollar (1794-1795)</t>
  </si>
  <si>
    <t>Draped Bust Dollar (1795-1804)</t>
  </si>
  <si>
    <t>Liberty Seated Dollar (1840-1873)</t>
  </si>
  <si>
    <t>Trade Dollar (1873-1885)</t>
  </si>
  <si>
    <t>Morgan Dollar (1878-1921)</t>
  </si>
  <si>
    <t>Two Cents (1864-1873) en.numista.com</t>
  </si>
  <si>
    <t>Three Cents:</t>
  </si>
  <si>
    <t>Three Cent Silver (1851-1873)</t>
  </si>
  <si>
    <t>Three Cent Nickel (1865-1889)</t>
  </si>
  <si>
    <t>Nickels:</t>
  </si>
  <si>
    <t>Shield Nickel (1866-1883)</t>
  </si>
  <si>
    <t>Liberty Nickel (1883-1913)</t>
  </si>
  <si>
    <t>Buffalo Nickel (1913-1938)</t>
  </si>
  <si>
    <t>Gold Coins: Various denominations like gold dollar, quarter eagle ($2.50), half eagle ($5), and eagle ($10) were issued en.numista.com.</t>
  </si>
  <si>
    <t>20th Century to Present</t>
  </si>
  <si>
    <t>Cents:</t>
  </si>
  <si>
    <t>Flying Eagle Cent (1856-1858)</t>
  </si>
  <si>
    <t>Indian Cent (1859-1909)</t>
  </si>
  <si>
    <t>Lincoln Cent (Wheat Reverse) (1909-1958)</t>
  </si>
  <si>
    <t>Lincoln Cent (Modern) (1959-date)</t>
  </si>
  <si>
    <t>Mercury Dime (1916-1945)</t>
  </si>
  <si>
    <t>Roosevelt Dime (1946-date)</t>
  </si>
  <si>
    <t>Standing Liberty Quarter (1916-1930)</t>
  </si>
  <si>
    <t>Washington Quarter (1932-date), including the 50 State Quarters Program and America the Beautiful Quarters Program.</t>
  </si>
  <si>
    <t>Walking Liberty Half Dollar (1916-1947)</t>
  </si>
  <si>
    <t>Franklin Half Dollar (1948-1963)</t>
  </si>
  <si>
    <t>Kennedy Half Dollar (1964-date)</t>
  </si>
  <si>
    <t>Dollars (Modern Circulating):</t>
  </si>
  <si>
    <t>Peace Dollar (1921-1935)</t>
  </si>
  <si>
    <t>Eisenhower Dollar (1971-1978)</t>
  </si>
  <si>
    <t>Susan B. Anthony Dollar (1979-1981, 1999)</t>
  </si>
  <si>
    <t>Sacagawea Dollar (2000-date)</t>
  </si>
  <si>
    <t>Presidential Dollars (2007-2016, 2020)</t>
  </si>
  <si>
    <t>Innovation Dollars (2018-date)</t>
  </si>
  <si>
    <t>Jefferson Nickel (1938-date)</t>
  </si>
  <si>
    <t>HCT</t>
  </si>
  <si>
    <t>LCH</t>
  </si>
  <si>
    <t>CHC</t>
  </si>
  <si>
    <t>DBH</t>
  </si>
  <si>
    <t>BHH</t>
  </si>
  <si>
    <t>FHL</t>
  </si>
  <si>
    <t>DBC</t>
  </si>
  <si>
    <t>BHC</t>
  </si>
  <si>
    <t>SHD</t>
  </si>
  <si>
    <t>BHD</t>
  </si>
  <si>
    <t>FHD</t>
  </si>
  <si>
    <t>DBD</t>
  </si>
  <si>
    <t>CBD</t>
  </si>
  <si>
    <t>LSD</t>
  </si>
  <si>
    <t>BRD</t>
  </si>
  <si>
    <t>DBQ</t>
  </si>
  <si>
    <t>CBQ</t>
  </si>
  <si>
    <t>LSQ</t>
  </si>
  <si>
    <t>BRQ</t>
  </si>
  <si>
    <t>FHH</t>
  </si>
  <si>
    <t>CBH</t>
  </si>
  <si>
    <t>SLH</t>
  </si>
  <si>
    <t>BRH</t>
  </si>
  <si>
    <t>TDD</t>
  </si>
  <si>
    <t>TCC</t>
  </si>
  <si>
    <t>TCS</t>
  </si>
  <si>
    <t>TCN</t>
  </si>
  <si>
    <t>FEC</t>
  </si>
  <si>
    <t>MER</t>
  </si>
  <si>
    <t>SLQ</t>
  </si>
  <si>
    <t>COC</t>
  </si>
  <si>
    <t>Equal to and Greater than Value</t>
  </si>
  <si>
    <t xml:space="preserve">Enter Coin DESC --&gt;  </t>
  </si>
  <si>
    <t>Types</t>
  </si>
  <si>
    <t>Memorial Penney</t>
  </si>
  <si>
    <t>Entire List</t>
  </si>
  <si>
    <t>Address</t>
  </si>
  <si>
    <r>
      <t xml:space="preserve">{Omit the </t>
    </r>
    <r>
      <rPr>
        <b/>
        <sz val="10"/>
        <color rgb="FFFF0000"/>
        <rFont val="Arial"/>
        <family val="2"/>
      </rPr>
      <t>YEAR</t>
    </r>
    <r>
      <rPr>
        <sz val="10"/>
        <rFont val="Arial"/>
        <family val="2"/>
      </rPr>
      <t xml:space="preserve"> to show all records of the above</t>
    </r>
    <r>
      <rPr>
        <b/>
        <sz val="10"/>
        <rFont val="Arial"/>
        <family val="2"/>
      </rPr>
      <t xml:space="preserve"> </t>
    </r>
    <r>
      <rPr>
        <b/>
        <sz val="10"/>
        <color rgb="FFFF0000"/>
        <rFont val="Arial"/>
        <family val="2"/>
      </rPr>
      <t>TYPE</t>
    </r>
    <r>
      <rPr>
        <b/>
        <sz val="10"/>
        <rFont val="Arial"/>
        <family val="2"/>
      </rPr>
      <t>}</t>
    </r>
  </si>
  <si>
    <t>ROS1990DIM-AB</t>
  </si>
  <si>
    <t>ROS1990DIM-AC</t>
  </si>
  <si>
    <t>ROS2020DIM-AD</t>
  </si>
  <si>
    <t>WSH1979QTR-AA</t>
  </si>
  <si>
    <t>WSH2003QTR-AA</t>
  </si>
  <si>
    <t>Alabama</t>
  </si>
  <si>
    <t>WSH2020QTR-AA</t>
  </si>
  <si>
    <t>Salt River Bay</t>
  </si>
  <si>
    <t xml:space="preserve"> &lt;-- Record Count</t>
  </si>
  <si>
    <t>SLD2018CNT-AN</t>
  </si>
  <si>
    <t>SLD2018CNT-AM</t>
  </si>
  <si>
    <t>Chk</t>
  </si>
  <si>
    <t>Chk1</t>
  </si>
  <si>
    <t>Year1</t>
  </si>
  <si>
    <t>Chk2</t>
  </si>
  <si>
    <t>Year2</t>
  </si>
  <si>
    <t>1872</t>
  </si>
  <si>
    <t>1873</t>
  </si>
  <si>
    <t>1874</t>
  </si>
  <si>
    <t>1875</t>
  </si>
  <si>
    <t>1876</t>
  </si>
  <si>
    <t>1877</t>
  </si>
  <si>
    <t>1878</t>
  </si>
  <si>
    <t>1879</t>
  </si>
  <si>
    <t>1894</t>
  </si>
  <si>
    <t>1880</t>
  </si>
  <si>
    <t>1895</t>
  </si>
  <si>
    <t>1881</t>
  </si>
  <si>
    <t>1908-S</t>
  </si>
  <si>
    <t>1882</t>
  </si>
  <si>
    <t>1898</t>
  </si>
  <si>
    <t>1909-S</t>
  </si>
  <si>
    <t>-</t>
  </si>
  <si>
    <t>Coins Needed</t>
  </si>
  <si>
    <t xml:space="preserve">In Collection  </t>
  </si>
  <si>
    <t>Chk3</t>
  </si>
  <si>
    <t>Year3</t>
  </si>
  <si>
    <t>Chk4</t>
  </si>
  <si>
    <t>Year4</t>
  </si>
  <si>
    <t>Chk5</t>
  </si>
  <si>
    <t>Year5</t>
  </si>
  <si>
    <t>Chk6</t>
  </si>
  <si>
    <t>Year6</t>
  </si>
  <si>
    <t>Chk7</t>
  </si>
  <si>
    <t>Year7</t>
  </si>
  <si>
    <t>Chk8</t>
  </si>
  <si>
    <t>Year8</t>
  </si>
  <si>
    <t xml:space="preserve"> 1923-S</t>
  </si>
  <si>
    <t xml:space="preserve"> 1952</t>
  </si>
  <si>
    <t xml:space="preserve"> 1982 Copper LG Date</t>
  </si>
  <si>
    <t xml:space="preserve"> 1952-D</t>
  </si>
  <si>
    <t xml:space="preserve"> 1982 Copper SM Date</t>
  </si>
  <si>
    <t xml:space="preserve"> 1994-D</t>
  </si>
  <si>
    <t>1909-S VDB</t>
  </si>
  <si>
    <t xml:space="preserve"> 1924-D</t>
  </si>
  <si>
    <t xml:space="preserve"> 1952-S</t>
  </si>
  <si>
    <t xml:space="preserve"> 1982-D Copper LG Date</t>
  </si>
  <si>
    <t xml:space="preserve"> 2008-D</t>
  </si>
  <si>
    <t xml:space="preserve"> 1953</t>
  </si>
  <si>
    <t xml:space="preserve"> 1982 Zinc LG Date</t>
  </si>
  <si>
    <t>1912-S</t>
  </si>
  <si>
    <t xml:space="preserve"> 1953-D</t>
  </si>
  <si>
    <t xml:space="preserve"> 1970-S SM Date</t>
  </si>
  <si>
    <t xml:space="preserve"> 1982 Zinc SM Date</t>
  </si>
  <si>
    <t xml:space="preserve"> 1995-D</t>
  </si>
  <si>
    <t>Bicentennial</t>
  </si>
  <si>
    <t>1910-S</t>
  </si>
  <si>
    <t xml:space="preserve"> 1953-S</t>
  </si>
  <si>
    <t xml:space="preserve"> 1970-S LG Date</t>
  </si>
  <si>
    <t xml:space="preserve"> 1982-D Zinc LG Date</t>
  </si>
  <si>
    <t xml:space="preserve"> 1995-S Proof</t>
  </si>
  <si>
    <t>Birthplace</t>
  </si>
  <si>
    <t xml:space="preserve"> 1954</t>
  </si>
  <si>
    <t xml:space="preserve"> 1982-D Zinc SM Date</t>
  </si>
  <si>
    <t>1911-D</t>
  </si>
  <si>
    <t xml:space="preserve"> 1954-D</t>
  </si>
  <si>
    <t xml:space="preserve"> 1982-S Proof</t>
  </si>
  <si>
    <t xml:space="preserve"> 1996-D</t>
  </si>
  <si>
    <t>1922-P</t>
  </si>
  <si>
    <t>1911-S</t>
  </si>
  <si>
    <t xml:space="preserve"> 1954-S</t>
  </si>
  <si>
    <t xml:space="preserve"> 1996-S Proof</t>
  </si>
  <si>
    <t xml:space="preserve"> 1955</t>
  </si>
  <si>
    <t xml:space="preserve"> 1983-D</t>
  </si>
  <si>
    <t xml:space="preserve"> 1955-D</t>
  </si>
  <si>
    <t xml:space="preserve"> 1983-S Proof</t>
  </si>
  <si>
    <t xml:space="preserve"> 1997-D</t>
  </si>
  <si>
    <t xml:space="preserve"> 1931-S</t>
  </si>
  <si>
    <t xml:space="preserve"> 1972-S Proof</t>
  </si>
  <si>
    <t xml:space="preserve"> 1997-S Proof</t>
  </si>
  <si>
    <t xml:space="preserve"> 2019-W*</t>
  </si>
  <si>
    <t xml:space="preserve"> 1956</t>
  </si>
  <si>
    <t xml:space="preserve"> 1973</t>
  </si>
  <si>
    <t xml:space="preserve"> 1984-D</t>
  </si>
  <si>
    <t xml:space="preserve"> 2019-W Proof**</t>
  </si>
  <si>
    <t xml:space="preserve"> 1935-D</t>
  </si>
  <si>
    <t xml:space="preserve"> 1956-D</t>
  </si>
  <si>
    <t xml:space="preserve"> 1973-D</t>
  </si>
  <si>
    <t xml:space="preserve"> 1984-S Proof</t>
  </si>
  <si>
    <t xml:space="preserve"> 1998-D</t>
  </si>
  <si>
    <t xml:space="preserve"> 2019-W Rev Proof**</t>
  </si>
  <si>
    <t xml:space="preserve"> 1960 LG Date</t>
  </si>
  <si>
    <t xml:space="preserve"> 1957</t>
  </si>
  <si>
    <t xml:space="preserve"> 1973-S Proof</t>
  </si>
  <si>
    <t xml:space="preserve"> 1998-S Proof</t>
  </si>
  <si>
    <t xml:space="preserve"> 1960-D LG Date</t>
  </si>
  <si>
    <t xml:space="preserve"> 1974</t>
  </si>
  <si>
    <t xml:space="preserve"> 1985-D</t>
  </si>
  <si>
    <t xml:space="preserve"> 1974-D</t>
  </si>
  <si>
    <t xml:space="preserve"> 1985-S Proof</t>
  </si>
  <si>
    <t xml:space="preserve"> 1974-S Proof</t>
  </si>
  <si>
    <t>Presidency</t>
  </si>
  <si>
    <t xml:space="preserve"> 1979-S Proof Clear S</t>
  </si>
  <si>
    <t xml:space="preserve"> 1986-D</t>
  </si>
  <si>
    <t xml:space="preserve"> 2021-D</t>
  </si>
  <si>
    <t xml:space="preserve"> 1981-S Proof Clear S</t>
  </si>
  <si>
    <t xml:space="preserve"> 1986-S Proof</t>
  </si>
  <si>
    <t xml:space="preserve"> 2021-S Proof</t>
  </si>
  <si>
    <t xml:space="preserve"> 1976</t>
  </si>
  <si>
    <t xml:space="preserve"> 1987-D</t>
  </si>
  <si>
    <t>Shield</t>
  </si>
  <si>
    <t xml:space="preserve"> 1976-D</t>
  </si>
  <si>
    <t xml:space="preserve"> 1987-S Proof</t>
  </si>
  <si>
    <t xml:space="preserve"> 1976-S Proof</t>
  </si>
  <si>
    <t xml:space="preserve"> 1946-D</t>
  </si>
  <si>
    <t xml:space="preserve"> 1977</t>
  </si>
  <si>
    <t xml:space="preserve"> 1988-D</t>
  </si>
  <si>
    <t xml:space="preserve"> 1946-S</t>
  </si>
  <si>
    <t xml:space="preserve"> 1977-D</t>
  </si>
  <si>
    <t xml:space="preserve"> 1988-S Proof</t>
  </si>
  <si>
    <t xml:space="preserve"> 1947</t>
  </si>
  <si>
    <t xml:space="preserve"> 1977-S Proof</t>
  </si>
  <si>
    <t xml:space="preserve"> 1947-D</t>
  </si>
  <si>
    <t xml:space="preserve"> 1978</t>
  </si>
  <si>
    <t xml:space="preserve"> 1989-D</t>
  </si>
  <si>
    <t xml:space="preserve"> 1947-S</t>
  </si>
  <si>
    <t xml:space="preserve"> 1978-D</t>
  </si>
  <si>
    <t xml:space="preserve"> 1989-S Proof</t>
  </si>
  <si>
    <t xml:space="preserve"> 1948</t>
  </si>
  <si>
    <t xml:space="preserve"> 1978-S Proof</t>
  </si>
  <si>
    <t xml:space="preserve"> 2025</t>
  </si>
  <si>
    <t xml:space="preserve"> 1948-D</t>
  </si>
  <si>
    <t xml:space="preserve"> 1979</t>
  </si>
  <si>
    <t xml:space="preserve"> 1990-D</t>
  </si>
  <si>
    <t xml:space="preserve"> 2025-D</t>
  </si>
  <si>
    <t xml:space="preserve"> 1948-S</t>
  </si>
  <si>
    <t xml:space="preserve"> 1979-D</t>
  </si>
  <si>
    <t xml:space="preserve"> 1990-S Proof</t>
  </si>
  <si>
    <t xml:space="preserve"> 2025-S Proof</t>
  </si>
  <si>
    <t xml:space="preserve"> 1949</t>
  </si>
  <si>
    <t xml:space="preserve"> 1949-D</t>
  </si>
  <si>
    <t xml:space="preserve"> 1991-D</t>
  </si>
  <si>
    <t xml:space="preserve"> 1991-S Proof</t>
  </si>
  <si>
    <t xml:space="preserve"> 1950</t>
  </si>
  <si>
    <t xml:space="preserve"> 1980-D</t>
  </si>
  <si>
    <t xml:space="preserve"> 1950-D</t>
  </si>
  <si>
    <t xml:space="preserve"> 1980-S Proof</t>
  </si>
  <si>
    <t xml:space="preserve"> 1992-D</t>
  </si>
  <si>
    <t xml:space="preserve"> 1950-S</t>
  </si>
  <si>
    <t xml:space="preserve"> 1992-S Proof</t>
  </si>
  <si>
    <t>1922-D</t>
  </si>
  <si>
    <t xml:space="preserve"> 1951</t>
  </si>
  <si>
    <t xml:space="preserve"> 1981-D</t>
  </si>
  <si>
    <t xml:space="preserve"> 1951-D</t>
  </si>
  <si>
    <t xml:space="preserve"> 1993-D</t>
  </si>
  <si>
    <t xml:space="preserve"> 1951-S</t>
  </si>
  <si>
    <t xml:space="preserve"> 1993-S Proof</t>
  </si>
  <si>
    <t>Column2</t>
  </si>
  <si>
    <t>Column22</t>
  </si>
  <si>
    <t>Column3</t>
  </si>
  <si>
    <t>"V" Nickels Needed</t>
  </si>
  <si>
    <t>1883 No Cents</t>
  </si>
  <si>
    <t>Column32</t>
  </si>
  <si>
    <t>Column4</t>
  </si>
  <si>
    <t>Column5</t>
  </si>
  <si>
    <t>Column7</t>
  </si>
  <si>
    <t>Column8</t>
  </si>
  <si>
    <t>Column6</t>
  </si>
  <si>
    <t>1913 Variety 1</t>
  </si>
  <si>
    <t>1913 Variety 2</t>
  </si>
  <si>
    <t>1913-D Variety 1</t>
  </si>
  <si>
    <t>1913-D Variety 2</t>
  </si>
  <si>
    <t>1913-S Variety 1</t>
  </si>
  <si>
    <t>1913-S Variety 2*</t>
  </si>
  <si>
    <t>Nickels Needed</t>
  </si>
  <si>
    <t>2026-P</t>
  </si>
  <si>
    <t>2026-D</t>
  </si>
  <si>
    <t>2026-S</t>
  </si>
  <si>
    <t>Years</t>
  </si>
  <si>
    <t>Years1</t>
  </si>
  <si>
    <t>Years2</t>
  </si>
  <si>
    <t>Years3</t>
  </si>
  <si>
    <t>Years4</t>
  </si>
  <si>
    <t>Years5</t>
  </si>
  <si>
    <t>Years6</t>
  </si>
  <si>
    <t>Kennedy Halves Needed</t>
  </si>
  <si>
    <t>90% Silver</t>
  </si>
  <si>
    <t>Eagle Reverse Resumed</t>
  </si>
  <si>
    <t> 1977</t>
  </si>
  <si>
    <t>Silver Clad</t>
  </si>
  <si>
    <t>Copper-Nickel Clad</t>
  </si>
  <si>
    <t>Mint Mark Key:</t>
  </si>
  <si>
    <t>• Philadelphia – No Mint Mark or P</t>
  </si>
  <si>
    <t>• Denver – D</t>
  </si>
  <si>
    <t>• San Francisco – S</t>
  </si>
  <si>
    <t>Franklin Halves Needed</t>
  </si>
  <si>
    <t>1957 Proof</t>
  </si>
  <si>
    <t>1951 Proof</t>
  </si>
  <si>
    <t>1961 Proof</t>
  </si>
  <si>
    <t>1954 Proof</t>
  </si>
  <si>
    <t>1958 Proof</t>
  </si>
  <si>
    <t>1952 Proof</t>
  </si>
  <si>
    <t>1955 Proof</t>
  </si>
  <si>
    <t>1962 Proof</t>
  </si>
  <si>
    <t>1959 Proof</t>
  </si>
  <si>
    <t>1950 Proof</t>
  </si>
  <si>
    <t>1956 Proof</t>
  </si>
  <si>
    <t>1963 Proof</t>
  </si>
  <si>
    <t>1953 Proof</t>
  </si>
  <si>
    <t>1960 Proof</t>
  </si>
  <si>
    <t>Column9</t>
  </si>
  <si>
    <t>Column10</t>
  </si>
  <si>
    <t>Column11</t>
  </si>
  <si>
    <t xml:space="preserve"> 1982-D</t>
  </si>
  <si>
    <t xml:space="preserve"> 1992-S Silver Proof</t>
  </si>
  <si>
    <t xml:space="preserve"> 1993-P</t>
  </si>
  <si>
    <t xml:space="preserve"> 1983-P</t>
  </si>
  <si>
    <t xml:space="preserve"> 1993-S Silver Proof</t>
  </si>
  <si>
    <t xml:space="preserve"> 1984-P</t>
  </si>
  <si>
    <t xml:space="preserve"> 1994-P</t>
  </si>
  <si>
    <t>Bicentennial Coinage</t>
  </si>
  <si>
    <t xml:space="preserve"> 1994-S Proof</t>
  </si>
  <si>
    <t xml:space="preserve"> 1985-P</t>
  </si>
  <si>
    <t xml:space="preserve"> 1994-S Silver Proof</t>
  </si>
  <si>
    <t xml:space="preserve"> 1995-P</t>
  </si>
  <si>
    <t xml:space="preserve"> 1986-P</t>
  </si>
  <si>
    <t xml:space="preserve"> 1995-S Silver Proof</t>
  </si>
  <si>
    <t xml:space="preserve"> 1996-P</t>
  </si>
  <si>
    <t xml:space="preserve"> 1987-P</t>
  </si>
  <si>
    <t xml:space="preserve"> 1996-S Silver Proof</t>
  </si>
  <si>
    <t xml:space="preserve"> 1988-P</t>
  </si>
  <si>
    <t xml:space="preserve"> 1997-P</t>
  </si>
  <si>
    <t>1968-S Proof</t>
  </si>
  <si>
    <t xml:space="preserve"> 1989-P</t>
  </si>
  <si>
    <t xml:space="preserve"> 1997-S Silver Proof</t>
  </si>
  <si>
    <t xml:space="preserve"> 1998-P</t>
  </si>
  <si>
    <t>1969-S Proof</t>
  </si>
  <si>
    <t xml:space="preserve"> 1990-P</t>
  </si>
  <si>
    <t xml:space="preserve"> 1980-P</t>
  </si>
  <si>
    <t xml:space="preserve"> 1998-S Silver Proof</t>
  </si>
  <si>
    <t>General George Washington</t>
  </si>
  <si>
    <t>1970-S Proof</t>
  </si>
  <si>
    <t xml:space="preserve"> 1991-P</t>
  </si>
  <si>
    <t>Crossing the Delaware</t>
  </si>
  <si>
    <t xml:space="preserve"> 1981-P</t>
  </si>
  <si>
    <t xml:space="preserve"> 2021-P</t>
  </si>
  <si>
    <t xml:space="preserve"> 1992-P</t>
  </si>
  <si>
    <t xml:space="preserve"> 1982-P</t>
  </si>
  <si>
    <t xml:space="preserve"> 2021-S Silver Proof</t>
  </si>
  <si>
    <t>Mint Mark Key: • Philadelphia – No Mint Mark or P</t>
  </si>
  <si>
    <t>Clad</t>
  </si>
  <si>
    <t>• West Point – W</t>
  </si>
  <si>
    <t>Column42</t>
  </si>
  <si>
    <t xml:space="preserve">  </t>
  </si>
  <si>
    <t>Ck1</t>
  </si>
  <si>
    <t>Ck2</t>
  </si>
  <si>
    <t>Date2</t>
  </si>
  <si>
    <t>Ck3</t>
  </si>
  <si>
    <t>Date3</t>
  </si>
  <si>
    <t>Ck4</t>
  </si>
  <si>
    <t>Date4</t>
  </si>
  <si>
    <t>Ck5</t>
  </si>
  <si>
    <t>Date5</t>
  </si>
  <si>
    <t>Descri[tion</t>
  </si>
  <si>
    <t>Ck6</t>
  </si>
  <si>
    <t>Date6</t>
  </si>
  <si>
    <t>2026 S</t>
  </si>
  <si>
    <t>Pennies Needed</t>
  </si>
  <si>
    <t>Lincoln Penny</t>
  </si>
  <si>
    <t>Memorial Penny</t>
  </si>
  <si>
    <t>1955-S</t>
  </si>
  <si>
    <t>1960 SM Date</t>
  </si>
  <si>
    <t>1960 LG Date</t>
  </si>
  <si>
    <t>1960-D SM Date</t>
  </si>
  <si>
    <t>1960-D LG Date</t>
  </si>
  <si>
    <t>Penny</t>
  </si>
  <si>
    <t>Steel Penny</t>
  </si>
  <si>
    <t>1930-D</t>
  </si>
  <si>
    <t>1931-D</t>
  </si>
  <si>
    <t>1932-D</t>
  </si>
  <si>
    <t>1933-D</t>
  </si>
  <si>
    <t>1943 Steel Penny</t>
  </si>
  <si>
    <t>1943-D Steel Penny</t>
  </si>
  <si>
    <t>1943-S Steel Penny</t>
  </si>
  <si>
    <t>1950-S</t>
  </si>
  <si>
    <t>1970-S SM Date</t>
  </si>
  <si>
    <t>1970-S LG Date</t>
  </si>
  <si>
    <t>1979-S Proof Filled S</t>
  </si>
  <si>
    <t>1979-S Proof Clear S</t>
  </si>
  <si>
    <t>1981-S Proof Filled S</t>
  </si>
  <si>
    <t>1981-S Proof Clear S</t>
  </si>
  <si>
    <t>1982 Copper LG Date</t>
  </si>
  <si>
    <t>1982 Copper SM Date</t>
  </si>
  <si>
    <t>1982-D Copper LG Date</t>
  </si>
  <si>
    <t>1982 Zinc LG Date</t>
  </si>
  <si>
    <t>1982 Zinc SM Date</t>
  </si>
  <si>
    <t>1982-D Zinc LG Date</t>
  </si>
  <si>
    <t>1982-D Zinc SM Date</t>
  </si>
  <si>
    <t>2019-W*</t>
  </si>
  <si>
    <t>2019-W Proof**</t>
  </si>
  <si>
    <t>2019-W Rev Proof**</t>
  </si>
  <si>
    <t>2021-S Proof</t>
  </si>
  <si>
    <t>2022-S Proof</t>
  </si>
  <si>
    <t>2023-S Proof</t>
  </si>
  <si>
    <t>2024-S Proof</t>
  </si>
  <si>
    <t>2025-S Proof</t>
  </si>
  <si>
    <t>Shield Penny</t>
  </si>
  <si>
    <t>Buffalo Nickel</t>
  </si>
  <si>
    <t>1921-D</t>
  </si>
  <si>
    <t>1942 2 over 1</t>
  </si>
  <si>
    <t>1942-D 2 over 1</t>
  </si>
  <si>
    <t>1945-S Micro S</t>
  </si>
  <si>
    <t xml:space="preserve"> 1949-S</t>
  </si>
  <si>
    <t xml:space="preserve"> 1955-S</t>
  </si>
  <si>
    <t xml:space="preserve"> 1957-D</t>
  </si>
  <si>
    <t xml:space="preserve"> 1958</t>
  </si>
  <si>
    <t xml:space="preserve"> 1958-D</t>
  </si>
  <si>
    <t xml:space="preserve"> 1959</t>
  </si>
  <si>
    <t xml:space="preserve"> 1959-D</t>
  </si>
  <si>
    <t xml:space="preserve"> 1960</t>
  </si>
  <si>
    <t xml:space="preserve"> 1960-D</t>
  </si>
  <si>
    <t xml:space="preserve"> 1961</t>
  </si>
  <si>
    <t xml:space="preserve"> 1961-D</t>
  </si>
  <si>
    <t xml:space="preserve"> 1962</t>
  </si>
  <si>
    <t xml:space="preserve"> 1962-D</t>
  </si>
  <si>
    <t xml:space="preserve"> 1963</t>
  </si>
  <si>
    <t xml:space="preserve"> 1963-D</t>
  </si>
  <si>
    <t xml:space="preserve"> 1964</t>
  </si>
  <si>
    <t xml:space="preserve"> 1964-D</t>
  </si>
  <si>
    <t xml:space="preserve"> 1965</t>
  </si>
  <si>
    <t xml:space="preserve"> 1966</t>
  </si>
  <si>
    <t xml:space="preserve"> 1967</t>
  </si>
  <si>
    <t xml:space="preserve"> 1968</t>
  </si>
  <si>
    <t xml:space="preserve"> 1968-D</t>
  </si>
  <si>
    <t xml:space="preserve"> 1968-S Proof</t>
  </si>
  <si>
    <t xml:space="preserve"> 1969</t>
  </si>
  <si>
    <t xml:space="preserve"> 1969-D</t>
  </si>
  <si>
    <t xml:space="preserve"> 1969-S Proof</t>
  </si>
  <si>
    <t xml:space="preserve"> 1970</t>
  </si>
  <si>
    <t xml:space="preserve"> 1970-D</t>
  </si>
  <si>
    <t xml:space="preserve"> 1970-S Proof</t>
  </si>
  <si>
    <t xml:space="preserve"> 1971</t>
  </si>
  <si>
    <t xml:space="preserve"> 1971-D</t>
  </si>
  <si>
    <t xml:space="preserve"> 1971-S Proof</t>
  </si>
  <si>
    <t xml:space="preserve"> 1972</t>
  </si>
  <si>
    <t xml:space="preserve"> 1972-D</t>
  </si>
  <si>
    <t xml:space="preserve"> 1975</t>
  </si>
  <si>
    <t xml:space="preserve"> 1975-D</t>
  </si>
  <si>
    <t xml:space="preserve"> 1975-S Proof</t>
  </si>
  <si>
    <t xml:space="preserve"> 1979-S Proof, Filled “S”</t>
  </si>
  <si>
    <t xml:space="preserve"> 1979-S Proof, Clear “S”</t>
  </si>
  <si>
    <t xml:space="preserve"> 1981-S Proof, Filled “S”</t>
  </si>
  <si>
    <t xml:space="preserve"> 1981-S Proof, Clear “S”</t>
  </si>
  <si>
    <t xml:space="preserve"> 1996-W*</t>
  </si>
  <si>
    <t xml:space="preserve"> 1999-P</t>
  </si>
  <si>
    <t xml:space="preserve"> 1999-D</t>
  </si>
  <si>
    <t xml:space="preserve"> 1999-S Proof</t>
  </si>
  <si>
    <t xml:space="preserve"> 1999-S Silver Proof</t>
  </si>
  <si>
    <t xml:space="preserve"> 2000-P</t>
  </si>
  <si>
    <t xml:space="preserve"> 2000-D</t>
  </si>
  <si>
    <t xml:space="preserve"> 2000-S Proof</t>
  </si>
  <si>
    <t xml:space="preserve"> 2000-S Silver Proof</t>
  </si>
  <si>
    <t xml:space="preserve"> 2001-P</t>
  </si>
  <si>
    <t xml:space="preserve"> 2001-D</t>
  </si>
  <si>
    <t xml:space="preserve"> 2001-S Proof</t>
  </si>
  <si>
    <t xml:space="preserve"> 2001-S Silver Proof</t>
  </si>
  <si>
    <t xml:space="preserve"> 2002-P</t>
  </si>
  <si>
    <t xml:space="preserve"> 2002-D</t>
  </si>
  <si>
    <t xml:space="preserve"> 2002-S Proof</t>
  </si>
  <si>
    <t xml:space="preserve"> 2002-S Silver Proof</t>
  </si>
  <si>
    <t xml:space="preserve"> 2003-P</t>
  </si>
  <si>
    <t xml:space="preserve"> 2003-D</t>
  </si>
  <si>
    <t xml:space="preserve"> 2003-S Proof</t>
  </si>
  <si>
    <t xml:space="preserve"> 2003-S Silver Proof</t>
  </si>
  <si>
    <t xml:space="preserve"> 2004-P</t>
  </si>
  <si>
    <t xml:space="preserve"> 2004-D</t>
  </si>
  <si>
    <t xml:space="preserve"> 2004-S Proof</t>
  </si>
  <si>
    <t xml:space="preserve"> 2004-S Silver Proof</t>
  </si>
  <si>
    <t xml:space="preserve"> 2005-P</t>
  </si>
  <si>
    <t xml:space="preserve"> 2005-D</t>
  </si>
  <si>
    <t xml:space="preserve"> 2005-S Proof</t>
  </si>
  <si>
    <t xml:space="preserve"> 2005-S Silver Proof</t>
  </si>
  <si>
    <t xml:space="preserve"> 2006-P</t>
  </si>
  <si>
    <t xml:space="preserve"> 2006-D</t>
  </si>
  <si>
    <t xml:space="preserve"> 2006-S Proof</t>
  </si>
  <si>
    <t xml:space="preserve"> 2006-S Silver Proof</t>
  </si>
  <si>
    <t xml:space="preserve"> 2007-P</t>
  </si>
  <si>
    <t xml:space="preserve"> 2007-D</t>
  </si>
  <si>
    <t xml:space="preserve"> 2007-S Proof</t>
  </si>
  <si>
    <t xml:space="preserve"> 2007-S Silver Proof</t>
  </si>
  <si>
    <t xml:space="preserve"> 2008-P</t>
  </si>
  <si>
    <t xml:space="preserve"> 2008-S Proof</t>
  </si>
  <si>
    <t xml:space="preserve"> 2008-S Silver Proof</t>
  </si>
  <si>
    <t xml:space="preserve"> 2009-P</t>
  </si>
  <si>
    <t xml:space="preserve"> 2009-D</t>
  </si>
  <si>
    <t xml:space="preserve"> 2009-S Proof</t>
  </si>
  <si>
    <t xml:space="preserve"> 2009-S Silver Proof</t>
  </si>
  <si>
    <t xml:space="preserve"> 2010-P</t>
  </si>
  <si>
    <t xml:space="preserve"> 2010-D</t>
  </si>
  <si>
    <t xml:space="preserve"> 2010-S Proof</t>
  </si>
  <si>
    <t xml:space="preserve"> 2010-S Silver Proof</t>
  </si>
  <si>
    <t xml:space="preserve"> 2011-P</t>
  </si>
  <si>
    <t xml:space="preserve"> 2011-D</t>
  </si>
  <si>
    <t xml:space="preserve"> 2011-S Proof</t>
  </si>
  <si>
    <t xml:space="preserve"> 2011-S Silver Proof</t>
  </si>
  <si>
    <t xml:space="preserve"> 2012-P</t>
  </si>
  <si>
    <t xml:space="preserve"> 2012-D</t>
  </si>
  <si>
    <t xml:space="preserve"> 2012-S Proof</t>
  </si>
  <si>
    <t xml:space="preserve"> 2012-S Silver Proof</t>
  </si>
  <si>
    <t xml:space="preserve"> 2013-P</t>
  </si>
  <si>
    <t xml:space="preserve"> 2013-D</t>
  </si>
  <si>
    <t xml:space="preserve"> 2013-S Proof</t>
  </si>
  <si>
    <t xml:space="preserve"> 2013-S Silver Proof</t>
  </si>
  <si>
    <t xml:space="preserve"> 2014-P</t>
  </si>
  <si>
    <t xml:space="preserve"> 2014-D</t>
  </si>
  <si>
    <t xml:space="preserve"> 2014-S Proof</t>
  </si>
  <si>
    <t xml:space="preserve"> 2014-S Silver Proof</t>
  </si>
  <si>
    <t xml:space="preserve"> 2015-P</t>
  </si>
  <si>
    <t xml:space="preserve"> 2015-D</t>
  </si>
  <si>
    <t xml:space="preserve"> 2015-S Proof</t>
  </si>
  <si>
    <t xml:space="preserve"> 2015-S Silver Proof</t>
  </si>
  <si>
    <t xml:space="preserve"> 2016-P</t>
  </si>
  <si>
    <t xml:space="preserve"> 2016-D</t>
  </si>
  <si>
    <t xml:space="preserve"> 2016-S Proof</t>
  </si>
  <si>
    <t xml:space="preserve"> 2016-S Silver Proof</t>
  </si>
  <si>
    <t xml:space="preserve"> 2017-P</t>
  </si>
  <si>
    <t xml:space="preserve"> 2017-D</t>
  </si>
  <si>
    <t xml:space="preserve"> 2017-S Proof</t>
  </si>
  <si>
    <t xml:space="preserve"> 2017-S Silver Proof</t>
  </si>
  <si>
    <t xml:space="preserve"> 2018-P</t>
  </si>
  <si>
    <t xml:space="preserve"> 2018-D</t>
  </si>
  <si>
    <t xml:space="preserve"> 2018-S Proof</t>
  </si>
  <si>
    <t xml:space="preserve"> 2018-S Silver Proof</t>
  </si>
  <si>
    <t xml:space="preserve"> 2019-P</t>
  </si>
  <si>
    <t xml:space="preserve"> 2019-D</t>
  </si>
  <si>
    <t xml:space="preserve"> 2019-S Proof</t>
  </si>
  <si>
    <t xml:space="preserve"> 2019-S Silver Proof</t>
  </si>
  <si>
    <t xml:space="preserve"> 2020-P</t>
  </si>
  <si>
    <t xml:space="preserve"> 2020-D</t>
  </si>
  <si>
    <t xml:space="preserve"> 2020-S Proof</t>
  </si>
  <si>
    <t xml:space="preserve"> 2020-S Silver Proof</t>
  </si>
  <si>
    <t xml:space="preserve"> 2022-P</t>
  </si>
  <si>
    <t xml:space="preserve"> 2022-D</t>
  </si>
  <si>
    <t xml:space="preserve"> 2022-S Proof</t>
  </si>
  <si>
    <t xml:space="preserve"> 2022-S Silver Proof</t>
  </si>
  <si>
    <t xml:space="preserve"> 2023-P</t>
  </si>
  <si>
    <t xml:space="preserve"> 2023-D</t>
  </si>
  <si>
    <t xml:space="preserve"> 2023-S Proof</t>
  </si>
  <si>
    <t xml:space="preserve"> 2023-S Silver Proof</t>
  </si>
  <si>
    <t xml:space="preserve"> 2024-P</t>
  </si>
  <si>
    <t xml:space="preserve"> 2024-D</t>
  </si>
  <si>
    <t xml:space="preserve"> 2024-S Proof</t>
  </si>
  <si>
    <t xml:space="preserve"> 2024-S Silver Proof</t>
  </si>
  <si>
    <t xml:space="preserve"> 2025-P</t>
  </si>
  <si>
    <t xml:space="preserve"> 2025-S Silver Proof</t>
  </si>
  <si>
    <t>1979-S Proof, Filled “S”</t>
  </si>
  <si>
    <t>1979-S Proof, Clear “S”</t>
  </si>
  <si>
    <t>1981-S Proof, Filled “S”</t>
  </si>
  <si>
    <t>1981-S Proof, Clear “S”</t>
  </si>
  <si>
    <t>1992-S Silver Proof</t>
  </si>
  <si>
    <t>1993-S Silver Proof</t>
  </si>
  <si>
    <t>1994-S Silver Proof</t>
  </si>
  <si>
    <t>1995-S Silver Proof</t>
  </si>
  <si>
    <t>1996-S Silver Proof</t>
  </si>
  <si>
    <t>1996-W*</t>
  </si>
  <si>
    <t>1997-S Silver Proof</t>
  </si>
  <si>
    <t>1998-S Silver Proof</t>
  </si>
  <si>
    <t>1999-S Silver Proof</t>
  </si>
  <si>
    <t>2000-S Silver Proof</t>
  </si>
  <si>
    <t>2001-S Silver Proof</t>
  </si>
  <si>
    <t>2002-S Silver Proof</t>
  </si>
  <si>
    <t>2003-S Silver Proof</t>
  </si>
  <si>
    <t>2004-S Silver Proof</t>
  </si>
  <si>
    <t>2005-S Silver Proof</t>
  </si>
  <si>
    <t>2006-S Silver Proof</t>
  </si>
  <si>
    <t>2007-S Silver Proof</t>
  </si>
  <si>
    <t>2008-S Silver Proof</t>
  </si>
  <si>
    <t>2009-S Silver Proof</t>
  </si>
  <si>
    <t>2010-S Silver Proof</t>
  </si>
  <si>
    <t>2011-S Silver Proof</t>
  </si>
  <si>
    <t>2012-S Silver Proof</t>
  </si>
  <si>
    <t>2013-S Silver Proof</t>
  </si>
  <si>
    <t>2014-S Silver Proof</t>
  </si>
  <si>
    <t>2015-S Silver Proof</t>
  </si>
  <si>
    <t>2016-S Silver Proof</t>
  </si>
  <si>
    <t>2017-S Silver Proof</t>
  </si>
  <si>
    <t>2018-S Silver Proof</t>
  </si>
  <si>
    <t>2019-S Silver Proof</t>
  </si>
  <si>
    <t>2020-S Silver Proof</t>
  </si>
  <si>
    <t>2021-S Silver Proof</t>
  </si>
  <si>
    <t>2022-S Silver Proof</t>
  </si>
  <si>
    <t>2023-S Silver Proof</t>
  </si>
  <si>
    <t>2024-S Silver Proof</t>
  </si>
  <si>
    <t>2025-S Silver Proof</t>
  </si>
  <si>
    <t>1932-S</t>
  </si>
  <si>
    <t>1976-S Silver</t>
  </si>
  <si>
    <t>1976-S Silver Clad Proof</t>
  </si>
  <si>
    <t>1979-S Proof Filled “S”</t>
  </si>
  <si>
    <t>1979-S Proof Clear “S”</t>
  </si>
  <si>
    <t>Jefferson Nickel Proof</t>
  </si>
  <si>
    <t>2024-S Jefferson Nickel Proof</t>
  </si>
  <si>
    <t>2023-S Jefferson Nickel Proof</t>
  </si>
  <si>
    <t>2022-S Jefferson Nickel Proof</t>
  </si>
  <si>
    <t>2021-S Jefferson Nickel Proof</t>
  </si>
  <si>
    <t>2020-S Jefferson Nickel Proof</t>
  </si>
  <si>
    <t>2019-S Jefferson Nickel Proof</t>
  </si>
  <si>
    <t>2018-S Jefferson Nickel Proof</t>
  </si>
  <si>
    <t>2017-S Jefferson Nickel Proof</t>
  </si>
  <si>
    <t>2011-S Jefferson Nickel Proof</t>
  </si>
  <si>
    <t>2010-S Jefferson Nickel Proof</t>
  </si>
  <si>
    <t>2009-S Jefferson Nickel Proof</t>
  </si>
  <si>
    <t>2008-S Jefferson Nickel Proof</t>
  </si>
  <si>
    <t>2007-S Jefferson Nickel Proof</t>
  </si>
  <si>
    <t>2006-S Jefferson Nickel Proof</t>
  </si>
  <si>
    <t>2005-S Jefferson Nickel Proof</t>
  </si>
  <si>
    <t>2004-S Jefferson Nickel Proof</t>
  </si>
  <si>
    <t>1971-S Jefferson Nickel Proof</t>
  </si>
  <si>
    <t>1972-S Jefferson Nickel Proof</t>
  </si>
  <si>
    <t>1977-S Jefferson Nickel Proof</t>
  </si>
  <si>
    <t>1978-S Jefferson Nickel Proof</t>
  </si>
  <si>
    <t>1979-S Jefferson Nickel Proof</t>
  </si>
  <si>
    <t>1980-S Jefferson Nickel Proof</t>
  </si>
  <si>
    <t>1981-S Jefferson Nickel Proof</t>
  </si>
  <si>
    <t>1982-S Jefferson Nickel Proof</t>
  </si>
  <si>
    <t>1983-S Jefferson Nickel Proof</t>
  </si>
  <si>
    <t>1984-S Jefferson Nickel Proof</t>
  </si>
  <si>
    <t>1985-S Jefferson Nickel Proof</t>
  </si>
  <si>
    <t>1986-S Jefferson Nickel Proof</t>
  </si>
  <si>
    <t>1987-S Jefferson Nickel Proof</t>
  </si>
  <si>
    <t>1988-S Jefferson Nickel Proof</t>
  </si>
  <si>
    <t>1989-S Jefferson Nickel Proof</t>
  </si>
  <si>
    <t>2003-S Jefferson Nickel Proof</t>
  </si>
  <si>
    <t>2002-S Jefferson Nickel Proof</t>
  </si>
  <si>
    <t>2001-S Jefferson Nickel Proof</t>
  </si>
  <si>
    <t>2000-S Jefferson Nickel Proof</t>
  </si>
  <si>
    <t>1999-S Jefferson Nickel Proof</t>
  </si>
  <si>
    <t>1998-S Jefferson Nickel Proof</t>
  </si>
  <si>
    <t>1997-S Jefferson Nickel Proof</t>
  </si>
  <si>
    <t>1996-S Jefferson Nickel Proof</t>
  </si>
  <si>
    <t>1995-S Jefferson Nickel Proof</t>
  </si>
  <si>
    <t>1994-S Jefferson Nickel Proof</t>
  </si>
  <si>
    <t>1993-S Jefferson Nickel Proof</t>
  </si>
  <si>
    <t>1992-S Jefferson Nickel Proof</t>
  </si>
  <si>
    <t>1991-S Jefferson Nickel Proof</t>
  </si>
  <si>
    <t>1990-S Jefferson Nickel Proof</t>
  </si>
  <si>
    <t>1964 Proof</t>
  </si>
  <si>
    <t>1965 SMS</t>
  </si>
  <si>
    <t>1966 SMS</t>
  </si>
  <si>
    <t>1967 SMS</t>
  </si>
  <si>
    <t>1976-D CN</t>
  </si>
  <si>
    <t>1976-S Half CN Proof</t>
  </si>
  <si>
    <t>1976-S Kennedy Half Silver Clad</t>
  </si>
  <si>
    <t>1976-S Kennedy Half Silver Clad Proof</t>
  </si>
  <si>
    <t>1979-S Proof, Filled S</t>
  </si>
  <si>
    <t>1979-S Proof, Clear S</t>
  </si>
  <si>
    <t>* While these dates do make your collection more complete, these 
scarcer coins are not required to earn your Certificate</t>
  </si>
  <si>
    <t>&lt;-- * 3-Legged</t>
  </si>
  <si>
    <t>JEF1939NIC-AA</t>
  </si>
  <si>
    <t>JEF1939NIC-AB</t>
  </si>
  <si>
    <t xml:space="preserve">*In Mint Set Only </t>
  </si>
  <si>
    <t>**In Proof Sets Only</t>
  </si>
  <si>
    <t xml:space="preserve">1960 LG Date </t>
  </si>
  <si>
    <t>Memorial Penny Proof</t>
  </si>
  <si>
    <t>Shield Penny Proof</t>
  </si>
  <si>
    <t>1971-S  Memorial Penny Proof</t>
  </si>
  <si>
    <t>1972-S Memorial Penny Proof</t>
  </si>
  <si>
    <t>1973-S Memorial Penny Proof</t>
  </si>
  <si>
    <t>1974-S Memorial Penny Proof</t>
  </si>
  <si>
    <t>1975-S Memorial Penny Proof</t>
  </si>
  <si>
    <t>1976-S Memorial Penny Proof</t>
  </si>
  <si>
    <t>1977-S Memorial Penny Proof</t>
  </si>
  <si>
    <t>1978-S Memorial Penny Proof</t>
  </si>
  <si>
    <t>1980-S Memorial Penny Proof</t>
  </si>
  <si>
    <t>1982-S Memorial Penny Proof</t>
  </si>
  <si>
    <t>1983-S Memorial Penny Proof</t>
  </si>
  <si>
    <t>1984-S Memorial Penny Proof</t>
  </si>
  <si>
    <t>1985-S Memorial Penny Proof</t>
  </si>
  <si>
    <t>1986-S Memorial Penny Proof</t>
  </si>
  <si>
    <t>1987-S Memorial Penny Proof</t>
  </si>
  <si>
    <t>1988-S Memorial Penny Proof</t>
  </si>
  <si>
    <t>1989-S Memorial Penny Proof</t>
  </si>
  <si>
    <t>1990-S Memorial Penny Proof</t>
  </si>
  <si>
    <t>1991-S Memorial Penny Proof</t>
  </si>
  <si>
    <t>1992-S Memorial Penny Proof</t>
  </si>
  <si>
    <t>1993-S Memorial Penny Proof</t>
  </si>
  <si>
    <t>1994-S Memorial Penny Proof</t>
  </si>
  <si>
    <t>1995-S Memorial Penny Proof</t>
  </si>
  <si>
    <t>1996-S Memorial Penny Proof</t>
  </si>
  <si>
    <t>1997-S Memorial Penny Proof</t>
  </si>
  <si>
    <t>1998-S Memorial Penny Proof</t>
  </si>
  <si>
    <t>1999-S Memorial Penny Proof</t>
  </si>
  <si>
    <t>2000-S Memorial Penny Proof</t>
  </si>
  <si>
    <t>2001-S Memorial Penny Proof</t>
  </si>
  <si>
    <t>2002-S Memorial Penny Proof</t>
  </si>
  <si>
    <t>2003-S Memorial Penny Proof</t>
  </si>
  <si>
    <t>2004-S Memorial Penny Proof</t>
  </si>
  <si>
    <t>2005-S Memorial Penny Proof</t>
  </si>
  <si>
    <t>2006-S Memorial Penny Proof</t>
  </si>
  <si>
    <t>2007-S Memorial Penny Proof</t>
  </si>
  <si>
    <t>2008-S Memorial Penny Proof</t>
  </si>
  <si>
    <t>2009-S Memorial Penny Proof</t>
  </si>
  <si>
    <t>1969-S Memorial Penny Proof</t>
  </si>
  <si>
    <t>1970-S Memorial Penny Proof</t>
  </si>
  <si>
    <t>2010-S Shield Penny Proof</t>
  </si>
  <si>
    <t>2011-S Shield Penny Proof</t>
  </si>
  <si>
    <t>2012-S Shield Penny Proof</t>
  </si>
  <si>
    <t>2016-S Shield Penny Proof</t>
  </si>
  <si>
    <t>2017-S Shield Penny Proof</t>
  </si>
  <si>
    <t>2018-S Shield Penny Proof</t>
  </si>
  <si>
    <t>2019-S Shield Penny Proof</t>
  </si>
  <si>
    <t>2020-S Shield Penny Proof</t>
  </si>
  <si>
    <t>2021-S Shield Penny Proof</t>
  </si>
  <si>
    <t>2022-S Shield Penny Proof</t>
  </si>
  <si>
    <t>2023-S Shield Penny Proof</t>
  </si>
  <si>
    <t>2024-S Shield Penny Proof</t>
  </si>
  <si>
    <t>2025-S Shield Penny Proof</t>
  </si>
  <si>
    <t>2013-S Shield Penny Proof</t>
  </si>
  <si>
    <t>2014-S Shield Penny Proof</t>
  </si>
  <si>
    <t>2015-S Shield Penny Proof</t>
  </si>
  <si>
    <t>1909-VDB</t>
  </si>
  <si>
    <t>Kennedy Half Dollar Proof</t>
  </si>
  <si>
    <t>2025-S Kennedy Half Dollar Proof</t>
  </si>
  <si>
    <t>1917-D Obverse</t>
  </si>
  <si>
    <t>1917-D Reverse</t>
  </si>
  <si>
    <t>1917-S Obverse</t>
  </si>
  <si>
    <t>1917-S Reverse</t>
  </si>
  <si>
    <t>1933-S</t>
  </si>
  <si>
    <t>1934-S</t>
  </si>
  <si>
    <t>Native American</t>
  </si>
  <si>
    <t>Proof_1</t>
  </si>
  <si>
    <t>Proof_2</t>
  </si>
  <si>
    <t>2007-S</t>
  </si>
  <si>
    <t>Location</t>
  </si>
  <si>
    <t>1977-1978</t>
  </si>
  <si>
    <t>Eagle Reverse</t>
  </si>
  <si>
    <t>Coinage</t>
  </si>
  <si>
    <t>Resumed</t>
  </si>
  <si>
    <t>1979-S</t>
  </si>
  <si>
    <t>1980-S</t>
  </si>
  <si>
    <t>1981-S</t>
  </si>
  <si>
    <t>1999-P Proof</t>
  </si>
  <si>
    <t>Mt Rushmore Proof</t>
  </si>
  <si>
    <t>American Eagle Proof</t>
  </si>
  <si>
    <t>Morgan Dollar Proof</t>
  </si>
  <si>
    <t>Peace Dollar Proof</t>
  </si>
  <si>
    <t>American Eagle Unc</t>
  </si>
  <si>
    <t>2021 American Eagle Unc</t>
  </si>
  <si>
    <t>2022-W  American Eagle Unc</t>
  </si>
  <si>
    <t>2000 Amertican Eagle Proof</t>
  </si>
  <si>
    <t>1986 American Eagle Unc</t>
  </si>
  <si>
    <t>1987 American Eagle Unc</t>
  </si>
  <si>
    <t>1988 American Eagle Unc</t>
  </si>
  <si>
    <t>1986-S American EagleProof</t>
  </si>
  <si>
    <t>1987 American Eagle</t>
  </si>
  <si>
    <t>1987-S American Eagle Proof</t>
  </si>
  <si>
    <t>1988 American Eagle</t>
  </si>
  <si>
    <t>1988-S American Eagle Proof</t>
  </si>
  <si>
    <t>1989 American Eagle</t>
  </si>
  <si>
    <t>1989-S American Eagle Proof</t>
  </si>
  <si>
    <t>1990 American Eagle</t>
  </si>
  <si>
    <t>1990-S American Eagle Proof</t>
  </si>
  <si>
    <t>1991 American Eagle</t>
  </si>
  <si>
    <t>1991-S American Eagle Proof</t>
  </si>
  <si>
    <t>1992 American Eagle</t>
  </si>
  <si>
    <t>1992-S American Eagle Proof</t>
  </si>
  <si>
    <t>1993 American Eagle</t>
  </si>
  <si>
    <t>1993-P American Eagle Proof</t>
  </si>
  <si>
    <t>1994 American Eagle</t>
  </si>
  <si>
    <t>1994-P American Eagle Proof</t>
  </si>
  <si>
    <t>1995 American Eagle</t>
  </si>
  <si>
    <t>1995-P American Eagle Proof</t>
  </si>
  <si>
    <t>1995-W American Eagle Proof</t>
  </si>
  <si>
    <t>1986 American Eagle</t>
  </si>
  <si>
    <t>1989 American Eagle Unc</t>
  </si>
  <si>
    <t>1990 American Eagle Unc</t>
  </si>
  <si>
    <t>1991 American Eagle Unc</t>
  </si>
  <si>
    <t>1995 American Eagle Unc</t>
  </si>
  <si>
    <t>2020 American Eagle</t>
  </si>
  <si>
    <t>1996-P American Eagle Proof</t>
  </si>
  <si>
    <t xml:space="preserve">1997 American Eagle </t>
  </si>
  <si>
    <t>1997-P American Eagle Proof</t>
  </si>
  <si>
    <t xml:space="preserve">1998 American Eagle </t>
  </si>
  <si>
    <t>1998-P American Eagle Proof</t>
  </si>
  <si>
    <t xml:space="preserve">1999 American Eagle </t>
  </si>
  <si>
    <t>1999-P American Eagle Proof</t>
  </si>
  <si>
    <t>2000-P American Eagle Proof</t>
  </si>
  <si>
    <t xml:space="preserve">2001 American Eagle </t>
  </si>
  <si>
    <t>2001-W American Eagle Proof</t>
  </si>
  <si>
    <t xml:space="preserve">2002 American Eagle </t>
  </si>
  <si>
    <t>2002-W American Eagle Proof</t>
  </si>
  <si>
    <t xml:space="preserve">2003 American Eagle </t>
  </si>
  <si>
    <t>2003-W American Eagle Proof</t>
  </si>
  <si>
    <t xml:space="preserve">2004 American Eagle </t>
  </si>
  <si>
    <t>2004-W American Eagle Proof</t>
  </si>
  <si>
    <t xml:space="preserve">2005 American Eagle </t>
  </si>
  <si>
    <t>2005-W American Eagle Proof</t>
  </si>
  <si>
    <t xml:space="preserve">2006 American Eagle </t>
  </si>
  <si>
    <t>2006-W American Eagle Burnished</t>
  </si>
  <si>
    <t>2006-W American Eagle Proof</t>
  </si>
  <si>
    <t xml:space="preserve">2007 American Eagle </t>
  </si>
  <si>
    <t>2007- W American Eagle Burnished</t>
  </si>
  <si>
    <t>2007-W American Eagle Proof</t>
  </si>
  <si>
    <t xml:space="preserve">2008 American Eagle </t>
  </si>
  <si>
    <t>2008-W American Eagle Burnished</t>
  </si>
  <si>
    <t>2008-W American Eagle Proof</t>
  </si>
  <si>
    <t xml:space="preserve">2009 American Eagle </t>
  </si>
  <si>
    <t xml:space="preserve">2010 American Eagle </t>
  </si>
  <si>
    <t>2010-W American Eagle Proof</t>
  </si>
  <si>
    <t xml:space="preserve">2011 American Eagle </t>
  </si>
  <si>
    <t>2011-W American Eagle Burnished</t>
  </si>
  <si>
    <t>2011-W American Eagle Proof</t>
  </si>
  <si>
    <t>2011-S American Eagle Burnished</t>
  </si>
  <si>
    <t xml:space="preserve">2012 American Eagle </t>
  </si>
  <si>
    <t>2012-W American Eagle Burnished</t>
  </si>
  <si>
    <t>2012-W American Eagle Proof</t>
  </si>
  <si>
    <t>2012-S American Eagle Proof</t>
  </si>
  <si>
    <t xml:space="preserve">2013 American Eagle </t>
  </si>
  <si>
    <t>2013-W American Eagle Burnished</t>
  </si>
  <si>
    <t>2013-W American Eagle Proof</t>
  </si>
  <si>
    <t xml:space="preserve">2014 American Eagle </t>
  </si>
  <si>
    <t>2014-W American Eagle Burnished</t>
  </si>
  <si>
    <t>2014-W American Eagle Proof</t>
  </si>
  <si>
    <t xml:space="preserve">2015 American Eagle </t>
  </si>
  <si>
    <t>2015-W American Eagle Burnished</t>
  </si>
  <si>
    <t>2015-W American Eagle Proof</t>
  </si>
  <si>
    <t xml:space="preserve">2016 American Eagle </t>
  </si>
  <si>
    <t>2016-W American Eagle Burnished</t>
  </si>
  <si>
    <t>2016-W American Eagle Proof</t>
  </si>
  <si>
    <t xml:space="preserve">2017 American Eagle </t>
  </si>
  <si>
    <t>2017-W American Eagle Burnished</t>
  </si>
  <si>
    <t>2017-W American Eagle Proof</t>
  </si>
  <si>
    <t>2017-S American Eagle Proof</t>
  </si>
  <si>
    <t xml:space="preserve">2018 American Eagle </t>
  </si>
  <si>
    <t>2018-W American Eagle Burnished</t>
  </si>
  <si>
    <t>2018-W American Eagle Proof</t>
  </si>
  <si>
    <t>2018-S American Eagle Proof</t>
  </si>
  <si>
    <t xml:space="preserve">2019 American Eagle </t>
  </si>
  <si>
    <t>2019-W American Eagle Burnished</t>
  </si>
  <si>
    <t>2019-W American Eagle Proof</t>
  </si>
  <si>
    <t>2019-S American Eagle Proof</t>
  </si>
  <si>
    <t>2020-W American Eagle Burnished</t>
  </si>
  <si>
    <t>2020-W American Eagle Proof</t>
  </si>
  <si>
    <t>2020-S American Eagle  Proof</t>
  </si>
  <si>
    <t>2021 American Eagle Type 1 Reverse</t>
  </si>
  <si>
    <t>2021-W American Eagle Type 1 Burnished</t>
  </si>
  <si>
    <t>2021-W American Eagle Type 1 Proof</t>
  </si>
  <si>
    <t>2021 American Eagle Type 2 Reverse</t>
  </si>
  <si>
    <t>2021-W American Eagle Proof</t>
  </si>
  <si>
    <t xml:space="preserve">2022-W American Eagle </t>
  </si>
  <si>
    <t>2022-W American Eagle Burnished</t>
  </si>
  <si>
    <t xml:space="preserve">2023 American Eagle </t>
  </si>
  <si>
    <t>2023-W American Eagle Burnished</t>
  </si>
  <si>
    <t>2023-W American Eagle Proof</t>
  </si>
  <si>
    <t xml:space="preserve">2024 American Eagle </t>
  </si>
  <si>
    <t>2024-W American Eagle Burnished</t>
  </si>
  <si>
    <t>2024-W American Eagle Proof</t>
  </si>
  <si>
    <t xml:space="preserve">2025 American Eagle </t>
  </si>
  <si>
    <t>2025-W American Eagle Burnished</t>
  </si>
  <si>
    <t>2025-W American Eagle Proof</t>
  </si>
  <si>
    <t>1992 American Eagle Proof</t>
  </si>
  <si>
    <t>2022 American Eagle Unc</t>
  </si>
  <si>
    <t>2020 American Eagle Unc</t>
  </si>
  <si>
    <t>2025 American Eagle Unc</t>
  </si>
  <si>
    <t>2022-W American Eagle Unc</t>
  </si>
  <si>
    <t>1979-P</t>
  </si>
  <si>
    <t>Near Date</t>
  </si>
  <si>
    <t>Far Date</t>
  </si>
  <si>
    <t>1979-S Proof</t>
  </si>
  <si>
    <t>(Filled S)</t>
  </si>
  <si>
    <t>(Clear S)</t>
  </si>
  <si>
    <t>1979-P Susan B Anthony</t>
  </si>
  <si>
    <t>1979-D Susan B Anthony</t>
  </si>
  <si>
    <t>1979-SSusan B Anthony  Proof</t>
  </si>
  <si>
    <t>1979-S Susan B Anthony Proof</t>
  </si>
  <si>
    <t>1980-P Susan B Anthony</t>
  </si>
  <si>
    <t>1980-D Susan B Anthony</t>
  </si>
  <si>
    <t>1980-S Susan B Anthony</t>
  </si>
  <si>
    <t>1980-S Susan B Anthony Proof</t>
  </si>
  <si>
    <t>1981-P Susan B Anthony</t>
  </si>
  <si>
    <t>1981-D Susan B Anthony</t>
  </si>
  <si>
    <t>1981-S Susan B Anthony Proof</t>
  </si>
  <si>
    <t>1999-P Susan B Anthony</t>
  </si>
  <si>
    <t>1999-P Susan B Anthony Proof</t>
  </si>
  <si>
    <t>1999-D Susan B Anthony</t>
  </si>
  <si>
    <t>Silver Proof</t>
  </si>
  <si>
    <t>1971-S</t>
  </si>
  <si>
    <t>1972-S</t>
  </si>
  <si>
    <t>Variety I*</t>
  </si>
  <si>
    <t>Variety II**</t>
  </si>
  <si>
    <t>1976-S</t>
  </si>
  <si>
    <t>1977-S</t>
  </si>
  <si>
    <t>1978-S</t>
  </si>
  <si>
    <t>1973-S</t>
  </si>
  <si>
    <t>1974-S</t>
  </si>
  <si>
    <t>Eisenhower Dollar Variety I*</t>
  </si>
  <si>
    <t>1976 Eisenhower Dollar Variety I*</t>
  </si>
  <si>
    <t>Coins in Collection</t>
  </si>
  <si>
    <t> P  D  S</t>
  </si>
  <si>
    <t>William McKinley</t>
  </si>
  <si>
    <t>John Adams</t>
  </si>
  <si>
    <t>Thomas Jefferson</t>
  </si>
  <si>
    <t>William Howard Taft</t>
  </si>
  <si>
    <t>James Madison</t>
  </si>
  <si>
    <t>Woodrow Wilson</t>
  </si>
  <si>
    <t>James Monroe</t>
  </si>
  <si>
    <t>Warren G. Harding</t>
  </si>
  <si>
    <t>John Quincy Adams</t>
  </si>
  <si>
    <t>Calvin Coolidge</t>
  </si>
  <si>
    <t>Andrew Jackson</t>
  </si>
  <si>
    <t>Herbert Hoover</t>
  </si>
  <si>
    <t>Martin Van Buren</t>
  </si>
  <si>
    <t>Franklin D. Roosevelt</t>
  </si>
  <si>
    <t>William Henry Harrison</t>
  </si>
  <si>
    <t>Harry S. Truman</t>
  </si>
  <si>
    <t>Dwight D. Eisenhower</t>
  </si>
  <si>
    <t>James K. Polk</t>
  </si>
  <si>
    <t>John F. Kennedy</t>
  </si>
  <si>
    <t>Zachary Taylor</t>
  </si>
  <si>
    <t>Lyndon B. Johnson</t>
  </si>
  <si>
    <t>Millard Fillmore</t>
  </si>
  <si>
    <t>Richard M. Nixon</t>
  </si>
  <si>
    <t>Franklin Pierce</t>
  </si>
  <si>
    <t>Gerald R. Ford</t>
  </si>
  <si>
    <t>James Buchanan</t>
  </si>
  <si>
    <t>Ronald Reagan</t>
  </si>
  <si>
    <t>George H.W. Bush</t>
  </si>
  <si>
    <t> P  D  S*</t>
  </si>
  <si>
    <t>Ulysses S. Grant</t>
  </si>
  <si>
    <t>Rutherford B. Hayes</t>
  </si>
  <si>
    <t>Chester Arthur</t>
  </si>
  <si>
    <t>Grover Cleveland (Term 1)</t>
  </si>
  <si>
    <t>Grover Cleveland (Term 2)</t>
  </si>
  <si>
    <t>2008-S</t>
  </si>
  <si>
    <t>2009-S</t>
  </si>
  <si>
    <t>Presidential Dollar George Washington</t>
  </si>
  <si>
    <t>Presidential Dollar John Tyler</t>
  </si>
  <si>
    <t>Presidential Dollar James Garfield</t>
  </si>
  <si>
    <t>Presidential Dollar Ulysses S. Grant</t>
  </si>
  <si>
    <t>2002-P SACAGAWEA</t>
  </si>
  <si>
    <t>2002-D SACAGAWEA</t>
  </si>
  <si>
    <t>2002-S SACAGAWEA</t>
  </si>
  <si>
    <t>2003-P SACAGAWEA</t>
  </si>
  <si>
    <t>2003-D SACAGAWEA</t>
  </si>
  <si>
    <t>2003-S SACAGAWEA</t>
  </si>
  <si>
    <t>2004-P SACAGAWEA</t>
  </si>
  <si>
    <t>2004-D SACAGAWEA</t>
  </si>
  <si>
    <t>2004-S SACAGAWEA</t>
  </si>
  <si>
    <t>2005-P SACAGAWEA</t>
  </si>
  <si>
    <t>2005-D SACAGAWEA</t>
  </si>
  <si>
    <t>2005-S SACAGAWEA</t>
  </si>
  <si>
    <t>2006-P SACAGAWEA</t>
  </si>
  <si>
    <t>2006-D SACAGAWEA</t>
  </si>
  <si>
    <t>2006-S SACAGAWEA</t>
  </si>
  <si>
    <t>2007-P SACAGAWEA</t>
  </si>
  <si>
    <t>2007-D SACAGAWEA</t>
  </si>
  <si>
    <t>2007-S SACAGAWEA</t>
  </si>
  <si>
    <t>2018-P Jim Thorpe</t>
  </si>
  <si>
    <t>2018-D Jim Thorpe</t>
  </si>
  <si>
    <t>2018-S Jim Thorpe</t>
  </si>
  <si>
    <t>2019-P American Indians in Space</t>
  </si>
  <si>
    <t>2019-D American Indians in Space</t>
  </si>
  <si>
    <t>2019-S American Indians in Space</t>
  </si>
  <si>
    <t>2020-P Elizabeth Peratrovich</t>
  </si>
  <si>
    <t>2020-D Elizabeth Peratrovich</t>
  </si>
  <si>
    <t>2020-S Elizabeth Peratrovich</t>
  </si>
  <si>
    <t>2021-P American Indians in the Military . .</t>
  </si>
  <si>
    <t>2021-D American Indians in the Military . .</t>
  </si>
  <si>
    <t>2021-S American Indians in the Military . .</t>
  </si>
  <si>
    <t>2022-P Ely Samuel Parker</t>
  </si>
  <si>
    <t>2022-D Ely Samuel Parker</t>
  </si>
  <si>
    <t>2022-S Ely Samuel Parker</t>
  </si>
  <si>
    <t>2023-P Maria Tallchief</t>
  </si>
  <si>
    <t>2023-D Maria Tallchief</t>
  </si>
  <si>
    <t>2023-S Maria Tallchief</t>
  </si>
  <si>
    <t>Sacagawea Dollar</t>
  </si>
  <si>
    <t>Three Sisters</t>
  </si>
  <si>
    <t>2009-P SACAGAWEA</t>
  </si>
  <si>
    <t>2009-D SACAGAWEA</t>
  </si>
  <si>
    <t>2009-S SACAGAWEA</t>
  </si>
  <si>
    <t>Great Law</t>
  </si>
  <si>
    <t>2010-P SACAGAWEA</t>
  </si>
  <si>
    <t>2011-D SACAGAWEA</t>
  </si>
  <si>
    <t>2012-S SACAGAWEA</t>
  </si>
  <si>
    <t>Wampanoag Treaty</t>
  </si>
  <si>
    <t>2011-P SACAGAWEA</t>
  </si>
  <si>
    <t>2011-S SACAGAWEA</t>
  </si>
  <si>
    <t>Trade Routes</t>
  </si>
  <si>
    <t>2012-P SACAGAWEA</t>
  </si>
  <si>
    <t>2012-D SACAGAWEA</t>
  </si>
  <si>
    <t>Treaty, Delawares</t>
  </si>
  <si>
    <t>2013-P SACAGAWEA</t>
  </si>
  <si>
    <t>2013-D SACAGAWEA</t>
  </si>
  <si>
    <t>2013-S SACAGAWEA</t>
  </si>
  <si>
    <t>Native Hospitality</t>
  </si>
  <si>
    <t>2014-P SACAGAWEA</t>
  </si>
  <si>
    <t>2014-D SACAGAWEA</t>
  </si>
  <si>
    <t>2014-S SACAGAWEA</t>
  </si>
  <si>
    <t>Mohawk Ironworkers</t>
  </si>
  <si>
    <t>2015-P SACAGAWEA</t>
  </si>
  <si>
    <t>2015-D SACAGAWEA</t>
  </si>
  <si>
    <t>2015-S SACAGAWEA</t>
  </si>
  <si>
    <t>Code Talkers</t>
  </si>
  <si>
    <t>2016-P SACAGAWEA</t>
  </si>
  <si>
    <t>2016-D SACAGAWEA</t>
  </si>
  <si>
    <t>2016-S SACAGAWEA</t>
  </si>
  <si>
    <t>Sequoyah</t>
  </si>
  <si>
    <t>2017-P SACAGAWEA</t>
  </si>
  <si>
    <t>2017-D SACAGAWEA</t>
  </si>
  <si>
    <t>2017-S SACAGAWEA</t>
  </si>
  <si>
    <t>2015-P SACAGAWEA Dollar</t>
  </si>
  <si>
    <t>2015-D SACAGAWEA Dollar</t>
  </si>
  <si>
    <t>2015-S SACAGAWEA Dollar</t>
  </si>
  <si>
    <t>2016-P SACAGAWEA Dollar</t>
  </si>
  <si>
    <t>2016-D SACAGAWEA Dollar</t>
  </si>
  <si>
    <t>2016-S SACAGAWEA Dollar</t>
  </si>
  <si>
    <t>2017-P SACAGAWEA Dollar</t>
  </si>
  <si>
    <t>2017-D SACAGAWEA Dollar</t>
  </si>
  <si>
    <t>2017-S SACAGAWEA Dollar</t>
  </si>
  <si>
    <t>2000-P Sacagawea Dollar</t>
  </si>
  <si>
    <t>2000-D Sacagawea Dollar</t>
  </si>
  <si>
    <t>2000-S Sacagawea Dollar</t>
  </si>
  <si>
    <t>2001-P Sacagawea Dollar</t>
  </si>
  <si>
    <t>2001-D Sacagawea Dollar</t>
  </si>
  <si>
    <t>2001-S Sacagawea Dollar</t>
  </si>
  <si>
    <t>New List</t>
  </si>
  <si>
    <t>Want List</t>
  </si>
  <si>
    <t>ROS2026DIM-AA</t>
  </si>
  <si>
    <t>250th Anniversary</t>
  </si>
  <si>
    <t>ROS2026DIM-AB</t>
  </si>
  <si>
    <t>LIB2026HAV-AA</t>
  </si>
  <si>
    <t>Liberty Halp Dollar</t>
  </si>
  <si>
    <t>LIB2026HAV-AB</t>
  </si>
  <si>
    <t>JEF2002NIC-AC</t>
  </si>
  <si>
    <t>JEF2000NIC-AC</t>
  </si>
  <si>
    <t>JEF2007NIC-AC</t>
  </si>
  <si>
    <t>JEF2009NIC-AB</t>
  </si>
  <si>
    <t>JEF2008NIC-AB</t>
  </si>
  <si>
    <t>JEF2009NIC-AC</t>
  </si>
  <si>
    <t>JEF2008NIC-AC</t>
  </si>
  <si>
    <t>JEF2002NIC-AD</t>
  </si>
  <si>
    <t>JEF2009NIC-AA</t>
  </si>
  <si>
    <t>JEF2010NIC-AB</t>
  </si>
  <si>
    <t>JEF2010NIC-AC</t>
  </si>
  <si>
    <t>JEF2003NIC-AB</t>
  </si>
  <si>
    <t>JEF2003NIC-AC</t>
  </si>
  <si>
    <t>JEF2001NIC-AD</t>
  </si>
  <si>
    <t>JEF2007NIC-AD</t>
  </si>
  <si>
    <t>JEF1968NIC-AA</t>
  </si>
  <si>
    <t>JEF1968NIC-AB</t>
  </si>
  <si>
    <t>JEF1960NIC-AD</t>
  </si>
  <si>
    <t>JEF1943NIC-AD</t>
  </si>
  <si>
    <t>JEF1947NIC-AD</t>
  </si>
  <si>
    <t>JEF1952NIC-AE</t>
  </si>
  <si>
    <t>JEF1955NIC-AC</t>
  </si>
  <si>
    <t>JEF1956NIC-AA</t>
  </si>
  <si>
    <t>JEF1956NIC-AB</t>
  </si>
  <si>
    <t>JEF1958NIC-AE</t>
  </si>
  <si>
    <t>JEF1959NIC-AD</t>
  </si>
  <si>
    <t>JEF1978NIC-AG</t>
  </si>
  <si>
    <t>JEF1972NIC-AE</t>
  </si>
  <si>
    <t>JEF1973NIC-AH</t>
  </si>
  <si>
    <t>JEF1976NIC-AH</t>
  </si>
  <si>
    <t>1976-S Jefferson Nickel Proof</t>
  </si>
  <si>
    <t>JEF1976NIC-AI</t>
  </si>
  <si>
    <t>JEF1979NIC-AC</t>
  </si>
  <si>
    <t>JEF1970NIC-AH</t>
  </si>
  <si>
    <t>JEF1971NIC-AC</t>
  </si>
  <si>
    <t>JEF1971NIC-AD</t>
  </si>
  <si>
    <t>JEF1973NIC-AI</t>
  </si>
  <si>
    <t>JEF1974NIC-AG</t>
  </si>
  <si>
    <t>JEF1975NIC-AF</t>
  </si>
  <si>
    <t>JEF1977NIC-AF</t>
  </si>
  <si>
    <t>Mint State</t>
  </si>
  <si>
    <t>JEF1978NIC-AH</t>
  </si>
  <si>
    <t>JEF1979NIC-AD</t>
  </si>
  <si>
    <t>JEF1980NIC-AG</t>
  </si>
  <si>
    <t>JEF1981NIC-AK</t>
  </si>
  <si>
    <t>JEF1982NIC-AH</t>
  </si>
  <si>
    <t>JEF1983NIC-AH</t>
  </si>
  <si>
    <t>JEF1984NIC-AC</t>
  </si>
  <si>
    <t>JEF1984NIC-AD</t>
  </si>
  <si>
    <t>JEF1985NIC-AC</t>
  </si>
  <si>
    <t>JEF1685NIC-AD</t>
  </si>
  <si>
    <t>JEF1986NIC-AC</t>
  </si>
  <si>
    <t>JEF1986NIC-AD</t>
  </si>
  <si>
    <t>JEF1987NIC-AC</t>
  </si>
  <si>
    <t>JEF1987NIC-AD</t>
  </si>
  <si>
    <t>JEF1988NIC-AC</t>
  </si>
  <si>
    <t>JEF1988NIC-AD</t>
  </si>
  <si>
    <t>JEF1989NIC-AF</t>
  </si>
  <si>
    <t>1971-P</t>
  </si>
  <si>
    <t>1973-S Jefferson Nickel Proof</t>
  </si>
  <si>
    <t>1974-S Jefferson Nickel Proof</t>
  </si>
  <si>
    <t>1975-S Jefferson Nickel Proof</t>
  </si>
  <si>
    <t>JEF1990NIC-AC</t>
  </si>
  <si>
    <t>JEF1991NIC-AC</t>
  </si>
  <si>
    <t>JEF1992NIC-AE</t>
  </si>
  <si>
    <t>JEF1993NIC-AC</t>
  </si>
  <si>
    <t>Circulated Nickel Grades (Wear Present) </t>
  </si>
  <si>
    <r>
      <t>AU (About Uncirculated) – 50, 53, 55, 58:</t>
    </r>
    <r>
      <rPr>
        <sz val="12"/>
        <color rgb="FF0A0A0A"/>
        <rFont val="Arial"/>
        <family val="2"/>
      </rPr>
      <t> The barest trace of wear is visible on only the highest points of the coin, with most of the original luster still present.</t>
    </r>
  </si>
  <si>
    <r>
      <t>XF or EF (Extremely Fine) – 40, 45:</t>
    </r>
    <r>
      <rPr>
        <sz val="12"/>
        <color rgb="FF0A0A0A"/>
        <rFont val="Arial"/>
        <family val="2"/>
      </rPr>
      <t> Light, even wear exists on the highest points, but all major details are sharp and well-defined.</t>
    </r>
  </si>
  <si>
    <r>
      <t>VF (Very Fine) – 20, 25, 30, 35:</t>
    </r>
    <r>
      <rPr>
        <sz val="12"/>
        <color rgb="FF0A0A0A"/>
        <rFont val="Arial"/>
        <family val="2"/>
      </rPr>
      <t> Moderate to light wear is visible, with all major details, and some finer details, still visible.</t>
    </r>
  </si>
  <si>
    <r>
      <t>F (Fine) – 12, 15:</t>
    </r>
    <r>
      <rPr>
        <sz val="12"/>
        <color rgb="FF0A0A0A"/>
        <rFont val="Arial"/>
        <family val="2"/>
      </rPr>
      <t> Considerable, even wear. All lettering and major design elements are visible but worn.</t>
    </r>
  </si>
  <si>
    <r>
      <t>VG (Very Good) – 8, 10:</t>
    </r>
    <r>
      <rPr>
        <sz val="12"/>
        <color rgb="FF0A0A0A"/>
        <rFont val="Arial"/>
        <family val="2"/>
      </rPr>
      <t> Medium to heavy wear. Major design elements are clear but flat.</t>
    </r>
  </si>
  <si>
    <r>
      <t>G (Good) – 4, 6:</t>
    </r>
    <r>
      <rPr>
        <sz val="12"/>
        <color rgb="FF0A0A0A"/>
        <rFont val="Arial"/>
        <family val="2"/>
      </rPr>
      <t> Heavily worn, but design elements (like the outline of the head) and the date are still visible.</t>
    </r>
  </si>
  <si>
    <r>
      <t>AG (About Good) – 3:</t>
    </r>
    <r>
      <rPr>
        <sz val="12"/>
        <color rgb="FF0A0A0A"/>
        <rFont val="Arial"/>
        <family val="2"/>
      </rPr>
      <t> Very heavily worn, with portions of the lettering and date worn smooth.</t>
    </r>
  </si>
  <si>
    <r>
      <t>FR (Fair) – 2:</t>
    </r>
    <r>
      <rPr>
        <sz val="12"/>
        <color rgb="FF0A0A0A"/>
        <rFont val="Arial"/>
        <family val="2"/>
      </rPr>
      <t> Extremely heavily worn, with most details completely smooth.</t>
    </r>
  </si>
  <si>
    <r>
      <t>PO (Poor) – 1:</t>
    </r>
    <r>
      <rPr>
        <sz val="12"/>
        <color rgb="FF0A0A0A"/>
        <rFont val="Arial"/>
        <family val="2"/>
      </rPr>
      <t> Barely identifiable; the coin is heavily worn, potentially damaged, but the type and date are still partially recognizable. </t>
    </r>
  </si>
  <si>
    <t>The Royal Canadian Mint +4</t>
  </si>
  <si>
    <t>Special Designations &amp; Other Grades</t>
  </si>
  <si>
    <r>
      <t>PR or PF (Proof):</t>
    </r>
    <r>
      <rPr>
        <sz val="12"/>
        <color rgb="FF0A0A0A"/>
        <rFont val="Arial"/>
        <family val="2"/>
      </rPr>
      <t> Specially struck coins for collectors, usually with a mirrored finish, also graded on a 60–70 scale.</t>
    </r>
  </si>
  <si>
    <r>
      <t>SP (Specimen):</t>
    </r>
    <r>
      <rPr>
        <sz val="12"/>
        <color rgb="FF0A0A0A"/>
        <rFont val="Arial"/>
        <family val="2"/>
      </rPr>
      <t> A hybrid between Mint State and Proof, often used for special mint sets.</t>
    </r>
  </si>
  <si>
    <r>
      <t>Full Steps (FS, 5FS, 6FS):</t>
    </r>
    <r>
      <rPr>
        <sz val="12"/>
        <color rgb="FF0A0A0A"/>
        <rFont val="Arial"/>
        <family val="2"/>
      </rPr>
      <t> A specific designation for Jefferson Nickels (1938–date) that indicates a sharp, full strike, showing either five or six uninterrupted steps on Monticello.</t>
    </r>
  </si>
  <si>
    <r>
      <t>Details Grades (e.g., XF Details):</t>
    </r>
    <r>
      <rPr>
        <sz val="12"/>
        <color rgb="FF0A0A0A"/>
        <rFont val="Arial"/>
        <family val="2"/>
      </rPr>
      <t> Used when a coin has been cleaned, scratched, or damaged, meaning it is not "problem-free," and therefore not assigned a standard numerical grade.</t>
    </r>
  </si>
  <si>
    <t>JEF1993NIC-AD</t>
  </si>
  <si>
    <t>JEF1994NIC-AE</t>
  </si>
  <si>
    <t>JEF1994NIC-AF</t>
  </si>
  <si>
    <t>JEF1995NIC-AG</t>
  </si>
  <si>
    <t>JEF1996NIC-AE</t>
  </si>
  <si>
    <t>AU-50</t>
  </si>
  <si>
    <t>JEF1996NIC-AF</t>
  </si>
  <si>
    <t>JEF1997NIC-AE</t>
  </si>
  <si>
    <t>JEF1998NIC-AF</t>
  </si>
  <si>
    <t>JEF1999NIC-AD</t>
  </si>
  <si>
    <t>JEF1999NIC-AE</t>
  </si>
  <si>
    <t>JEF2026NIC-AA</t>
  </si>
  <si>
    <t>JEF2026NIC-AB</t>
  </si>
  <si>
    <t>250th Anniversary of U.S.</t>
  </si>
  <si>
    <t>251st Anniversary of U.S.</t>
  </si>
  <si>
    <t>JEF2004NIC-AD</t>
  </si>
  <si>
    <t>Jefferson Nickel Peace Medal</t>
  </si>
  <si>
    <t>JEF2004NIC-AE</t>
  </si>
  <si>
    <t>Jefferson Nickel Peace Medal Proof</t>
  </si>
  <si>
    <t>2004-S Jefferson Nickel</t>
  </si>
  <si>
    <t>JEF2004NIC-AF</t>
  </si>
  <si>
    <t>Jefferson Nickel Keelboat</t>
  </si>
  <si>
    <t>JEF2004NIC-AG</t>
  </si>
  <si>
    <t>Jefferson Nickel Keelboat Proof</t>
  </si>
  <si>
    <t>2004-D Jefferson Nickel</t>
  </si>
  <si>
    <t>JEF2005NIC-AH</t>
  </si>
  <si>
    <t>Jefferson Nickel Bison Proof</t>
  </si>
  <si>
    <t>2005-S Jefferson Nickel</t>
  </si>
  <si>
    <t>2005-S Jefferson Nickel Bison Proof</t>
  </si>
  <si>
    <t>1938 Jefferson Nickel</t>
  </si>
  <si>
    <t>1938-D Jefferson Nickel</t>
  </si>
  <si>
    <t>1938-S Jefferson Nickel</t>
  </si>
  <si>
    <t>1939 Jefferson Nickel</t>
  </si>
  <si>
    <t>1939-D Jefferson Nickel</t>
  </si>
  <si>
    <t>1939-S Jefferson Nickel</t>
  </si>
  <si>
    <t>1940 Jefferson Nickel</t>
  </si>
  <si>
    <t>1940-D Jefferson Nickel</t>
  </si>
  <si>
    <t>1940-S Jefferson Nickel</t>
  </si>
  <si>
    <t>1941 Jefferson Nickel</t>
  </si>
  <si>
    <t>1941-D Jefferson Nickel</t>
  </si>
  <si>
    <t>1941-S Jefferson Nickel</t>
  </si>
  <si>
    <t>1942 Jefferson Nickel</t>
  </si>
  <si>
    <t>1942-D Jefferson Nickel</t>
  </si>
  <si>
    <t>1942-S Jefferson Nickel</t>
  </si>
  <si>
    <t>1943-P Jefferson Nickel</t>
  </si>
  <si>
    <t>1943-D Jefferson Nickel</t>
  </si>
  <si>
    <t>1943-S Jefferson Nickel</t>
  </si>
  <si>
    <t>1944-P Jefferson Nickel</t>
  </si>
  <si>
    <t>1944-D Jefferson Nickel</t>
  </si>
  <si>
    <t>1944-S Jefferson Nickel</t>
  </si>
  <si>
    <t>1945-P Jefferson Nickel</t>
  </si>
  <si>
    <t>1945-D Jefferson Nickel</t>
  </si>
  <si>
    <t>1945-S Jefferson Nickel</t>
  </si>
  <si>
    <t>1946 Jefferson Nickel</t>
  </si>
  <si>
    <t>1946-D Jefferson Nickel</t>
  </si>
  <si>
    <t>1946-S Jefferson Nickel</t>
  </si>
  <si>
    <t>1947 Jefferson Nickel</t>
  </si>
  <si>
    <t>1947-D Jefferson Nickel</t>
  </si>
  <si>
    <t>1947-S Jefferson Nickel</t>
  </si>
  <si>
    <t>1948 Jefferson Nickel</t>
  </si>
  <si>
    <t>1948-D Jefferson Nickel</t>
  </si>
  <si>
    <t>1948-S Jefferson Nickel</t>
  </si>
  <si>
    <t>1949 Jefferson Nickel</t>
  </si>
  <si>
    <t>1949-D Jefferson Nickel</t>
  </si>
  <si>
    <t>1949-S Jefferson Nickel</t>
  </si>
  <si>
    <t>1950 Jefferson Nickel</t>
  </si>
  <si>
    <t>1950-D Jefferson Nickel</t>
  </si>
  <si>
    <t>1951 Jefferson Nickel</t>
  </si>
  <si>
    <t>1951-D Jefferson Nickel</t>
  </si>
  <si>
    <t>1951-S Jefferson Nickel</t>
  </si>
  <si>
    <t>1952 Jefferson Nickel</t>
  </si>
  <si>
    <t>1952-D Jefferson Nickel</t>
  </si>
  <si>
    <t>1952-S Jefferson Nickel</t>
  </si>
  <si>
    <t>1953 Jefferson Nickel</t>
  </si>
  <si>
    <t>1953-D Jefferson Nickel</t>
  </si>
  <si>
    <t>1953-S Jefferson Nickel</t>
  </si>
  <si>
    <t>1954 Jefferson Nickel</t>
  </si>
  <si>
    <t>1954-D Jefferson Nickel</t>
  </si>
  <si>
    <t>1954-S Jefferson Nickel</t>
  </si>
  <si>
    <t>1955 Jefferson Nickel</t>
  </si>
  <si>
    <t>1955-D Jefferson Nickel</t>
  </si>
  <si>
    <t>1956 Jefferson Nickel</t>
  </si>
  <si>
    <t>1956-D Jefferson Nickel</t>
  </si>
  <si>
    <t>1957 Jefferson Nickel</t>
  </si>
  <si>
    <t>1957-D Jefferson Nickel</t>
  </si>
  <si>
    <t>1958 Jefferson Nickel</t>
  </si>
  <si>
    <t>1958-D Jefferson Nickel</t>
  </si>
  <si>
    <t>1959 Jefferson Nickel</t>
  </si>
  <si>
    <t>1959-D Jefferson Nickel</t>
  </si>
  <si>
    <t>1960 Jefferson Nickel</t>
  </si>
  <si>
    <t>1960-D Jefferson Nickel</t>
  </si>
  <si>
    <t>1961 Jefferson Nickel</t>
  </si>
  <si>
    <t>1961-D Jefferson Nickel</t>
  </si>
  <si>
    <t>1962 Jefferson Nickel</t>
  </si>
  <si>
    <t>1962-D Jefferson Nickel</t>
  </si>
  <si>
    <t>1963 Jefferson Nickel</t>
  </si>
  <si>
    <t>1963-D Jefferson Nickel</t>
  </si>
  <si>
    <t>1964 Jefferson Nickel</t>
  </si>
  <si>
    <t>1964-D Jefferson Nickel</t>
  </si>
  <si>
    <t>1965 Jefferson Nickel</t>
  </si>
  <si>
    <t>1966 Jefferson Nickel</t>
  </si>
  <si>
    <t>1967 Jefferson Nickel</t>
  </si>
  <si>
    <t>1968-D Jefferson Nickel</t>
  </si>
  <si>
    <t>1968-S Jefferson Nickel</t>
  </si>
  <si>
    <t>1969-D Jefferson Nickel</t>
  </si>
  <si>
    <t>1969-S Jefferson Nickel</t>
  </si>
  <si>
    <t>1970-D Jefferson Nickel</t>
  </si>
  <si>
    <t>1970-S Jefferson Nickel</t>
  </si>
  <si>
    <t>1971-P Jefferson Nickel</t>
  </si>
  <si>
    <t>1971-D Jefferson Nickel</t>
  </si>
  <si>
    <t>1972 Jefferson Nickel</t>
  </si>
  <si>
    <t>1972-D Jefferson Nickel</t>
  </si>
  <si>
    <t>1973 Jefferson Nickel</t>
  </si>
  <si>
    <t>1973-D Jefferson Nickel</t>
  </si>
  <si>
    <t>1974 Jefferson Nickel</t>
  </si>
  <si>
    <t>1974-D Jefferson Nickel</t>
  </si>
  <si>
    <t>1975 Jefferson Nickel</t>
  </si>
  <si>
    <t>1975-D Jefferson Nickel</t>
  </si>
  <si>
    <t>1976 Jefferson Nickel</t>
  </si>
  <si>
    <t>1976-D Jefferson Nickel</t>
  </si>
  <si>
    <t>1977 Jefferson Nickel</t>
  </si>
  <si>
    <t>1977-D Jefferson Nickel</t>
  </si>
  <si>
    <t>1978 Jefferson Nickel</t>
  </si>
  <si>
    <t>1978-D Jefferson Nickel</t>
  </si>
  <si>
    <t>1979 Jefferson Nickel</t>
  </si>
  <si>
    <t>1979-D Jefferson Nickel</t>
  </si>
  <si>
    <t>Filled “S” Jefferson Nickel</t>
  </si>
  <si>
    <t>Clear “S” Jefferson Nickel</t>
  </si>
  <si>
    <t>1980-P Jefferson Nickel</t>
  </si>
  <si>
    <t>1980-D Jefferson Nickel</t>
  </si>
  <si>
    <t>1981-P Jefferson Nickel</t>
  </si>
  <si>
    <t>1981-D Jefferson Nickel</t>
  </si>
  <si>
    <t>1982-P Jefferson Nickel</t>
  </si>
  <si>
    <t>1982-D Jefferson Nickel</t>
  </si>
  <si>
    <t>1983-P Jefferson Nickel</t>
  </si>
  <si>
    <t>1983-D Jefferson Nickel</t>
  </si>
  <si>
    <t>1984-P Jefferson Nickel</t>
  </si>
  <si>
    <t>1984-D Jefferson Nickel</t>
  </si>
  <si>
    <t>1985-P Jefferson Nickel</t>
  </si>
  <si>
    <t>1985-D Jefferson Nickel</t>
  </si>
  <si>
    <t>1986-P Jefferson Nickel</t>
  </si>
  <si>
    <t>1986-D Jefferson Nickel</t>
  </si>
  <si>
    <t>1987-P Jefferson Nickel</t>
  </si>
  <si>
    <t>1987-D Jefferson Nickel</t>
  </si>
  <si>
    <t>1988-P Jefferson Nickel</t>
  </si>
  <si>
    <t>1988-D Jefferson Nickel</t>
  </si>
  <si>
    <t>1989-P Jefferson Nickel</t>
  </si>
  <si>
    <t>1989-D Jefferson Nickel</t>
  </si>
  <si>
    <t>1990-P Jefferson Nickel</t>
  </si>
  <si>
    <t>1990-D Jefferson Nickel</t>
  </si>
  <si>
    <t>1991-P Jefferson Nickel</t>
  </si>
  <si>
    <t>1991-D Jefferson Nickel</t>
  </si>
  <si>
    <t>1992-P Jefferson Nickel</t>
  </si>
  <si>
    <t>1992-D Jefferson Nickel</t>
  </si>
  <si>
    <t>1993-P Jefferson Nickel</t>
  </si>
  <si>
    <t>1993-D Jefferson Nickel</t>
  </si>
  <si>
    <t>1994-P Jefferson Nickel</t>
  </si>
  <si>
    <t>1994-D Jefferson Nickel</t>
  </si>
  <si>
    <t>1995-P Jefferson Nickel</t>
  </si>
  <si>
    <t>1995-D Jefferson Nickel</t>
  </si>
  <si>
    <t>1996-P Jefferson Nickel</t>
  </si>
  <si>
    <t>1996-D Jefferson Nickel</t>
  </si>
  <si>
    <t>1997-P Jefferson Nickel</t>
  </si>
  <si>
    <t>1997-D Jefferson Nickel</t>
  </si>
  <si>
    <t>1998-P Jefferson Nickel</t>
  </si>
  <si>
    <t>1998-D Jefferson Nickel</t>
  </si>
  <si>
    <t>1999-P Jefferson Nickel</t>
  </si>
  <si>
    <t>1999-D Jefferson Nickel</t>
  </si>
  <si>
    <t>2000-P Jefferson Nickel</t>
  </si>
  <si>
    <t>2000-D Jefferson Nickel</t>
  </si>
  <si>
    <t>2001-P Jefferson Nickel</t>
  </si>
  <si>
    <t>2001-D Jefferson Nickel</t>
  </si>
  <si>
    <t>2002-P Jefferson Nickel</t>
  </si>
  <si>
    <t>2002-D Jefferson Nickel</t>
  </si>
  <si>
    <t>2003-P Jefferson Nickel</t>
  </si>
  <si>
    <t>2003-D Jefferson Nickel</t>
  </si>
  <si>
    <t>2008-P  Jefferson Nickel</t>
  </si>
  <si>
    <t>2004-P Jefferson Nickel</t>
  </si>
  <si>
    <t>2004-D Jefferson Nickel Peace Medal</t>
  </si>
  <si>
    <t>2004-S Jefferson Nickel Peace Medal Proof</t>
  </si>
  <si>
    <t>2004-D Jefferson Nickel Keelboat</t>
  </si>
  <si>
    <t>2004-S Jefferson Nickel Keelboat Proof</t>
  </si>
  <si>
    <t>2005-P Jefferson Nickel</t>
  </si>
  <si>
    <t>2005-D Jefferson Nickel</t>
  </si>
  <si>
    <t>2007-P Jefferson Nickel</t>
  </si>
  <si>
    <t>2007-D Jefferson Nickel</t>
  </si>
  <si>
    <t>2008-D Jefferson Nickel</t>
  </si>
  <si>
    <t>2009-P Jefferson Nickel</t>
  </si>
  <si>
    <t>2009-D Jefferson Nickel</t>
  </si>
  <si>
    <t>2010-P Jefferson Nickel</t>
  </si>
  <si>
    <t>2010-D Jefferson Nickel</t>
  </si>
  <si>
    <t>2011-P Jefferson Nickel</t>
  </si>
  <si>
    <t>2011-D Jefferson Nickel</t>
  </si>
  <si>
    <t>2012-P Jefferson Nickel</t>
  </si>
  <si>
    <t>2012-D Jefferson Nickel</t>
  </si>
  <si>
    <t>2012-S Proof Jefferson Nickel</t>
  </si>
  <si>
    <t>2013-P Jefferson Nickel</t>
  </si>
  <si>
    <t>2013-D Jefferson Nickel</t>
  </si>
  <si>
    <t>2013-S Proof Jefferson Nickel</t>
  </si>
  <si>
    <t>2014-P Jefferson Nickel</t>
  </si>
  <si>
    <t>2014-D Jefferson Nickel</t>
  </si>
  <si>
    <t>2015-P Jefferson Nickel</t>
  </si>
  <si>
    <t>2015-D Jefferson Nickel</t>
  </si>
  <si>
    <t>2016-P Jefferson Nickel</t>
  </si>
  <si>
    <t>2016-D Jefferson Nickel</t>
  </si>
  <si>
    <t>2017-P Jefferson Nickel</t>
  </si>
  <si>
    <t>2017-D Jefferson Nickel</t>
  </si>
  <si>
    <t>2018-P Jefferson Nickel</t>
  </si>
  <si>
    <t>2018-D Jefferson Nickel</t>
  </si>
  <si>
    <t>2019-P Jefferson Nickel</t>
  </si>
  <si>
    <t>2019-D Jefferson Nickel</t>
  </si>
  <si>
    <t>2020-P Jefferson Nickel</t>
  </si>
  <si>
    <t>2020-D Jefferson Nickel</t>
  </si>
  <si>
    <t>2021-P Jefferson Nickel</t>
  </si>
  <si>
    <t>2021-D Jefferson Nickel</t>
  </si>
  <si>
    <t>2022-P Jefferson Nickel</t>
  </si>
  <si>
    <t>2022-D Jefferson Nickel</t>
  </si>
  <si>
    <t>2023-P Jefferson Nickel</t>
  </si>
  <si>
    <t>2023-D Jefferson Nickel</t>
  </si>
  <si>
    <t>2024-P Jefferson Nickel</t>
  </si>
  <si>
    <t>2024-D Jefferson Nickel</t>
  </si>
  <si>
    <t>2025-P Jefferson Nickel</t>
  </si>
  <si>
    <t>2025-D Jefferson Nickel</t>
  </si>
  <si>
    <t>2025-S Jefferson Nickel</t>
  </si>
  <si>
    <t>2026-P Jefferson Nickel</t>
  </si>
  <si>
    <t>2026-D Jefferson Nickel</t>
  </si>
  <si>
    <t>2026-S Jefferson Nickel</t>
  </si>
  <si>
    <t>2008-P Jefferson Nickel</t>
  </si>
  <si>
    <t>2005-S Jefferson Nickel Ocean In View Proof</t>
  </si>
  <si>
    <t>2006-P Jefferson Nickel Return to Monticello</t>
  </si>
  <si>
    <t>2006-D Jefferson Nickel Return to Monticello</t>
  </si>
  <si>
    <t>2006-S Jefferson Nickel Return to Monticello Proof</t>
  </si>
  <si>
    <t>2004-D Jefferson Nickel Westward Journey</t>
  </si>
  <si>
    <t>2004-S Jefferson Nickel Proof Westward Journey</t>
  </si>
  <si>
    <t>2014-S Jefferson Nickel Proof</t>
  </si>
  <si>
    <t>2015-S Jefferson Nickel Proof</t>
  </si>
  <si>
    <t>2016-S Jefferson Nickel Proof</t>
  </si>
  <si>
    <t>Liberty "V"</t>
  </si>
  <si>
    <t>Total Nickels Needed</t>
  </si>
  <si>
    <t>SLD2025CNT-AA</t>
  </si>
  <si>
    <t>SLD2025CNT-AB</t>
  </si>
  <si>
    <t>JEF2014NIC-AF</t>
  </si>
  <si>
    <t>Ocean View</t>
  </si>
  <si>
    <t>Hand Shake</t>
  </si>
  <si>
    <t>Fishing Boat</t>
  </si>
  <si>
    <t>Jefferson Nickel Lewis &amp; Clark</t>
  </si>
  <si>
    <t>2012-S Jefferson Nickel Proof</t>
  </si>
  <si>
    <t>2013-S Jefferson Nickel Proof</t>
  </si>
  <si>
    <t xml:space="preserve">Lincoln Cents --&gt; </t>
  </si>
  <si>
    <t xml:space="preserve">Indian Head Pennies  --&gt;  </t>
  </si>
  <si>
    <t>Murcury Dimes</t>
  </si>
  <si>
    <t>George Washinton Commem Half</t>
  </si>
  <si>
    <t>Shield Penny Roll</t>
  </si>
  <si>
    <t>Jefferson Nickel Buffalo Roll Bison</t>
  </si>
  <si>
    <t>Jefferson Nickel Roll Ocean In View</t>
  </si>
  <si>
    <t>Jefferson Nickel Roll Peace Medal</t>
  </si>
  <si>
    <t>Jefferson Nickel Roll Bison Roll</t>
  </si>
  <si>
    <t>Jefferson Nickel Roll Fishing Boat</t>
  </si>
  <si>
    <t>Jefferson Nickel Roll Hand Shake</t>
  </si>
  <si>
    <t>Jefferson Nickel Tube Assorted Dates</t>
  </si>
  <si>
    <t>Lincoln Pennies Tube Assorted Dates</t>
  </si>
  <si>
    <t>Assorted Date Quarters Tubes 2010-2020</t>
  </si>
  <si>
    <t>National Parks Issue Tubes 2010-2019</t>
  </si>
  <si>
    <t>2010'S Tubes Series Pennies</t>
  </si>
  <si>
    <t>Quarters Tubes with Assorted Dates</t>
  </si>
  <si>
    <t>Lincoln Pennies Tubes Assorted Dates</t>
  </si>
  <si>
    <t>2000'S Series Tube Pennies</t>
  </si>
  <si>
    <t>2000'S Series Tubes Pennies</t>
  </si>
  <si>
    <t>1990'S Series Tubes Pennies</t>
  </si>
  <si>
    <t>Roosevelt Dimes Tubes Assorted Dates</t>
  </si>
  <si>
    <t>1980'S Series Tube Pennies</t>
  </si>
  <si>
    <t>Tubes Bicentennial Quarters</t>
  </si>
  <si>
    <t>Assorted Date Tubes Quarters</t>
  </si>
  <si>
    <t>Lincoln Pennies Tubes Assorted Dates [Dads]</t>
  </si>
  <si>
    <t>1970'S Tubes Series Pennies</t>
  </si>
  <si>
    <t>Jefferson Nickels Tubes Assorted Dates</t>
  </si>
  <si>
    <t>Kennedy Half Dollars Tube</t>
  </si>
  <si>
    <t>Eisenhower Halves Assorted Dates Tube</t>
  </si>
  <si>
    <t>Assorted 1930's Wheat Pennies Tube</t>
  </si>
  <si>
    <t>Assorted 1950's Wheat Pennies Tube</t>
  </si>
  <si>
    <t>Assorted 1960's Wheat Pennies Tube</t>
  </si>
  <si>
    <t>2009 Lincoln Over The Years Set</t>
  </si>
  <si>
    <t>1999 State Quarter 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</si>
</sst>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164" formatCode="&quot; $&quot;* #,##0.00\ ;&quot; $&quot;* \(#,##0.00\);&quot; $&quot;* \-#\ ;\ @\ "/>
    <numFmt numFmtId="165" formatCode="\$#,##0.00"/>
    <numFmt numFmtId="166" formatCode="_(\$* #,##0.00_);_(\$* \(#,##0.00\);_(\$* \-??_);_(@_)"/>
    <numFmt numFmtId="167" formatCode="&quot;$&quot;#,##0.00"/>
    <numFmt numFmtId="168" formatCode="\$#,##0.00_);[Red]&quot;($&quot;#,##0.00\)"/>
    <numFmt numFmtId="169" formatCode="###;;&quot; &quot;"/>
    <numFmt numFmtId="170" formatCode="&quot; $&quot;* #,##0.00\ ;&quot; $&quot;* \(#,##0.00\);&quot; $&quot;* #\ ;\ @\ "/>
  </numFmts>
  <fonts count="85">
    <font>
      <sz val="10"/>
      <name val="Arial"/>
      <family val="2"/>
      <charset val="1"/>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0"/>
      <name val="Arial"/>
      <family val="2"/>
      <charset val="1"/>
    </font>
    <font>
      <sz val="10"/>
      <color theme="1"/>
      <name val="Arial"/>
      <family val="2"/>
      <charset val="1"/>
    </font>
    <font>
      <sz val="8"/>
      <color theme="1"/>
      <name val="Arial"/>
      <family val="2"/>
      <charset val="1"/>
    </font>
    <font>
      <b/>
      <sz val="10"/>
      <color theme="1"/>
      <name val="Arial"/>
      <family val="2"/>
      <charset val="1"/>
    </font>
    <font>
      <b/>
      <sz val="10"/>
      <name val="Arial"/>
      <family val="2"/>
      <charset val="1"/>
    </font>
    <font>
      <b/>
      <sz val="10"/>
      <color rgb="FF0066CC"/>
      <name val="Arial"/>
      <family val="2"/>
      <charset val="1"/>
    </font>
    <font>
      <sz val="10"/>
      <color rgb="FF0000FF"/>
      <name val="Arial"/>
      <family val="2"/>
      <charset val="1"/>
    </font>
    <font>
      <sz val="8"/>
      <name val="Arial"/>
      <family val="2"/>
      <charset val="1"/>
    </font>
    <font>
      <b/>
      <sz val="8"/>
      <name val="Arial"/>
      <family val="2"/>
      <charset val="1"/>
    </font>
    <font>
      <b/>
      <sz val="9"/>
      <name val="Arial"/>
      <family val="2"/>
      <charset val="1"/>
    </font>
    <font>
      <b/>
      <u/>
      <sz val="8"/>
      <color rgb="FF000000"/>
      <name val="Arial"/>
      <family val="2"/>
      <charset val="1"/>
    </font>
    <font>
      <b/>
      <sz val="8"/>
      <color rgb="FF000000"/>
      <name val="Calibri"/>
      <family val="2"/>
      <charset val="1"/>
    </font>
    <font>
      <b/>
      <sz val="8"/>
      <color theme="1"/>
      <name val="Arial"/>
      <family val="2"/>
      <charset val="1"/>
    </font>
    <font>
      <sz val="10"/>
      <name val="Arial"/>
      <family val="2"/>
    </font>
    <font>
      <sz val="9"/>
      <color rgb="FF000000"/>
      <name val="Tahoma"/>
      <family val="2"/>
      <charset val="1"/>
    </font>
    <font>
      <sz val="10"/>
      <name val="Arial"/>
      <family val="2"/>
    </font>
    <font>
      <b/>
      <sz val="10"/>
      <color theme="0"/>
      <name val="Arial"/>
      <family val="2"/>
    </font>
    <font>
      <b/>
      <sz val="8"/>
      <color theme="0"/>
      <name val="Arial"/>
      <family val="2"/>
    </font>
    <font>
      <b/>
      <sz val="10"/>
      <name val="Arial"/>
      <family val="2"/>
    </font>
    <font>
      <b/>
      <sz val="10"/>
      <color indexed="10"/>
      <name val="Arial"/>
      <family val="2"/>
    </font>
    <font>
      <sz val="10"/>
      <color theme="1"/>
      <name val="Arial"/>
      <family val="2"/>
    </font>
    <font>
      <sz val="8"/>
      <color theme="1"/>
      <name val="Arial"/>
      <family val="2"/>
    </font>
    <font>
      <u/>
      <sz val="10"/>
      <color indexed="12"/>
      <name val="Arial"/>
      <family val="2"/>
    </font>
    <font>
      <sz val="8"/>
      <name val="Arial"/>
      <family val="2"/>
    </font>
    <font>
      <b/>
      <sz val="10"/>
      <color theme="9" tint="-0.499984740745262"/>
      <name val="Arial"/>
      <family val="2"/>
    </font>
    <font>
      <b/>
      <sz val="16"/>
      <name val="Arial"/>
      <family val="2"/>
    </font>
    <font>
      <sz val="11"/>
      <color indexed="8"/>
      <name val="Calibri"/>
      <family val="2"/>
    </font>
    <font>
      <b/>
      <sz val="11"/>
      <color indexed="8"/>
      <name val="Calibri"/>
      <family val="2"/>
    </font>
    <font>
      <b/>
      <sz val="12"/>
      <name val="Arial"/>
      <family val="2"/>
    </font>
    <font>
      <sz val="12"/>
      <name val="Arial"/>
      <family val="2"/>
    </font>
    <font>
      <sz val="10"/>
      <color indexed="8"/>
      <name val="Calibri"/>
      <family val="2"/>
    </font>
    <font>
      <sz val="9"/>
      <name val="Arial"/>
      <family val="2"/>
    </font>
    <font>
      <b/>
      <sz val="9"/>
      <name val="Arial"/>
      <family val="2"/>
    </font>
    <font>
      <b/>
      <sz val="9"/>
      <color indexed="8"/>
      <name val="Tahoma"/>
      <family val="2"/>
    </font>
    <font>
      <sz val="9"/>
      <color indexed="8"/>
      <name val="Tahoma"/>
      <family val="2"/>
    </font>
    <font>
      <b/>
      <sz val="8"/>
      <name val="Arial"/>
      <family val="2"/>
    </font>
    <font>
      <sz val="10"/>
      <color indexed="12"/>
      <name val="Arial"/>
      <family val="2"/>
    </font>
    <font>
      <b/>
      <sz val="10"/>
      <color indexed="8"/>
      <name val="Arial"/>
      <family val="2"/>
    </font>
    <font>
      <sz val="9"/>
      <color indexed="8"/>
      <name val="Arial"/>
      <family val="2"/>
    </font>
    <font>
      <sz val="10"/>
      <color indexed="8"/>
      <name val="Arial"/>
      <family val="2"/>
    </font>
    <font>
      <b/>
      <u/>
      <sz val="11"/>
      <name val="Arial"/>
      <family val="2"/>
    </font>
    <font>
      <u/>
      <sz val="10"/>
      <color theme="10"/>
      <name val="Arial"/>
      <family val="2"/>
      <charset val="1"/>
    </font>
    <font>
      <sz val="10"/>
      <name val="Arial"/>
      <family val="2"/>
    </font>
    <font>
      <i/>
      <sz val="10"/>
      <name val="Arial"/>
      <family val="2"/>
    </font>
    <font>
      <sz val="10"/>
      <name val="Wingdings 2"/>
      <family val="1"/>
      <charset val="2"/>
    </font>
    <font>
      <sz val="9"/>
      <name val="Wingdings 2"/>
      <family val="1"/>
      <charset val="2"/>
    </font>
    <font>
      <sz val="8"/>
      <name val="Wingdings 2"/>
      <family val="1"/>
      <charset val="2"/>
    </font>
    <font>
      <b/>
      <sz val="11"/>
      <color theme="1"/>
      <name val="Aptos Narrow"/>
      <family val="2"/>
      <scheme val="minor"/>
    </font>
    <font>
      <b/>
      <sz val="10"/>
      <color theme="1"/>
      <name val="Arial"/>
      <family val="2"/>
    </font>
    <font>
      <b/>
      <sz val="10"/>
      <color rgb="FFFF0000"/>
      <name val="Arial"/>
      <family val="2"/>
    </font>
    <font>
      <sz val="10"/>
      <color rgb="FF0A0A0A"/>
      <name val="Arial Unicode MS"/>
    </font>
    <font>
      <b/>
      <sz val="10"/>
      <color theme="3" tint="0.249977111117893"/>
      <name val="Arial"/>
      <family val="2"/>
    </font>
    <font>
      <b/>
      <sz val="12"/>
      <color rgb="FF202122"/>
      <name val="Arial"/>
      <family val="2"/>
    </font>
    <font>
      <sz val="12"/>
      <color rgb="FF202122"/>
      <name val="Arial"/>
      <family val="2"/>
    </font>
    <font>
      <sz val="12"/>
      <color rgb="FF3366CC"/>
      <name val="Arial"/>
      <family val="2"/>
    </font>
    <font>
      <i/>
      <sz val="12"/>
      <color rgb="FF202122"/>
      <name val="Arial"/>
      <family val="2"/>
    </font>
    <font>
      <b/>
      <i/>
      <sz val="12"/>
      <color rgb="FF202122"/>
      <name val="Arial"/>
      <family val="2"/>
    </font>
    <font>
      <b/>
      <sz val="18"/>
      <color rgb="FF101418"/>
      <name val="Georgia"/>
      <family val="1"/>
    </font>
    <font>
      <vertAlign val="superscript"/>
      <sz val="10"/>
      <color rgb="FF3366CC"/>
      <name val="Arial"/>
      <family val="2"/>
    </font>
    <font>
      <b/>
      <sz val="13.5"/>
      <color rgb="FF101418"/>
      <name val="Inherit"/>
    </font>
    <font>
      <sz val="14"/>
      <color rgb="FF000000"/>
      <name val="Inter"/>
    </font>
    <font>
      <sz val="10"/>
      <color rgb="FF000000"/>
      <name val="Inter"/>
    </font>
    <font>
      <sz val="14"/>
      <color theme="7"/>
      <name val="Inter"/>
    </font>
    <font>
      <b/>
      <sz val="11"/>
      <color theme="0"/>
      <name val="Aptos Narrow"/>
      <family val="2"/>
      <scheme val="minor"/>
    </font>
    <font>
      <b/>
      <i/>
      <sz val="11"/>
      <color theme="0"/>
      <name val="Aptos Narrow"/>
      <family val="2"/>
      <scheme val="minor"/>
    </font>
    <font>
      <sz val="11"/>
      <color rgb="FFFF0000"/>
      <name val="Aptos Narrow"/>
      <family val="2"/>
      <scheme val="minor"/>
    </font>
    <font>
      <sz val="9"/>
      <color indexed="81"/>
      <name val="Tahoma"/>
      <family val="2"/>
    </font>
    <font>
      <b/>
      <sz val="9"/>
      <color indexed="81"/>
      <name val="Tahoma"/>
      <family val="2"/>
    </font>
    <font>
      <b/>
      <sz val="11"/>
      <color theme="9" tint="-0.249977111117893"/>
      <name val="Aptos Narrow"/>
      <family val="2"/>
      <scheme val="minor"/>
    </font>
    <font>
      <b/>
      <sz val="10"/>
      <color theme="0"/>
      <name val="Arial"/>
      <family val="2"/>
      <charset val="1"/>
    </font>
    <font>
      <sz val="12"/>
      <color rgb="FF0A0A0A"/>
      <name val="Arial"/>
      <family val="2"/>
    </font>
    <font>
      <sz val="10"/>
      <color rgb="FF000000"/>
      <name val="Arial"/>
      <family val="2"/>
    </font>
    <font>
      <sz val="8"/>
      <color rgb="FF000000"/>
      <name val="Arial"/>
      <family val="2"/>
    </font>
  </fonts>
  <fills count="31">
    <fill>
      <patternFill patternType="none"/>
    </fill>
    <fill>
      <patternFill patternType="gray125"/>
    </fill>
    <fill>
      <patternFill patternType="solid">
        <fgColor rgb="FFE8F2A1"/>
        <bgColor rgb="FFFFFF99"/>
      </patternFill>
    </fill>
    <fill>
      <patternFill patternType="solid">
        <fgColor rgb="FFFFFFD7"/>
        <bgColor rgb="FFFFFFFF"/>
      </patternFill>
    </fill>
    <fill>
      <patternFill patternType="solid">
        <fgColor rgb="FFFFDBB6"/>
        <bgColor rgb="FFE8F2A1"/>
      </patternFill>
    </fill>
    <fill>
      <patternFill patternType="solid">
        <fgColor rgb="FFDEDCE6"/>
        <bgColor rgb="FFDAE3F3"/>
      </patternFill>
    </fill>
    <fill>
      <patternFill patternType="solid">
        <fgColor rgb="FFFFD428"/>
        <bgColor rgb="FFFFFF00"/>
      </patternFill>
    </fill>
    <fill>
      <patternFill patternType="solid">
        <fgColor rgb="FFD4EA6B"/>
        <bgColor rgb="FFE8F2A1"/>
      </patternFill>
    </fill>
    <fill>
      <patternFill patternType="solid">
        <fgColor rgb="FFFFFF00"/>
        <bgColor rgb="FFFFD428"/>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1"/>
        <bgColor theme="1"/>
      </patternFill>
    </fill>
    <fill>
      <patternFill patternType="solid">
        <fgColor indexed="55"/>
        <bgColor indexed="23"/>
      </patternFill>
    </fill>
    <fill>
      <patternFill patternType="solid">
        <fgColor theme="9" tint="-0.249977111117893"/>
        <bgColor theme="4"/>
      </patternFill>
    </fill>
    <fill>
      <patternFill patternType="solid">
        <fgColor theme="9" tint="0.79998168889431442"/>
        <bgColor theme="9" tint="0.79998168889431442"/>
      </patternFill>
    </fill>
    <fill>
      <patternFill patternType="solid">
        <fgColor theme="9"/>
        <bgColor theme="9"/>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8F9FA"/>
        <bgColor indexed="64"/>
      </patternFill>
    </fill>
    <fill>
      <patternFill patternType="solid">
        <fgColor rgb="FFEAECF0"/>
        <bgColor indexed="64"/>
      </patternFill>
    </fill>
    <fill>
      <patternFill patternType="solid">
        <fgColor rgb="FFF0F2F5"/>
        <bgColor indexed="64"/>
      </patternFill>
    </fill>
    <fill>
      <patternFill patternType="solid">
        <fgColor rgb="FFFFFF00"/>
        <bgColor theme="9" tint="0.79998168889431442"/>
      </patternFill>
    </fill>
    <fill>
      <patternFill patternType="solid">
        <fgColor theme="2"/>
        <bgColor indexed="64"/>
      </patternFill>
    </fill>
    <fill>
      <patternFill patternType="solid">
        <fgColor theme="2"/>
        <bgColor theme="9" tint="0.79998168889431442"/>
      </patternFill>
    </fill>
    <fill>
      <patternFill patternType="solid">
        <fgColor theme="3" tint="0.89999084444715716"/>
        <bgColor theme="9" tint="0.79998168889431442"/>
      </patternFill>
    </fill>
    <fill>
      <patternFill patternType="solid">
        <fgColor theme="3" tint="0.89999084444715716"/>
        <bgColor indexed="64"/>
      </patternFill>
    </fill>
    <fill>
      <patternFill patternType="solid">
        <fgColor theme="8" tint="0.79998168889431442"/>
        <bgColor theme="9" tint="0.79998168889431442"/>
      </patternFill>
    </fill>
    <fill>
      <patternFill patternType="solid">
        <fgColor theme="8" tint="0.79998168889431442"/>
        <bgColor indexed="64"/>
      </patternFill>
    </fill>
    <fill>
      <patternFill patternType="solid">
        <fgColor theme="5" tint="0.79998168889431442"/>
        <bgColor theme="9" tint="0.79998168889431442"/>
      </patternFill>
    </fill>
    <fill>
      <patternFill patternType="solid">
        <fgColor theme="5" tint="0.79998168889431442"/>
        <bgColor indexed="64"/>
      </patternFill>
    </fill>
  </fills>
  <borders count="57">
    <border>
      <left/>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hair">
        <color auto="1"/>
      </right>
      <top/>
      <bottom/>
      <diagonal/>
    </border>
    <border>
      <left/>
      <right/>
      <top/>
      <bottom style="thin">
        <color indexed="8"/>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medium">
        <color indexed="8"/>
      </left>
      <right/>
      <top/>
      <bottom/>
      <diagonal/>
    </border>
    <border>
      <left/>
      <right/>
      <top style="medium">
        <color indexed="8"/>
      </top>
      <bottom/>
      <diagonal/>
    </border>
    <border>
      <left/>
      <right style="medium">
        <color indexed="8"/>
      </right>
      <top style="medium">
        <color indexed="8"/>
      </top>
      <bottom/>
      <diagonal/>
    </border>
    <border>
      <left/>
      <right style="medium">
        <color indexed="8"/>
      </right>
      <top/>
      <bottom/>
      <diagonal/>
    </border>
    <border>
      <left style="medium">
        <color indexed="8"/>
      </left>
      <right/>
      <top/>
      <bottom style="medium">
        <color indexed="8"/>
      </bottom>
      <diagonal/>
    </border>
    <border>
      <left/>
      <right/>
      <top/>
      <bottom style="medium">
        <color indexed="8"/>
      </bottom>
      <diagonal/>
    </border>
    <border>
      <left style="thin">
        <color theme="9"/>
      </left>
      <right/>
      <top style="thin">
        <color theme="4" tint="0.39997558519241921"/>
      </top>
      <bottom/>
      <diagonal/>
    </border>
    <border>
      <left style="thin">
        <color theme="9"/>
      </left>
      <right/>
      <top style="thin">
        <color theme="9"/>
      </top>
      <bottom/>
      <diagonal/>
    </border>
    <border>
      <left style="thin">
        <color theme="4" tint="0.39997558519241921"/>
      </left>
      <right/>
      <top style="thin">
        <color theme="9"/>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style="thin">
        <color theme="9" tint="0.39997558519241921"/>
      </right>
      <top style="thin">
        <color theme="9" tint="0.39997558519241921"/>
      </top>
      <bottom/>
      <diagonal/>
    </border>
    <border>
      <left/>
      <right style="thin">
        <color theme="9"/>
      </right>
      <top/>
      <bottom/>
      <diagonal/>
    </border>
    <border>
      <left style="medium">
        <color rgb="FFA2A9B1"/>
      </left>
      <right style="medium">
        <color rgb="FFA2A9B1"/>
      </right>
      <top style="medium">
        <color rgb="FFA2A9B1"/>
      </top>
      <bottom style="medium">
        <color rgb="FFA2A9B1"/>
      </bottom>
      <diagonal/>
    </border>
    <border>
      <left style="medium">
        <color rgb="FFA2A9B1"/>
      </left>
      <right/>
      <top style="medium">
        <color rgb="FFA2A9B1"/>
      </top>
      <bottom style="medium">
        <color rgb="FFA2A9B1"/>
      </bottom>
      <diagonal/>
    </border>
    <border>
      <left/>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style="medium">
        <color rgb="FFA2A9B1"/>
      </bottom>
      <diagonal/>
    </border>
    <border>
      <left style="medium">
        <color rgb="FFA2A9B1"/>
      </left>
      <right style="medium">
        <color rgb="FFA2A9B1"/>
      </right>
      <top/>
      <bottom/>
      <diagonal/>
    </border>
    <border>
      <left/>
      <right/>
      <top/>
      <bottom style="medium">
        <color rgb="FFA2A9B1"/>
      </bottom>
      <diagonal/>
    </border>
    <border>
      <left/>
      <right/>
      <top style="thin">
        <color theme="9" tint="0.39997558519241921"/>
      </top>
      <bottom/>
      <diagonal/>
    </border>
    <border>
      <left/>
      <right/>
      <top style="thin">
        <color theme="9" tint="0.39997558519241921"/>
      </top>
      <bottom style="thin">
        <color theme="9" tint="0.39997558519241921"/>
      </bottom>
      <diagonal/>
    </border>
    <border>
      <left/>
      <right style="thin">
        <color theme="9" tint="0.39997558519241921"/>
      </right>
      <top/>
      <bottom/>
      <diagonal/>
    </border>
    <border>
      <left style="thin">
        <color theme="9" tint="0.39997558519241921"/>
      </left>
      <right/>
      <top/>
      <bottom/>
      <diagonal/>
    </border>
    <border>
      <left style="medium">
        <color theme="3" tint="0.499984740745262"/>
      </left>
      <right/>
      <top style="medium">
        <color theme="3" tint="0.499984740745262"/>
      </top>
      <bottom/>
      <diagonal/>
    </border>
    <border>
      <left/>
      <right style="medium">
        <color theme="3" tint="0.499984740745262"/>
      </right>
      <top style="medium">
        <color theme="3" tint="0.499984740745262"/>
      </top>
      <bottom/>
      <diagonal/>
    </border>
    <border>
      <left style="medium">
        <color theme="3" tint="0.499984740745262"/>
      </left>
      <right/>
      <top/>
      <bottom/>
      <diagonal/>
    </border>
    <border>
      <left/>
      <right style="medium">
        <color theme="3" tint="0.499984740745262"/>
      </right>
      <top/>
      <bottom/>
      <diagonal/>
    </border>
    <border>
      <left style="medium">
        <color theme="3" tint="0.499984740745262"/>
      </left>
      <right/>
      <top/>
      <bottom style="medium">
        <color theme="3" tint="0.499984740745262"/>
      </bottom>
      <diagonal/>
    </border>
    <border>
      <left/>
      <right style="medium">
        <color theme="3" tint="0.499984740745262"/>
      </right>
      <top/>
      <bottom style="medium">
        <color theme="3" tint="0.499984740745262"/>
      </bottom>
      <diagonal/>
    </border>
    <border>
      <left/>
      <right style="thick">
        <color theme="3" tint="0.499984740745262"/>
      </right>
      <top/>
      <bottom/>
      <diagonal/>
    </border>
    <border>
      <left style="thick">
        <color theme="3" tint="0.499984740745262"/>
      </left>
      <right/>
      <top/>
      <bottom/>
      <diagonal/>
    </border>
    <border>
      <left style="thick">
        <color theme="3" tint="0.499984740745262"/>
      </left>
      <right/>
      <top/>
      <bottom style="thick">
        <color theme="3" tint="0.499984740745262"/>
      </bottom>
      <diagonal/>
    </border>
    <border>
      <left style="thick">
        <color theme="3" tint="0.499984740745262"/>
      </left>
      <right/>
      <top style="thick">
        <color theme="3" tint="0.499984740745262"/>
      </top>
      <bottom/>
      <diagonal/>
    </border>
    <border>
      <left/>
      <right/>
      <top style="thick">
        <color theme="8" tint="0.79998168889431442"/>
      </top>
      <bottom style="thick">
        <color theme="3" tint="0.499984740745262"/>
      </bottom>
      <diagonal/>
    </border>
    <border>
      <left/>
      <right style="thick">
        <color theme="8" tint="0.79998168889431442"/>
      </right>
      <top/>
      <bottom/>
      <diagonal/>
    </border>
    <border>
      <left/>
      <right/>
      <top/>
      <bottom style="thick">
        <color theme="8" tint="0.79998168889431442"/>
      </bottom>
      <diagonal/>
    </border>
    <border>
      <left style="thick">
        <color theme="8" tint="0.79998168889431442"/>
      </left>
      <right/>
      <top/>
      <bottom/>
      <diagonal/>
    </border>
    <border>
      <left/>
      <right/>
      <top style="thick">
        <color theme="3" tint="0.499984740745262"/>
      </top>
      <bottom style="thick">
        <color theme="5" tint="0.79998168889431442"/>
      </bottom>
      <diagonal/>
    </border>
    <border>
      <left/>
      <right style="thick">
        <color theme="5" tint="0.79998168889431442"/>
      </right>
      <top/>
      <bottom/>
      <diagonal/>
    </border>
    <border>
      <left style="thick">
        <color theme="5" tint="0.79998168889431442"/>
      </left>
      <right/>
      <top style="thick">
        <color theme="5" tint="0.79998168889431442"/>
      </top>
      <bottom style="thick">
        <color theme="5" tint="0.79998168889431442"/>
      </bottom>
      <diagonal/>
    </border>
    <border>
      <left style="thick">
        <color theme="5" tint="0.79998168889431442"/>
      </left>
      <right/>
      <top/>
      <bottom/>
      <diagonal/>
    </border>
    <border>
      <left/>
      <right/>
      <top style="thick">
        <color theme="5" tint="0.79998168889431442"/>
      </top>
      <bottom style="thick">
        <color theme="5" tint="0.79998168889431442"/>
      </bottom>
      <diagonal/>
    </border>
  </borders>
  <cellStyleXfs count="11">
    <xf numFmtId="0" fontId="0" fillId="0" borderId="0"/>
    <xf numFmtId="164" fontId="12" fillId="0" borderId="0" applyBorder="0" applyProtection="0"/>
    <xf numFmtId="0" fontId="27" fillId="0" borderId="0"/>
    <xf numFmtId="0" fontId="34" fillId="0" borderId="0" applyNumberFormat="0" applyFill="0" applyBorder="0" applyAlignment="0" applyProtection="0"/>
    <xf numFmtId="0" fontId="38" fillId="0" borderId="0"/>
    <xf numFmtId="166" fontId="25" fillId="0" borderId="0" applyFill="0" applyBorder="0" applyAlignment="0" applyProtection="0"/>
    <xf numFmtId="0" fontId="25" fillId="0" borderId="0"/>
    <xf numFmtId="164" fontId="25" fillId="0" borderId="0" applyFill="0" applyBorder="0" applyAlignment="0" applyProtection="0"/>
    <xf numFmtId="0" fontId="53" fillId="0" borderId="0" applyNumberFormat="0" applyFill="0" applyBorder="0" applyAlignment="0" applyProtection="0"/>
    <xf numFmtId="0" fontId="11" fillId="0" borderId="0"/>
    <xf numFmtId="0" fontId="10" fillId="0" borderId="0"/>
  </cellStyleXfs>
  <cellXfs count="562">
    <xf numFmtId="0" fontId="0" fillId="0" borderId="0" xfId="0"/>
    <xf numFmtId="0" fontId="16" fillId="0" borderId="0" xfId="0" applyFont="1" applyAlignment="1">
      <alignment horizontal="center"/>
    </xf>
    <xf numFmtId="0" fontId="17" fillId="0" borderId="0" xfId="0" applyFont="1" applyAlignment="1">
      <alignment horizontal="left"/>
    </xf>
    <xf numFmtId="0" fontId="0" fillId="0" borderId="0" xfId="0" applyAlignment="1">
      <alignment horizontal="left"/>
    </xf>
    <xf numFmtId="0" fontId="17" fillId="0" borderId="0" xfId="0" applyFont="1"/>
    <xf numFmtId="0" fontId="16" fillId="0" borderId="0" xfId="0" applyFont="1" applyAlignment="1">
      <alignment horizontal="left"/>
    </xf>
    <xf numFmtId="0" fontId="18" fillId="0" borderId="0" xfId="0" applyFont="1" applyAlignment="1">
      <alignment horizontal="left"/>
    </xf>
    <xf numFmtId="0" fontId="16" fillId="0" borderId="0" xfId="0" applyFont="1"/>
    <xf numFmtId="0" fontId="19" fillId="2" borderId="0" xfId="0" applyFont="1" applyFill="1"/>
    <xf numFmtId="0" fontId="0" fillId="2" borderId="0" xfId="0" applyFill="1"/>
    <xf numFmtId="0" fontId="19" fillId="3" borderId="0" xfId="0" applyFont="1" applyFill="1"/>
    <xf numFmtId="0" fontId="0" fillId="3" borderId="0" xfId="0" applyFill="1"/>
    <xf numFmtId="0" fontId="20" fillId="4" borderId="0" xfId="0" applyFont="1" applyFill="1" applyAlignment="1">
      <alignment horizontal="left"/>
    </xf>
    <xf numFmtId="0" fontId="16" fillId="4" borderId="0" xfId="0" applyFont="1" applyFill="1" applyAlignment="1">
      <alignment horizontal="left"/>
    </xf>
    <xf numFmtId="0" fontId="20" fillId="4" borderId="0" xfId="0" applyFont="1" applyFill="1"/>
    <xf numFmtId="0" fontId="16" fillId="5" borderId="0" xfId="0" applyFont="1" applyFill="1" applyAlignment="1">
      <alignment horizontal="center"/>
    </xf>
    <xf numFmtId="0" fontId="21" fillId="5" borderId="0" xfId="0" applyFont="1" applyFill="1"/>
    <xf numFmtId="0" fontId="0" fillId="5" borderId="0" xfId="0" applyFill="1"/>
    <xf numFmtId="0" fontId="0" fillId="4" borderId="0" xfId="0" applyFill="1"/>
    <xf numFmtId="0" fontId="20" fillId="6" borderId="0" xfId="0" applyFont="1" applyFill="1" applyAlignment="1">
      <alignment horizontal="center" vertical="center"/>
    </xf>
    <xf numFmtId="0" fontId="22" fillId="7" borderId="0" xfId="0" applyFont="1" applyFill="1" applyAlignment="1">
      <alignment vertical="center"/>
    </xf>
    <xf numFmtId="0" fontId="23" fillId="0" borderId="0" xfId="0" applyFont="1" applyAlignment="1">
      <alignment horizontal="center"/>
    </xf>
    <xf numFmtId="0" fontId="20" fillId="0" borderId="0" xfId="0" applyFont="1" applyAlignment="1">
      <alignment horizontal="center"/>
    </xf>
    <xf numFmtId="0" fontId="20" fillId="0" borderId="3" xfId="0" applyFont="1" applyBorder="1" applyAlignment="1">
      <alignment horizontal="center"/>
    </xf>
    <xf numFmtId="0" fontId="19" fillId="0" borderId="0" xfId="0" applyFont="1" applyAlignment="1">
      <alignment horizontal="left"/>
    </xf>
    <xf numFmtId="0" fontId="19" fillId="0" borderId="3" xfId="0" applyFont="1" applyBorder="1" applyAlignment="1">
      <alignment horizontal="left"/>
    </xf>
    <xf numFmtId="0" fontId="19" fillId="0" borderId="0" xfId="0" applyFont="1" applyAlignment="1">
      <alignment horizontal="center"/>
    </xf>
    <xf numFmtId="0" fontId="19" fillId="0" borderId="3" xfId="0" applyFont="1" applyBorder="1"/>
    <xf numFmtId="0" fontId="19" fillId="0" borderId="0" xfId="0" applyFont="1"/>
    <xf numFmtId="0" fontId="24" fillId="8" borderId="0" xfId="0" applyFont="1" applyFill="1" applyAlignment="1">
      <alignment horizontal="center" vertical="center"/>
    </xf>
    <xf numFmtId="0" fontId="23" fillId="0" borderId="0" xfId="0" applyFont="1" applyAlignment="1">
      <alignment horizontal="right"/>
    </xf>
    <xf numFmtId="0" fontId="28" fillId="9" borderId="0" xfId="2" applyFont="1" applyFill="1" applyAlignment="1">
      <alignment horizontal="center"/>
    </xf>
    <xf numFmtId="4" fontId="28" fillId="9" borderId="0" xfId="2" applyNumberFormat="1" applyFont="1" applyFill="1" applyAlignment="1">
      <alignment horizontal="center"/>
    </xf>
    <xf numFmtId="0" fontId="29" fillId="9" borderId="0" xfId="2" applyFont="1" applyFill="1" applyAlignment="1">
      <alignment horizontal="center"/>
    </xf>
    <xf numFmtId="0" fontId="27" fillId="0" borderId="0" xfId="2"/>
    <xf numFmtId="0" fontId="27" fillId="0" borderId="0" xfId="2" applyAlignment="1">
      <alignment horizontal="center"/>
    </xf>
    <xf numFmtId="4" fontId="30" fillId="0" borderId="0" xfId="2" applyNumberFormat="1" applyFont="1" applyAlignment="1">
      <alignment horizontal="left"/>
    </xf>
    <xf numFmtId="0" fontId="30" fillId="0" borderId="0" xfId="2" applyFont="1" applyAlignment="1">
      <alignment horizontal="center"/>
    </xf>
    <xf numFmtId="0" fontId="25" fillId="0" borderId="0" xfId="2" applyFont="1"/>
    <xf numFmtId="0" fontId="31" fillId="0" borderId="0" xfId="2" applyFont="1" applyAlignment="1">
      <alignment horizontal="center"/>
    </xf>
    <xf numFmtId="0" fontId="32" fillId="10" borderId="1" xfId="2" applyFont="1" applyFill="1" applyBorder="1" applyAlignment="1">
      <alignment horizontal="left"/>
    </xf>
    <xf numFmtId="0" fontId="32" fillId="10" borderId="1" xfId="2" applyFont="1" applyFill="1" applyBorder="1" applyAlignment="1">
      <alignment horizontal="center"/>
    </xf>
    <xf numFmtId="0" fontId="32" fillId="10" borderId="1" xfId="2" applyFont="1" applyFill="1" applyBorder="1"/>
    <xf numFmtId="4" fontId="32" fillId="10" borderId="1" xfId="2" applyNumberFormat="1" applyFont="1" applyFill="1" applyBorder="1"/>
    <xf numFmtId="0" fontId="33" fillId="10" borderId="1" xfId="2" applyFont="1" applyFill="1" applyBorder="1" applyAlignment="1">
      <alignment horizontal="center"/>
    </xf>
    <xf numFmtId="0" fontId="34" fillId="10" borderId="1" xfId="3" applyNumberFormat="1" applyFill="1" applyBorder="1" applyAlignment="1"/>
    <xf numFmtId="0" fontId="27" fillId="0" borderId="0" xfId="2" applyAlignment="1">
      <alignment horizontal="left"/>
    </xf>
    <xf numFmtId="0" fontId="27" fillId="0" borderId="4" xfId="2" applyBorder="1"/>
    <xf numFmtId="0" fontId="27" fillId="0" borderId="4" xfId="2" applyBorder="1" applyAlignment="1">
      <alignment horizontal="center"/>
    </xf>
    <xf numFmtId="0" fontId="32" fillId="0" borderId="1" xfId="2" applyFont="1" applyBorder="1" applyAlignment="1">
      <alignment horizontal="left"/>
    </xf>
    <xf numFmtId="0" fontId="32" fillId="0" borderId="1" xfId="2" applyFont="1" applyBorder="1" applyAlignment="1">
      <alignment horizontal="center"/>
    </xf>
    <xf numFmtId="0" fontId="32" fillId="0" borderId="1" xfId="2" applyFont="1" applyBorder="1"/>
    <xf numFmtId="4" fontId="32" fillId="0" borderId="1" xfId="2" applyNumberFormat="1" applyFont="1" applyBorder="1"/>
    <xf numFmtId="0" fontId="33" fillId="0" borderId="1" xfId="2" applyFont="1" applyBorder="1" applyAlignment="1">
      <alignment horizontal="center"/>
    </xf>
    <xf numFmtId="0" fontId="34" fillId="0" borderId="1" xfId="3" applyNumberFormat="1" applyBorder="1" applyAlignment="1"/>
    <xf numFmtId="0" fontId="30" fillId="0" borderId="0" xfId="2" applyFont="1" applyAlignment="1">
      <alignment horizontal="left"/>
    </xf>
    <xf numFmtId="0" fontId="30" fillId="0" borderId="0" xfId="2" applyFont="1"/>
    <xf numFmtId="0" fontId="33" fillId="0" borderId="1" xfId="2" applyFont="1" applyBorder="1" applyAlignment="1">
      <alignment horizontal="left"/>
    </xf>
    <xf numFmtId="0" fontId="33" fillId="10" borderId="1" xfId="2" applyFont="1" applyFill="1" applyBorder="1" applyAlignment="1">
      <alignment horizontal="left"/>
    </xf>
    <xf numFmtId="4" fontId="27" fillId="0" borderId="0" xfId="2" applyNumberFormat="1"/>
    <xf numFmtId="0" fontId="35" fillId="0" borderId="0" xfId="2" applyFont="1" applyAlignment="1">
      <alignment horizontal="center"/>
    </xf>
    <xf numFmtId="0" fontId="25" fillId="11" borderId="0" xfId="2" applyFont="1" applyFill="1"/>
    <xf numFmtId="0" fontId="36" fillId="0" borderId="0" xfId="2" applyFont="1"/>
    <xf numFmtId="0" fontId="28" fillId="9" borderId="2" xfId="2" applyFont="1" applyFill="1" applyBorder="1" applyAlignment="1">
      <alignment horizontal="center"/>
    </xf>
    <xf numFmtId="0" fontId="28" fillId="9" borderId="1" xfId="2" applyFont="1" applyFill="1" applyBorder="1" applyAlignment="1">
      <alignment horizontal="center"/>
    </xf>
    <xf numFmtId="4" fontId="28" fillId="9" borderId="1" xfId="2" applyNumberFormat="1" applyFont="1" applyFill="1" applyBorder="1" applyAlignment="1">
      <alignment horizontal="center"/>
    </xf>
    <xf numFmtId="0" fontId="29" fillId="9" borderId="1" xfId="2" applyFont="1" applyFill="1" applyBorder="1" applyAlignment="1">
      <alignment horizontal="center"/>
    </xf>
    <xf numFmtId="0" fontId="28" fillId="9" borderId="5" xfId="2" applyFont="1" applyFill="1" applyBorder="1" applyAlignment="1">
      <alignment horizontal="center"/>
    </xf>
    <xf numFmtId="0" fontId="37" fillId="0" borderId="0" xfId="2" applyFont="1" applyAlignment="1">
      <alignment horizontal="left"/>
    </xf>
    <xf numFmtId="0" fontId="27" fillId="0" borderId="0" xfId="2" applyAlignment="1">
      <alignment horizontal="left" wrapText="1"/>
    </xf>
    <xf numFmtId="0" fontId="27" fillId="0" borderId="0" xfId="2" applyAlignment="1">
      <alignment wrapText="1"/>
    </xf>
    <xf numFmtId="0" fontId="39" fillId="0" borderId="0" xfId="4" applyFont="1" applyAlignment="1">
      <alignment horizontal="center"/>
    </xf>
    <xf numFmtId="0" fontId="39" fillId="0" borderId="0" xfId="4" applyFont="1" applyAlignment="1">
      <alignment horizontal="left"/>
    </xf>
    <xf numFmtId="0" fontId="38" fillId="0" borderId="0" xfId="4"/>
    <xf numFmtId="0" fontId="38" fillId="0" borderId="0" xfId="4" applyAlignment="1">
      <alignment horizontal="left"/>
    </xf>
    <xf numFmtId="0" fontId="31" fillId="0" borderId="0" xfId="4" applyFont="1" applyAlignment="1">
      <alignment horizontal="center"/>
    </xf>
    <xf numFmtId="0" fontId="38" fillId="0" borderId="0" xfId="4" applyAlignment="1">
      <alignment horizontal="center"/>
    </xf>
    <xf numFmtId="4" fontId="38" fillId="0" borderId="0" xfId="4" applyNumberFormat="1"/>
    <xf numFmtId="4" fontId="39" fillId="0" borderId="0" xfId="4" applyNumberFormat="1" applyFont="1" applyAlignment="1">
      <alignment horizontal="left"/>
    </xf>
    <xf numFmtId="0" fontId="25" fillId="11" borderId="0" xfId="4" applyFont="1" applyFill="1"/>
    <xf numFmtId="0" fontId="36" fillId="0" borderId="0" xfId="4" applyFont="1"/>
    <xf numFmtId="0" fontId="28" fillId="9" borderId="2" xfId="4" applyFont="1" applyFill="1" applyBorder="1" applyAlignment="1">
      <alignment horizontal="center"/>
    </xf>
    <xf numFmtId="0" fontId="28" fillId="9" borderId="1" xfId="4" applyFont="1" applyFill="1" applyBorder="1" applyAlignment="1">
      <alignment horizontal="center"/>
    </xf>
    <xf numFmtId="4" fontId="28" fillId="9" borderId="1" xfId="4" applyNumberFormat="1" applyFont="1" applyFill="1" applyBorder="1" applyAlignment="1">
      <alignment horizontal="center"/>
    </xf>
    <xf numFmtId="0" fontId="29" fillId="9" borderId="1" xfId="4" applyFont="1" applyFill="1" applyBorder="1" applyAlignment="1">
      <alignment horizontal="center"/>
    </xf>
    <xf numFmtId="0" fontId="28" fillId="9" borderId="5" xfId="4" applyFont="1" applyFill="1" applyBorder="1" applyAlignment="1">
      <alignment horizontal="center"/>
    </xf>
    <xf numFmtId="0" fontId="40" fillId="0" borderId="0" xfId="4" applyFont="1" applyAlignment="1">
      <alignment horizontal="center" vertical="center"/>
    </xf>
    <xf numFmtId="0" fontId="39" fillId="0" borderId="0" xfId="4" applyFont="1" applyAlignment="1">
      <alignment horizontal="center" vertical="center"/>
    </xf>
    <xf numFmtId="0" fontId="39" fillId="0" borderId="0" xfId="4" applyFont="1" applyAlignment="1">
      <alignment horizontal="center" vertical="center" wrapText="1"/>
    </xf>
    <xf numFmtId="0" fontId="39" fillId="0" borderId="0" xfId="4" applyFont="1" applyAlignment="1">
      <alignment horizontal="left" vertical="center" wrapText="1"/>
    </xf>
    <xf numFmtId="0" fontId="39" fillId="0" borderId="0" xfId="4" applyFont="1" applyAlignment="1">
      <alignment horizontal="center" wrapText="1"/>
    </xf>
    <xf numFmtId="0" fontId="41" fillId="0" borderId="0" xfId="4" applyFont="1" applyAlignment="1">
      <alignment horizontal="left"/>
    </xf>
    <xf numFmtId="0" fontId="25" fillId="0" borderId="0" xfId="4" applyFont="1"/>
    <xf numFmtId="0" fontId="25" fillId="0" borderId="0" xfId="2" applyFont="1" applyAlignment="1">
      <alignment horizontal="center"/>
    </xf>
    <xf numFmtId="0" fontId="25" fillId="0" borderId="0" xfId="2" applyFont="1" applyAlignment="1">
      <alignment horizontal="left"/>
    </xf>
    <xf numFmtId="165" fontId="25" fillId="0" borderId="0" xfId="2" applyNumberFormat="1" applyFont="1"/>
    <xf numFmtId="0" fontId="40" fillId="0" borderId="0" xfId="2" applyFont="1" applyAlignment="1">
      <alignment horizontal="center"/>
    </xf>
    <xf numFmtId="166" fontId="40" fillId="0" borderId="0" xfId="5" applyFont="1" applyFill="1" applyBorder="1" applyAlignment="1" applyProtection="1">
      <alignment horizontal="center"/>
    </xf>
    <xf numFmtId="0" fontId="30" fillId="0" borderId="0" xfId="6" applyFont="1" applyAlignment="1">
      <alignment horizontal="center"/>
    </xf>
    <xf numFmtId="165" fontId="30" fillId="0" borderId="0" xfId="6" applyNumberFormat="1" applyFont="1" applyAlignment="1">
      <alignment horizontal="center" wrapText="1"/>
    </xf>
    <xf numFmtId="165" fontId="30" fillId="0" borderId="0" xfId="6" applyNumberFormat="1" applyFont="1" applyAlignment="1">
      <alignment horizontal="center" vertical="center" wrapText="1"/>
    </xf>
    <xf numFmtId="165" fontId="30" fillId="0" borderId="0" xfId="6" applyNumberFormat="1" applyFont="1" applyAlignment="1">
      <alignment horizontal="left" vertical="center" wrapText="1"/>
    </xf>
    <xf numFmtId="166" fontId="30" fillId="0" borderId="0" xfId="5" applyFont="1" applyFill="1" applyBorder="1" applyAlignment="1" applyProtection="1">
      <alignment horizontal="left"/>
    </xf>
    <xf numFmtId="0" fontId="30" fillId="0" borderId="0" xfId="6" applyFont="1"/>
    <xf numFmtId="0" fontId="30" fillId="0" borderId="0" xfId="6" applyFont="1" applyAlignment="1">
      <alignment horizontal="left" vertical="center"/>
    </xf>
    <xf numFmtId="0" fontId="25" fillId="0" borderId="0" xfId="6"/>
    <xf numFmtId="0" fontId="31" fillId="0" borderId="0" xfId="6" applyFont="1" applyAlignment="1">
      <alignment horizontal="center"/>
    </xf>
    <xf numFmtId="0" fontId="42" fillId="0" borderId="0" xfId="6" applyFont="1"/>
    <xf numFmtId="0" fontId="43" fillId="0" borderId="0" xfId="6" applyFont="1" applyAlignment="1">
      <alignment horizontal="left"/>
    </xf>
    <xf numFmtId="0" fontId="43" fillId="0" borderId="0" xfId="6" applyFont="1" applyAlignment="1">
      <alignment horizontal="center"/>
    </xf>
    <xf numFmtId="165" fontId="43" fillId="0" borderId="0" xfId="6" applyNumberFormat="1" applyFont="1" applyAlignment="1">
      <alignment vertical="center" wrapText="1"/>
    </xf>
    <xf numFmtId="3" fontId="43" fillId="0" borderId="0" xfId="6" applyNumberFormat="1" applyFont="1" applyAlignment="1">
      <alignment horizontal="center" vertical="center" wrapText="1"/>
    </xf>
    <xf numFmtId="165" fontId="44" fillId="0" borderId="0" xfId="6" applyNumberFormat="1" applyFont="1" applyAlignment="1">
      <alignment horizontal="center" vertical="center" wrapText="1"/>
    </xf>
    <xf numFmtId="165" fontId="44" fillId="0" borderId="0" xfId="6" applyNumberFormat="1" applyFont="1" applyAlignment="1">
      <alignment horizontal="left" vertical="center" wrapText="1"/>
    </xf>
    <xf numFmtId="166" fontId="44" fillId="0" borderId="0" xfId="5" applyFont="1" applyFill="1" applyBorder="1" applyAlignment="1" applyProtection="1">
      <alignment horizontal="left"/>
    </xf>
    <xf numFmtId="0" fontId="44" fillId="0" borderId="0" xfId="6" applyFont="1"/>
    <xf numFmtId="0" fontId="44" fillId="0" borderId="0" xfId="6" applyFont="1" applyAlignment="1">
      <alignment horizontal="center" vertical="center"/>
    </xf>
    <xf numFmtId="0" fontId="38" fillId="0" borderId="0" xfId="6" applyFont="1"/>
    <xf numFmtId="167" fontId="43" fillId="0" borderId="0" xfId="6" applyNumberFormat="1" applyFont="1" applyAlignment="1">
      <alignment horizontal="center" vertical="center" wrapText="1"/>
    </xf>
    <xf numFmtId="166" fontId="43" fillId="0" borderId="0" xfId="5" applyFont="1" applyFill="1" applyBorder="1" applyAlignment="1" applyProtection="1">
      <alignment horizontal="left"/>
    </xf>
    <xf numFmtId="0" fontId="43" fillId="0" borderId="0" xfId="6" applyFont="1"/>
    <xf numFmtId="167" fontId="25" fillId="0" borderId="0" xfId="6" applyNumberFormat="1"/>
    <xf numFmtId="165" fontId="43" fillId="0" borderId="0" xfId="6" applyNumberFormat="1" applyFont="1"/>
    <xf numFmtId="4" fontId="43" fillId="0" borderId="0" xfId="6" applyNumberFormat="1" applyFont="1"/>
    <xf numFmtId="167" fontId="25" fillId="0" borderId="0" xfId="5" applyNumberFormat="1" applyAlignment="1">
      <alignment horizontal="center" vertical="center" wrapText="1"/>
    </xf>
    <xf numFmtId="0" fontId="43" fillId="0" borderId="0" xfId="6" applyFont="1" applyAlignment="1">
      <alignment horizontal="left" vertical="top"/>
    </xf>
    <xf numFmtId="0" fontId="25" fillId="0" borderId="0" xfId="6" applyAlignment="1">
      <alignment horizontal="left"/>
    </xf>
    <xf numFmtId="0" fontId="25" fillId="0" borderId="0" xfId="6" applyAlignment="1">
      <alignment horizontal="center"/>
    </xf>
    <xf numFmtId="165" fontId="25" fillId="0" borderId="0" xfId="6" applyNumberFormat="1"/>
    <xf numFmtId="3" fontId="25" fillId="0" borderId="0" xfId="6" applyNumberFormat="1" applyAlignment="1">
      <alignment horizontal="center" vertical="center" wrapText="1"/>
    </xf>
    <xf numFmtId="167" fontId="25" fillId="0" borderId="0" xfId="6" applyNumberFormat="1" applyAlignment="1">
      <alignment horizontal="center" vertical="center" wrapText="1"/>
    </xf>
    <xf numFmtId="166" fontId="0" fillId="0" borderId="0" xfId="5" applyFont="1" applyFill="1" applyBorder="1" applyAlignment="1" applyProtection="1">
      <alignment horizontal="left"/>
    </xf>
    <xf numFmtId="167" fontId="25" fillId="0" borderId="0" xfId="6" applyNumberFormat="1" applyAlignment="1">
      <alignment horizontal="right" vertical="center" wrapText="1"/>
    </xf>
    <xf numFmtId="165" fontId="25" fillId="0" borderId="0" xfId="6" applyNumberFormat="1" applyAlignment="1">
      <alignment horizontal="center" vertical="center" wrapText="1"/>
    </xf>
    <xf numFmtId="0" fontId="30" fillId="0" borderId="0" xfId="0" applyFont="1" applyAlignment="1">
      <alignment horizontal="center"/>
    </xf>
    <xf numFmtId="0" fontId="30" fillId="0" borderId="0" xfId="0" applyFont="1"/>
    <xf numFmtId="0" fontId="0" fillId="0" borderId="0" xfId="0" applyAlignment="1">
      <alignment horizontal="center"/>
    </xf>
    <xf numFmtId="165" fontId="0" fillId="0" borderId="0" xfId="0" applyNumberFormat="1"/>
    <xf numFmtId="0" fontId="25" fillId="11" borderId="0" xfId="6" applyFill="1"/>
    <xf numFmtId="0" fontId="36" fillId="0" borderId="0" xfId="6" applyFont="1"/>
    <xf numFmtId="0" fontId="28" fillId="12" borderId="9" xfId="6" applyFont="1" applyFill="1" applyBorder="1" applyAlignment="1">
      <alignment horizontal="center"/>
    </xf>
    <xf numFmtId="0" fontId="28" fillId="12" borderId="10" xfId="6" applyFont="1" applyFill="1" applyBorder="1" applyAlignment="1">
      <alignment horizontal="center"/>
    </xf>
    <xf numFmtId="165" fontId="28" fillId="12" borderId="11" xfId="6" applyNumberFormat="1" applyFont="1" applyFill="1" applyBorder="1" applyAlignment="1">
      <alignment horizontal="center" wrapText="1"/>
    </xf>
    <xf numFmtId="1" fontId="25" fillId="0" borderId="0" xfId="6" applyNumberFormat="1"/>
    <xf numFmtId="168" fontId="25" fillId="0" borderId="0" xfId="6" applyNumberFormat="1"/>
    <xf numFmtId="1" fontId="30" fillId="0" borderId="0" xfId="2" applyNumberFormat="1" applyFont="1" applyAlignment="1">
      <alignment horizontal="center"/>
    </xf>
    <xf numFmtId="0" fontId="47" fillId="0" borderId="0" xfId="2" applyFont="1"/>
    <xf numFmtId="1" fontId="27" fillId="0" borderId="0" xfId="2" applyNumberFormat="1" applyAlignment="1">
      <alignment horizontal="left"/>
    </xf>
    <xf numFmtId="0" fontId="25" fillId="0" borderId="0" xfId="2" applyFont="1" applyAlignment="1">
      <alignment horizontal="left" vertical="center" wrapText="1"/>
    </xf>
    <xf numFmtId="165" fontId="27" fillId="0" borderId="0" xfId="2" applyNumberFormat="1"/>
    <xf numFmtId="164" fontId="0" fillId="0" borderId="0" xfId="7" applyFont="1" applyFill="1" applyBorder="1" applyAlignment="1" applyProtection="1">
      <alignment horizontal="center"/>
    </xf>
    <xf numFmtId="164" fontId="0" fillId="0" borderId="0" xfId="7" applyFont="1" applyFill="1" applyBorder="1" applyAlignment="1" applyProtection="1"/>
    <xf numFmtId="164" fontId="30" fillId="0" borderId="0" xfId="7" applyFont="1" applyFill="1" applyBorder="1" applyAlignment="1" applyProtection="1">
      <alignment horizontal="left"/>
    </xf>
    <xf numFmtId="1" fontId="0" fillId="0" borderId="0" xfId="7" applyNumberFormat="1" applyFont="1" applyFill="1" applyBorder="1" applyAlignment="1" applyProtection="1">
      <alignment horizontal="left"/>
    </xf>
    <xf numFmtId="1" fontId="27" fillId="13" borderId="0" xfId="2" applyNumberFormat="1" applyFill="1" applyAlignment="1">
      <alignment horizontal="left"/>
    </xf>
    <xf numFmtId="0" fontId="27" fillId="13" borderId="0" xfId="2" applyFill="1" applyAlignment="1">
      <alignment horizontal="center"/>
    </xf>
    <xf numFmtId="0" fontId="27" fillId="13" borderId="0" xfId="2" applyFill="1"/>
    <xf numFmtId="0" fontId="48" fillId="0" borderId="0" xfId="2" applyFont="1"/>
    <xf numFmtId="1" fontId="27" fillId="0" borderId="0" xfId="2" applyNumberFormat="1"/>
    <xf numFmtId="1" fontId="28" fillId="9" borderId="6" xfId="2" applyNumberFormat="1" applyFont="1" applyFill="1" applyBorder="1" applyAlignment="1">
      <alignment horizontal="center"/>
    </xf>
    <xf numFmtId="0" fontId="28" fillId="9" borderId="7" xfId="2" applyFont="1" applyFill="1" applyBorder="1" applyAlignment="1">
      <alignment horizontal="center"/>
    </xf>
    <xf numFmtId="0" fontId="29" fillId="9" borderId="7" xfId="2" applyFont="1" applyFill="1" applyBorder="1"/>
    <xf numFmtId="0" fontId="28" fillId="9" borderId="8" xfId="2" applyFont="1" applyFill="1" applyBorder="1" applyAlignment="1">
      <alignment horizontal="center"/>
    </xf>
    <xf numFmtId="164" fontId="30" fillId="0" borderId="0" xfId="7" applyFont="1" applyFill="1" applyBorder="1" applyAlignment="1" applyProtection="1">
      <alignment horizontal="center"/>
    </xf>
    <xf numFmtId="0" fontId="49" fillId="0" borderId="0" xfId="2" applyFont="1" applyAlignment="1">
      <alignment horizontal="center"/>
    </xf>
    <xf numFmtId="0" fontId="50" fillId="0" borderId="0" xfId="2" applyFont="1" applyAlignment="1">
      <alignment horizontal="left" vertical="center" wrapText="1"/>
    </xf>
    <xf numFmtId="0" fontId="51" fillId="0" borderId="0" xfId="2" applyFont="1"/>
    <xf numFmtId="44" fontId="27" fillId="0" borderId="0" xfId="2" applyNumberFormat="1"/>
    <xf numFmtId="44" fontId="28" fillId="9" borderId="1" xfId="2" applyNumberFormat="1" applyFont="1" applyFill="1" applyBorder="1" applyAlignment="1">
      <alignment horizontal="center"/>
    </xf>
    <xf numFmtId="44" fontId="0" fillId="0" borderId="0" xfId="0" applyNumberFormat="1"/>
    <xf numFmtId="0" fontId="36" fillId="0" borderId="0" xfId="2" applyFont="1" applyAlignment="1">
      <alignment horizontal="center"/>
    </xf>
    <xf numFmtId="44" fontId="28" fillId="9" borderId="7" xfId="2" applyNumberFormat="1" applyFont="1" applyFill="1" applyBorder="1" applyAlignment="1">
      <alignment horizontal="center"/>
    </xf>
    <xf numFmtId="164" fontId="0" fillId="0" borderId="0" xfId="0" applyNumberFormat="1"/>
    <xf numFmtId="0" fontId="25" fillId="0" borderId="0" xfId="0" applyFont="1"/>
    <xf numFmtId="0" fontId="52" fillId="0" borderId="12" xfId="6" applyFont="1" applyBorder="1" applyAlignment="1">
      <alignment horizontal="center"/>
    </xf>
    <xf numFmtId="0" fontId="30" fillId="0" borderId="13" xfId="6" applyFont="1" applyBorder="1"/>
    <xf numFmtId="0" fontId="25" fillId="0" borderId="13" xfId="6" applyBorder="1"/>
    <xf numFmtId="0" fontId="25" fillId="0" borderId="14" xfId="6" applyBorder="1"/>
    <xf numFmtId="0" fontId="30" fillId="0" borderId="12" xfId="6" applyFont="1" applyBorder="1"/>
    <xf numFmtId="0" fontId="25" fillId="0" borderId="15" xfId="6" applyBorder="1"/>
    <xf numFmtId="0" fontId="25" fillId="0" borderId="12" xfId="6" applyBorder="1"/>
    <xf numFmtId="0" fontId="49" fillId="0" borderId="12" xfId="6" applyFont="1" applyBorder="1" applyAlignment="1">
      <alignment vertical="center" wrapText="1"/>
    </xf>
    <xf numFmtId="0" fontId="49" fillId="0" borderId="0" xfId="6" applyFont="1"/>
    <xf numFmtId="0" fontId="25" fillId="0" borderId="16" xfId="6" applyBorder="1"/>
    <xf numFmtId="0" fontId="25" fillId="0" borderId="17" xfId="6" applyBorder="1"/>
    <xf numFmtId="2" fontId="0" fillId="0" borderId="0" xfId="0" applyNumberFormat="1"/>
    <xf numFmtId="0" fontId="30" fillId="0" borderId="0" xfId="0" applyFont="1" applyAlignment="1">
      <alignment horizontal="left"/>
    </xf>
    <xf numFmtId="0" fontId="39" fillId="0" borderId="0" xfId="4" applyFont="1"/>
    <xf numFmtId="0" fontId="39" fillId="0" borderId="0" xfId="0" applyFont="1"/>
    <xf numFmtId="0" fontId="39" fillId="0" borderId="0" xfId="0" applyFont="1" applyAlignment="1">
      <alignment horizontal="center"/>
    </xf>
    <xf numFmtId="3" fontId="43" fillId="0" borderId="0" xfId="5" applyNumberFormat="1" applyFont="1" applyAlignment="1">
      <alignment horizontal="center" vertical="center" wrapText="1"/>
    </xf>
    <xf numFmtId="165" fontId="30" fillId="0" borderId="0" xfId="6" applyNumberFormat="1" applyFont="1" applyAlignment="1">
      <alignment horizontal="center"/>
    </xf>
    <xf numFmtId="164" fontId="27" fillId="0" borderId="0" xfId="1" applyFont="1" applyBorder="1" applyAlignment="1" applyProtection="1">
      <alignment horizontal="center"/>
    </xf>
    <xf numFmtId="0" fontId="25" fillId="11" borderId="0" xfId="2" applyFont="1" applyFill="1" applyAlignment="1">
      <alignment horizontal="right"/>
    </xf>
    <xf numFmtId="0" fontId="28" fillId="14" borderId="1" xfId="2" applyFont="1" applyFill="1" applyBorder="1" applyAlignment="1">
      <alignment horizontal="center"/>
    </xf>
    <xf numFmtId="44" fontId="28" fillId="14" borderId="1" xfId="2" applyNumberFormat="1" applyFont="1" applyFill="1" applyBorder="1" applyAlignment="1">
      <alignment horizontal="center"/>
    </xf>
    <xf numFmtId="0" fontId="0" fillId="0" borderId="0" xfId="0" applyAlignment="1">
      <alignment horizontal="left" vertical="center" indent="1"/>
    </xf>
    <xf numFmtId="0" fontId="40" fillId="0" borderId="0" xfId="2" applyFont="1"/>
    <xf numFmtId="0" fontId="13" fillId="0" borderId="18" xfId="0" applyFont="1" applyBorder="1" applyAlignment="1">
      <alignment horizontal="center"/>
    </xf>
    <xf numFmtId="1" fontId="13" fillId="0" borderId="2" xfId="0" applyNumberFormat="1" applyFont="1" applyBorder="1" applyAlignment="1">
      <alignment horizontal="center"/>
    </xf>
    <xf numFmtId="0" fontId="13" fillId="0" borderId="19" xfId="0" applyFont="1" applyBorder="1" applyAlignment="1">
      <alignment horizontal="center"/>
    </xf>
    <xf numFmtId="1" fontId="13" fillId="0" borderId="2" xfId="2" applyNumberFormat="1" applyFont="1" applyBorder="1" applyAlignment="1">
      <alignment horizontal="center"/>
    </xf>
    <xf numFmtId="0" fontId="13" fillId="0" borderId="18" xfId="2" applyFont="1" applyBorder="1" applyAlignment="1">
      <alignment horizontal="center"/>
    </xf>
    <xf numFmtId="1" fontId="13" fillId="0" borderId="20" xfId="2" applyNumberFormat="1" applyFont="1" applyBorder="1" applyAlignment="1">
      <alignment horizontal="center"/>
    </xf>
    <xf numFmtId="0" fontId="13" fillId="0" borderId="19" xfId="2" applyFont="1" applyBorder="1" applyAlignment="1">
      <alignment horizontal="center"/>
    </xf>
    <xf numFmtId="0" fontId="15" fillId="0" borderId="0" xfId="0" applyFont="1" applyAlignment="1">
      <alignment horizontal="center"/>
    </xf>
    <xf numFmtId="0" fontId="25" fillId="0" borderId="0" xfId="2" applyFont="1" applyAlignment="1">
      <alignment horizontal="right"/>
    </xf>
    <xf numFmtId="165" fontId="0" fillId="0" borderId="0" xfId="7" applyNumberFormat="1" applyFont="1" applyFill="1" applyBorder="1" applyAlignment="1" applyProtection="1">
      <alignment horizontal="center"/>
    </xf>
    <xf numFmtId="164" fontId="54" fillId="0" borderId="0" xfId="1" applyFont="1" applyAlignment="1" applyProtection="1">
      <alignment horizontal="center"/>
    </xf>
    <xf numFmtId="0" fontId="25" fillId="13" borderId="0" xfId="2" applyFont="1" applyFill="1" applyAlignment="1">
      <alignment horizontal="center"/>
    </xf>
    <xf numFmtId="0" fontId="25" fillId="13" borderId="0" xfId="2" applyFont="1" applyFill="1"/>
    <xf numFmtId="165" fontId="0" fillId="0" borderId="0" xfId="7" applyNumberFormat="1" applyFont="1" applyFill="1" applyBorder="1" applyAlignment="1" applyProtection="1">
      <alignment horizontal="right"/>
    </xf>
    <xf numFmtId="164" fontId="54" fillId="0" borderId="0" xfId="1" applyFont="1" applyAlignment="1" applyProtection="1">
      <alignment horizontal="right"/>
    </xf>
    <xf numFmtId="164" fontId="53" fillId="0" borderId="0" xfId="8" applyNumberFormat="1" applyFill="1" applyAlignment="1" applyProtection="1">
      <alignment horizontal="left"/>
    </xf>
    <xf numFmtId="164" fontId="53" fillId="0" borderId="0" xfId="8" applyNumberFormat="1" applyFill="1" applyBorder="1" applyAlignment="1" applyProtection="1"/>
    <xf numFmtId="164" fontId="53" fillId="0" borderId="0" xfId="8" applyNumberFormat="1" applyFill="1" applyBorder="1" applyAlignment="1" applyProtection="1">
      <alignment horizontal="left"/>
    </xf>
    <xf numFmtId="164" fontId="53" fillId="0" borderId="0" xfId="8" applyNumberFormat="1" applyBorder="1" applyAlignment="1" applyProtection="1">
      <alignment horizontal="center"/>
    </xf>
    <xf numFmtId="164" fontId="53" fillId="0" borderId="0" xfId="8" applyNumberFormat="1" applyBorder="1" applyAlignment="1" applyProtection="1">
      <alignment horizontal="left"/>
    </xf>
    <xf numFmtId="169" fontId="0" fillId="0" borderId="0" xfId="0" applyNumberFormat="1" applyAlignment="1">
      <alignment horizontal="center"/>
    </xf>
    <xf numFmtId="169" fontId="0" fillId="0" borderId="0" xfId="0" applyNumberFormat="1" applyAlignment="1">
      <alignment horizontal="left"/>
    </xf>
    <xf numFmtId="169" fontId="36" fillId="0" borderId="0" xfId="2" applyNumberFormat="1" applyFont="1" applyAlignment="1">
      <alignment horizontal="center"/>
    </xf>
    <xf numFmtId="169" fontId="27" fillId="0" borderId="0" xfId="2" applyNumberFormat="1" applyAlignment="1">
      <alignment horizontal="center"/>
    </xf>
    <xf numFmtId="169" fontId="28" fillId="9" borderId="1" xfId="2" applyNumberFormat="1" applyFont="1" applyFill="1" applyBorder="1" applyAlignment="1">
      <alignment horizontal="center"/>
    </xf>
    <xf numFmtId="169" fontId="36" fillId="0" borderId="0" xfId="2" applyNumberFormat="1" applyFont="1" applyAlignment="1">
      <alignment horizontal="left"/>
    </xf>
    <xf numFmtId="169" fontId="27" fillId="0" borderId="0" xfId="2" applyNumberFormat="1" applyAlignment="1">
      <alignment horizontal="left"/>
    </xf>
    <xf numFmtId="164" fontId="12" fillId="0" borderId="0" xfId="1"/>
    <xf numFmtId="170" fontId="12" fillId="0" borderId="0" xfId="1" applyNumberFormat="1"/>
    <xf numFmtId="169" fontId="28" fillId="14" borderId="1" xfId="2" applyNumberFormat="1" applyFont="1" applyFill="1" applyBorder="1" applyAlignment="1">
      <alignment horizontal="center"/>
    </xf>
    <xf numFmtId="169" fontId="0" fillId="0" borderId="0" xfId="0" applyNumberFormat="1"/>
    <xf numFmtId="1" fontId="13" fillId="0" borderId="20" xfId="0" applyNumberFormat="1" applyFont="1" applyBorder="1" applyAlignment="1">
      <alignment horizontal="center"/>
    </xf>
    <xf numFmtId="0" fontId="16" fillId="0" borderId="0" xfId="0" applyFont="1" applyAlignment="1">
      <alignment vertical="center"/>
    </xf>
    <xf numFmtId="15" fontId="55" fillId="0" borderId="0" xfId="0" applyNumberFormat="1" applyFont="1"/>
    <xf numFmtId="0" fontId="25" fillId="0" borderId="0" xfId="2" applyFont="1" applyAlignment="1">
      <alignment horizontal="left" wrapText="1"/>
    </xf>
    <xf numFmtId="1" fontId="13" fillId="0" borderId="0" xfId="0" applyNumberFormat="1" applyFont="1" applyAlignment="1">
      <alignment horizontal="center"/>
    </xf>
    <xf numFmtId="0" fontId="13" fillId="0" borderId="0" xfId="0" applyFont="1" applyAlignment="1">
      <alignment horizontal="center"/>
    </xf>
    <xf numFmtId="0" fontId="13" fillId="0" borderId="0" xfId="0" applyFont="1" applyAlignment="1">
      <alignment horizontal="left"/>
    </xf>
    <xf numFmtId="165" fontId="13" fillId="0" borderId="0" xfId="0" applyNumberFormat="1" applyFont="1" applyAlignment="1">
      <alignment horizontal="right"/>
    </xf>
    <xf numFmtId="0" fontId="14" fillId="0" borderId="0" xfId="0" applyFont="1" applyAlignment="1">
      <alignment horizontal="left"/>
    </xf>
    <xf numFmtId="0" fontId="56" fillId="0" borderId="0" xfId="0" applyFont="1" applyAlignment="1">
      <alignment horizontal="center"/>
    </xf>
    <xf numFmtId="1" fontId="15" fillId="0" borderId="0" xfId="0" applyNumberFormat="1" applyFont="1" applyAlignment="1">
      <alignment horizontal="center"/>
    </xf>
    <xf numFmtId="0" fontId="15" fillId="0" borderId="0" xfId="0" applyFont="1" applyAlignment="1">
      <alignment horizontal="left"/>
    </xf>
    <xf numFmtId="164" fontId="15" fillId="0" borderId="0" xfId="1" applyFont="1" applyBorder="1" applyAlignment="1">
      <alignment horizontal="center"/>
    </xf>
    <xf numFmtId="164" fontId="13" fillId="0" borderId="0" xfId="1" applyFont="1" applyBorder="1" applyAlignment="1">
      <alignment horizontal="left"/>
    </xf>
    <xf numFmtId="1" fontId="13" fillId="0" borderId="0" xfId="0" applyNumberFormat="1" applyFont="1" applyAlignment="1">
      <alignment horizontal="left"/>
    </xf>
    <xf numFmtId="0" fontId="13" fillId="0" borderId="0" xfId="0" applyFont="1"/>
    <xf numFmtId="0" fontId="13" fillId="0" borderId="0" xfId="0" applyFont="1" applyAlignment="1">
      <alignment horizontal="right"/>
    </xf>
    <xf numFmtId="1" fontId="13" fillId="0" borderId="0" xfId="2" applyNumberFormat="1" applyFont="1" applyAlignment="1">
      <alignment horizontal="center"/>
    </xf>
    <xf numFmtId="0" fontId="13" fillId="0" borderId="0" xfId="2" applyFont="1" applyAlignment="1">
      <alignment horizontal="center"/>
    </xf>
    <xf numFmtId="0" fontId="13" fillId="0" borderId="0" xfId="2" applyFont="1" applyAlignment="1">
      <alignment horizontal="left"/>
    </xf>
    <xf numFmtId="165" fontId="13" fillId="0" borderId="0" xfId="2" applyNumberFormat="1" applyFont="1" applyAlignment="1">
      <alignment horizontal="right"/>
    </xf>
    <xf numFmtId="0" fontId="14" fillId="0" borderId="0" xfId="2" applyFont="1" applyAlignment="1">
      <alignment horizontal="left"/>
    </xf>
    <xf numFmtId="1" fontId="13" fillId="0" borderId="0" xfId="4" applyNumberFormat="1" applyFont="1" applyAlignment="1">
      <alignment horizontal="center"/>
    </xf>
    <xf numFmtId="0" fontId="13" fillId="0" borderId="0" xfId="4" applyFont="1" applyAlignment="1">
      <alignment horizontal="center"/>
    </xf>
    <xf numFmtId="0" fontId="13" fillId="0" borderId="0" xfId="4" applyFont="1" applyAlignment="1">
      <alignment horizontal="left"/>
    </xf>
    <xf numFmtId="165" fontId="13" fillId="0" borderId="0" xfId="4" applyNumberFormat="1" applyFont="1" applyAlignment="1">
      <alignment horizontal="right"/>
    </xf>
    <xf numFmtId="0" fontId="14" fillId="0" borderId="0" xfId="4" applyFont="1" applyAlignment="1">
      <alignment horizontal="left"/>
    </xf>
    <xf numFmtId="1" fontId="13" fillId="0" borderId="0" xfId="6" applyNumberFormat="1" applyFont="1" applyAlignment="1">
      <alignment horizontal="center"/>
    </xf>
    <xf numFmtId="0" fontId="13" fillId="0" borderId="0" xfId="6" applyFont="1" applyAlignment="1">
      <alignment horizontal="center"/>
    </xf>
    <xf numFmtId="0" fontId="13" fillId="0" borderId="0" xfId="6" applyFont="1" applyAlignment="1">
      <alignment horizontal="left"/>
    </xf>
    <xf numFmtId="165" fontId="13" fillId="0" borderId="0" xfId="6" applyNumberFormat="1" applyFont="1" applyAlignment="1">
      <alignment horizontal="right"/>
    </xf>
    <xf numFmtId="3" fontId="14" fillId="0" borderId="0" xfId="6" applyNumberFormat="1" applyFont="1" applyAlignment="1">
      <alignment horizontal="left" vertical="center" wrapText="1"/>
    </xf>
    <xf numFmtId="3" fontId="13" fillId="0" borderId="0" xfId="6" applyNumberFormat="1" applyFont="1" applyAlignment="1">
      <alignment horizontal="left" vertical="center" wrapText="1"/>
    </xf>
    <xf numFmtId="167" fontId="14" fillId="0" borderId="0" xfId="6" applyNumberFormat="1" applyFont="1" applyAlignment="1">
      <alignment horizontal="left" vertical="center" wrapText="1"/>
    </xf>
    <xf numFmtId="167" fontId="14" fillId="0" borderId="0" xfId="5" applyNumberFormat="1" applyFont="1" applyBorder="1" applyAlignment="1">
      <alignment horizontal="left" vertical="center" wrapText="1"/>
    </xf>
    <xf numFmtId="3" fontId="13" fillId="0" borderId="0" xfId="5" applyNumberFormat="1" applyFont="1" applyBorder="1" applyAlignment="1">
      <alignment horizontal="left" vertical="center" wrapText="1"/>
    </xf>
    <xf numFmtId="165" fontId="13" fillId="0" borderId="0" xfId="7" applyNumberFormat="1" applyFont="1" applyBorder="1" applyAlignment="1">
      <alignment horizontal="right"/>
    </xf>
    <xf numFmtId="164" fontId="14" fillId="0" borderId="0" xfId="7" applyFont="1" applyBorder="1" applyAlignment="1">
      <alignment horizontal="left"/>
    </xf>
    <xf numFmtId="0" fontId="13" fillId="0" borderId="0" xfId="8" applyFont="1" applyBorder="1" applyAlignment="1">
      <alignment horizontal="left"/>
    </xf>
    <xf numFmtId="0" fontId="13" fillId="0" borderId="0" xfId="2" applyFont="1"/>
    <xf numFmtId="165" fontId="13" fillId="0" borderId="0" xfId="2" applyNumberFormat="1" applyFont="1" applyAlignment="1">
      <alignment horizontal="left"/>
    </xf>
    <xf numFmtId="1" fontId="0" fillId="0" borderId="0" xfId="0" applyNumberFormat="1" applyAlignment="1">
      <alignment horizontal="center"/>
    </xf>
    <xf numFmtId="0" fontId="0" fillId="0" borderId="0" xfId="0" applyAlignment="1">
      <alignment horizontal="right"/>
    </xf>
    <xf numFmtId="1" fontId="0" fillId="0" borderId="0" xfId="0" applyNumberFormat="1" applyAlignment="1">
      <alignment horizontal="right"/>
    </xf>
    <xf numFmtId="8" fontId="13" fillId="0" borderId="0" xfId="0" applyNumberFormat="1" applyFont="1" applyAlignment="1">
      <alignment horizontal="right"/>
    </xf>
    <xf numFmtId="164" fontId="53" fillId="0" borderId="0" xfId="8" applyNumberFormat="1" applyBorder="1" applyAlignment="1">
      <alignment horizontal="left"/>
    </xf>
    <xf numFmtId="1" fontId="53" fillId="0" borderId="0" xfId="8" applyNumberFormat="1" applyAlignment="1">
      <alignment horizontal="left"/>
    </xf>
    <xf numFmtId="164" fontId="53" fillId="0" borderId="0" xfId="8" applyNumberFormat="1" applyAlignment="1">
      <alignment horizontal="left"/>
    </xf>
    <xf numFmtId="3" fontId="53" fillId="0" borderId="0" xfId="8" applyNumberFormat="1" applyAlignment="1">
      <alignment horizontal="left" vertical="center" wrapText="1"/>
    </xf>
    <xf numFmtId="0" fontId="15" fillId="0" borderId="25" xfId="2" applyFont="1" applyBorder="1" applyAlignment="1">
      <alignment horizontal="center"/>
    </xf>
    <xf numFmtId="0" fontId="56" fillId="0" borderId="25" xfId="0" applyFont="1" applyBorder="1" applyAlignment="1">
      <alignment horizontal="center"/>
    </xf>
    <xf numFmtId="0" fontId="57" fillId="0" borderId="25" xfId="0" applyFont="1" applyBorder="1" applyAlignment="1">
      <alignment horizontal="center"/>
    </xf>
    <xf numFmtId="0" fontId="58" fillId="0" borderId="25" xfId="0" applyFont="1" applyBorder="1" applyAlignment="1">
      <alignment horizontal="center"/>
    </xf>
    <xf numFmtId="0" fontId="22" fillId="0" borderId="0" xfId="0" applyFont="1" applyAlignment="1">
      <alignment vertical="center"/>
    </xf>
    <xf numFmtId="164" fontId="53" fillId="0" borderId="0" xfId="8" applyNumberFormat="1" applyFill="1" applyAlignment="1">
      <alignment horizontal="left"/>
    </xf>
    <xf numFmtId="0" fontId="60" fillId="0" borderId="0" xfId="0" applyFont="1" applyAlignment="1">
      <alignment horizontal="center"/>
    </xf>
    <xf numFmtId="0" fontId="13" fillId="17" borderId="0" xfId="2" applyFont="1" applyFill="1"/>
    <xf numFmtId="0" fontId="27" fillId="11" borderId="0" xfId="2" applyFill="1"/>
    <xf numFmtId="0" fontId="0" fillId="0" borderId="0" xfId="0" quotePrefix="1"/>
    <xf numFmtId="0" fontId="62" fillId="0" borderId="0" xfId="0" applyFont="1" applyAlignment="1">
      <alignment vertical="center"/>
    </xf>
    <xf numFmtId="0" fontId="30" fillId="0" borderId="0" xfId="6" applyFont="1" applyAlignment="1">
      <alignment horizontal="left"/>
    </xf>
    <xf numFmtId="0" fontId="30" fillId="18" borderId="0" xfId="0" applyFont="1" applyFill="1"/>
    <xf numFmtId="0" fontId="30" fillId="0" borderId="0" xfId="0" applyFont="1" applyAlignment="1">
      <alignment horizontal="left" vertical="center" indent="1"/>
    </xf>
    <xf numFmtId="0" fontId="0" fillId="0" borderId="0" xfId="0" applyAlignment="1">
      <alignment vertical="center" wrapText="1"/>
    </xf>
    <xf numFmtId="0" fontId="64" fillId="20" borderId="26" xfId="0" applyFont="1" applyFill="1" applyBorder="1" applyAlignment="1">
      <alignment horizontal="center" vertical="center" wrapText="1"/>
    </xf>
    <xf numFmtId="0" fontId="65" fillId="19" borderId="30" xfId="0" applyFont="1" applyFill="1" applyBorder="1" applyAlignment="1">
      <alignment horizontal="center" vertical="center" wrapText="1"/>
    </xf>
    <xf numFmtId="0" fontId="53" fillId="19" borderId="30" xfId="8" applyFill="1" applyBorder="1" applyAlignment="1">
      <alignment horizontal="center" vertical="center" wrapText="1"/>
    </xf>
    <xf numFmtId="0" fontId="67" fillId="19" borderId="31" xfId="0" applyFont="1" applyFill="1" applyBorder="1" applyAlignment="1">
      <alignment horizontal="center" vertical="center" wrapText="1"/>
    </xf>
    <xf numFmtId="0" fontId="65" fillId="19" borderId="26" xfId="0" applyFont="1" applyFill="1" applyBorder="1" applyAlignment="1">
      <alignment horizontal="center" vertical="center" wrapText="1"/>
    </xf>
    <xf numFmtId="0" fontId="67" fillId="19" borderId="26" xfId="0" applyFont="1" applyFill="1" applyBorder="1" applyAlignment="1">
      <alignment horizontal="center" vertical="center" wrapText="1"/>
    </xf>
    <xf numFmtId="8" fontId="65" fillId="19" borderId="26" xfId="0" applyNumberFormat="1" applyFont="1" applyFill="1" applyBorder="1" applyAlignment="1">
      <alignment horizontal="center" vertical="center" wrapText="1"/>
    </xf>
    <xf numFmtId="3" fontId="65" fillId="19" borderId="26" xfId="0" applyNumberFormat="1" applyFont="1" applyFill="1" applyBorder="1" applyAlignment="1">
      <alignment horizontal="center" vertical="center" wrapText="1"/>
    </xf>
    <xf numFmtId="0" fontId="65" fillId="19" borderId="31" xfId="0" applyFont="1" applyFill="1" applyBorder="1" applyAlignment="1">
      <alignment horizontal="center" vertical="center" wrapText="1"/>
    </xf>
    <xf numFmtId="0" fontId="53" fillId="19" borderId="26" xfId="8" applyFill="1" applyBorder="1" applyAlignment="1">
      <alignment horizontal="center" vertical="center" wrapText="1"/>
    </xf>
    <xf numFmtId="6" fontId="64" fillId="20" borderId="26" xfId="0" applyNumberFormat="1" applyFont="1" applyFill="1" applyBorder="1" applyAlignment="1">
      <alignment horizontal="center" vertical="center" wrapText="1"/>
    </xf>
    <xf numFmtId="0" fontId="68" fillId="19" borderId="26" xfId="0" applyFont="1" applyFill="1" applyBorder="1" applyAlignment="1">
      <alignment horizontal="center" vertical="center" wrapText="1"/>
    </xf>
    <xf numFmtId="0" fontId="65" fillId="19" borderId="32" xfId="0" applyFont="1" applyFill="1" applyBorder="1" applyAlignment="1">
      <alignment horizontal="center" vertical="center" wrapText="1"/>
    </xf>
    <xf numFmtId="0" fontId="0" fillId="19" borderId="32" xfId="0" applyFill="1" applyBorder="1" applyAlignment="1">
      <alignment horizontal="center" vertical="center" wrapText="1"/>
    </xf>
    <xf numFmtId="0" fontId="67" fillId="19" borderId="32" xfId="0" applyFont="1" applyFill="1" applyBorder="1" applyAlignment="1">
      <alignment horizontal="center" vertical="center" wrapText="1"/>
    </xf>
    <xf numFmtId="0" fontId="0" fillId="19" borderId="31" xfId="0" applyFill="1" applyBorder="1" applyAlignment="1">
      <alignment horizontal="center" vertical="center" wrapText="1"/>
    </xf>
    <xf numFmtId="0" fontId="68" fillId="19" borderId="32" xfId="0" applyFont="1" applyFill="1" applyBorder="1" applyAlignment="1">
      <alignment horizontal="center" vertical="center" wrapText="1"/>
    </xf>
    <xf numFmtId="0" fontId="68" fillId="19" borderId="31" xfId="0" applyFont="1" applyFill="1" applyBorder="1" applyAlignment="1">
      <alignment horizontal="center" vertical="center" wrapText="1"/>
    </xf>
    <xf numFmtId="0" fontId="69" fillId="0" borderId="0" xfId="0" applyFont="1" applyAlignment="1">
      <alignment vertical="center" wrapText="1"/>
    </xf>
    <xf numFmtId="0" fontId="65" fillId="0" borderId="0" xfId="0" applyFont="1" applyAlignment="1">
      <alignment vertical="center" wrapText="1"/>
    </xf>
    <xf numFmtId="0" fontId="0" fillId="0" borderId="0" xfId="0" applyAlignment="1">
      <alignment wrapText="1"/>
    </xf>
    <xf numFmtId="0" fontId="53" fillId="19" borderId="32" xfId="8" applyFill="1" applyBorder="1" applyAlignment="1">
      <alignment horizontal="center" vertical="center" wrapText="1"/>
    </xf>
    <xf numFmtId="0" fontId="53" fillId="0" borderId="0" xfId="8" applyAlignment="1">
      <alignment horizontal="left" vertical="center" wrapText="1" indent="1"/>
    </xf>
    <xf numFmtId="0" fontId="0" fillId="0" borderId="33" xfId="0" applyBorder="1" applyAlignment="1">
      <alignment vertical="center" wrapText="1"/>
    </xf>
    <xf numFmtId="0" fontId="71" fillId="0" borderId="0" xfId="0" applyFont="1" applyAlignment="1">
      <alignment vertical="center" wrapText="1"/>
    </xf>
    <xf numFmtId="49" fontId="65" fillId="0" borderId="0" xfId="0" applyNumberFormat="1" applyFont="1" applyAlignment="1">
      <alignment vertical="center" wrapText="1"/>
    </xf>
    <xf numFmtId="0" fontId="72" fillId="0" borderId="0" xfId="0" applyFont="1" applyAlignment="1">
      <alignment horizontal="left" vertical="center" wrapText="1" indent="1"/>
    </xf>
    <xf numFmtId="0" fontId="73" fillId="0" borderId="0" xfId="0" applyFont="1" applyAlignment="1">
      <alignment horizontal="left" vertical="center" wrapText="1" indent="2"/>
    </xf>
    <xf numFmtId="0" fontId="74" fillId="0" borderId="0" xfId="0" applyFont="1" applyAlignment="1">
      <alignment vertical="center" wrapText="1"/>
    </xf>
    <xf numFmtId="0" fontId="0" fillId="11" borderId="0" xfId="0" applyFill="1"/>
    <xf numFmtId="0" fontId="25" fillId="11" borderId="0" xfId="2" applyFont="1" applyFill="1" applyAlignment="1">
      <alignment horizontal="center"/>
    </xf>
    <xf numFmtId="0" fontId="30" fillId="0" borderId="0" xfId="0" quotePrefix="1" applyFont="1"/>
    <xf numFmtId="44" fontId="28" fillId="14" borderId="0" xfId="2" applyNumberFormat="1" applyFont="1" applyFill="1" applyAlignment="1">
      <alignment horizontal="center"/>
    </xf>
    <xf numFmtId="44" fontId="28" fillId="9" borderId="0" xfId="2" applyNumberFormat="1" applyFont="1" applyFill="1" applyAlignment="1">
      <alignment horizontal="center"/>
    </xf>
    <xf numFmtId="1" fontId="30" fillId="0" borderId="0" xfId="0" applyNumberFormat="1" applyFont="1"/>
    <xf numFmtId="0" fontId="60" fillId="0" borderId="0" xfId="2" applyFont="1" applyAlignment="1">
      <alignment horizontal="right"/>
    </xf>
    <xf numFmtId="0" fontId="30" fillId="0" borderId="0" xfId="0" applyFont="1" applyAlignment="1">
      <alignment horizontal="right"/>
    </xf>
    <xf numFmtId="0" fontId="10" fillId="0" borderId="0" xfId="10"/>
    <xf numFmtId="0" fontId="75" fillId="16" borderId="23" xfId="10" applyFont="1" applyFill="1" applyBorder="1"/>
    <xf numFmtId="0" fontId="75" fillId="16" borderId="34" xfId="10" applyFont="1" applyFill="1" applyBorder="1"/>
    <xf numFmtId="0" fontId="75" fillId="16" borderId="24" xfId="10" applyFont="1" applyFill="1" applyBorder="1"/>
    <xf numFmtId="0" fontId="10" fillId="0" borderId="0" xfId="10">
      <extLst>
        <ext xmlns:xfpb="http://schemas.microsoft.com/office/spreadsheetml/2022/featurepropertybag" uri="{C7286773-470A-42A8-94C5-96B5CB345126}">
          <xfpb:xfComplement i="0"/>
        </ext>
      </extLst>
    </xf>
    <xf numFmtId="0" fontId="10" fillId="15" borderId="23" xfId="10" applyFill="1" applyBorder="1" applyAlignment="1">
      <alignment horizontal="center"/>
    </xf>
    <xf numFmtId="0" fontId="10" fillId="15" borderId="34" xfId="10" applyFill="1" applyBorder="1">
      <extLst>
        <ext xmlns:xfpb="http://schemas.microsoft.com/office/spreadsheetml/2022/featurepropertybag" uri="{C7286773-470A-42A8-94C5-96B5CB345126}">
          <xfpb:xfComplement i="0"/>
        </ext>
      </extLst>
    </xf>
    <xf numFmtId="0" fontId="10" fillId="15" borderId="34" xfId="10" applyFill="1" applyBorder="1"/>
    <xf numFmtId="0" fontId="10" fillId="15" borderId="24" xfId="10" applyFill="1" applyBorder="1" applyAlignment="1">
      <alignment horizontal="left"/>
    </xf>
    <xf numFmtId="0" fontId="10" fillId="0" borderId="0" xfId="10" applyAlignment="1">
      <alignment horizontal="left"/>
    </xf>
    <xf numFmtId="0" fontId="10" fillId="0" borderId="23" xfId="10" applyBorder="1" applyAlignment="1">
      <alignment horizontal="center"/>
    </xf>
    <xf numFmtId="0" fontId="10" fillId="0" borderId="34" xfId="10" applyBorder="1">
      <extLst>
        <ext xmlns:xfpb="http://schemas.microsoft.com/office/spreadsheetml/2022/featurepropertybag" uri="{C7286773-470A-42A8-94C5-96B5CB345126}">
          <xfpb:xfComplement i="0"/>
        </ext>
      </extLst>
    </xf>
    <xf numFmtId="0" fontId="10" fillId="0" borderId="34" xfId="10" applyBorder="1"/>
    <xf numFmtId="0" fontId="10" fillId="0" borderId="24" xfId="10" applyBorder="1" applyAlignment="1">
      <alignment horizontal="left"/>
    </xf>
    <xf numFmtId="0" fontId="10" fillId="0" borderId="24" xfId="10" applyBorder="1"/>
    <xf numFmtId="0" fontId="10" fillId="15" borderId="24" xfId="10" applyFill="1" applyBorder="1"/>
    <xf numFmtId="0" fontId="10" fillId="15" borderId="21" xfId="10" applyFill="1" applyBorder="1" applyAlignment="1">
      <alignment horizontal="center"/>
    </xf>
    <xf numFmtId="0" fontId="10" fillId="15" borderId="35" xfId="10" applyFill="1" applyBorder="1"/>
    <xf numFmtId="0" fontId="59" fillId="0" borderId="0" xfId="10" applyFont="1"/>
    <xf numFmtId="0" fontId="59" fillId="0" borderId="0" xfId="10" applyFont="1" applyAlignment="1">
      <alignment horizontal="center"/>
    </xf>
    <xf numFmtId="0" fontId="10" fillId="15" borderId="23" xfId="10" applyFill="1" applyBorder="1">
      <extLst>
        <ext xmlns:xfpb="http://schemas.microsoft.com/office/spreadsheetml/2022/featurepropertybag" uri="{C7286773-470A-42A8-94C5-96B5CB345126}">
          <xfpb:xfComplement i="0"/>
        </ext>
      </extLst>
    </xf>
    <xf numFmtId="0" fontId="10" fillId="0" borderId="23" xfId="10" applyBorder="1">
      <extLst>
        <ext xmlns:xfpb="http://schemas.microsoft.com/office/spreadsheetml/2022/featurepropertybag" uri="{C7286773-470A-42A8-94C5-96B5CB345126}">
          <xfpb:xfComplement i="0"/>
        </ext>
      </extLst>
    </xf>
    <xf numFmtId="0" fontId="10" fillId="15" borderId="35" xfId="10" quotePrefix="1" applyFill="1" applyBorder="1" applyAlignment="1">
      <alignment horizontal="center"/>
    </xf>
    <xf numFmtId="0" fontId="59" fillId="15" borderId="34" xfId="10" applyFont="1" applyFill="1" applyBorder="1"/>
    <xf numFmtId="0" fontId="59" fillId="15" borderId="34" xfId="10" applyFont="1" applyFill="1" applyBorder="1">
      <extLst>
        <ext xmlns:xfpb="http://schemas.microsoft.com/office/spreadsheetml/2022/featurepropertybag" uri="{C7286773-470A-42A8-94C5-96B5CB345126}">
          <xfpb:xfComplement i="0"/>
        </ext>
      </extLst>
    </xf>
    <xf numFmtId="0" fontId="59" fillId="0" borderId="34" xfId="10" applyFont="1" applyBorder="1"/>
    <xf numFmtId="49" fontId="10" fillId="15" borderId="34" xfId="10" applyNumberFormat="1" applyFill="1" applyBorder="1" applyAlignment="1">
      <alignment horizontal="left"/>
    </xf>
    <xf numFmtId="0" fontId="10" fillId="15" borderId="22" xfId="10" quotePrefix="1" applyFill="1" applyBorder="1" applyAlignment="1">
      <alignment horizontal="center"/>
    </xf>
    <xf numFmtId="0" fontId="10" fillId="0" borderId="21" xfId="10" applyBorder="1"/>
    <xf numFmtId="0" fontId="10" fillId="0" borderId="35" xfId="10" applyBorder="1"/>
    <xf numFmtId="0" fontId="75" fillId="16" borderId="0" xfId="10" applyFont="1" applyFill="1"/>
    <xf numFmtId="0" fontId="10" fillId="15" borderId="23" xfId="10" applyFill="1" applyBorder="1"/>
    <xf numFmtId="0" fontId="10" fillId="15" borderId="34" xfId="10" applyFill="1" applyBorder="1" applyAlignment="1">
      <alignment horizontal="left"/>
    </xf>
    <xf numFmtId="0" fontId="10" fillId="0" borderId="23" xfId="10" applyBorder="1"/>
    <xf numFmtId="0" fontId="10" fillId="0" borderId="34" xfId="10" applyBorder="1" applyAlignment="1">
      <alignment horizontal="left"/>
    </xf>
    <xf numFmtId="0" fontId="10" fillId="15" borderId="23" xfId="10" applyFill="1" applyBorder="1" applyAlignment="1">
      <alignment horizontal="left"/>
    </xf>
    <xf numFmtId="0" fontId="10" fillId="0" borderId="22" xfId="10" applyBorder="1"/>
    <xf numFmtId="0" fontId="10" fillId="15" borderId="21" xfId="10" applyFill="1" applyBorder="1"/>
    <xf numFmtId="0" fontId="10" fillId="15" borderId="22" xfId="10" applyFill="1" applyBorder="1"/>
    <xf numFmtId="0" fontId="59" fillId="15" borderId="23" xfId="10" applyFont="1" applyFill="1" applyBorder="1"/>
    <xf numFmtId="0" fontId="59" fillId="0" borderId="23" xfId="10" applyFont="1" applyBorder="1"/>
    <xf numFmtId="0" fontId="59" fillId="15" borderId="35" xfId="10" applyFont="1" applyFill="1" applyBorder="1"/>
    <xf numFmtId="0" fontId="59" fillId="15" borderId="35" xfId="10" applyFont="1" applyFill="1" applyBorder="1">
      <extLst>
        <ext xmlns:xfpb="http://schemas.microsoft.com/office/spreadsheetml/2022/featurepropertybag" uri="{C7286773-470A-42A8-94C5-96B5CB345126}">
          <xfpb:xfComplement i="0"/>
        </ext>
      </extLst>
    </xf>
    <xf numFmtId="0" fontId="10" fillId="15" borderId="24" xfId="10" applyFill="1" applyBorder="1" applyAlignment="1">
      <alignment horizontal="left"/>
      <extLst>
        <ext xmlns:xfpb="http://schemas.microsoft.com/office/spreadsheetml/2022/featurepropertybag" uri="{C7286773-470A-42A8-94C5-96B5CB345126}">
          <xfpb:xfComplement i="0"/>
        </ext>
      </extLst>
    </xf>
    <xf numFmtId="0" fontId="10" fillId="0" borderId="24" xfId="10" applyBorder="1" applyAlignment="1">
      <alignment horizontal="left"/>
      <extLst>
        <ext xmlns:xfpb="http://schemas.microsoft.com/office/spreadsheetml/2022/featurepropertybag" uri="{C7286773-470A-42A8-94C5-96B5CB345126}">
          <xfpb:xfComplement i="0"/>
        </ext>
      </extLst>
    </xf>
    <xf numFmtId="0" fontId="10" fillId="0" borderId="35" xfId="10" applyBorder="1">
      <extLst>
        <ext xmlns:xfpb="http://schemas.microsoft.com/office/spreadsheetml/2022/featurepropertybag" uri="{C7286773-470A-42A8-94C5-96B5CB345126}">
          <xfpb:xfComplement i="0"/>
        </ext>
      </extLst>
    </xf>
    <xf numFmtId="0" fontId="10" fillId="0" borderId="35" xfId="10" applyBorder="1" applyAlignment="1">
      <alignment horizontal="left"/>
    </xf>
    <xf numFmtId="0" fontId="10" fillId="0" borderId="22" xfId="10" applyBorder="1" applyAlignment="1">
      <alignment horizontal="left"/>
    </xf>
    <xf numFmtId="0" fontId="10" fillId="0" borderId="0" xfId="10" applyAlignment="1">
      <alignment horizontal="center"/>
    </xf>
    <xf numFmtId="0" fontId="10" fillId="0" borderId="0" xfId="10" applyAlignment="1">
      <alignment horizontal="right"/>
    </xf>
    <xf numFmtId="0" fontId="59" fillId="0" borderId="24" xfId="10" applyFont="1" applyBorder="1"/>
    <xf numFmtId="0" fontId="59" fillId="15" borderId="24" xfId="10" applyFont="1" applyFill="1" applyBorder="1"/>
    <xf numFmtId="0" fontId="76" fillId="16" borderId="34" xfId="10" applyFont="1" applyFill="1" applyBorder="1"/>
    <xf numFmtId="0" fontId="9" fillId="0" borderId="0" xfId="10" applyFont="1"/>
    <xf numFmtId="0" fontId="75" fillId="16" borderId="34" xfId="10" applyFont="1" applyFill="1" applyBorder="1" applyAlignment="1">
      <alignment horizontal="center"/>
    </xf>
    <xf numFmtId="0" fontId="75" fillId="16" borderId="23" xfId="10" applyFont="1" applyFill="1" applyBorder="1" applyAlignment="1">
      <alignment horizontal="center"/>
    </xf>
    <xf numFmtId="0" fontId="75" fillId="16" borderId="24" xfId="10" applyFont="1" applyFill="1" applyBorder="1" applyAlignment="1">
      <alignment horizontal="center"/>
    </xf>
    <xf numFmtId="0" fontId="8" fillId="0" borderId="0" xfId="10" applyFont="1"/>
    <xf numFmtId="0" fontId="0" fillId="0" borderId="0" xfId="0">
      <extLst>
        <ext xmlns:xfpb="http://schemas.microsoft.com/office/spreadsheetml/2022/featurepropertybag" uri="{C7286773-470A-42A8-94C5-96B5CB345126}">
          <xfpb:xfComplement i="0"/>
        </ext>
      </extLst>
    </xf>
    <xf numFmtId="0" fontId="7" fillId="0" borderId="0" xfId="10" applyFont="1"/>
    <xf numFmtId="0" fontId="7" fillId="0" borderId="34" xfId="10" applyFont="1" applyBorder="1" applyAlignment="1">
      <alignment horizontal="left"/>
    </xf>
    <xf numFmtId="0" fontId="7" fillId="15" borderId="34" xfId="10" applyFont="1" applyFill="1" applyBorder="1" applyAlignment="1">
      <alignment horizontal="left"/>
    </xf>
    <xf numFmtId="0" fontId="10" fillId="22" borderId="34" xfId="10" applyFill="1" applyBorder="1" applyAlignment="1">
      <alignment horizontal="left"/>
    </xf>
    <xf numFmtId="0" fontId="6" fillId="0" borderId="0" xfId="10" applyFont="1"/>
    <xf numFmtId="0" fontId="10" fillId="0" borderId="23" xfId="10" applyBorder="1" applyAlignment="1">
      <alignment horizontal="left"/>
    </xf>
    <xf numFmtId="0" fontId="10" fillId="15" borderId="21" xfId="10" applyFill="1" applyBorder="1" applyAlignment="1">
      <alignment horizontal="left"/>
    </xf>
    <xf numFmtId="0" fontId="6" fillId="15" borderId="34" xfId="10" applyFont="1" applyFill="1" applyBorder="1"/>
    <xf numFmtId="0" fontId="10" fillId="23" borderId="0" xfId="10" applyFill="1">
      <extLst>
        <ext xmlns:xfpb="http://schemas.microsoft.com/office/spreadsheetml/2022/featurepropertybag" uri="{C7286773-470A-42A8-94C5-96B5CB345126}">
          <xfpb:xfComplement i="0"/>
        </ext>
      </extLst>
    </xf>
    <xf numFmtId="0" fontId="10" fillId="24" borderId="23" xfId="10" applyFill="1" applyBorder="1" applyAlignment="1">
      <alignment horizontal="left"/>
    </xf>
    <xf numFmtId="0" fontId="10" fillId="23" borderId="23" xfId="10" applyFill="1" applyBorder="1" applyAlignment="1">
      <alignment horizontal="left"/>
    </xf>
    <xf numFmtId="0" fontId="10" fillId="23" borderId="23" xfId="10" applyFill="1" applyBorder="1" applyAlignment="1">
      <alignment horizontal="left" wrapText="1"/>
    </xf>
    <xf numFmtId="0" fontId="10" fillId="24" borderId="21" xfId="10" applyFill="1" applyBorder="1" applyAlignment="1">
      <alignment horizontal="left"/>
    </xf>
    <xf numFmtId="0" fontId="10" fillId="25" borderId="34" xfId="10" applyFill="1" applyBorder="1">
      <extLst>
        <ext xmlns:xfpb="http://schemas.microsoft.com/office/spreadsheetml/2022/featurepropertybag" uri="{C7286773-470A-42A8-94C5-96B5CB345126}">
          <xfpb:xfComplement i="0"/>
        </ext>
      </extLst>
    </xf>
    <xf numFmtId="0" fontId="10" fillId="25" borderId="34" xfId="10" applyFill="1" applyBorder="1"/>
    <xf numFmtId="0" fontId="10" fillId="26" borderId="34" xfId="10" applyFill="1" applyBorder="1"/>
    <xf numFmtId="0" fontId="10" fillId="25" borderId="35" xfId="10" applyFill="1" applyBorder="1"/>
    <xf numFmtId="0" fontId="10" fillId="17" borderId="34" xfId="10" applyFill="1" applyBorder="1"/>
    <xf numFmtId="0" fontId="10" fillId="27" borderId="34" xfId="10" applyFill="1" applyBorder="1">
      <extLst>
        <ext xmlns:xfpb="http://schemas.microsoft.com/office/spreadsheetml/2022/featurepropertybag" uri="{C7286773-470A-42A8-94C5-96B5CB345126}">
          <xfpb:xfComplement i="0"/>
        </ext>
      </extLst>
    </xf>
    <xf numFmtId="0" fontId="10" fillId="27" borderId="34" xfId="10" applyFill="1" applyBorder="1"/>
    <xf numFmtId="0" fontId="10" fillId="28" borderId="34" xfId="10" applyFill="1" applyBorder="1"/>
    <xf numFmtId="0" fontId="10" fillId="27" borderId="35" xfId="10" applyFill="1" applyBorder="1"/>
    <xf numFmtId="0" fontId="10" fillId="29" borderId="34" xfId="10" applyFill="1" applyBorder="1">
      <extLst>
        <ext xmlns:xfpb="http://schemas.microsoft.com/office/spreadsheetml/2022/featurepropertybag" uri="{C7286773-470A-42A8-94C5-96B5CB345126}">
          <xfpb:xfComplement i="0"/>
        </ext>
      </extLst>
    </xf>
    <xf numFmtId="0" fontId="6" fillId="29" borderId="34" xfId="10" applyFont="1" applyFill="1" applyBorder="1"/>
    <xf numFmtId="0" fontId="10" fillId="30" borderId="34" xfId="10" applyFill="1" applyBorder="1"/>
    <xf numFmtId="0" fontId="10" fillId="29" borderId="34" xfId="10" applyFill="1" applyBorder="1"/>
    <xf numFmtId="0" fontId="10" fillId="29" borderId="35" xfId="10" applyFill="1" applyBorder="1"/>
    <xf numFmtId="0" fontId="60" fillId="0" borderId="0" xfId="4" applyFont="1" applyAlignment="1">
      <alignment horizontal="left"/>
    </xf>
    <xf numFmtId="0" fontId="75" fillId="16" borderId="23" xfId="10" applyFont="1" applyFill="1" applyBorder="1" applyAlignment="1">
      <alignment horizontal="left"/>
    </xf>
    <xf numFmtId="0" fontId="59" fillId="15" borderId="23" xfId="10" applyFont="1" applyFill="1" applyBorder="1" applyAlignment="1">
      <alignment horizontal="left"/>
    </xf>
    <xf numFmtId="0" fontId="59" fillId="0" borderId="0" xfId="10" applyFont="1" applyAlignment="1">
      <alignment horizontal="left"/>
    </xf>
    <xf numFmtId="0" fontId="6" fillId="15" borderId="23" xfId="10" applyFont="1" applyFill="1" applyBorder="1" applyAlignment="1">
      <alignment horizontal="left"/>
    </xf>
    <xf numFmtId="0" fontId="6" fillId="0" borderId="23" xfId="10" applyFont="1" applyBorder="1" applyAlignment="1">
      <alignment horizontal="left"/>
    </xf>
    <xf numFmtId="0" fontId="60" fillId="0" borderId="0" xfId="2" applyFont="1" applyAlignment="1">
      <alignment horizontal="left"/>
    </xf>
    <xf numFmtId="0" fontId="6" fillId="0" borderId="34" xfId="10" applyFont="1" applyBorder="1"/>
    <xf numFmtId="0" fontId="6" fillId="15" borderId="23" xfId="10" applyFont="1" applyFill="1" applyBorder="1"/>
    <xf numFmtId="0" fontId="6" fillId="0" borderId="23" xfId="10" applyFont="1" applyBorder="1"/>
    <xf numFmtId="0" fontId="77" fillId="0" borderId="0" xfId="10" applyFont="1"/>
    <xf numFmtId="0" fontId="0" fillId="11" borderId="0" xfId="0" applyFill="1" applyAlignment="1">
      <alignment horizontal="left"/>
    </xf>
    <xf numFmtId="0" fontId="10" fillId="11" borderId="0" xfId="10" applyFill="1"/>
    <xf numFmtId="0" fontId="5" fillId="22" borderId="24" xfId="10" applyFont="1" applyFill="1" applyBorder="1"/>
    <xf numFmtId="0" fontId="10" fillId="11" borderId="0" xfId="10" applyFill="1" applyAlignment="1">
      <alignment horizontal="left"/>
    </xf>
    <xf numFmtId="0" fontId="10" fillId="11" borderId="23" xfId="10" applyFill="1" applyBorder="1" applyAlignment="1">
      <alignment horizontal="left"/>
    </xf>
    <xf numFmtId="0" fontId="10" fillId="22" borderId="23" xfId="10" applyFill="1" applyBorder="1" applyAlignment="1">
      <alignment horizontal="left"/>
    </xf>
    <xf numFmtId="0" fontId="5" fillId="29" borderId="34" xfId="10" applyFont="1" applyFill="1" applyBorder="1"/>
    <xf numFmtId="0" fontId="59" fillId="11" borderId="0" xfId="10" applyFont="1" applyFill="1"/>
    <xf numFmtId="0" fontId="10" fillId="11" borderId="34" xfId="10" applyFill="1" applyBorder="1"/>
    <xf numFmtId="0" fontId="10" fillId="22" borderId="34" xfId="10" applyFill="1" applyBorder="1"/>
    <xf numFmtId="0" fontId="5" fillId="0" borderId="0" xfId="10" applyFont="1" applyAlignment="1">
      <alignment horizontal="left"/>
    </xf>
    <xf numFmtId="0" fontId="0" fillId="28" borderId="0" xfId="0" applyFill="1" applyAlignment="1">
      <alignment horizontal="left"/>
    </xf>
    <xf numFmtId="0" fontId="10" fillId="28" borderId="0" xfId="10" applyFill="1"/>
    <xf numFmtId="0" fontId="5" fillId="28" borderId="0" xfId="10" applyFont="1" applyFill="1" applyAlignment="1">
      <alignment horizontal="left"/>
    </xf>
    <xf numFmtId="0" fontId="10" fillId="28" borderId="34" xfId="10" applyFill="1" applyBorder="1" applyAlignment="1">
      <alignment horizontal="left"/>
    </xf>
    <xf numFmtId="0" fontId="10" fillId="27" borderId="34" xfId="10" applyFill="1" applyBorder="1" applyAlignment="1">
      <alignment horizontal="left"/>
    </xf>
    <xf numFmtId="0" fontId="7" fillId="28" borderId="34" xfId="10" applyFont="1" applyFill="1" applyBorder="1"/>
    <xf numFmtId="0" fontId="7" fillId="27" borderId="34" xfId="10" applyFont="1" applyFill="1" applyBorder="1"/>
    <xf numFmtId="0" fontId="80" fillId="0" borderId="34" xfId="10" applyFont="1" applyBorder="1"/>
    <xf numFmtId="0" fontId="5" fillId="15" borderId="34" xfId="10" applyFont="1" applyFill="1" applyBorder="1"/>
    <xf numFmtId="0" fontId="5" fillId="0" borderId="34" xfId="10" applyFont="1" applyBorder="1"/>
    <xf numFmtId="0" fontId="10" fillId="28" borderId="0" xfId="10" applyFill="1" applyAlignment="1">
      <alignment horizontal="left"/>
    </xf>
    <xf numFmtId="0" fontId="10" fillId="23" borderId="0" xfId="10" applyFill="1" applyAlignment="1">
      <alignment horizontal="left"/>
    </xf>
    <xf numFmtId="0" fontId="62" fillId="0" borderId="0" xfId="10" applyFont="1" applyAlignment="1">
      <alignment horizontal="center" vertical="center"/>
    </xf>
    <xf numFmtId="0" fontId="62" fillId="21" borderId="0" xfId="10" applyFont="1" applyFill="1" applyAlignment="1">
      <alignment horizontal="center" vertical="center"/>
    </xf>
    <xf numFmtId="0" fontId="5" fillId="15" borderId="35" xfId="10" applyFont="1" applyFill="1" applyBorder="1" applyAlignment="1">
      <alignment horizontal="center"/>
    </xf>
    <xf numFmtId="0" fontId="5" fillId="15" borderId="22" xfId="10" applyFont="1" applyFill="1" applyBorder="1" applyAlignment="1">
      <alignment horizontal="center"/>
    </xf>
    <xf numFmtId="0" fontId="4" fillId="25" borderId="34" xfId="10" applyFont="1" applyFill="1" applyBorder="1"/>
    <xf numFmtId="0" fontId="4" fillId="0" borderId="0" xfId="10" applyFont="1"/>
    <xf numFmtId="0" fontId="4" fillId="15" borderId="24" xfId="10" applyFont="1" applyFill="1" applyBorder="1"/>
    <xf numFmtId="0" fontId="81" fillId="16" borderId="23" xfId="0" applyFont="1" applyFill="1" applyBorder="1"/>
    <xf numFmtId="0" fontId="81" fillId="16" borderId="34" xfId="0" applyFont="1" applyFill="1" applyBorder="1"/>
    <xf numFmtId="0" fontId="81" fillId="16" borderId="24" xfId="0" applyFont="1" applyFill="1" applyBorder="1"/>
    <xf numFmtId="0" fontId="13" fillId="15" borderId="23" xfId="0" applyFont="1" applyFill="1" applyBorder="1" applyAlignment="1">
      <alignment horizontal="left"/>
    </xf>
    <xf numFmtId="0" fontId="13" fillId="15" borderId="34" xfId="0" applyFont="1" applyFill="1" applyBorder="1"/>
    <xf numFmtId="0" fontId="13" fillId="15" borderId="34" xfId="0" applyFont="1" applyFill="1" applyBorder="1">
      <extLst>
        <ext xmlns:xfpb="http://schemas.microsoft.com/office/spreadsheetml/2022/featurepropertybag" uri="{C7286773-470A-42A8-94C5-96B5CB345126}">
          <xfpb:xfComplement i="0"/>
        </ext>
      </extLst>
    </xf>
    <xf numFmtId="0" fontId="13" fillId="15" borderId="24" xfId="0" applyFont="1" applyFill="1" applyBorder="1"/>
    <xf numFmtId="0" fontId="13" fillId="0" borderId="23" xfId="0" applyFont="1" applyBorder="1"/>
    <xf numFmtId="0" fontId="13" fillId="0" borderId="34" xfId="0" applyFont="1" applyBorder="1"/>
    <xf numFmtId="0" fontId="13" fillId="0" borderId="24" xfId="0" applyFont="1" applyBorder="1"/>
    <xf numFmtId="0" fontId="13" fillId="15" borderId="23" xfId="0" applyFont="1" applyFill="1" applyBorder="1"/>
    <xf numFmtId="0" fontId="13" fillId="15" borderId="21" xfId="0" applyFont="1" applyFill="1" applyBorder="1"/>
    <xf numFmtId="0" fontId="13" fillId="15" borderId="35" xfId="0" applyFont="1" applyFill="1" applyBorder="1"/>
    <xf numFmtId="0" fontId="13" fillId="15" borderId="22" xfId="0" applyFont="1" applyFill="1" applyBorder="1"/>
    <xf numFmtId="0" fontId="13" fillId="15" borderId="34" xfId="0" applyFont="1" applyFill="1" applyBorder="1" applyAlignment="1">
      <alignment horizontal="center"/>
      <extLst>
        <ext xmlns:xfpb="http://schemas.microsoft.com/office/spreadsheetml/2022/featurepropertybag" uri="{C7286773-470A-42A8-94C5-96B5CB345126}">
          <xfpb:xfComplement i="0"/>
        </ext>
      </extLst>
    </xf>
    <xf numFmtId="0" fontId="13" fillId="0" borderId="21" xfId="0" applyFont="1" applyBorder="1"/>
    <xf numFmtId="0" fontId="13" fillId="0" borderId="22" xfId="0" applyFont="1" applyBorder="1"/>
    <xf numFmtId="0" fontId="13" fillId="0" borderId="35" xfId="0" applyFont="1" applyBorder="1"/>
    <xf numFmtId="0" fontId="13" fillId="0" borderId="34" xfId="0" applyFont="1" applyBorder="1">
      <extLst>
        <ext xmlns:xfpb="http://schemas.microsoft.com/office/spreadsheetml/2022/featurepropertybag" uri="{C7286773-470A-42A8-94C5-96B5CB345126}">
          <xfpb:xfComplement i="0"/>
        </ext>
      </extLst>
    </xf>
    <xf numFmtId="0" fontId="13" fillId="15" borderId="36" xfId="0" applyFont="1" applyFill="1" applyBorder="1"/>
    <xf numFmtId="0" fontId="13" fillId="0" borderId="36" xfId="0" applyFont="1" applyBorder="1"/>
    <xf numFmtId="0" fontId="13" fillId="15" borderId="37" xfId="0" applyFont="1" applyFill="1" applyBorder="1"/>
    <xf numFmtId="0" fontId="81" fillId="16" borderId="0" xfId="0" applyFont="1" applyFill="1"/>
    <xf numFmtId="0" fontId="13" fillId="15" borderId="0" xfId="0" applyFont="1" applyFill="1"/>
    <xf numFmtId="0" fontId="13" fillId="0" borderId="34" xfId="0" applyFont="1" applyBorder="1" applyAlignment="1">
      <alignment horizontal="left"/>
    </xf>
    <xf numFmtId="0" fontId="13" fillId="15" borderId="34" xfId="0" applyFont="1" applyFill="1" applyBorder="1" applyAlignment="1">
      <alignment horizontal="left"/>
    </xf>
    <xf numFmtId="0" fontId="13" fillId="0" borderId="35" xfId="0" applyFont="1" applyBorder="1" applyAlignment="1">
      <alignment horizontal="left"/>
    </xf>
    <xf numFmtId="0" fontId="13" fillId="28" borderId="34" xfId="0" applyFont="1" applyFill="1" applyBorder="1"/>
    <xf numFmtId="0" fontId="13" fillId="27" borderId="34" xfId="0" applyFont="1" applyFill="1" applyBorder="1"/>
    <xf numFmtId="0" fontId="13" fillId="28" borderId="35" xfId="0" applyFont="1" applyFill="1" applyBorder="1"/>
    <xf numFmtId="0" fontId="0" fillId="28" borderId="0" xfId="0" applyFill="1"/>
    <xf numFmtId="0" fontId="13" fillId="0" borderId="23" xfId="0" applyFont="1" applyBorder="1" applyAlignment="1">
      <alignment horizontal="left"/>
    </xf>
    <xf numFmtId="0" fontId="13" fillId="15" borderId="21" xfId="0" applyFont="1" applyFill="1" applyBorder="1" applyAlignment="1">
      <alignment horizontal="left"/>
    </xf>
    <xf numFmtId="0" fontId="3" fillId="0" borderId="0" xfId="10" applyFont="1"/>
    <xf numFmtId="0" fontId="75" fillId="16" borderId="0" xfId="10" applyFont="1" applyFill="1" applyAlignment="1">
      <alignment horizontal="left"/>
    </xf>
    <xf numFmtId="0" fontId="3" fillId="0" borderId="0" xfId="10" applyFont="1" applyAlignment="1">
      <alignment horizontal="left"/>
    </xf>
    <xf numFmtId="0" fontId="3" fillId="15" borderId="34" xfId="10" applyFont="1" applyFill="1" applyBorder="1"/>
    <xf numFmtId="0" fontId="10" fillId="0" borderId="34" xfId="10" applyBorder="1" applyAlignment="1">
      <alignment horizontal="center"/>
    </xf>
    <xf numFmtId="0" fontId="2" fillId="0" borderId="24" xfId="10" applyFont="1" applyBorder="1"/>
    <xf numFmtId="0" fontId="2" fillId="15" borderId="24" xfId="10" applyFont="1" applyFill="1" applyBorder="1"/>
    <xf numFmtId="0" fontId="2" fillId="15" borderId="34" xfId="10" applyFont="1" applyFill="1" applyBorder="1"/>
    <xf numFmtId="0" fontId="2" fillId="0" borderId="34" xfId="10" applyFont="1" applyBorder="1"/>
    <xf numFmtId="0" fontId="0" fillId="17" borderId="0" xfId="0" applyFill="1"/>
    <xf numFmtId="0" fontId="2" fillId="17" borderId="0" xfId="10" applyFont="1" applyFill="1"/>
    <xf numFmtId="0" fontId="2" fillId="27" borderId="34" xfId="10" applyFont="1" applyFill="1" applyBorder="1"/>
    <xf numFmtId="0" fontId="2" fillId="28" borderId="34" xfId="10" applyFont="1" applyFill="1" applyBorder="1"/>
    <xf numFmtId="0" fontId="6" fillId="27" borderId="34" xfId="10" applyFont="1" applyFill="1" applyBorder="1"/>
    <xf numFmtId="0" fontId="6" fillId="28" borderId="34" xfId="10" applyFont="1" applyFill="1" applyBorder="1"/>
    <xf numFmtId="0" fontId="10" fillId="0" borderId="38" xfId="10" applyBorder="1" applyAlignment="1">
      <alignment horizontal="center"/>
    </xf>
    <xf numFmtId="0" fontId="2" fillId="0" borderId="39" xfId="10" applyFont="1" applyBorder="1"/>
    <xf numFmtId="0" fontId="10" fillId="0" borderId="40" xfId="10" applyBorder="1" applyAlignment="1">
      <alignment horizontal="center"/>
    </xf>
    <xf numFmtId="0" fontId="2" fillId="0" borderId="41" xfId="10" applyFont="1" applyBorder="1"/>
    <xf numFmtId="0" fontId="10" fillId="0" borderId="41" xfId="10" applyBorder="1"/>
    <xf numFmtId="0" fontId="2" fillId="0" borderId="42" xfId="10" applyFont="1" applyBorder="1" applyAlignment="1">
      <alignment horizontal="center"/>
    </xf>
    <xf numFmtId="0" fontId="2" fillId="0" borderId="43" xfId="10" applyFont="1" applyBorder="1"/>
    <xf numFmtId="0" fontId="0" fillId="0" borderId="44" xfId="0" applyBorder="1" applyAlignment="1">
      <alignment horizontal="left"/>
    </xf>
    <xf numFmtId="0" fontId="2" fillId="0" borderId="0" xfId="10" applyFont="1"/>
    <xf numFmtId="0" fontId="0" fillId="0" borderId="45" xfId="0" applyBorder="1"/>
    <xf numFmtId="0" fontId="10" fillId="0" borderId="44" xfId="10" applyBorder="1"/>
    <xf numFmtId="0" fontId="30" fillId="0" borderId="45" xfId="0" applyFont="1" applyBorder="1"/>
    <xf numFmtId="0" fontId="2" fillId="0" borderId="46" xfId="10" applyFont="1" applyBorder="1" applyAlignment="1">
      <alignment horizontal="center"/>
    </xf>
    <xf numFmtId="0" fontId="10" fillId="0" borderId="47" xfId="10" applyBorder="1" applyAlignment="1">
      <alignment horizontal="center"/>
    </xf>
    <xf numFmtId="0" fontId="10" fillId="0" borderId="45" xfId="10" applyBorder="1" applyAlignment="1">
      <alignment horizontal="center"/>
    </xf>
    <xf numFmtId="0" fontId="0" fillId="0" borderId="48" xfId="0" applyBorder="1"/>
    <xf numFmtId="0" fontId="0" fillId="0" borderId="49" xfId="0" applyBorder="1"/>
    <xf numFmtId="0" fontId="0" fillId="0" borderId="51" xfId="0" applyBorder="1" applyAlignment="1">
      <alignment horizontal="right"/>
    </xf>
    <xf numFmtId="0" fontId="0" fillId="0" borderId="50" xfId="0" applyBorder="1"/>
    <xf numFmtId="0" fontId="0" fillId="0" borderId="51" xfId="0" applyBorder="1"/>
    <xf numFmtId="0" fontId="0" fillId="0" borderId="52" xfId="0" applyBorder="1"/>
    <xf numFmtId="0" fontId="0" fillId="0" borderId="53" xfId="0" applyBorder="1" applyAlignment="1">
      <alignment horizontal="left"/>
    </xf>
    <xf numFmtId="0" fontId="1" fillId="0" borderId="56" xfId="10" applyFont="1" applyBorder="1"/>
    <xf numFmtId="0" fontId="30" fillId="0" borderId="55" xfId="0" applyFont="1" applyBorder="1"/>
    <xf numFmtId="0" fontId="0" fillId="0" borderId="54" xfId="0" applyBorder="1" applyAlignment="1">
      <alignment horizontal="center"/>
    </xf>
    <xf numFmtId="0" fontId="1" fillId="0" borderId="34" xfId="10" applyFont="1" applyBorder="1"/>
    <xf numFmtId="0" fontId="1" fillId="0" borderId="24" xfId="10" applyFont="1" applyBorder="1"/>
    <xf numFmtId="0" fontId="1" fillId="0" borderId="0" xfId="10" applyFont="1"/>
    <xf numFmtId="0" fontId="1" fillId="15" borderId="34" xfId="10" applyFont="1" applyFill="1" applyBorder="1"/>
    <xf numFmtId="0" fontId="64" fillId="20" borderId="27" xfId="0" applyFont="1" applyFill="1" applyBorder="1" applyAlignment="1">
      <alignment horizontal="center" vertical="center" wrapText="1"/>
    </xf>
    <xf numFmtId="0" fontId="64" fillId="20" borderId="28" xfId="0" applyFont="1" applyFill="1" applyBorder="1" applyAlignment="1">
      <alignment horizontal="center" vertical="center" wrapText="1"/>
    </xf>
    <xf numFmtId="0" fontId="64" fillId="20" borderId="29" xfId="0" applyFont="1" applyFill="1" applyBorder="1" applyAlignment="1">
      <alignment horizontal="center" vertical="center" wrapText="1"/>
    </xf>
    <xf numFmtId="0" fontId="65" fillId="19" borderId="30" xfId="0" applyFont="1" applyFill="1" applyBorder="1" applyAlignment="1">
      <alignment horizontal="center" vertical="center" wrapText="1"/>
    </xf>
    <xf numFmtId="0" fontId="65" fillId="19" borderId="31" xfId="0" applyFont="1" applyFill="1" applyBorder="1" applyAlignment="1">
      <alignment horizontal="center" vertical="center" wrapText="1"/>
    </xf>
    <xf numFmtId="8" fontId="65" fillId="19" borderId="30" xfId="0" applyNumberFormat="1" applyFont="1" applyFill="1" applyBorder="1" applyAlignment="1">
      <alignment horizontal="center" vertical="center" wrapText="1"/>
    </xf>
    <xf numFmtId="8" fontId="65" fillId="19" borderId="31" xfId="0" applyNumberFormat="1" applyFont="1" applyFill="1" applyBorder="1" applyAlignment="1">
      <alignment horizontal="center" vertical="center" wrapText="1"/>
    </xf>
    <xf numFmtId="3" fontId="65" fillId="19" borderId="30" xfId="0" applyNumberFormat="1" applyFont="1" applyFill="1" applyBorder="1" applyAlignment="1">
      <alignment horizontal="center" vertical="center" wrapText="1"/>
    </xf>
    <xf numFmtId="3" fontId="65" fillId="19" borderId="31" xfId="0" applyNumberFormat="1" applyFont="1" applyFill="1" applyBorder="1" applyAlignment="1">
      <alignment horizontal="center" vertical="center" wrapText="1"/>
    </xf>
    <xf numFmtId="0" fontId="67" fillId="19" borderId="30" xfId="0" applyFont="1" applyFill="1" applyBorder="1" applyAlignment="1">
      <alignment horizontal="center" vertical="center" wrapText="1"/>
    </xf>
    <xf numFmtId="0" fontId="67" fillId="19" borderId="31" xfId="0" applyFont="1" applyFill="1" applyBorder="1" applyAlignment="1">
      <alignment horizontal="center" vertical="center" wrapText="1"/>
    </xf>
    <xf numFmtId="0" fontId="65" fillId="19" borderId="32" xfId="0" applyFont="1" applyFill="1" applyBorder="1" applyAlignment="1">
      <alignment horizontal="center" vertical="center" wrapText="1"/>
    </xf>
    <xf numFmtId="0" fontId="67" fillId="19" borderId="32" xfId="0" applyFont="1" applyFill="1" applyBorder="1" applyAlignment="1">
      <alignment horizontal="center" vertical="center" wrapText="1"/>
    </xf>
    <xf numFmtId="8" fontId="65" fillId="19" borderId="32" xfId="0" applyNumberFormat="1" applyFont="1" applyFill="1" applyBorder="1" applyAlignment="1">
      <alignment horizontal="center" vertical="center" wrapText="1"/>
    </xf>
    <xf numFmtId="3" fontId="65" fillId="19" borderId="32" xfId="0" applyNumberFormat="1" applyFont="1" applyFill="1" applyBorder="1" applyAlignment="1">
      <alignment horizontal="center" vertical="center" wrapText="1"/>
    </xf>
    <xf numFmtId="0" fontId="68" fillId="19" borderId="30" xfId="0" applyFont="1" applyFill="1" applyBorder="1" applyAlignment="1">
      <alignment horizontal="center" vertical="center" wrapText="1"/>
    </xf>
    <xf numFmtId="0" fontId="68" fillId="19" borderId="32" xfId="0" applyFont="1" applyFill="1" applyBorder="1" applyAlignment="1">
      <alignment horizontal="center" vertical="center" wrapText="1"/>
    </xf>
    <xf numFmtId="0" fontId="68" fillId="19" borderId="31" xfId="0" applyFont="1" applyFill="1" applyBorder="1" applyAlignment="1">
      <alignment horizontal="center" vertical="center" wrapText="1"/>
    </xf>
    <xf numFmtId="0" fontId="64" fillId="19" borderId="27" xfId="0" applyFont="1" applyFill="1" applyBorder="1" applyAlignment="1">
      <alignment vertical="center" wrapText="1"/>
    </xf>
    <xf numFmtId="0" fontId="64" fillId="19" borderId="28" xfId="0" applyFont="1" applyFill="1" applyBorder="1" applyAlignment="1">
      <alignment vertical="center" wrapText="1"/>
    </xf>
    <xf numFmtId="0" fontId="64" fillId="19" borderId="29" xfId="0" applyFont="1" applyFill="1" applyBorder="1" applyAlignment="1">
      <alignment vertical="center" wrapText="1"/>
    </xf>
    <xf numFmtId="0" fontId="53" fillId="19" borderId="30" xfId="8" applyFill="1" applyBorder="1" applyAlignment="1">
      <alignment horizontal="center" vertical="center" wrapText="1"/>
    </xf>
    <xf numFmtId="0" fontId="53" fillId="19" borderId="32" xfId="8" applyFill="1" applyBorder="1" applyAlignment="1">
      <alignment horizontal="center" vertical="center" wrapText="1"/>
    </xf>
    <xf numFmtId="0" fontId="53" fillId="19" borderId="31" xfId="8" applyFill="1" applyBorder="1" applyAlignment="1">
      <alignment horizontal="center" vertical="center" wrapText="1"/>
    </xf>
    <xf numFmtId="0" fontId="22" fillId="7" borderId="0" xfId="0" applyFont="1" applyFill="1" applyAlignment="1">
      <alignment horizontal="center" vertical="center"/>
    </xf>
    <xf numFmtId="0" fontId="49" fillId="0" borderId="15" xfId="6" applyFont="1" applyBorder="1" applyAlignment="1">
      <alignment horizontal="left" vertical="top" wrapText="1"/>
    </xf>
    <xf numFmtId="0" fontId="49" fillId="0" borderId="0" xfId="6" applyFont="1" applyAlignment="1">
      <alignment horizontal="left" vertical="top" wrapText="1"/>
    </xf>
    <xf numFmtId="0" fontId="49" fillId="0" borderId="0" xfId="2" applyFont="1" applyAlignment="1">
      <alignment horizontal="center" vertical="center"/>
    </xf>
  </cellXfs>
  <cellStyles count="11">
    <cellStyle name="Currency" xfId="1" builtinId="4"/>
    <cellStyle name="Currency 2" xfId="5" xr:uid="{69AE88C6-D248-416A-9EAE-8756789305D8}"/>
    <cellStyle name="Currency 3" xfId="7" xr:uid="{B7EF814A-8516-4D7F-98A2-DD68D3DF9925}"/>
    <cellStyle name="Hyperlink" xfId="8" builtinId="8"/>
    <cellStyle name="Hyperlink 2" xfId="3" xr:uid="{93E5DF7D-A885-4E8B-A723-7AC47CCF56B1}"/>
    <cellStyle name="Normal" xfId="0" builtinId="0"/>
    <cellStyle name="Normal 2" xfId="2" xr:uid="{364192DB-7688-4698-8E66-6BBE01200386}"/>
    <cellStyle name="Normal 3" xfId="4" xr:uid="{AF203CFD-8E62-42D4-927D-A65CB5A10F39}"/>
    <cellStyle name="Normal 4" xfId="6" xr:uid="{24759428-A438-4C7F-909B-0171D17A9F00}"/>
    <cellStyle name="Normal 5" xfId="9" xr:uid="{CDCC046A-24D1-4991-A71F-DCD194B88473}"/>
    <cellStyle name="Normal 6" xfId="10" xr:uid="{A5F1C3C5-3072-481B-8D95-416645FEA7EB}"/>
  </cellStyles>
  <dxfs count="67">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protection locked="1" hidden="0"/>
    </dxf>
    <dxf>
      <numFmt numFmtId="165" formatCode="\$#,##0.00"/>
    </dxf>
    <dxf>
      <font>
        <b val="0"/>
        <i val="0"/>
        <strike val="0"/>
        <condense val="0"/>
        <extend val="0"/>
        <outline val="0"/>
        <shadow val="0"/>
        <u val="none"/>
        <vertAlign val="baseline"/>
        <sz val="10"/>
        <color auto="1"/>
        <name val="Arial"/>
        <scheme val="none"/>
      </font>
      <fill>
        <patternFill patternType="solid">
          <fgColor indexed="23"/>
          <bgColor indexed="55"/>
        </patternFill>
      </fill>
    </dxf>
    <dxf>
      <font>
        <b val="0"/>
        <i val="0"/>
        <strike val="0"/>
        <condense val="0"/>
        <extend val="0"/>
        <outline val="0"/>
        <shadow val="0"/>
        <u val="none"/>
        <vertAlign val="baseline"/>
        <sz val="10"/>
        <color auto="1"/>
        <name val="Arial"/>
        <scheme val="none"/>
      </font>
      <fill>
        <patternFill patternType="solid">
          <fgColor indexed="23"/>
          <bgColor indexed="55"/>
        </patternFill>
      </fill>
    </dxf>
    <dxf>
      <fill>
        <patternFill patternType="solid">
          <fgColor indexed="23"/>
          <bgColor indexed="55"/>
        </patternFill>
      </fill>
      <alignment horizontal="center" vertical="bottom" textRotation="0" wrapText="0" indent="0" justifyLastLine="0" shrinkToFit="0" readingOrder="0"/>
    </dxf>
    <dxf>
      <fill>
        <patternFill patternType="solid">
          <fgColor indexed="23"/>
          <bgColor indexed="55"/>
        </patternFill>
      </fill>
      <alignment horizontal="center" vertical="bottom" textRotation="0" wrapText="0" indent="0" justifyLastLine="0" shrinkToFit="0" readingOrder="0"/>
    </dxf>
    <dxf>
      <numFmt numFmtId="1" formatCode="0"/>
      <fill>
        <patternFill patternType="solid">
          <fgColor indexed="23"/>
          <bgColor indexed="5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3" formatCode="#,##0"/>
      <alignment horizontal="center" vertical="center" textRotation="0" wrapText="1" indent="0" justifyLastLine="0" shrinkToFit="0" readingOrder="0"/>
    </dxf>
    <dxf>
      <font>
        <b val="0"/>
        <i val="0"/>
        <strike val="0"/>
        <condense val="0"/>
        <extend val="0"/>
        <outline val="0"/>
        <shadow val="0"/>
        <u val="none"/>
        <vertAlign val="baseline"/>
        <sz val="9"/>
        <color auto="1"/>
        <name val="Arial"/>
        <family val="2"/>
        <scheme val="none"/>
      </font>
      <numFmt numFmtId="3" formatCode="#,##0"/>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font>
        <b val="0"/>
        <i val="0"/>
        <strike val="0"/>
        <condense val="0"/>
        <extend val="0"/>
        <outline val="0"/>
        <shadow val="0"/>
        <u val="none"/>
        <vertAlign val="baseline"/>
        <sz val="9"/>
        <color auto="1"/>
        <name val="Arial"/>
        <family val="2"/>
        <scheme val="none"/>
      </font>
      <numFmt numFmtId="3" formatCode="#,##0"/>
      <alignment horizontal="center" vertical="center" textRotation="0" wrapText="1" indent="0" justifyLastLine="0" shrinkToFit="0" readingOrder="0"/>
    </dxf>
    <dxf>
      <font>
        <b val="0"/>
        <i val="0"/>
        <strike val="0"/>
        <condense val="0"/>
        <extend val="0"/>
        <outline val="0"/>
        <shadow val="0"/>
        <u val="none"/>
        <vertAlign val="baseline"/>
        <sz val="9"/>
        <color auto="1"/>
        <name val="Arial"/>
        <family val="2"/>
        <scheme val="none"/>
      </font>
      <numFmt numFmtId="165" formatCode="\$#,##0.00"/>
    </dxf>
    <dxf>
      <font>
        <b val="0"/>
        <i val="0"/>
        <strike val="0"/>
        <condense val="0"/>
        <extend val="0"/>
        <outline val="0"/>
        <shadow val="0"/>
        <u val="none"/>
        <vertAlign val="baseline"/>
        <sz val="9"/>
        <color auto="1"/>
        <name val="Arial"/>
        <family val="2"/>
        <scheme val="none"/>
      </font>
      <numFmt numFmtId="165" formatCode="\$#,##0.0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strike val="0"/>
        <outline val="0"/>
        <shadow val="0"/>
        <u val="none"/>
        <vertAlign val="baseline"/>
        <sz val="10"/>
      </font>
      <alignment horizontal="left" vertical="bottom" textRotation="0" wrapText="0" indent="0" justifyLastLine="0" shrinkToFit="0" readingOrder="0"/>
    </dxf>
    <dxf>
      <font>
        <strike val="0"/>
        <outline val="0"/>
        <shadow val="0"/>
        <u val="none"/>
        <vertAlign val="baseline"/>
        <sz val="10"/>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strike val="0"/>
        <outline val="0"/>
        <shadow val="0"/>
        <u val="none"/>
        <vertAlign val="baseline"/>
        <sz val="10"/>
      </font>
      <numFmt numFmtId="0" formatCode="General"/>
      <alignment horizontal="center" vertical="bottom" textRotation="0" wrapText="0" indent="0" justifyLastLine="0" shrinkToFit="0" readingOrder="0"/>
    </dxf>
    <dxf>
      <font>
        <strike val="0"/>
        <outline val="0"/>
        <shadow val="0"/>
        <u val="none"/>
        <vertAlign val="baseline"/>
        <sz val="10"/>
      </font>
      <numFmt numFmtId="165" formatCode="\$#,##0.00"/>
    </dxf>
    <dxf>
      <font>
        <strike val="0"/>
        <outline val="0"/>
        <shadow val="0"/>
        <u val="none"/>
        <vertAlign val="baseline"/>
        <sz val="10"/>
      </font>
      <numFmt numFmtId="165" formatCode="\$#,##0.00"/>
    </dxf>
    <dxf>
      <font>
        <strike val="0"/>
        <outline val="0"/>
        <shadow val="0"/>
        <u val="none"/>
        <vertAlign val="baseline"/>
        <sz val="10"/>
      </font>
      <numFmt numFmtId="0" formatCode="General"/>
    </dxf>
    <dxf>
      <font>
        <strike val="0"/>
        <outline val="0"/>
        <shadow val="0"/>
        <u val="none"/>
        <vertAlign val="baseline"/>
        <sz val="10"/>
      </font>
      <numFmt numFmtId="0" formatCode="General"/>
    </dxf>
    <dxf>
      <font>
        <strike val="0"/>
        <outline val="0"/>
        <shadow val="0"/>
        <u val="none"/>
        <vertAlign val="baseline"/>
        <sz val="10"/>
      </font>
      <numFmt numFmtId="0" formatCode="General"/>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strike val="0"/>
        <outline val="0"/>
        <shadow val="0"/>
        <u val="none"/>
        <vertAlign val="baseline"/>
        <sz val="10"/>
      </font>
      <numFmt numFmtId="0" formatCode="General"/>
      <alignment horizontal="center" vertical="bottom" textRotation="0" wrapText="0" indent="0" justifyLastLine="0" shrinkToFit="0" readingOrder="0"/>
    </dxf>
    <dxf>
      <font>
        <strike val="0"/>
        <outline val="0"/>
        <shadow val="0"/>
        <u val="none"/>
        <vertAlign val="baseline"/>
        <sz val="10"/>
      </font>
      <numFmt numFmtId="0" formatCode="General"/>
      <alignment horizontal="left" vertical="bottom" textRotation="0" wrapText="0" indent="0" justifyLastLine="0" shrinkToFit="0" readingOrder="0"/>
    </dxf>
    <dxf>
      <font>
        <strike val="0"/>
        <outline val="0"/>
        <shadow val="0"/>
        <u val="none"/>
        <vertAlign val="baseline"/>
        <sz val="10"/>
      </font>
    </dxf>
    <dxf>
      <font>
        <strike val="0"/>
        <outline val="0"/>
        <shadow val="0"/>
        <u val="none"/>
        <vertAlign val="baseline"/>
        <sz val="10"/>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4" formatCode="#,##0.00"/>
    </dxf>
    <dxf>
      <numFmt numFmtId="4" formatCode="#,##0.0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indexed="8"/>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0F4BE"/>
      <color rgb="FFE8ED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07/relationships/slicerCache" Target="slicerCaches/slicerCache15.xml"/><Relationship Id="rId68" Type="http://schemas.microsoft.com/office/2007/relationships/slicerCache" Target="slicerCaches/slicerCache20.xml"/><Relationship Id="rId84" Type="http://schemas.microsoft.com/office/2017/06/relationships/rdRichValue" Target="richData/rdrichvalue.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microsoft.com/office/2007/relationships/slicerCache" Target="slicerCaches/slicerCache5.xml"/><Relationship Id="rId58" Type="http://schemas.microsoft.com/office/2007/relationships/slicerCache" Target="slicerCaches/slicerCache10.xml"/><Relationship Id="rId74" Type="http://schemas.microsoft.com/office/2007/relationships/slicerCache" Target="slicerCaches/slicerCache26.xml"/><Relationship Id="rId79" Type="http://schemas.openxmlformats.org/officeDocument/2006/relationships/theme" Target="theme/theme1.xml"/><Relationship Id="rId5" Type="http://schemas.openxmlformats.org/officeDocument/2006/relationships/worksheet" Target="worksheets/sheet5.xml"/><Relationship Id="rId90" Type="http://schemas.microsoft.com/office/2023/09/relationships/Python" Target="pytho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microsoft.com/office/2007/relationships/slicerCache" Target="slicerCaches/slicerCache8.xml"/><Relationship Id="rId64" Type="http://schemas.microsoft.com/office/2007/relationships/slicerCache" Target="slicerCaches/slicerCache16.xml"/><Relationship Id="rId69" Type="http://schemas.microsoft.com/office/2007/relationships/slicerCache" Target="slicerCaches/slicerCache21.xml"/><Relationship Id="rId77" Type="http://schemas.microsoft.com/office/2007/relationships/slicerCache" Target="slicerCaches/slicerCache29.xml"/><Relationship Id="rId8" Type="http://schemas.openxmlformats.org/officeDocument/2006/relationships/worksheet" Target="worksheets/sheet8.xml"/><Relationship Id="rId51" Type="http://schemas.microsoft.com/office/2007/relationships/slicerCache" Target="slicerCaches/slicerCache3.xml"/><Relationship Id="rId72" Type="http://schemas.microsoft.com/office/2007/relationships/slicerCache" Target="slicerCaches/slicerCache24.xml"/><Relationship Id="rId80" Type="http://schemas.openxmlformats.org/officeDocument/2006/relationships/connections" Target="connections.xml"/><Relationship Id="rId85"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11.xml"/><Relationship Id="rId67" Type="http://schemas.microsoft.com/office/2007/relationships/slicerCache" Target="slicerCaches/slicerCache1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6.xml"/><Relationship Id="rId62" Type="http://schemas.microsoft.com/office/2007/relationships/slicerCache" Target="slicerCaches/slicerCache14.xml"/><Relationship Id="rId70" Type="http://schemas.microsoft.com/office/2007/relationships/slicerCache" Target="slicerCaches/slicerCache22.xml"/><Relationship Id="rId75" Type="http://schemas.microsoft.com/office/2007/relationships/slicerCache" Target="slicerCaches/slicerCache27.xml"/><Relationship Id="rId83" Type="http://schemas.openxmlformats.org/officeDocument/2006/relationships/sheetMetadata" Target="metadata.xml"/><Relationship Id="rId88" Type="http://schemas.openxmlformats.org/officeDocument/2006/relationships/calcChain" Target="calcChai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1.xml"/><Relationship Id="rId57" Type="http://schemas.microsoft.com/office/2007/relationships/slicerCache" Target="slicerCaches/slicerCache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microsoft.com/office/2007/relationships/slicerCache" Target="slicerCaches/slicerCache4.xml"/><Relationship Id="rId60" Type="http://schemas.microsoft.com/office/2007/relationships/slicerCache" Target="slicerCaches/slicerCache12.xml"/><Relationship Id="rId65" Type="http://schemas.microsoft.com/office/2007/relationships/slicerCache" Target="slicerCaches/slicerCache17.xml"/><Relationship Id="rId73" Type="http://schemas.microsoft.com/office/2007/relationships/slicerCache" Target="slicerCaches/slicerCache25.xml"/><Relationship Id="rId78" Type="http://schemas.microsoft.com/office/2007/relationships/slicerCache" Target="slicerCaches/slicerCache30.xml"/><Relationship Id="rId81" Type="http://schemas.openxmlformats.org/officeDocument/2006/relationships/styles" Target="styles.xml"/><Relationship Id="rId86"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microsoft.com/office/2007/relationships/slicerCache" Target="slicerCaches/slicerCache2.xml"/><Relationship Id="rId55" Type="http://schemas.microsoft.com/office/2007/relationships/slicerCache" Target="slicerCaches/slicerCache7.xml"/><Relationship Id="rId76" Type="http://schemas.microsoft.com/office/2007/relationships/slicerCache" Target="slicerCaches/slicerCache28.xml"/><Relationship Id="rId7" Type="http://schemas.openxmlformats.org/officeDocument/2006/relationships/worksheet" Target="worksheets/sheet7.xml"/><Relationship Id="rId71" Type="http://schemas.microsoft.com/office/2007/relationships/slicerCache" Target="slicerCaches/slicerCache2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externalLink" Target="externalLinks/externalLink3.xml"/><Relationship Id="rId66" Type="http://schemas.microsoft.com/office/2007/relationships/slicerCache" Target="slicerCaches/slicerCache18.xml"/><Relationship Id="rId87" Type="http://schemas.microsoft.com/office/2022/11/relationships/FeaturePropertyBag" Target="featurePropertyBag/featurePropertyBag.xml"/><Relationship Id="rId61" Type="http://schemas.microsoft.com/office/2007/relationships/slicerCache" Target="slicerCaches/slicerCache13.xml"/><Relationship Id="rId82" Type="http://schemas.openxmlformats.org/officeDocument/2006/relationships/sharedStrings" Target="sharedString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en.wikipedia.org/wiki/File:2010_cent_obverse.png"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590550</xdr:colOff>
      <xdr:row>166</xdr:row>
      <xdr:rowOff>66675</xdr:rowOff>
    </xdr:from>
    <xdr:to>
      <xdr:col>4</xdr:col>
      <xdr:colOff>180975</xdr:colOff>
      <xdr:row>181</xdr:row>
      <xdr:rowOff>19050</xdr:rowOff>
    </xdr:to>
    <xdr:pic>
      <xdr:nvPicPr>
        <xdr:cNvPr id="5" name="Picture 4">
          <a:hlinkClick xmlns:r="http://schemas.openxmlformats.org/officeDocument/2006/relationships" r:id="rId1"/>
          <a:extLst>
            <a:ext uri="{FF2B5EF4-FFF2-40B4-BE49-F238E27FC236}">
              <a16:creationId xmlns:a16="http://schemas.microsoft.com/office/drawing/2014/main" id="{775496AA-FD27-CE7F-7B0C-E21462E5C78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09825" y="41690925"/>
          <a:ext cx="2381250" cy="238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28575</xdr:rowOff>
        </xdr:from>
        <xdr:to>
          <xdr:col>1</xdr:col>
          <xdr:colOff>38100</xdr:colOff>
          <xdr:row>0</xdr:row>
          <xdr:rowOff>247650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876300</xdr:colOff>
          <xdr:row>0</xdr:row>
          <xdr:rowOff>47625</xdr:rowOff>
        </xdr:from>
        <xdr:to>
          <xdr:col>5</xdr:col>
          <xdr:colOff>1657350</xdr:colOff>
          <xdr:row>0</xdr:row>
          <xdr:rowOff>238125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12</xdr:col>
      <xdr:colOff>247650</xdr:colOff>
      <xdr:row>3</xdr:row>
      <xdr:rowOff>38100</xdr:rowOff>
    </xdr:from>
    <xdr:to>
      <xdr:col>15</xdr:col>
      <xdr:colOff>638175</xdr:colOff>
      <xdr:row>16</xdr:row>
      <xdr:rowOff>66675</xdr:rowOff>
    </xdr:to>
    <mc:AlternateContent xmlns:mc="http://schemas.openxmlformats.org/markup-compatibility/2006" xmlns:sle15="http://schemas.microsoft.com/office/drawing/2012/slicer">
      <mc:Choice Requires="sle15">
        <xdr:graphicFrame macro="">
          <xdr:nvGraphicFramePr>
            <xdr:cNvPr id="2" name="Date 5">
              <a:extLst>
                <a:ext uri="{FF2B5EF4-FFF2-40B4-BE49-F238E27FC236}">
                  <a16:creationId xmlns:a16="http://schemas.microsoft.com/office/drawing/2014/main" id="{A17F3783-0621-2D1E-CF5B-A79EE33107BA}"/>
                </a:ext>
              </a:extLst>
            </xdr:cNvPr>
            <xdr:cNvGraphicFramePr/>
          </xdr:nvGraphicFramePr>
          <xdr:xfrm>
            <a:off x="0" y="0"/>
            <a:ext cx="0" cy="0"/>
          </xdr:xfrm>
          <a:graphic>
            <a:graphicData uri="http://schemas.microsoft.com/office/drawing/2010/slicer">
              <sle:slicer xmlns:sle="http://schemas.microsoft.com/office/drawing/2010/slicer" name="Date 5"/>
            </a:graphicData>
          </a:graphic>
        </xdr:graphicFrame>
      </mc:Choice>
      <mc:Fallback xmlns="">
        <xdr:sp macro="" textlink="">
          <xdr:nvSpPr>
            <xdr:cNvPr id="0" name=""/>
            <xdr:cNvSpPr>
              <a:spLocks noTextEdit="1"/>
            </xdr:cNvSpPr>
          </xdr:nvSpPr>
          <xdr:spPr>
            <a:xfrm>
              <a:off x="13668375" y="5810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714375</xdr:colOff>
      <xdr:row>3</xdr:row>
      <xdr:rowOff>76200</xdr:rowOff>
    </xdr:from>
    <xdr:to>
      <xdr:col>18</xdr:col>
      <xdr:colOff>333375</xdr:colOff>
      <xdr:row>11</xdr:row>
      <xdr:rowOff>0</xdr:rowOff>
    </xdr:to>
    <mc:AlternateContent xmlns:mc="http://schemas.openxmlformats.org/markup-compatibility/2006" xmlns:sle15="http://schemas.microsoft.com/office/drawing/2012/slicer">
      <mc:Choice Requires="sle15">
        <xdr:graphicFrame macro="">
          <xdr:nvGraphicFramePr>
            <xdr:cNvPr id="3" name="Mint 5">
              <a:extLst>
                <a:ext uri="{FF2B5EF4-FFF2-40B4-BE49-F238E27FC236}">
                  <a16:creationId xmlns:a16="http://schemas.microsoft.com/office/drawing/2014/main" id="{9A8BC39B-DAF8-0A19-2A75-4B1773224B92}"/>
                </a:ext>
              </a:extLst>
            </xdr:cNvPr>
            <xdr:cNvGraphicFramePr/>
          </xdr:nvGraphicFramePr>
          <xdr:xfrm>
            <a:off x="0" y="0"/>
            <a:ext cx="0" cy="0"/>
          </xdr:xfrm>
          <a:graphic>
            <a:graphicData uri="http://schemas.microsoft.com/office/drawing/2010/slicer">
              <sle:slicer xmlns:sle="http://schemas.microsoft.com/office/drawing/2010/slicer" name="Mint 5"/>
            </a:graphicData>
          </a:graphic>
        </xdr:graphicFrame>
      </mc:Choice>
      <mc:Fallback xmlns="">
        <xdr:sp macro="" textlink="">
          <xdr:nvSpPr>
            <xdr:cNvPr id="0" name=""/>
            <xdr:cNvSpPr>
              <a:spLocks noTextEdit="1"/>
            </xdr:cNvSpPr>
          </xdr:nvSpPr>
          <xdr:spPr>
            <a:xfrm>
              <a:off x="15573375" y="619125"/>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247650</xdr:colOff>
      <xdr:row>16</xdr:row>
      <xdr:rowOff>161925</xdr:rowOff>
    </xdr:from>
    <xdr:to>
      <xdr:col>15</xdr:col>
      <xdr:colOff>638175</xdr:colOff>
      <xdr:row>30</xdr:row>
      <xdr:rowOff>9525</xdr:rowOff>
    </xdr:to>
    <mc:AlternateContent xmlns:mc="http://schemas.openxmlformats.org/markup-compatibility/2006" xmlns:sle15="http://schemas.microsoft.com/office/drawing/2012/slicer">
      <mc:Choice Requires="sle15">
        <xdr:graphicFrame macro="">
          <xdr:nvGraphicFramePr>
            <xdr:cNvPr id="4" name="Serial 3">
              <a:extLst>
                <a:ext uri="{FF2B5EF4-FFF2-40B4-BE49-F238E27FC236}">
                  <a16:creationId xmlns:a16="http://schemas.microsoft.com/office/drawing/2014/main" id="{8BDFBFF0-461A-968C-2B0E-794A99D5FECF}"/>
                </a:ext>
              </a:extLst>
            </xdr:cNvPr>
            <xdr:cNvGraphicFramePr/>
          </xdr:nvGraphicFramePr>
          <xdr:xfrm>
            <a:off x="0" y="0"/>
            <a:ext cx="0" cy="0"/>
          </xdr:xfrm>
          <a:graphic>
            <a:graphicData uri="http://schemas.microsoft.com/office/drawing/2010/slicer">
              <sle:slicer xmlns:sle="http://schemas.microsoft.com/office/drawing/2010/slicer" name="Serial 3"/>
            </a:graphicData>
          </a:graphic>
        </xdr:graphicFrame>
      </mc:Choice>
      <mc:Fallback xmlns="">
        <xdr:sp macro="" textlink="">
          <xdr:nvSpPr>
            <xdr:cNvPr id="0" name=""/>
            <xdr:cNvSpPr>
              <a:spLocks noTextEdit="1"/>
            </xdr:cNvSpPr>
          </xdr:nvSpPr>
          <xdr:spPr>
            <a:xfrm>
              <a:off x="13668375" y="30575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733425</xdr:colOff>
      <xdr:row>11</xdr:row>
      <xdr:rowOff>76200</xdr:rowOff>
    </xdr:from>
    <xdr:to>
      <xdr:col>18</xdr:col>
      <xdr:colOff>352425</xdr:colOff>
      <xdr:row>18</xdr:row>
      <xdr:rowOff>171450</xdr:rowOff>
    </xdr:to>
    <mc:AlternateContent xmlns:mc="http://schemas.openxmlformats.org/markup-compatibility/2006" xmlns:sle15="http://schemas.microsoft.com/office/drawing/2012/slicer">
      <mc:Choice Requires="sle15">
        <xdr:graphicFrame macro="">
          <xdr:nvGraphicFramePr>
            <xdr:cNvPr id="5" name="Description 3">
              <a:extLst>
                <a:ext uri="{FF2B5EF4-FFF2-40B4-BE49-F238E27FC236}">
                  <a16:creationId xmlns:a16="http://schemas.microsoft.com/office/drawing/2014/main" id="{37BF4710-FB22-9BDF-3983-29A8B221BEE4}"/>
                </a:ext>
              </a:extLst>
            </xdr:cNvPr>
            <xdr:cNvGraphicFramePr/>
          </xdr:nvGraphicFramePr>
          <xdr:xfrm>
            <a:off x="0" y="0"/>
            <a:ext cx="0" cy="0"/>
          </xdr:xfrm>
          <a:graphic>
            <a:graphicData uri="http://schemas.microsoft.com/office/drawing/2010/slicer">
              <sle:slicer xmlns:sle="http://schemas.microsoft.com/office/drawing/2010/slicer" name="Description 3"/>
            </a:graphicData>
          </a:graphic>
        </xdr:graphicFrame>
      </mc:Choice>
      <mc:Fallback xmlns="">
        <xdr:sp macro="" textlink="">
          <xdr:nvSpPr>
            <xdr:cNvPr id="0" name=""/>
            <xdr:cNvSpPr>
              <a:spLocks noTextEdit="1"/>
            </xdr:cNvSpPr>
          </xdr:nvSpPr>
          <xdr:spPr>
            <a:xfrm>
              <a:off x="15592425" y="2066925"/>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247650</xdr:colOff>
      <xdr:row>30</xdr:row>
      <xdr:rowOff>57150</xdr:rowOff>
    </xdr:from>
    <xdr:to>
      <xdr:col>15</xdr:col>
      <xdr:colOff>638175</xdr:colOff>
      <xdr:row>43</xdr:row>
      <xdr:rowOff>85725</xdr:rowOff>
    </xdr:to>
    <mc:AlternateContent xmlns:mc="http://schemas.openxmlformats.org/markup-compatibility/2006" xmlns:sle15="http://schemas.microsoft.com/office/drawing/2012/slicer">
      <mc:Choice Requires="sle15">
        <xdr:graphicFrame macro="">
          <xdr:nvGraphicFramePr>
            <xdr:cNvPr id="6" name="Condition 5">
              <a:extLst>
                <a:ext uri="{FF2B5EF4-FFF2-40B4-BE49-F238E27FC236}">
                  <a16:creationId xmlns:a16="http://schemas.microsoft.com/office/drawing/2014/main" id="{9513118A-1185-3E60-C2AA-0918BBACECF6}"/>
                </a:ext>
              </a:extLst>
            </xdr:cNvPr>
            <xdr:cNvGraphicFramePr/>
          </xdr:nvGraphicFramePr>
          <xdr:xfrm>
            <a:off x="0" y="0"/>
            <a:ext cx="0" cy="0"/>
          </xdr:xfrm>
          <a:graphic>
            <a:graphicData uri="http://schemas.microsoft.com/office/drawing/2010/slicer">
              <sle:slicer xmlns:sle="http://schemas.microsoft.com/office/drawing/2010/slicer" name="Condition 5"/>
            </a:graphicData>
          </a:graphic>
        </xdr:graphicFrame>
      </mc:Choice>
      <mc:Fallback xmlns="">
        <xdr:sp macro="" textlink="">
          <xdr:nvSpPr>
            <xdr:cNvPr id="0" name=""/>
            <xdr:cNvSpPr>
              <a:spLocks noTextEdit="1"/>
            </xdr:cNvSpPr>
          </xdr:nvSpPr>
          <xdr:spPr>
            <a:xfrm>
              <a:off x="13668375" y="548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733425</xdr:colOff>
      <xdr:row>19</xdr:row>
      <xdr:rowOff>66675</xdr:rowOff>
    </xdr:from>
    <xdr:to>
      <xdr:col>18</xdr:col>
      <xdr:colOff>352425</xdr:colOff>
      <xdr:row>32</xdr:row>
      <xdr:rowOff>95250</xdr:rowOff>
    </xdr:to>
    <mc:AlternateContent xmlns:mc="http://schemas.openxmlformats.org/markup-compatibility/2006" xmlns:sle15="http://schemas.microsoft.com/office/drawing/2012/slicer">
      <mc:Choice Requires="sle15">
        <xdr:graphicFrame macro="">
          <xdr:nvGraphicFramePr>
            <xdr:cNvPr id="7" name="Comments 1">
              <a:extLst>
                <a:ext uri="{FF2B5EF4-FFF2-40B4-BE49-F238E27FC236}">
                  <a16:creationId xmlns:a16="http://schemas.microsoft.com/office/drawing/2014/main" id="{CAFAD939-7174-9285-8DB6-DA3E8196EAA2}"/>
                </a:ext>
              </a:extLst>
            </xdr:cNvPr>
            <xdr:cNvGraphicFramePr/>
          </xdr:nvGraphicFramePr>
          <xdr:xfrm>
            <a:off x="0" y="0"/>
            <a:ext cx="0" cy="0"/>
          </xdr:xfrm>
          <a:graphic>
            <a:graphicData uri="http://schemas.microsoft.com/office/drawing/2010/slicer">
              <sle:slicer xmlns:sle="http://schemas.microsoft.com/office/drawing/2010/slicer" name="Comments 1"/>
            </a:graphicData>
          </a:graphic>
        </xdr:graphicFrame>
      </mc:Choice>
      <mc:Fallback xmlns="">
        <xdr:sp macro="" textlink="">
          <xdr:nvSpPr>
            <xdr:cNvPr id="0" name=""/>
            <xdr:cNvSpPr>
              <a:spLocks noTextEdit="1"/>
            </xdr:cNvSpPr>
          </xdr:nvSpPr>
          <xdr:spPr>
            <a:xfrm>
              <a:off x="15592425" y="35052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257175</xdr:colOff>
      <xdr:row>44</xdr:row>
      <xdr:rowOff>9525</xdr:rowOff>
    </xdr:from>
    <xdr:to>
      <xdr:col>15</xdr:col>
      <xdr:colOff>647700</xdr:colOff>
      <xdr:row>57</xdr:row>
      <xdr:rowOff>38100</xdr:rowOff>
    </xdr:to>
    <mc:AlternateContent xmlns:mc="http://schemas.openxmlformats.org/markup-compatibility/2006" xmlns:sle15="http://schemas.microsoft.com/office/drawing/2012/slicer">
      <mc:Choice Requires="sle15">
        <xdr:graphicFrame macro="">
          <xdr:nvGraphicFramePr>
            <xdr:cNvPr id="8" name="Photo Front ">
              <a:extLst>
                <a:ext uri="{FF2B5EF4-FFF2-40B4-BE49-F238E27FC236}">
                  <a16:creationId xmlns:a16="http://schemas.microsoft.com/office/drawing/2014/main" id="{51C450B9-287E-5E17-12A8-FDAB359EBFA6}"/>
                </a:ext>
              </a:extLst>
            </xdr:cNvPr>
            <xdr:cNvGraphicFramePr/>
          </xdr:nvGraphicFramePr>
          <xdr:xfrm>
            <a:off x="0" y="0"/>
            <a:ext cx="0" cy="0"/>
          </xdr:xfrm>
          <a:graphic>
            <a:graphicData uri="http://schemas.microsoft.com/office/drawing/2010/slicer">
              <sle:slicer xmlns:sle="http://schemas.microsoft.com/office/drawing/2010/slicer" name="Photo Front "/>
            </a:graphicData>
          </a:graphic>
        </xdr:graphicFrame>
      </mc:Choice>
      <mc:Fallback xmlns="">
        <xdr:sp macro="" textlink="">
          <xdr:nvSpPr>
            <xdr:cNvPr id="0" name=""/>
            <xdr:cNvSpPr>
              <a:spLocks noTextEdit="1"/>
            </xdr:cNvSpPr>
          </xdr:nvSpPr>
          <xdr:spPr>
            <a:xfrm>
              <a:off x="13677900" y="79724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752475</xdr:colOff>
      <xdr:row>44</xdr:row>
      <xdr:rowOff>0</xdr:rowOff>
    </xdr:from>
    <xdr:to>
      <xdr:col>18</xdr:col>
      <xdr:colOff>371475</xdr:colOff>
      <xdr:row>57</xdr:row>
      <xdr:rowOff>28575</xdr:rowOff>
    </xdr:to>
    <mc:AlternateContent xmlns:mc="http://schemas.openxmlformats.org/markup-compatibility/2006" xmlns:sle15="http://schemas.microsoft.com/office/drawing/2012/slicer">
      <mc:Choice Requires="sle15">
        <xdr:graphicFrame macro="">
          <xdr:nvGraphicFramePr>
            <xdr:cNvPr id="9" name="Photo Bacl">
              <a:extLst>
                <a:ext uri="{FF2B5EF4-FFF2-40B4-BE49-F238E27FC236}">
                  <a16:creationId xmlns:a16="http://schemas.microsoft.com/office/drawing/2014/main" id="{E6B54D9D-0CB7-1674-E398-49098A7EE6CA}"/>
                </a:ext>
              </a:extLst>
            </xdr:cNvPr>
            <xdr:cNvGraphicFramePr/>
          </xdr:nvGraphicFramePr>
          <xdr:xfrm>
            <a:off x="0" y="0"/>
            <a:ext cx="0" cy="0"/>
          </xdr:xfrm>
          <a:graphic>
            <a:graphicData uri="http://schemas.microsoft.com/office/drawing/2010/slicer">
              <sle:slicer xmlns:sle="http://schemas.microsoft.com/office/drawing/2010/slicer" name="Photo Bacl"/>
            </a:graphicData>
          </a:graphic>
        </xdr:graphicFrame>
      </mc:Choice>
      <mc:Fallback xmlns="">
        <xdr:sp macro="" textlink="">
          <xdr:nvSpPr>
            <xdr:cNvPr id="0" name=""/>
            <xdr:cNvSpPr>
              <a:spLocks noTextEdit="1"/>
            </xdr:cNvSpPr>
          </xdr:nvSpPr>
          <xdr:spPr>
            <a:xfrm>
              <a:off x="15611475" y="79629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9</xdr:col>
      <xdr:colOff>419100</xdr:colOff>
      <xdr:row>3</xdr:row>
      <xdr:rowOff>90488</xdr:rowOff>
    </xdr:from>
    <xdr:to>
      <xdr:col>12</xdr:col>
      <xdr:colOff>361950</xdr:colOff>
      <xdr:row>17</xdr:row>
      <xdr:rowOff>80963</xdr:rowOff>
    </xdr:to>
    <mc:AlternateContent xmlns:mc="http://schemas.openxmlformats.org/markup-compatibility/2006" xmlns:sle15="http://schemas.microsoft.com/office/drawing/2012/slicer">
      <mc:Choice Requires="sle15">
        <xdr:graphicFrame macro="">
          <xdr:nvGraphicFramePr>
            <xdr:cNvPr id="2" name="Date 1">
              <a:extLst>
                <a:ext uri="{FF2B5EF4-FFF2-40B4-BE49-F238E27FC236}">
                  <a16:creationId xmlns:a16="http://schemas.microsoft.com/office/drawing/2014/main" id="{46A20978-A486-4B4E-9678-03AB9F08FC4D}"/>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7200900" y="661988"/>
              <a:ext cx="1714500" cy="2657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414337</xdr:colOff>
      <xdr:row>3</xdr:row>
      <xdr:rowOff>80962</xdr:rowOff>
    </xdr:from>
    <xdr:to>
      <xdr:col>15</xdr:col>
      <xdr:colOff>304800</xdr:colOff>
      <xdr:row>10</xdr:row>
      <xdr:rowOff>33338</xdr:rowOff>
    </xdr:to>
    <mc:AlternateContent xmlns:mc="http://schemas.openxmlformats.org/markup-compatibility/2006" xmlns:sle15="http://schemas.microsoft.com/office/drawing/2012/slicer">
      <mc:Choice Requires="sle15">
        <xdr:graphicFrame macro="">
          <xdr:nvGraphicFramePr>
            <xdr:cNvPr id="3" name="Mint 1">
              <a:extLst>
                <a:ext uri="{FF2B5EF4-FFF2-40B4-BE49-F238E27FC236}">
                  <a16:creationId xmlns:a16="http://schemas.microsoft.com/office/drawing/2014/main" id="{C2ED7C0E-BBF6-4F14-A0B4-03F99CA8010B}"/>
                </a:ext>
              </a:extLst>
            </xdr:cNvPr>
            <xdr:cNvGraphicFramePr/>
          </xdr:nvGraphicFramePr>
          <xdr:xfrm>
            <a:off x="0" y="0"/>
            <a:ext cx="0" cy="0"/>
          </xdr:xfrm>
          <a:graphic>
            <a:graphicData uri="http://schemas.microsoft.com/office/drawing/2010/slicer">
              <sle:slicer xmlns:sle="http://schemas.microsoft.com/office/drawing/2010/slicer" name="Mint 1"/>
            </a:graphicData>
          </a:graphic>
        </xdr:graphicFrame>
      </mc:Choice>
      <mc:Fallback xmlns="">
        <xdr:sp macro="" textlink="">
          <xdr:nvSpPr>
            <xdr:cNvPr id="0" name=""/>
            <xdr:cNvSpPr>
              <a:spLocks noTextEdit="1"/>
            </xdr:cNvSpPr>
          </xdr:nvSpPr>
          <xdr:spPr>
            <a:xfrm>
              <a:off x="8967787" y="652462"/>
              <a:ext cx="1671638" cy="128587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419099</xdr:colOff>
      <xdr:row>17</xdr:row>
      <xdr:rowOff>66675</xdr:rowOff>
    </xdr:from>
    <xdr:to>
      <xdr:col>12</xdr:col>
      <xdr:colOff>361949</xdr:colOff>
      <xdr:row>31</xdr:row>
      <xdr:rowOff>57150</xdr:rowOff>
    </xdr:to>
    <mc:AlternateContent xmlns:mc="http://schemas.openxmlformats.org/markup-compatibility/2006" xmlns:sle15="http://schemas.microsoft.com/office/drawing/2012/slicer">
      <mc:Choice Requires="sle15">
        <xdr:graphicFrame macro="">
          <xdr:nvGraphicFramePr>
            <xdr:cNvPr id="4" name="Serial 1">
              <a:extLst>
                <a:ext uri="{FF2B5EF4-FFF2-40B4-BE49-F238E27FC236}">
                  <a16:creationId xmlns:a16="http://schemas.microsoft.com/office/drawing/2014/main" id="{B6670BC6-7BC2-446E-B702-3979FD8F39C2}"/>
                </a:ext>
              </a:extLst>
            </xdr:cNvPr>
            <xdr:cNvGraphicFramePr/>
          </xdr:nvGraphicFramePr>
          <xdr:xfrm>
            <a:off x="0" y="0"/>
            <a:ext cx="0" cy="0"/>
          </xdr:xfrm>
          <a:graphic>
            <a:graphicData uri="http://schemas.microsoft.com/office/drawing/2010/slicer">
              <sle:slicer xmlns:sle="http://schemas.microsoft.com/office/drawing/2010/slicer" name="Serial 1"/>
            </a:graphicData>
          </a:graphic>
        </xdr:graphicFrame>
      </mc:Choice>
      <mc:Fallback xmlns="">
        <xdr:sp macro="" textlink="">
          <xdr:nvSpPr>
            <xdr:cNvPr id="0" name=""/>
            <xdr:cNvSpPr>
              <a:spLocks noTextEdit="1"/>
            </xdr:cNvSpPr>
          </xdr:nvSpPr>
          <xdr:spPr>
            <a:xfrm>
              <a:off x="7200899" y="3305175"/>
              <a:ext cx="1714500" cy="2657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400050</xdr:colOff>
      <xdr:row>10</xdr:row>
      <xdr:rowOff>52389</xdr:rowOff>
    </xdr:from>
    <xdr:to>
      <xdr:col>15</xdr:col>
      <xdr:colOff>290513</xdr:colOff>
      <xdr:row>15</xdr:row>
      <xdr:rowOff>95252</xdr:rowOff>
    </xdr:to>
    <mc:AlternateContent xmlns:mc="http://schemas.openxmlformats.org/markup-compatibility/2006" xmlns:sle15="http://schemas.microsoft.com/office/drawing/2012/slicer">
      <mc:Choice Requires="sle15">
        <xdr:graphicFrame macro="">
          <xdr:nvGraphicFramePr>
            <xdr:cNvPr id="5" name="Description">
              <a:extLst>
                <a:ext uri="{FF2B5EF4-FFF2-40B4-BE49-F238E27FC236}">
                  <a16:creationId xmlns:a16="http://schemas.microsoft.com/office/drawing/2014/main" id="{92F2B7EB-D87D-4038-9C14-5F4D6D892387}"/>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8953500" y="1957389"/>
              <a:ext cx="1671638" cy="99536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395287</xdr:colOff>
      <xdr:row>15</xdr:row>
      <xdr:rowOff>133350</xdr:rowOff>
    </xdr:from>
    <xdr:to>
      <xdr:col>15</xdr:col>
      <xdr:colOff>319087</xdr:colOff>
      <xdr:row>29</xdr:row>
      <xdr:rowOff>123825</xdr:rowOff>
    </xdr:to>
    <mc:AlternateContent xmlns:mc="http://schemas.openxmlformats.org/markup-compatibility/2006" xmlns:sle15="http://schemas.microsoft.com/office/drawing/2012/slicer">
      <mc:Choice Requires="sle15">
        <xdr:graphicFrame macro="">
          <xdr:nvGraphicFramePr>
            <xdr:cNvPr id="6" name="Condition 1">
              <a:extLst>
                <a:ext uri="{FF2B5EF4-FFF2-40B4-BE49-F238E27FC236}">
                  <a16:creationId xmlns:a16="http://schemas.microsoft.com/office/drawing/2014/main" id="{E605147D-CECD-4D82-99BD-ACE710BB186C}"/>
                </a:ext>
              </a:extLst>
            </xdr:cNvPr>
            <xdr:cNvGraphicFramePr/>
          </xdr:nvGraphicFramePr>
          <xdr:xfrm>
            <a:off x="0" y="0"/>
            <a:ext cx="0" cy="0"/>
          </xdr:xfrm>
          <a:graphic>
            <a:graphicData uri="http://schemas.microsoft.com/office/drawing/2010/slicer">
              <sle:slicer xmlns:sle="http://schemas.microsoft.com/office/drawing/2010/slicer" name="Condition 1"/>
            </a:graphicData>
          </a:graphic>
        </xdr:graphicFrame>
      </mc:Choice>
      <mc:Fallback xmlns="">
        <xdr:sp macro="" textlink="">
          <xdr:nvSpPr>
            <xdr:cNvPr id="0" name=""/>
            <xdr:cNvSpPr>
              <a:spLocks noTextEdit="1"/>
            </xdr:cNvSpPr>
          </xdr:nvSpPr>
          <xdr:spPr>
            <a:xfrm>
              <a:off x="8948737" y="2990850"/>
              <a:ext cx="1704975" cy="2657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460375</xdr:colOff>
      <xdr:row>28</xdr:row>
      <xdr:rowOff>6350</xdr:rowOff>
    </xdr:from>
    <xdr:to>
      <xdr:col>18</xdr:col>
      <xdr:colOff>82550</xdr:colOff>
      <xdr:row>42</xdr:row>
      <xdr:rowOff>12700</xdr:rowOff>
    </xdr:to>
    <mc:AlternateContent xmlns:mc="http://schemas.openxmlformats.org/markup-compatibility/2006" xmlns:sle15="http://schemas.microsoft.com/office/drawing/2012/slicer">
      <mc:Choice Requires="sle15">
        <xdr:graphicFrame macro="">
          <xdr:nvGraphicFramePr>
            <xdr:cNvPr id="2" name="Date 2">
              <a:extLst>
                <a:ext uri="{FF2B5EF4-FFF2-40B4-BE49-F238E27FC236}">
                  <a16:creationId xmlns:a16="http://schemas.microsoft.com/office/drawing/2014/main" id="{99F319B4-6738-471F-B4FE-F80900EC0B7D}"/>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14014450" y="4540250"/>
              <a:ext cx="1984375" cy="2273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250825</xdr:colOff>
      <xdr:row>1</xdr:row>
      <xdr:rowOff>111126</xdr:rowOff>
    </xdr:from>
    <xdr:to>
      <xdr:col>15</xdr:col>
      <xdr:colOff>333375</xdr:colOff>
      <xdr:row>10</xdr:row>
      <xdr:rowOff>38101</xdr:rowOff>
    </xdr:to>
    <mc:AlternateContent xmlns:mc="http://schemas.openxmlformats.org/markup-compatibility/2006" xmlns:sle15="http://schemas.microsoft.com/office/drawing/2012/slicer">
      <mc:Choice Requires="sle15">
        <xdr:graphicFrame macro="">
          <xdr:nvGraphicFramePr>
            <xdr:cNvPr id="3" name="Mint 2">
              <a:extLst>
                <a:ext uri="{FF2B5EF4-FFF2-40B4-BE49-F238E27FC236}">
                  <a16:creationId xmlns:a16="http://schemas.microsoft.com/office/drawing/2014/main" id="{A89BDDD7-D75A-4199-85E9-37B120974735}"/>
                </a:ext>
              </a:extLst>
            </xdr:cNvPr>
            <xdr:cNvGraphicFramePr/>
          </xdr:nvGraphicFramePr>
          <xdr:xfrm>
            <a:off x="0" y="0"/>
            <a:ext cx="0" cy="0"/>
          </xdr:xfrm>
          <a:graphic>
            <a:graphicData uri="http://schemas.microsoft.com/office/drawing/2010/slicer">
              <sle:slicer xmlns:sle="http://schemas.microsoft.com/office/drawing/2010/slicer" name="Mint 2"/>
            </a:graphicData>
          </a:graphic>
        </xdr:graphicFrame>
      </mc:Choice>
      <mc:Fallback xmlns="">
        <xdr:sp macro="" textlink="">
          <xdr:nvSpPr>
            <xdr:cNvPr id="0" name=""/>
            <xdr:cNvSpPr>
              <a:spLocks noTextEdit="1"/>
            </xdr:cNvSpPr>
          </xdr:nvSpPr>
          <xdr:spPr>
            <a:xfrm>
              <a:off x="12623800" y="273051"/>
              <a:ext cx="1854200" cy="1384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365125</xdr:colOff>
      <xdr:row>22</xdr:row>
      <xdr:rowOff>127000</xdr:rowOff>
    </xdr:from>
    <xdr:to>
      <xdr:col>14</xdr:col>
      <xdr:colOff>390525</xdr:colOff>
      <xdr:row>36</xdr:row>
      <xdr:rowOff>133350</xdr:rowOff>
    </xdr:to>
    <mc:AlternateContent xmlns:mc="http://schemas.openxmlformats.org/markup-compatibility/2006" xmlns:sle15="http://schemas.microsoft.com/office/drawing/2012/slicer">
      <mc:Choice Requires="sle15">
        <xdr:graphicFrame macro="">
          <xdr:nvGraphicFramePr>
            <xdr:cNvPr id="4" name="Number">
              <a:extLst>
                <a:ext uri="{FF2B5EF4-FFF2-40B4-BE49-F238E27FC236}">
                  <a16:creationId xmlns:a16="http://schemas.microsoft.com/office/drawing/2014/main" id="{9C92CFCC-B35F-4273-B68E-E29F4E8F4B5A}"/>
                </a:ext>
              </a:extLst>
            </xdr:cNvPr>
            <xdr:cNvGraphicFramePr/>
          </xdr:nvGraphicFramePr>
          <xdr:xfrm>
            <a:off x="0" y="0"/>
            <a:ext cx="0" cy="0"/>
          </xdr:xfrm>
          <a:graphic>
            <a:graphicData uri="http://schemas.microsoft.com/office/drawing/2010/slicer">
              <sle:slicer xmlns:sle="http://schemas.microsoft.com/office/drawing/2010/slicer" name="Number"/>
            </a:graphicData>
          </a:graphic>
        </xdr:graphicFrame>
      </mc:Choice>
      <mc:Fallback xmlns="">
        <xdr:sp macro="" textlink="">
          <xdr:nvSpPr>
            <xdr:cNvPr id="0" name=""/>
            <xdr:cNvSpPr>
              <a:spLocks noTextEdit="1"/>
            </xdr:cNvSpPr>
          </xdr:nvSpPr>
          <xdr:spPr>
            <a:xfrm>
              <a:off x="12138025" y="3689350"/>
              <a:ext cx="1806575" cy="2273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1231899</xdr:colOff>
      <xdr:row>4</xdr:row>
      <xdr:rowOff>146050</xdr:rowOff>
    </xdr:from>
    <xdr:to>
      <xdr:col>20</xdr:col>
      <xdr:colOff>555624</xdr:colOff>
      <xdr:row>18</xdr:row>
      <xdr:rowOff>152400</xdr:rowOff>
    </xdr:to>
    <mc:AlternateContent xmlns:mc="http://schemas.openxmlformats.org/markup-compatibility/2006" xmlns:sle15="http://schemas.microsoft.com/office/drawing/2012/slicer">
      <mc:Choice Requires="sle15">
        <xdr:graphicFrame macro="">
          <xdr:nvGraphicFramePr>
            <xdr:cNvPr id="5" name="Description 1">
              <a:extLst>
                <a:ext uri="{FF2B5EF4-FFF2-40B4-BE49-F238E27FC236}">
                  <a16:creationId xmlns:a16="http://schemas.microsoft.com/office/drawing/2014/main" id="{B8FE98F4-AFED-4418-9D44-E4B11B5D1D5F}"/>
                </a:ext>
              </a:extLst>
            </xdr:cNvPr>
            <xdr:cNvGraphicFramePr/>
          </xdr:nvGraphicFramePr>
          <xdr:xfrm>
            <a:off x="0" y="0"/>
            <a:ext cx="0" cy="0"/>
          </xdr:xfrm>
          <a:graphic>
            <a:graphicData uri="http://schemas.microsoft.com/office/drawing/2010/slicer">
              <sle:slicer xmlns:sle="http://schemas.microsoft.com/office/drawing/2010/slicer" name="Description 1"/>
            </a:graphicData>
          </a:graphic>
        </xdr:graphicFrame>
      </mc:Choice>
      <mc:Fallback xmlns="">
        <xdr:sp macro="" textlink="">
          <xdr:nvSpPr>
            <xdr:cNvPr id="0" name=""/>
            <xdr:cNvSpPr>
              <a:spLocks noTextEdit="1"/>
            </xdr:cNvSpPr>
          </xdr:nvSpPr>
          <xdr:spPr>
            <a:xfrm>
              <a:off x="17148174" y="793750"/>
              <a:ext cx="2352675" cy="2273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288925</xdr:colOff>
      <xdr:row>11</xdr:row>
      <xdr:rowOff>15875</xdr:rowOff>
    </xdr:from>
    <xdr:to>
      <xdr:col>15</xdr:col>
      <xdr:colOff>323850</xdr:colOff>
      <xdr:row>22</xdr:row>
      <xdr:rowOff>152400</xdr:rowOff>
    </xdr:to>
    <mc:AlternateContent xmlns:mc="http://schemas.openxmlformats.org/markup-compatibility/2006" xmlns:sle15="http://schemas.microsoft.com/office/drawing/2012/slicer">
      <mc:Choice Requires="sle15">
        <xdr:graphicFrame macro="">
          <xdr:nvGraphicFramePr>
            <xdr:cNvPr id="6" name="Condition 2">
              <a:extLst>
                <a:ext uri="{FF2B5EF4-FFF2-40B4-BE49-F238E27FC236}">
                  <a16:creationId xmlns:a16="http://schemas.microsoft.com/office/drawing/2014/main" id="{B820156F-92F1-43F7-9967-8D661C6CA771}"/>
                </a:ext>
              </a:extLst>
            </xdr:cNvPr>
            <xdr:cNvGraphicFramePr/>
          </xdr:nvGraphicFramePr>
          <xdr:xfrm>
            <a:off x="0" y="0"/>
            <a:ext cx="0" cy="0"/>
          </xdr:xfrm>
          <a:graphic>
            <a:graphicData uri="http://schemas.microsoft.com/office/drawing/2010/slicer">
              <sle:slicer xmlns:sle="http://schemas.microsoft.com/office/drawing/2010/slicer" name="Condition 2"/>
            </a:graphicData>
          </a:graphic>
        </xdr:graphicFrame>
      </mc:Choice>
      <mc:Fallback xmlns="">
        <xdr:sp macro="" textlink="">
          <xdr:nvSpPr>
            <xdr:cNvPr id="0" name=""/>
            <xdr:cNvSpPr>
              <a:spLocks noTextEdit="1"/>
            </xdr:cNvSpPr>
          </xdr:nvSpPr>
          <xdr:spPr>
            <a:xfrm>
              <a:off x="12661900" y="1797050"/>
              <a:ext cx="1806575" cy="19177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200025</xdr:colOff>
      <xdr:row>2</xdr:row>
      <xdr:rowOff>209550</xdr:rowOff>
    </xdr:from>
    <xdr:to>
      <xdr:col>11</xdr:col>
      <xdr:colOff>962025</xdr:colOff>
      <xdr:row>16</xdr:row>
      <xdr:rowOff>142875</xdr:rowOff>
    </xdr:to>
    <mc:AlternateContent xmlns:mc="http://schemas.openxmlformats.org/markup-compatibility/2006" xmlns:sle15="http://schemas.microsoft.com/office/drawing/2012/slicer">
      <mc:Choice Requires="sle15">
        <xdr:graphicFrame macro="">
          <xdr:nvGraphicFramePr>
            <xdr:cNvPr id="8" name="DATE 4">
              <a:extLst>
                <a:ext uri="{FF2B5EF4-FFF2-40B4-BE49-F238E27FC236}">
                  <a16:creationId xmlns:a16="http://schemas.microsoft.com/office/drawing/2014/main" id="{E7505542-209D-C772-8DC4-FCF56E6D1CFF}"/>
                </a:ext>
              </a:extLst>
            </xdr:cNvPr>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0" name=""/>
            <xdr:cNvSpPr>
              <a:spLocks noTextEdit="1"/>
            </xdr:cNvSpPr>
          </xdr:nvSpPr>
          <xdr:spPr>
            <a:xfrm>
              <a:off x="8829675" y="7239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1076325</xdr:colOff>
      <xdr:row>2</xdr:row>
      <xdr:rowOff>209550</xdr:rowOff>
    </xdr:from>
    <xdr:to>
      <xdr:col>14</xdr:col>
      <xdr:colOff>180975</xdr:colOff>
      <xdr:row>10</xdr:row>
      <xdr:rowOff>66675</xdr:rowOff>
    </xdr:to>
    <mc:AlternateContent xmlns:mc="http://schemas.openxmlformats.org/markup-compatibility/2006" xmlns:sle15="http://schemas.microsoft.com/office/drawing/2012/slicer">
      <mc:Choice Requires="sle15">
        <xdr:graphicFrame macro="">
          <xdr:nvGraphicFramePr>
            <xdr:cNvPr id="9" name="MINT 4">
              <a:extLst>
                <a:ext uri="{FF2B5EF4-FFF2-40B4-BE49-F238E27FC236}">
                  <a16:creationId xmlns:a16="http://schemas.microsoft.com/office/drawing/2014/main" id="{CB382D82-5537-BE3D-0359-0F7B7A92C589}"/>
                </a:ext>
              </a:extLst>
            </xdr:cNvPr>
            <xdr:cNvGraphicFramePr/>
          </xdr:nvGraphicFramePr>
          <xdr:xfrm>
            <a:off x="0" y="0"/>
            <a:ext cx="0" cy="0"/>
          </xdr:xfrm>
          <a:graphic>
            <a:graphicData uri="http://schemas.microsoft.com/office/drawing/2010/slicer">
              <sle:slicer xmlns:sle="http://schemas.microsoft.com/office/drawing/2010/slicer" name="MINT 4"/>
            </a:graphicData>
          </a:graphic>
        </xdr:graphicFrame>
      </mc:Choice>
      <mc:Fallback xmlns="">
        <xdr:sp macro="" textlink="">
          <xdr:nvSpPr>
            <xdr:cNvPr id="0" name=""/>
            <xdr:cNvSpPr>
              <a:spLocks noTextEdit="1"/>
            </xdr:cNvSpPr>
          </xdr:nvSpPr>
          <xdr:spPr>
            <a:xfrm>
              <a:off x="10772775" y="723900"/>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180975</xdr:colOff>
      <xdr:row>17</xdr:row>
      <xdr:rowOff>66675</xdr:rowOff>
    </xdr:from>
    <xdr:to>
      <xdr:col>11</xdr:col>
      <xdr:colOff>942975</xdr:colOff>
      <xdr:row>32</xdr:row>
      <xdr:rowOff>19050</xdr:rowOff>
    </xdr:to>
    <mc:AlternateContent xmlns:mc="http://schemas.openxmlformats.org/markup-compatibility/2006" xmlns:sle15="http://schemas.microsoft.com/office/drawing/2012/slicer">
      <mc:Choice Requires="sle15">
        <xdr:graphicFrame macro="">
          <xdr:nvGraphicFramePr>
            <xdr:cNvPr id="10" name="ID#">
              <a:extLst>
                <a:ext uri="{FF2B5EF4-FFF2-40B4-BE49-F238E27FC236}">
                  <a16:creationId xmlns:a16="http://schemas.microsoft.com/office/drawing/2014/main" id="{8F8D548A-824A-BE29-3402-3A15B53783C6}"/>
                </a:ext>
              </a:extLst>
            </xdr:cNvPr>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mlns="">
        <xdr:sp macro="" textlink="">
          <xdr:nvSpPr>
            <xdr:cNvPr id="0" name=""/>
            <xdr:cNvSpPr>
              <a:spLocks noTextEdit="1"/>
            </xdr:cNvSpPr>
          </xdr:nvSpPr>
          <xdr:spPr>
            <a:xfrm>
              <a:off x="8810625" y="319087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1085850</xdr:colOff>
      <xdr:row>10</xdr:row>
      <xdr:rowOff>95250</xdr:rowOff>
    </xdr:from>
    <xdr:to>
      <xdr:col>14</xdr:col>
      <xdr:colOff>190500</xdr:colOff>
      <xdr:row>18</xdr:row>
      <xdr:rowOff>0</xdr:rowOff>
    </xdr:to>
    <mc:AlternateContent xmlns:mc="http://schemas.openxmlformats.org/markup-compatibility/2006" xmlns:sle15="http://schemas.microsoft.com/office/drawing/2012/slicer">
      <mc:Choice Requires="sle15">
        <xdr:graphicFrame macro="">
          <xdr:nvGraphicFramePr>
            <xdr:cNvPr id="11" name="DESC 1">
              <a:extLst>
                <a:ext uri="{FF2B5EF4-FFF2-40B4-BE49-F238E27FC236}">
                  <a16:creationId xmlns:a16="http://schemas.microsoft.com/office/drawing/2014/main" id="{C70C3BFA-8F43-93CD-375C-6258D5C0967F}"/>
                </a:ext>
              </a:extLst>
            </xdr:cNvPr>
            <xdr:cNvGraphicFramePr/>
          </xdr:nvGraphicFramePr>
          <xdr:xfrm>
            <a:off x="0" y="0"/>
            <a:ext cx="0" cy="0"/>
          </xdr:xfrm>
          <a:graphic>
            <a:graphicData uri="http://schemas.microsoft.com/office/drawing/2010/slicer">
              <sle:slicer xmlns:sle="http://schemas.microsoft.com/office/drawing/2010/slicer" name="DESC 1"/>
            </a:graphicData>
          </a:graphic>
        </xdr:graphicFrame>
      </mc:Choice>
      <mc:Fallback xmlns="">
        <xdr:sp macro="" textlink="">
          <xdr:nvSpPr>
            <xdr:cNvPr id="0" name=""/>
            <xdr:cNvSpPr>
              <a:spLocks noTextEdit="1"/>
            </xdr:cNvSpPr>
          </xdr:nvSpPr>
          <xdr:spPr>
            <a:xfrm>
              <a:off x="10782300" y="2085975"/>
              <a:ext cx="1828800" cy="1200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1085850</xdr:colOff>
      <xdr:row>18</xdr:row>
      <xdr:rowOff>19050</xdr:rowOff>
    </xdr:from>
    <xdr:to>
      <xdr:col>14</xdr:col>
      <xdr:colOff>190500</xdr:colOff>
      <xdr:row>33</xdr:row>
      <xdr:rowOff>28575</xdr:rowOff>
    </xdr:to>
    <mc:AlternateContent xmlns:mc="http://schemas.openxmlformats.org/markup-compatibility/2006" xmlns:sle15="http://schemas.microsoft.com/office/drawing/2012/slicer">
      <mc:Choice Requires="sle15">
        <xdr:graphicFrame macro="">
          <xdr:nvGraphicFramePr>
            <xdr:cNvPr id="12" name="CONDITION 4">
              <a:extLst>
                <a:ext uri="{FF2B5EF4-FFF2-40B4-BE49-F238E27FC236}">
                  <a16:creationId xmlns:a16="http://schemas.microsoft.com/office/drawing/2014/main" id="{79F96E3F-BB55-DA5B-C7FE-63EE1966FDBE}"/>
                </a:ext>
              </a:extLst>
            </xdr:cNvPr>
            <xdr:cNvGraphicFramePr/>
          </xdr:nvGraphicFramePr>
          <xdr:xfrm>
            <a:off x="0" y="0"/>
            <a:ext cx="0" cy="0"/>
          </xdr:xfrm>
          <a:graphic>
            <a:graphicData uri="http://schemas.microsoft.com/office/drawing/2010/slicer">
              <sle:slicer xmlns:sle="http://schemas.microsoft.com/office/drawing/2010/slicer" name="CONDITION 4"/>
            </a:graphicData>
          </a:graphic>
        </xdr:graphicFrame>
      </mc:Choice>
      <mc:Fallback xmlns="">
        <xdr:sp macro="" textlink="">
          <xdr:nvSpPr>
            <xdr:cNvPr id="0" name=""/>
            <xdr:cNvSpPr>
              <a:spLocks noTextEdit="1"/>
            </xdr:cNvSpPr>
          </xdr:nvSpPr>
          <xdr:spPr>
            <a:xfrm>
              <a:off x="10782300" y="3305175"/>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180975</xdr:colOff>
      <xdr:row>32</xdr:row>
      <xdr:rowOff>85725</xdr:rowOff>
    </xdr:from>
    <xdr:to>
      <xdr:col>11</xdr:col>
      <xdr:colOff>942975</xdr:colOff>
      <xdr:row>47</xdr:row>
      <xdr:rowOff>47625</xdr:rowOff>
    </xdr:to>
    <mc:AlternateContent xmlns:mc="http://schemas.openxmlformats.org/markup-compatibility/2006" xmlns:sle15="http://schemas.microsoft.com/office/drawing/2012/slicer">
      <mc:Choice Requires="sle15">
        <xdr:graphicFrame macro="">
          <xdr:nvGraphicFramePr>
            <xdr:cNvPr id="13" name="Paid 1">
              <a:extLst>
                <a:ext uri="{FF2B5EF4-FFF2-40B4-BE49-F238E27FC236}">
                  <a16:creationId xmlns:a16="http://schemas.microsoft.com/office/drawing/2014/main" id="{15E440FC-3C47-F114-1C2A-A3E4E4BDD97C}"/>
                </a:ext>
              </a:extLst>
            </xdr:cNvPr>
            <xdr:cNvGraphicFramePr/>
          </xdr:nvGraphicFramePr>
          <xdr:xfrm>
            <a:off x="0" y="0"/>
            <a:ext cx="0" cy="0"/>
          </xdr:xfrm>
          <a:graphic>
            <a:graphicData uri="http://schemas.microsoft.com/office/drawing/2010/slicer">
              <sle:slicer xmlns:sle="http://schemas.microsoft.com/office/drawing/2010/slicer" name="Paid 1"/>
            </a:graphicData>
          </a:graphic>
        </xdr:graphicFrame>
      </mc:Choice>
      <mc:Fallback xmlns="">
        <xdr:sp macro="" textlink="">
          <xdr:nvSpPr>
            <xdr:cNvPr id="0" name=""/>
            <xdr:cNvSpPr>
              <a:spLocks noTextEdit="1"/>
            </xdr:cNvSpPr>
          </xdr:nvSpPr>
          <xdr:spPr>
            <a:xfrm>
              <a:off x="8810625" y="56388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33</xdr:row>
      <xdr:rowOff>28575</xdr:rowOff>
    </xdr:from>
    <xdr:to>
      <xdr:col>14</xdr:col>
      <xdr:colOff>219075</xdr:colOff>
      <xdr:row>47</xdr:row>
      <xdr:rowOff>152400</xdr:rowOff>
    </xdr:to>
    <mc:AlternateContent xmlns:mc="http://schemas.openxmlformats.org/markup-compatibility/2006" xmlns:sle15="http://schemas.microsoft.com/office/drawing/2012/slicer">
      <mc:Choice Requires="sle15">
        <xdr:graphicFrame macro="">
          <xdr:nvGraphicFramePr>
            <xdr:cNvPr id="14" name="Book 1">
              <a:extLst>
                <a:ext uri="{FF2B5EF4-FFF2-40B4-BE49-F238E27FC236}">
                  <a16:creationId xmlns:a16="http://schemas.microsoft.com/office/drawing/2014/main" id="{BC35EF92-7F51-B677-7DAD-4FCB190C6B20}"/>
                </a:ext>
              </a:extLst>
            </xdr:cNvPr>
            <xdr:cNvGraphicFramePr/>
          </xdr:nvGraphicFramePr>
          <xdr:xfrm>
            <a:off x="0" y="0"/>
            <a:ext cx="0" cy="0"/>
          </xdr:xfrm>
          <a:graphic>
            <a:graphicData uri="http://schemas.microsoft.com/office/drawing/2010/slicer">
              <sle:slicer xmlns:sle="http://schemas.microsoft.com/office/drawing/2010/slicer" name="Book 1"/>
            </a:graphicData>
          </a:graphic>
        </xdr:graphicFrame>
      </mc:Choice>
      <mc:Fallback xmlns="">
        <xdr:sp macro="" textlink="">
          <xdr:nvSpPr>
            <xdr:cNvPr id="0" name=""/>
            <xdr:cNvSpPr>
              <a:spLocks noTextEdit="1"/>
            </xdr:cNvSpPr>
          </xdr:nvSpPr>
          <xdr:spPr>
            <a:xfrm>
              <a:off x="10810875" y="574357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9</xdr:col>
      <xdr:colOff>971550</xdr:colOff>
      <xdr:row>5</xdr:row>
      <xdr:rowOff>33337</xdr:rowOff>
    </xdr:from>
    <xdr:to>
      <xdr:col>11</xdr:col>
      <xdr:colOff>252412</xdr:colOff>
      <xdr:row>19</xdr:row>
      <xdr:rowOff>139700</xdr:rowOff>
    </xdr:to>
    <mc:AlternateContent xmlns:mc="http://schemas.openxmlformats.org/markup-compatibility/2006" xmlns:sle15="http://schemas.microsoft.com/office/drawing/2012/slicer">
      <mc:Choice Requires="sle15">
        <xdr:graphicFrame macro="">
          <xdr:nvGraphicFramePr>
            <xdr:cNvPr id="2" name="Date 3">
              <a:extLst>
                <a:ext uri="{FF2B5EF4-FFF2-40B4-BE49-F238E27FC236}">
                  <a16:creationId xmlns:a16="http://schemas.microsoft.com/office/drawing/2014/main" id="{062D0EC0-1AEB-4565-8D22-3FCBEC523DAA}"/>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10553700" y="823912"/>
              <a:ext cx="1728787" cy="23733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409575</xdr:colOff>
      <xdr:row>4</xdr:row>
      <xdr:rowOff>133350</xdr:rowOff>
    </xdr:from>
    <xdr:to>
      <xdr:col>12</xdr:col>
      <xdr:colOff>681038</xdr:colOff>
      <xdr:row>16</xdr:row>
      <xdr:rowOff>28575</xdr:rowOff>
    </xdr:to>
    <mc:AlternateContent xmlns:mc="http://schemas.openxmlformats.org/markup-compatibility/2006" xmlns:sle15="http://schemas.microsoft.com/office/drawing/2012/slicer">
      <mc:Choice Requires="sle15">
        <xdr:graphicFrame macro="">
          <xdr:nvGraphicFramePr>
            <xdr:cNvPr id="3" name="Mint 3">
              <a:extLst>
                <a:ext uri="{FF2B5EF4-FFF2-40B4-BE49-F238E27FC236}">
                  <a16:creationId xmlns:a16="http://schemas.microsoft.com/office/drawing/2014/main" id="{5A05F84B-0DC3-4AB6-985A-D52FA2B0FFD9}"/>
                </a:ext>
              </a:extLst>
            </xdr:cNvPr>
            <xdr:cNvGraphicFramePr/>
          </xdr:nvGraphicFramePr>
          <xdr:xfrm>
            <a:off x="0" y="0"/>
            <a:ext cx="0" cy="0"/>
          </xdr:xfrm>
          <a:graphic>
            <a:graphicData uri="http://schemas.microsoft.com/office/drawing/2010/slicer">
              <sle:slicer xmlns:sle="http://schemas.microsoft.com/office/drawing/2010/slicer" name="Mint 3"/>
            </a:graphicData>
          </a:graphic>
        </xdr:graphicFrame>
      </mc:Choice>
      <mc:Fallback xmlns="">
        <xdr:sp macro="" textlink="">
          <xdr:nvSpPr>
            <xdr:cNvPr id="0" name=""/>
            <xdr:cNvSpPr>
              <a:spLocks noTextEdit="1"/>
            </xdr:cNvSpPr>
          </xdr:nvSpPr>
          <xdr:spPr>
            <a:xfrm>
              <a:off x="12439650" y="762000"/>
              <a:ext cx="1728788" cy="18383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985838</xdr:colOff>
      <xdr:row>20</xdr:row>
      <xdr:rowOff>76200</xdr:rowOff>
    </xdr:from>
    <xdr:to>
      <xdr:col>11</xdr:col>
      <xdr:colOff>266700</xdr:colOff>
      <xdr:row>35</xdr:row>
      <xdr:rowOff>20638</xdr:rowOff>
    </xdr:to>
    <mc:AlternateContent xmlns:mc="http://schemas.openxmlformats.org/markup-compatibility/2006" xmlns:sle15="http://schemas.microsoft.com/office/drawing/2012/slicer">
      <mc:Choice Requires="sle15">
        <xdr:graphicFrame macro="">
          <xdr:nvGraphicFramePr>
            <xdr:cNvPr id="4" name="Serial 2">
              <a:extLst>
                <a:ext uri="{FF2B5EF4-FFF2-40B4-BE49-F238E27FC236}">
                  <a16:creationId xmlns:a16="http://schemas.microsoft.com/office/drawing/2014/main" id="{EE53CC68-3372-4C74-B3C8-9F5272740570}"/>
                </a:ext>
              </a:extLst>
            </xdr:cNvPr>
            <xdr:cNvGraphicFramePr/>
          </xdr:nvGraphicFramePr>
          <xdr:xfrm>
            <a:off x="0" y="0"/>
            <a:ext cx="0" cy="0"/>
          </xdr:xfrm>
          <a:graphic>
            <a:graphicData uri="http://schemas.microsoft.com/office/drawing/2010/slicer">
              <sle:slicer xmlns:sle="http://schemas.microsoft.com/office/drawing/2010/slicer" name="Serial 2"/>
            </a:graphicData>
          </a:graphic>
        </xdr:graphicFrame>
      </mc:Choice>
      <mc:Fallback xmlns="">
        <xdr:sp macro="" textlink="">
          <xdr:nvSpPr>
            <xdr:cNvPr id="0" name=""/>
            <xdr:cNvSpPr>
              <a:spLocks noTextEdit="1"/>
            </xdr:cNvSpPr>
          </xdr:nvSpPr>
          <xdr:spPr>
            <a:xfrm>
              <a:off x="10567988" y="3295650"/>
              <a:ext cx="1728787" cy="23733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385762</xdr:colOff>
      <xdr:row>16</xdr:row>
      <xdr:rowOff>76200</xdr:rowOff>
    </xdr:from>
    <xdr:to>
      <xdr:col>12</xdr:col>
      <xdr:colOff>657225</xdr:colOff>
      <xdr:row>31</xdr:row>
      <xdr:rowOff>19050</xdr:rowOff>
    </xdr:to>
    <mc:AlternateContent xmlns:mc="http://schemas.openxmlformats.org/markup-compatibility/2006" xmlns:sle15="http://schemas.microsoft.com/office/drawing/2012/slicer">
      <mc:Choice Requires="sle15">
        <xdr:graphicFrame macro="">
          <xdr:nvGraphicFramePr>
            <xdr:cNvPr id="5" name="Description 2">
              <a:extLst>
                <a:ext uri="{FF2B5EF4-FFF2-40B4-BE49-F238E27FC236}">
                  <a16:creationId xmlns:a16="http://schemas.microsoft.com/office/drawing/2014/main" id="{DB6CC636-4E13-4F4A-ACE7-8792C97DCA8D}"/>
                </a:ext>
              </a:extLst>
            </xdr:cNvPr>
            <xdr:cNvGraphicFramePr/>
          </xdr:nvGraphicFramePr>
          <xdr:xfrm>
            <a:off x="0" y="0"/>
            <a:ext cx="0" cy="0"/>
          </xdr:xfrm>
          <a:graphic>
            <a:graphicData uri="http://schemas.microsoft.com/office/drawing/2010/slicer">
              <sle:slicer xmlns:sle="http://schemas.microsoft.com/office/drawing/2010/slicer" name="Description 2"/>
            </a:graphicData>
          </a:graphic>
        </xdr:graphicFrame>
      </mc:Choice>
      <mc:Fallback xmlns="">
        <xdr:sp macro="" textlink="">
          <xdr:nvSpPr>
            <xdr:cNvPr id="0" name=""/>
            <xdr:cNvSpPr>
              <a:spLocks noTextEdit="1"/>
            </xdr:cNvSpPr>
          </xdr:nvSpPr>
          <xdr:spPr>
            <a:xfrm>
              <a:off x="12415837" y="2647950"/>
              <a:ext cx="1728788" cy="2371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371475</xdr:colOff>
      <xdr:row>31</xdr:row>
      <xdr:rowOff>109537</xdr:rowOff>
    </xdr:from>
    <xdr:to>
      <xdr:col>12</xdr:col>
      <xdr:colOff>642937</xdr:colOff>
      <xdr:row>41</xdr:row>
      <xdr:rowOff>114300</xdr:rowOff>
    </xdr:to>
    <mc:AlternateContent xmlns:mc="http://schemas.openxmlformats.org/markup-compatibility/2006" xmlns:sle15="http://schemas.microsoft.com/office/drawing/2012/slicer">
      <mc:Choice Requires="sle15">
        <xdr:graphicFrame macro="">
          <xdr:nvGraphicFramePr>
            <xdr:cNvPr id="6" name="Condition 3">
              <a:extLst>
                <a:ext uri="{FF2B5EF4-FFF2-40B4-BE49-F238E27FC236}">
                  <a16:creationId xmlns:a16="http://schemas.microsoft.com/office/drawing/2014/main" id="{E83499D7-93AA-479B-AB81-53E150CF8924}"/>
                </a:ext>
              </a:extLst>
            </xdr:cNvPr>
            <xdr:cNvGraphicFramePr/>
          </xdr:nvGraphicFramePr>
          <xdr:xfrm>
            <a:off x="0" y="0"/>
            <a:ext cx="0" cy="0"/>
          </xdr:xfrm>
          <a:graphic>
            <a:graphicData uri="http://schemas.microsoft.com/office/drawing/2010/slicer">
              <sle:slicer xmlns:sle="http://schemas.microsoft.com/office/drawing/2010/slicer" name="Condition 3"/>
            </a:graphicData>
          </a:graphic>
        </xdr:graphicFrame>
      </mc:Choice>
      <mc:Fallback xmlns="">
        <xdr:sp macro="" textlink="">
          <xdr:nvSpPr>
            <xdr:cNvPr id="0" name=""/>
            <xdr:cNvSpPr>
              <a:spLocks noTextEdit="1"/>
            </xdr:cNvSpPr>
          </xdr:nvSpPr>
          <xdr:spPr>
            <a:xfrm>
              <a:off x="12401550" y="5110162"/>
              <a:ext cx="1728787" cy="16240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MSDS01\Share\coins1\Penneys.xlsx" TargetMode="External"/><Relationship Id="rId1" Type="http://schemas.openxmlformats.org/officeDocument/2006/relationships/externalLinkPath" Target="file:///D:\coins1\Penney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MSDS01\Share\coins1\Dimes.xlsx" TargetMode="External"/><Relationship Id="rId1" Type="http://schemas.openxmlformats.org/officeDocument/2006/relationships/externalLinkPath" Target="file:///D:\coins1\Dimes.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MSDS01\Share\coins1\Quarters.xlsx" TargetMode="External"/><Relationship Id="rId1" Type="http://schemas.openxmlformats.org/officeDocument/2006/relationships/externalLinkPath" Target="file:///D:\coins1\Quarters.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MSDS01\Share\coins1\Halves.xlsx" TargetMode="External"/><Relationship Id="rId1" Type="http://schemas.openxmlformats.org/officeDocument/2006/relationships/externalLinkPath" Target="file:///D:\coins1\Halves.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MSDS01\Share\coins1\Dollars.xlsx" TargetMode="External"/><Relationship Id="rId1" Type="http://schemas.openxmlformats.org/officeDocument/2006/relationships/externalLinkPath" Target="file:///D:\coins1\Dollars.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MSDS01\Share\coins1\Nickels.xlsx" TargetMode="External"/><Relationship Id="rId1" Type="http://schemas.openxmlformats.org/officeDocument/2006/relationships/externalLinkPath" Target="file:///D:\coins1\Nicke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nneyColl"/>
      <sheetName val="PivotTable"/>
      <sheetName val="1880"/>
      <sheetName val="1900"/>
      <sheetName val="1920"/>
      <sheetName val="1930"/>
      <sheetName val="1940"/>
      <sheetName val="1950"/>
      <sheetName val="1960"/>
      <sheetName val="1970"/>
      <sheetName val="1980"/>
      <sheetName val="1990"/>
      <sheetName val="2000"/>
      <sheetName val="2010"/>
      <sheetName val="2020"/>
      <sheetName val="Penneys"/>
      <sheetName val="WorkSheet"/>
      <sheetName val="Tubes"/>
      <sheetName val="Sheet4"/>
      <sheetName val="All"/>
      <sheetName val="Box Labels"/>
      <sheetName val="Totals"/>
      <sheetName val="PenneyWantList"/>
      <sheetName val="Sheet1"/>
      <sheetName val="Sheet2"/>
      <sheetName val="Sheet3"/>
      <sheetName val="Mintage"/>
      <sheetName val="Sheet6"/>
      <sheetName val="Sheet7"/>
      <sheetName val="Sheet8"/>
      <sheetName val="Sheet9"/>
      <sheetName val="Marks Want List"/>
      <sheetName val="FolderS"/>
    </sheetNames>
    <sheetDataSet>
      <sheetData sheetId="0" refreshError="1"/>
      <sheetData sheetId="1" refreshError="1"/>
      <sheetData sheetId="2">
        <row r="1">
          <cell r="F1" t="str">
            <v>Condition</v>
          </cell>
          <cell r="H1" t="str">
            <v>Book $74.00</v>
          </cell>
          <cell r="I1" t="str">
            <v>Qty = 312.17</v>
          </cell>
        </row>
        <row r="2">
          <cell r="F2" t="str">
            <v xml:space="preserve">GOOD </v>
          </cell>
          <cell r="H2">
            <v>1</v>
          </cell>
          <cell r="I2">
            <v>1</v>
          </cell>
        </row>
        <row r="3">
          <cell r="F3" t="str">
            <v xml:space="preserve">GOOD </v>
          </cell>
        </row>
        <row r="4">
          <cell r="F4" t="str">
            <v xml:space="preserve">GOOD </v>
          </cell>
          <cell r="H4">
            <v>1</v>
          </cell>
          <cell r="I4">
            <v>1</v>
          </cell>
        </row>
        <row r="5">
          <cell r="F5" t="str">
            <v xml:space="preserve">GOOD </v>
          </cell>
          <cell r="H5">
            <v>1</v>
          </cell>
          <cell r="I5">
            <v>1</v>
          </cell>
        </row>
        <row r="6">
          <cell r="F6" t="str">
            <v>X-FINE</v>
          </cell>
          <cell r="I6">
            <v>1</v>
          </cell>
        </row>
        <row r="7">
          <cell r="F7" t="str">
            <v xml:space="preserve">GOOD </v>
          </cell>
        </row>
        <row r="8">
          <cell r="F8" t="str">
            <v xml:space="preserve">GOOD </v>
          </cell>
          <cell r="H8">
            <v>1</v>
          </cell>
          <cell r="I8">
            <v>1</v>
          </cell>
        </row>
        <row r="9">
          <cell r="F9" t="str">
            <v xml:space="preserve">GOOD </v>
          </cell>
          <cell r="I9">
            <v>1</v>
          </cell>
        </row>
        <row r="10">
          <cell r="F10" t="str">
            <v xml:space="preserve">GOOD </v>
          </cell>
          <cell r="I10">
            <v>1</v>
          </cell>
        </row>
        <row r="11">
          <cell r="F11" t="str">
            <v xml:space="preserve">GOOD </v>
          </cell>
          <cell r="I11">
            <v>1</v>
          </cell>
        </row>
        <row r="12">
          <cell r="F12" t="str">
            <v xml:space="preserve">GOOD </v>
          </cell>
          <cell r="I12">
            <v>1</v>
          </cell>
        </row>
        <row r="13">
          <cell r="F13" t="str">
            <v xml:space="preserve">GOOD </v>
          </cell>
        </row>
        <row r="14">
          <cell r="F14" t="str">
            <v xml:space="preserve">GOOD </v>
          </cell>
          <cell r="H14">
            <v>0.75</v>
          </cell>
          <cell r="I14">
            <v>1</v>
          </cell>
        </row>
        <row r="15">
          <cell r="F15" t="str">
            <v xml:space="preserve">VERY FINE </v>
          </cell>
        </row>
        <row r="16">
          <cell r="F16" t="str">
            <v xml:space="preserve">GOOD </v>
          </cell>
        </row>
        <row r="17">
          <cell r="F17" t="str">
            <v xml:space="preserve">VERY FINE </v>
          </cell>
          <cell r="H17">
            <v>2.2999999999999998</v>
          </cell>
          <cell r="I17">
            <v>1</v>
          </cell>
        </row>
        <row r="18">
          <cell r="F18" t="str">
            <v xml:space="preserve">VERY FINE </v>
          </cell>
          <cell r="I18">
            <v>1</v>
          </cell>
        </row>
        <row r="19">
          <cell r="F19" t="str">
            <v xml:space="preserve">FINE </v>
          </cell>
          <cell r="I19">
            <v>1</v>
          </cell>
        </row>
        <row r="20">
          <cell r="F20" t="str">
            <v xml:space="preserve">VERY FINE </v>
          </cell>
          <cell r="H20">
            <v>2.2999999999999998</v>
          </cell>
          <cell r="I20">
            <v>1</v>
          </cell>
        </row>
        <row r="21">
          <cell r="F21" t="str">
            <v xml:space="preserve">GOOD </v>
          </cell>
          <cell r="H21">
            <v>0.75</v>
          </cell>
          <cell r="I21">
            <v>1</v>
          </cell>
        </row>
        <row r="22">
          <cell r="F22" t="str">
            <v xml:space="preserve">F-12 FINE </v>
          </cell>
          <cell r="H22">
            <v>1</v>
          </cell>
          <cell r="I22">
            <v>1</v>
          </cell>
        </row>
        <row r="23">
          <cell r="F23" t="str">
            <v xml:space="preserve">GOOD </v>
          </cell>
        </row>
        <row r="24">
          <cell r="F24" t="str">
            <v xml:space="preserve">GOOD </v>
          </cell>
          <cell r="H24">
            <v>0.75</v>
          </cell>
          <cell r="I24">
            <v>1</v>
          </cell>
        </row>
        <row r="25">
          <cell r="F25" t="str">
            <v xml:space="preserve">GOOD </v>
          </cell>
          <cell r="H25">
            <v>0.75</v>
          </cell>
          <cell r="I25">
            <v>1</v>
          </cell>
        </row>
        <row r="26">
          <cell r="F26" t="str">
            <v xml:space="preserve">GOOD </v>
          </cell>
          <cell r="H26">
            <v>0.75</v>
          </cell>
          <cell r="I26">
            <v>1</v>
          </cell>
        </row>
        <row r="27">
          <cell r="F27" t="str">
            <v xml:space="preserve">GOOD </v>
          </cell>
        </row>
        <row r="28">
          <cell r="F28" t="str">
            <v xml:space="preserve">VERY FINE </v>
          </cell>
        </row>
        <row r="29">
          <cell r="F29" t="str">
            <v xml:space="preserve">GOOD </v>
          </cell>
          <cell r="H29">
            <v>0.75</v>
          </cell>
          <cell r="I29">
            <v>1</v>
          </cell>
        </row>
        <row r="30">
          <cell r="F30" t="str">
            <v xml:space="preserve">GOOD </v>
          </cell>
          <cell r="H30">
            <v>0.75</v>
          </cell>
          <cell r="I30">
            <v>1</v>
          </cell>
        </row>
        <row r="31">
          <cell r="F31" t="str">
            <v xml:space="preserve">GOOD </v>
          </cell>
          <cell r="H31">
            <v>0.75</v>
          </cell>
          <cell r="I31">
            <v>1</v>
          </cell>
        </row>
        <row r="32">
          <cell r="F32" t="str">
            <v xml:space="preserve">F-12 FINE </v>
          </cell>
          <cell r="H32">
            <v>1</v>
          </cell>
          <cell r="I32">
            <v>1</v>
          </cell>
        </row>
        <row r="34">
          <cell r="F34" t="str">
            <v xml:space="preserve">GOOD </v>
          </cell>
          <cell r="H34">
            <v>0.75</v>
          </cell>
          <cell r="I34">
            <v>1</v>
          </cell>
        </row>
        <row r="35">
          <cell r="F35" t="str">
            <v xml:space="preserve">GOOD </v>
          </cell>
          <cell r="H35">
            <v>0.75</v>
          </cell>
          <cell r="I35">
            <v>1</v>
          </cell>
        </row>
        <row r="36">
          <cell r="F36" t="str">
            <v xml:space="preserve">EXTREMELY FINE </v>
          </cell>
          <cell r="H36">
            <v>7</v>
          </cell>
          <cell r="I36">
            <v>1</v>
          </cell>
        </row>
        <row r="37">
          <cell r="F37" t="str">
            <v xml:space="preserve">VERY FINE </v>
          </cell>
          <cell r="H37">
            <v>2.2999999999999998</v>
          </cell>
          <cell r="I37">
            <v>1</v>
          </cell>
        </row>
        <row r="38">
          <cell r="F38" t="str">
            <v xml:space="preserve">F-12 FINE </v>
          </cell>
          <cell r="H38">
            <v>1</v>
          </cell>
          <cell r="I38">
            <v>1</v>
          </cell>
        </row>
        <row r="39">
          <cell r="F39" t="str">
            <v xml:space="preserve">EXTREMELY FINE </v>
          </cell>
          <cell r="I39">
            <v>1</v>
          </cell>
        </row>
        <row r="40">
          <cell r="F40" t="str">
            <v xml:space="preserve">VERY GOOD </v>
          </cell>
          <cell r="H40">
            <v>2.65</v>
          </cell>
          <cell r="I40">
            <v>1</v>
          </cell>
        </row>
        <row r="41">
          <cell r="F41" t="str">
            <v xml:space="preserve">GOOD </v>
          </cell>
          <cell r="H41">
            <v>0.01</v>
          </cell>
          <cell r="I41">
            <v>1</v>
          </cell>
        </row>
        <row r="42">
          <cell r="F42" t="str">
            <v xml:space="preserve">GOOD </v>
          </cell>
          <cell r="H42">
            <v>0.01</v>
          </cell>
          <cell r="I42">
            <v>1</v>
          </cell>
        </row>
        <row r="43">
          <cell r="F43" t="str">
            <v xml:space="preserve">GOOD </v>
          </cell>
          <cell r="H43">
            <v>0.01</v>
          </cell>
          <cell r="I43">
            <v>1</v>
          </cell>
        </row>
        <row r="44">
          <cell r="F44" t="str">
            <v xml:space="preserve">GOOD </v>
          </cell>
          <cell r="H44">
            <v>0.01</v>
          </cell>
          <cell r="I44">
            <v>1</v>
          </cell>
        </row>
        <row r="45">
          <cell r="F45" t="str">
            <v xml:space="preserve">F-12 FINE </v>
          </cell>
          <cell r="H45">
            <v>25</v>
          </cell>
          <cell r="I45">
            <v>1</v>
          </cell>
        </row>
        <row r="46">
          <cell r="F46" t="str">
            <v xml:space="preserve">GOOD </v>
          </cell>
          <cell r="H46">
            <v>0.2</v>
          </cell>
          <cell r="I46">
            <v>1</v>
          </cell>
        </row>
        <row r="47">
          <cell r="F47" t="str">
            <v xml:space="preserve">GOOD </v>
          </cell>
          <cell r="H47">
            <v>3.5</v>
          </cell>
          <cell r="I47">
            <v>1</v>
          </cell>
        </row>
        <row r="48">
          <cell r="F48" t="str">
            <v xml:space="preserve">GOOD </v>
          </cell>
          <cell r="H48">
            <v>3.5</v>
          </cell>
          <cell r="I48">
            <v>1</v>
          </cell>
        </row>
        <row r="49">
          <cell r="F49" t="str">
            <v xml:space="preserve">FINE </v>
          </cell>
          <cell r="H49">
            <v>57</v>
          </cell>
          <cell r="I49">
            <v>1</v>
          </cell>
        </row>
        <row r="50">
          <cell r="F50" t="str">
            <v xml:space="preserve">GOOD </v>
          </cell>
          <cell r="H50">
            <v>0.25</v>
          </cell>
          <cell r="I50">
            <v>1</v>
          </cell>
        </row>
        <row r="51">
          <cell r="F51" t="str">
            <v xml:space="preserve">FINE </v>
          </cell>
          <cell r="H51">
            <v>17</v>
          </cell>
          <cell r="I51">
            <v>1</v>
          </cell>
        </row>
        <row r="52">
          <cell r="F52" t="str">
            <v xml:space="preserve">FINE </v>
          </cell>
          <cell r="H52">
            <v>1</v>
          </cell>
          <cell r="I52">
            <v>1</v>
          </cell>
        </row>
        <row r="53">
          <cell r="F53" t="str">
            <v>VERY GOOD</v>
          </cell>
          <cell r="I53">
            <v>1</v>
          </cell>
        </row>
        <row r="54">
          <cell r="F54" t="str">
            <v xml:space="preserve">FINE </v>
          </cell>
          <cell r="H54">
            <v>21</v>
          </cell>
          <cell r="I54">
            <v>1</v>
          </cell>
        </row>
        <row r="55">
          <cell r="F55" t="str">
            <v xml:space="preserve">VERY GOOD </v>
          </cell>
          <cell r="H55">
            <v>0.4</v>
          </cell>
          <cell r="I55">
            <v>1</v>
          </cell>
        </row>
        <row r="56">
          <cell r="F56" t="str">
            <v xml:space="preserve">VERY FINE </v>
          </cell>
          <cell r="H56">
            <v>0.01</v>
          </cell>
          <cell r="I56">
            <v>1</v>
          </cell>
        </row>
        <row r="57">
          <cell r="F57" t="str">
            <v xml:space="preserve">VERY FINE </v>
          </cell>
          <cell r="H57">
            <v>46</v>
          </cell>
          <cell r="I57">
            <v>1</v>
          </cell>
        </row>
        <row r="58">
          <cell r="F58" t="str">
            <v xml:space="preserve">VERY GOOD </v>
          </cell>
          <cell r="H58">
            <v>0.5</v>
          </cell>
          <cell r="I58">
            <v>1</v>
          </cell>
        </row>
        <row r="59">
          <cell r="F59" t="str">
            <v xml:space="preserve">FINE </v>
          </cell>
          <cell r="H59">
            <v>35</v>
          </cell>
          <cell r="I59">
            <v>1</v>
          </cell>
        </row>
        <row r="60">
          <cell r="F60" t="str">
            <v xml:space="preserve">FINE </v>
          </cell>
          <cell r="H60">
            <v>5.84</v>
          </cell>
          <cell r="I60">
            <v>1</v>
          </cell>
        </row>
        <row r="61">
          <cell r="F61" t="str">
            <v xml:space="preserve">GOOD </v>
          </cell>
          <cell r="H61">
            <v>0.2</v>
          </cell>
          <cell r="I61">
            <v>1</v>
          </cell>
        </row>
        <row r="62">
          <cell r="F62" t="str">
            <v xml:space="preserve">GOOD </v>
          </cell>
          <cell r="H62">
            <v>0.2</v>
          </cell>
          <cell r="I62">
            <v>1</v>
          </cell>
        </row>
        <row r="63">
          <cell r="F63" t="str">
            <v xml:space="preserve">FINE </v>
          </cell>
          <cell r="H63">
            <v>1.75</v>
          </cell>
          <cell r="I63">
            <v>1</v>
          </cell>
        </row>
        <row r="64">
          <cell r="F64" t="str">
            <v xml:space="preserve">FINE </v>
          </cell>
          <cell r="H64">
            <v>1.75</v>
          </cell>
          <cell r="I64">
            <v>1</v>
          </cell>
        </row>
        <row r="65">
          <cell r="F65" t="str">
            <v xml:space="preserve">FINE </v>
          </cell>
          <cell r="H65">
            <v>3.38</v>
          </cell>
          <cell r="I65">
            <v>1</v>
          </cell>
        </row>
        <row r="66">
          <cell r="F66" t="str">
            <v xml:space="preserve">GOOD </v>
          </cell>
          <cell r="H66">
            <v>0.2</v>
          </cell>
          <cell r="I66">
            <v>1</v>
          </cell>
        </row>
        <row r="67">
          <cell r="F67" t="str">
            <v xml:space="preserve">GOOD </v>
          </cell>
          <cell r="H67">
            <v>0.2</v>
          </cell>
          <cell r="I67">
            <v>1</v>
          </cell>
        </row>
        <row r="68">
          <cell r="F68" t="str">
            <v xml:space="preserve">VERY GOOD </v>
          </cell>
          <cell r="H68">
            <v>0.25</v>
          </cell>
          <cell r="I68">
            <v>1</v>
          </cell>
        </row>
        <row r="69">
          <cell r="F69" t="str">
            <v xml:space="preserve">GOOD </v>
          </cell>
          <cell r="H69">
            <v>0.2</v>
          </cell>
          <cell r="I69">
            <v>1</v>
          </cell>
        </row>
        <row r="70">
          <cell r="F70" t="str">
            <v xml:space="preserve">GOOD </v>
          </cell>
          <cell r="H70">
            <v>0.25</v>
          </cell>
          <cell r="I70">
            <v>1</v>
          </cell>
        </row>
        <row r="71">
          <cell r="F71" t="str">
            <v xml:space="preserve">VERY FINE </v>
          </cell>
          <cell r="H71">
            <v>1.5</v>
          </cell>
          <cell r="I71">
            <v>1</v>
          </cell>
        </row>
        <row r="72">
          <cell r="F72" t="str">
            <v xml:space="preserve">FINE </v>
          </cell>
          <cell r="H72">
            <v>3.98</v>
          </cell>
          <cell r="I72">
            <v>1</v>
          </cell>
        </row>
        <row r="73">
          <cell r="F73" t="str">
            <v xml:space="preserve">GOOD </v>
          </cell>
          <cell r="H73">
            <v>0.2</v>
          </cell>
          <cell r="I73">
            <v>1</v>
          </cell>
        </row>
        <row r="74">
          <cell r="F74" t="str">
            <v xml:space="preserve">GOOD </v>
          </cell>
          <cell r="H74">
            <v>0.2</v>
          </cell>
          <cell r="I74">
            <v>1</v>
          </cell>
        </row>
        <row r="75">
          <cell r="F75" t="str">
            <v xml:space="preserve">GOOD </v>
          </cell>
          <cell r="H75">
            <v>0.2</v>
          </cell>
          <cell r="I75">
            <v>1</v>
          </cell>
        </row>
        <row r="76">
          <cell r="F76" t="str">
            <v xml:space="preserve">GOOD </v>
          </cell>
          <cell r="H76">
            <v>0.2</v>
          </cell>
          <cell r="I76">
            <v>1</v>
          </cell>
        </row>
        <row r="77">
          <cell r="F77" t="str">
            <v xml:space="preserve">VERY GOOD </v>
          </cell>
          <cell r="H77">
            <v>0.25</v>
          </cell>
          <cell r="I77">
            <v>1</v>
          </cell>
        </row>
        <row r="78">
          <cell r="F78" t="str">
            <v xml:space="preserve">GOOD </v>
          </cell>
          <cell r="H78">
            <v>0.25</v>
          </cell>
          <cell r="I78">
            <v>1</v>
          </cell>
        </row>
        <row r="79">
          <cell r="F79" t="str">
            <v xml:space="preserve">VERY GOOD </v>
          </cell>
          <cell r="H79">
            <v>0.25</v>
          </cell>
          <cell r="I79">
            <v>1</v>
          </cell>
        </row>
        <row r="80">
          <cell r="F80" t="str">
            <v xml:space="preserve">GOOD </v>
          </cell>
          <cell r="H80">
            <v>0.15</v>
          </cell>
          <cell r="I80">
            <v>1</v>
          </cell>
        </row>
        <row r="81">
          <cell r="F81" t="str">
            <v xml:space="preserve">GOOD </v>
          </cell>
          <cell r="H81">
            <v>0.15</v>
          </cell>
          <cell r="I81">
            <v>1</v>
          </cell>
        </row>
        <row r="82">
          <cell r="F82" t="str">
            <v xml:space="preserve">GOOD </v>
          </cell>
          <cell r="H82">
            <v>0.15</v>
          </cell>
          <cell r="I82">
            <v>1</v>
          </cell>
        </row>
        <row r="83">
          <cell r="F83" t="str">
            <v xml:space="preserve">GOOD </v>
          </cell>
          <cell r="H83">
            <v>0.15</v>
          </cell>
          <cell r="I83">
            <v>1</v>
          </cell>
        </row>
        <row r="84">
          <cell r="F84" t="str">
            <v xml:space="preserve">GOOD </v>
          </cell>
          <cell r="H84">
            <v>0.01</v>
          </cell>
          <cell r="I84">
            <v>1</v>
          </cell>
        </row>
      </sheetData>
      <sheetData sheetId="3">
        <row r="1">
          <cell r="E1" t="str">
            <v>Description</v>
          </cell>
          <cell r="G1" t="str">
            <v>Paid = $173.73</v>
          </cell>
        </row>
        <row r="2">
          <cell r="E2" t="str">
            <v>INDIAN HEAD PENNY</v>
          </cell>
        </row>
        <row r="3">
          <cell r="E3" t="str">
            <v>INDIAN HEAD PENNY</v>
          </cell>
          <cell r="G3">
            <v>0.75</v>
          </cell>
        </row>
        <row r="4">
          <cell r="E4" t="str">
            <v>INDIAN HEAD PENNY</v>
          </cell>
        </row>
        <row r="5">
          <cell r="E5" t="str">
            <v>INDIAN HEAD PENNY</v>
          </cell>
        </row>
        <row r="6">
          <cell r="E6" t="str">
            <v>INDIAN HEAD PENNY</v>
          </cell>
          <cell r="G6">
            <v>2.2999999999999998</v>
          </cell>
        </row>
        <row r="7">
          <cell r="E7" t="str">
            <v>INDIAN HEAD PENNY</v>
          </cell>
          <cell r="G7">
            <v>2.5</v>
          </cell>
        </row>
        <row r="8">
          <cell r="E8" t="str">
            <v>INDIAN HEAD PENNY</v>
          </cell>
        </row>
        <row r="9">
          <cell r="E9" t="str">
            <v>INDIAN HEAD PENNY</v>
          </cell>
          <cell r="G9">
            <v>2.2999999999999998</v>
          </cell>
        </row>
        <row r="10">
          <cell r="E10" t="str">
            <v>INDIAN HEAD PENNY</v>
          </cell>
          <cell r="G10">
            <v>0.75</v>
          </cell>
        </row>
        <row r="11">
          <cell r="E11" t="str">
            <v>INDIAN HEAD PENNY</v>
          </cell>
          <cell r="G11">
            <v>1.3</v>
          </cell>
        </row>
        <row r="12">
          <cell r="E12" t="str">
            <v>INDIAN HEAD PENNY</v>
          </cell>
        </row>
        <row r="13">
          <cell r="E13" t="str">
            <v>INDIAN HEAD PENNY</v>
          </cell>
          <cell r="G13">
            <v>0.75</v>
          </cell>
        </row>
        <row r="14">
          <cell r="E14" t="str">
            <v>INDIAN HEAD PENNY</v>
          </cell>
          <cell r="G14">
            <v>0.75</v>
          </cell>
        </row>
        <row r="15">
          <cell r="E15" t="str">
            <v>INDIAN HEAD PENNY</v>
          </cell>
          <cell r="G15">
            <v>0.75</v>
          </cell>
        </row>
        <row r="16">
          <cell r="E16" t="str">
            <v>INDIAN HEAD PENNY</v>
          </cell>
        </row>
        <row r="17">
          <cell r="E17" t="str">
            <v>INDIAN HEAD PENNY</v>
          </cell>
        </row>
        <row r="18">
          <cell r="E18" t="str">
            <v>INDIAN HEAD PENNY</v>
          </cell>
          <cell r="G18">
            <v>0.75</v>
          </cell>
        </row>
        <row r="19">
          <cell r="E19" t="str">
            <v>INDIAN HEAD PENNY</v>
          </cell>
          <cell r="G19">
            <v>0.75</v>
          </cell>
        </row>
        <row r="20">
          <cell r="E20" t="str">
            <v>INDIAN HEAD PENNY</v>
          </cell>
          <cell r="G20">
            <v>0.75</v>
          </cell>
        </row>
        <row r="21">
          <cell r="E21" t="str">
            <v>INDIAN HEAD PENNY</v>
          </cell>
          <cell r="G21">
            <v>1.3</v>
          </cell>
        </row>
        <row r="22">
          <cell r="E22" t="str">
            <v>INDIAN HEAD PENNY</v>
          </cell>
        </row>
        <row r="23">
          <cell r="E23" t="str">
            <v>INDIAN HEAD PENNY</v>
          </cell>
          <cell r="G23">
            <v>0.75</v>
          </cell>
        </row>
        <row r="24">
          <cell r="E24" t="str">
            <v>INDIAN HEAD PENNY</v>
          </cell>
          <cell r="G24">
            <v>0.75</v>
          </cell>
        </row>
        <row r="25">
          <cell r="E25" t="str">
            <v>INDIAN HEAD PENNY</v>
          </cell>
          <cell r="G25">
            <v>7</v>
          </cell>
        </row>
        <row r="26">
          <cell r="E26" t="str">
            <v>INDIAN HEAD PENNY</v>
          </cell>
          <cell r="G26">
            <v>2.2999999999999998</v>
          </cell>
        </row>
        <row r="27">
          <cell r="E27" t="str">
            <v>INDIAN HEAD PENNY</v>
          </cell>
          <cell r="G27">
            <v>1.3</v>
          </cell>
        </row>
        <row r="28">
          <cell r="E28" t="str">
            <v>INDIAN HEAD PENNY</v>
          </cell>
          <cell r="G28">
            <v>1</v>
          </cell>
        </row>
        <row r="29">
          <cell r="E29" t="str">
            <v>WHEAT PENNY</v>
          </cell>
          <cell r="G29">
            <v>2.65</v>
          </cell>
        </row>
        <row r="30">
          <cell r="E30" t="str">
            <v>WHEAT PENNY</v>
          </cell>
          <cell r="G30">
            <v>1</v>
          </cell>
        </row>
        <row r="31">
          <cell r="E31" t="str">
            <v>WHEAT PENNY</v>
          </cell>
          <cell r="G31">
            <v>1</v>
          </cell>
        </row>
        <row r="32">
          <cell r="E32" t="str">
            <v>WHEAT PENNY</v>
          </cell>
          <cell r="G32">
            <v>1</v>
          </cell>
        </row>
        <row r="33">
          <cell r="E33" t="str">
            <v>WHEAT PENNY</v>
          </cell>
          <cell r="G33">
            <v>0.01</v>
          </cell>
        </row>
        <row r="34">
          <cell r="E34" t="str">
            <v>WHEAT PENNY</v>
          </cell>
          <cell r="G34">
            <v>22</v>
          </cell>
        </row>
        <row r="35">
          <cell r="E35" t="str">
            <v>WHEAT PENNY</v>
          </cell>
          <cell r="G35">
            <v>0.2</v>
          </cell>
        </row>
        <row r="36">
          <cell r="E36" t="str">
            <v>WHEAT PENNY</v>
          </cell>
          <cell r="G36">
            <v>3.5</v>
          </cell>
        </row>
        <row r="37">
          <cell r="E37" t="str">
            <v>WHEAT PENNY</v>
          </cell>
          <cell r="G37">
            <v>3.5</v>
          </cell>
        </row>
        <row r="38">
          <cell r="E38" t="str">
            <v>WHEAT PENNY</v>
          </cell>
          <cell r="G38">
            <v>32</v>
          </cell>
        </row>
        <row r="39">
          <cell r="E39" t="str">
            <v>WHEAT PENNY</v>
          </cell>
          <cell r="G39">
            <v>0.25</v>
          </cell>
        </row>
        <row r="40">
          <cell r="E40" t="str">
            <v>WHEAT PENNY</v>
          </cell>
          <cell r="G40">
            <v>8</v>
          </cell>
        </row>
        <row r="41">
          <cell r="E41" t="str">
            <v>WHEAT PENNY</v>
          </cell>
          <cell r="G41">
            <v>1</v>
          </cell>
        </row>
        <row r="42">
          <cell r="E42" t="str">
            <v>WHEAT PENNY</v>
          </cell>
          <cell r="G42">
            <v>1</v>
          </cell>
        </row>
        <row r="43">
          <cell r="E43" t="str">
            <v>WHEAT PENNY</v>
          </cell>
          <cell r="G43">
            <v>17</v>
          </cell>
        </row>
        <row r="44">
          <cell r="E44" t="str">
            <v>WHEAT PENNY</v>
          </cell>
          <cell r="G44">
            <v>0.4</v>
          </cell>
        </row>
        <row r="45">
          <cell r="E45" t="str">
            <v>WHEAT PENNY</v>
          </cell>
          <cell r="G45">
            <v>0.01</v>
          </cell>
        </row>
        <row r="46">
          <cell r="E46" t="str">
            <v>WHEAT PENNY</v>
          </cell>
          <cell r="G46">
            <v>23</v>
          </cell>
        </row>
        <row r="47">
          <cell r="E47" t="str">
            <v>WHEAT PENNY</v>
          </cell>
          <cell r="G47">
            <v>1</v>
          </cell>
        </row>
        <row r="48">
          <cell r="E48" t="str">
            <v>WHEAT PENNY</v>
          </cell>
          <cell r="G48">
            <v>14</v>
          </cell>
        </row>
        <row r="49">
          <cell r="E49" t="str">
            <v>WHEAT PENNY</v>
          </cell>
          <cell r="G49">
            <v>1.5</v>
          </cell>
        </row>
        <row r="50">
          <cell r="E50" t="str">
            <v>WHEAT PENNY</v>
          </cell>
          <cell r="G50">
            <v>0.2</v>
          </cell>
        </row>
        <row r="51">
          <cell r="E51" t="str">
            <v>WHEAT PENNY</v>
          </cell>
          <cell r="G51">
            <v>0.2</v>
          </cell>
        </row>
        <row r="52">
          <cell r="E52" t="str">
            <v>WHEAT PENNY</v>
          </cell>
          <cell r="G52">
            <v>1.75</v>
          </cell>
        </row>
        <row r="53">
          <cell r="E53" t="str">
            <v>WHEAT PENNY</v>
          </cell>
          <cell r="G53">
            <v>1.75</v>
          </cell>
        </row>
        <row r="54">
          <cell r="E54" t="str">
            <v>WHEAT PENNY</v>
          </cell>
          <cell r="G54">
            <v>0.75</v>
          </cell>
        </row>
        <row r="55">
          <cell r="E55" t="str">
            <v>WHEAT PENNY</v>
          </cell>
          <cell r="G55">
            <v>0.2</v>
          </cell>
        </row>
        <row r="56">
          <cell r="E56" t="str">
            <v>WHEAT PENNY</v>
          </cell>
          <cell r="G56">
            <v>0.2</v>
          </cell>
        </row>
        <row r="57">
          <cell r="E57" t="str">
            <v>WHEAT PENNY</v>
          </cell>
          <cell r="G57">
            <v>0.25</v>
          </cell>
        </row>
        <row r="58">
          <cell r="E58" t="str">
            <v>WHEAT PENNY</v>
          </cell>
          <cell r="G58">
            <v>0.2</v>
          </cell>
        </row>
        <row r="59">
          <cell r="E59" t="str">
            <v>WHEAT PENNY</v>
          </cell>
          <cell r="G59">
            <v>0.25</v>
          </cell>
        </row>
        <row r="60">
          <cell r="E60" t="str">
            <v>WHEAT PENNY</v>
          </cell>
          <cell r="G60">
            <v>1.5</v>
          </cell>
        </row>
        <row r="61">
          <cell r="E61" t="str">
            <v>WHEAT PENNY</v>
          </cell>
          <cell r="G61">
            <v>1.5</v>
          </cell>
        </row>
        <row r="62">
          <cell r="E62" t="str">
            <v>WHEAT PENNY</v>
          </cell>
          <cell r="G62">
            <v>0.2</v>
          </cell>
        </row>
        <row r="63">
          <cell r="E63" t="str">
            <v>WHEAT PENNY</v>
          </cell>
          <cell r="G63">
            <v>0.2</v>
          </cell>
        </row>
        <row r="64">
          <cell r="E64" t="str">
            <v>WHEAT PENNY</v>
          </cell>
          <cell r="G64">
            <v>0.2</v>
          </cell>
        </row>
        <row r="65">
          <cell r="E65" t="str">
            <v>WHEAT PENNY</v>
          </cell>
          <cell r="G65">
            <v>0.2</v>
          </cell>
        </row>
        <row r="66">
          <cell r="E66" t="str">
            <v>WHEAT PENNY</v>
          </cell>
          <cell r="G66">
            <v>0.25</v>
          </cell>
        </row>
        <row r="67">
          <cell r="E67" t="str">
            <v>WHEAT PENNY</v>
          </cell>
          <cell r="G67">
            <v>0.25</v>
          </cell>
        </row>
        <row r="68">
          <cell r="E68" t="str">
            <v>WHEAT PENNY</v>
          </cell>
          <cell r="G68">
            <v>0.25</v>
          </cell>
        </row>
        <row r="69">
          <cell r="E69" t="str">
            <v>WHEAT PENNY</v>
          </cell>
          <cell r="G69">
            <v>0.15</v>
          </cell>
        </row>
        <row r="70">
          <cell r="E70" t="str">
            <v>WHEAT PENNY</v>
          </cell>
          <cell r="G70">
            <v>0.15</v>
          </cell>
        </row>
        <row r="71">
          <cell r="E71" t="str">
            <v>WHEAT PENNY</v>
          </cell>
          <cell r="G71">
            <v>0.15</v>
          </cell>
        </row>
        <row r="72">
          <cell r="E72" t="str">
            <v>WHEAT PENNY</v>
          </cell>
          <cell r="G72">
            <v>0.15</v>
          </cell>
        </row>
        <row r="73">
          <cell r="E73" t="str">
            <v>WHEAT PENNY</v>
          </cell>
          <cell r="G73">
            <v>0.01</v>
          </cell>
        </row>
      </sheetData>
      <sheetData sheetId="4">
        <row r="1">
          <cell r="G1" t="str">
            <v>Paid = $43.23</v>
          </cell>
        </row>
        <row r="2">
          <cell r="G2">
            <v>0.15</v>
          </cell>
        </row>
        <row r="3">
          <cell r="G3">
            <v>0.15</v>
          </cell>
        </row>
        <row r="4">
          <cell r="G4">
            <v>0.01</v>
          </cell>
        </row>
        <row r="5">
          <cell r="G5">
            <v>0.01</v>
          </cell>
        </row>
        <row r="6">
          <cell r="G6">
            <v>0</v>
          </cell>
        </row>
        <row r="7">
          <cell r="G7">
            <v>0.85</v>
          </cell>
        </row>
        <row r="8">
          <cell r="G8">
            <v>0.15</v>
          </cell>
        </row>
        <row r="9">
          <cell r="G9">
            <v>25</v>
          </cell>
        </row>
        <row r="10">
          <cell r="G10">
            <v>0.3</v>
          </cell>
        </row>
        <row r="11">
          <cell r="G11">
            <v>0.3</v>
          </cell>
        </row>
        <row r="12">
          <cell r="G12">
            <v>0.5</v>
          </cell>
        </row>
        <row r="13">
          <cell r="G13">
            <v>0.25</v>
          </cell>
        </row>
        <row r="14">
          <cell r="G14">
            <v>3.5</v>
          </cell>
        </row>
        <row r="15">
          <cell r="G15">
            <v>3.5</v>
          </cell>
        </row>
        <row r="16">
          <cell r="G16">
            <v>0.15</v>
          </cell>
        </row>
        <row r="17">
          <cell r="G17">
            <v>0.35</v>
          </cell>
        </row>
        <row r="18">
          <cell r="G18">
            <v>0.01</v>
          </cell>
        </row>
        <row r="19">
          <cell r="G19">
            <v>1</v>
          </cell>
        </row>
        <row r="20">
          <cell r="G20">
            <v>1</v>
          </cell>
        </row>
        <row r="21">
          <cell r="G21">
            <v>0.3</v>
          </cell>
        </row>
        <row r="22">
          <cell r="G22">
            <v>0.3</v>
          </cell>
        </row>
        <row r="23">
          <cell r="G23">
            <v>0.15</v>
          </cell>
        </row>
        <row r="24">
          <cell r="G24">
            <v>0.2</v>
          </cell>
        </row>
        <row r="25">
          <cell r="G25">
            <v>0.01</v>
          </cell>
        </row>
        <row r="26">
          <cell r="G26">
            <v>0.01</v>
          </cell>
        </row>
        <row r="27">
          <cell r="G27">
            <v>0.27</v>
          </cell>
        </row>
        <row r="28">
          <cell r="G28">
            <v>0.3</v>
          </cell>
        </row>
        <row r="29">
          <cell r="G29">
            <v>0.2</v>
          </cell>
        </row>
        <row r="30">
          <cell r="G30">
            <v>0.2</v>
          </cell>
        </row>
        <row r="31">
          <cell r="G31">
            <v>0.2</v>
          </cell>
        </row>
        <row r="32">
          <cell r="G32">
            <v>1</v>
          </cell>
        </row>
        <row r="33">
          <cell r="G33">
            <v>1</v>
          </cell>
        </row>
        <row r="34">
          <cell r="G34">
            <v>0.6</v>
          </cell>
        </row>
        <row r="35">
          <cell r="G35">
            <v>0.01</v>
          </cell>
        </row>
        <row r="36">
          <cell r="G36">
            <v>0.01</v>
          </cell>
        </row>
        <row r="37">
          <cell r="G37">
            <v>0.4</v>
          </cell>
        </row>
        <row r="38">
          <cell r="G38">
            <v>0.2</v>
          </cell>
        </row>
        <row r="39">
          <cell r="G39">
            <v>0.01</v>
          </cell>
        </row>
        <row r="40">
          <cell r="G40">
            <v>0.2</v>
          </cell>
        </row>
        <row r="41">
          <cell r="G41">
            <v>0.15</v>
          </cell>
        </row>
        <row r="42">
          <cell r="G42">
            <v>0.01</v>
          </cell>
        </row>
        <row r="43">
          <cell r="G43">
            <v>0.01</v>
          </cell>
        </row>
        <row r="44">
          <cell r="G44">
            <v>0.01</v>
          </cell>
        </row>
        <row r="45">
          <cell r="G45">
            <v>0.15</v>
          </cell>
        </row>
        <row r="46">
          <cell r="G46">
            <v>0.15</v>
          </cell>
        </row>
      </sheetData>
      <sheetData sheetId="5">
        <row r="1">
          <cell r="G1" t="str">
            <v>Paid = $27.03</v>
          </cell>
        </row>
        <row r="2">
          <cell r="G2">
            <v>0.1</v>
          </cell>
        </row>
        <row r="3">
          <cell r="G3">
            <v>0.2</v>
          </cell>
        </row>
        <row r="4">
          <cell r="G4">
            <v>0.15</v>
          </cell>
        </row>
        <row r="5">
          <cell r="G5">
            <v>4.25</v>
          </cell>
        </row>
        <row r="6">
          <cell r="G6">
            <v>0.4</v>
          </cell>
        </row>
        <row r="7">
          <cell r="G7">
            <v>0.75</v>
          </cell>
        </row>
        <row r="8">
          <cell r="G8">
            <v>1.75</v>
          </cell>
        </row>
        <row r="9">
          <cell r="G9">
            <v>0.8</v>
          </cell>
        </row>
        <row r="10">
          <cell r="G10">
            <v>2.75</v>
          </cell>
        </row>
        <row r="11">
          <cell r="G11">
            <v>3.5</v>
          </cell>
        </row>
        <row r="12">
          <cell r="G12">
            <v>3.5</v>
          </cell>
        </row>
        <row r="13">
          <cell r="G13">
            <v>0.3</v>
          </cell>
        </row>
        <row r="14">
          <cell r="G14">
            <v>0.25</v>
          </cell>
        </row>
        <row r="15">
          <cell r="G15">
            <v>0.01</v>
          </cell>
        </row>
        <row r="16">
          <cell r="G16">
            <v>0.01</v>
          </cell>
        </row>
        <row r="17">
          <cell r="G17">
            <v>0.2</v>
          </cell>
        </row>
        <row r="18">
          <cell r="G18">
            <v>0.25</v>
          </cell>
        </row>
        <row r="19">
          <cell r="G19">
            <v>0.2</v>
          </cell>
        </row>
        <row r="20">
          <cell r="G20">
            <v>0.01</v>
          </cell>
        </row>
        <row r="21">
          <cell r="G21">
            <v>0.15</v>
          </cell>
        </row>
        <row r="22">
          <cell r="G22">
            <v>0.15</v>
          </cell>
        </row>
        <row r="23">
          <cell r="G23">
            <v>0.2</v>
          </cell>
        </row>
        <row r="24">
          <cell r="G24">
            <v>0.2</v>
          </cell>
        </row>
        <row r="25">
          <cell r="G25">
            <v>0.1</v>
          </cell>
        </row>
        <row r="26">
          <cell r="G26">
            <v>0.2</v>
          </cell>
        </row>
        <row r="27">
          <cell r="G27">
            <v>0.15</v>
          </cell>
        </row>
        <row r="28">
          <cell r="G28">
            <v>0.01</v>
          </cell>
        </row>
        <row r="29">
          <cell r="G29">
            <v>0.15</v>
          </cell>
        </row>
        <row r="30">
          <cell r="G30">
            <v>0.3</v>
          </cell>
        </row>
        <row r="31">
          <cell r="G31">
            <v>0.01</v>
          </cell>
        </row>
        <row r="32">
          <cell r="G32">
            <v>0.25</v>
          </cell>
        </row>
        <row r="33">
          <cell r="G33">
            <v>0.15</v>
          </cell>
        </row>
        <row r="34">
          <cell r="G34">
            <v>0.15</v>
          </cell>
        </row>
        <row r="35">
          <cell r="G35">
            <v>0.15</v>
          </cell>
        </row>
        <row r="36">
          <cell r="G36">
            <v>0.1</v>
          </cell>
        </row>
        <row r="37">
          <cell r="G37">
            <v>0.05</v>
          </cell>
        </row>
        <row r="38">
          <cell r="G38">
            <v>0.01</v>
          </cell>
        </row>
        <row r="39">
          <cell r="G39">
            <v>0.05</v>
          </cell>
        </row>
        <row r="40">
          <cell r="G40">
            <v>0.15</v>
          </cell>
        </row>
        <row r="41">
          <cell r="G41">
            <v>0.2</v>
          </cell>
        </row>
        <row r="42">
          <cell r="G42">
            <v>0.2</v>
          </cell>
        </row>
        <row r="43">
          <cell r="G43">
            <v>0.2</v>
          </cell>
        </row>
        <row r="44">
          <cell r="G44">
            <v>0.2</v>
          </cell>
        </row>
        <row r="45">
          <cell r="G45">
            <v>0.15</v>
          </cell>
        </row>
        <row r="46">
          <cell r="G46">
            <v>0.15</v>
          </cell>
        </row>
        <row r="47">
          <cell r="G47">
            <v>0.01</v>
          </cell>
        </row>
        <row r="48">
          <cell r="G48">
            <v>0.2</v>
          </cell>
        </row>
        <row r="49">
          <cell r="G49">
            <v>0.25</v>
          </cell>
        </row>
        <row r="50">
          <cell r="G50">
            <v>0.3</v>
          </cell>
        </row>
        <row r="51">
          <cell r="G51">
            <v>0.75</v>
          </cell>
        </row>
        <row r="52">
          <cell r="G52">
            <v>0.25</v>
          </cell>
        </row>
        <row r="53">
          <cell r="G53">
            <v>0.25</v>
          </cell>
        </row>
        <row r="54">
          <cell r="G54">
            <v>0.15</v>
          </cell>
        </row>
        <row r="55">
          <cell r="G55">
            <v>0.15</v>
          </cell>
        </row>
        <row r="56">
          <cell r="G56">
            <v>0.1</v>
          </cell>
        </row>
        <row r="57">
          <cell r="G57">
            <v>0.15</v>
          </cell>
        </row>
        <row r="58">
          <cell r="G58">
            <v>0.05</v>
          </cell>
        </row>
        <row r="59">
          <cell r="G59">
            <v>0.15</v>
          </cell>
        </row>
        <row r="60">
          <cell r="G60">
            <v>0.15</v>
          </cell>
        </row>
        <row r="61">
          <cell r="G61">
            <v>0.01</v>
          </cell>
        </row>
        <row r="62">
          <cell r="G62">
            <v>0.55000000000000004</v>
          </cell>
        </row>
        <row r="63">
          <cell r="G63">
            <v>0.25</v>
          </cell>
        </row>
        <row r="64">
          <cell r="G64">
            <v>0.25</v>
          </cell>
        </row>
      </sheetData>
      <sheetData sheetId="6">
        <row r="1">
          <cell r="G1" t="str">
            <v>Paid = $2.74</v>
          </cell>
        </row>
        <row r="2">
          <cell r="G2">
            <v>0.01</v>
          </cell>
        </row>
        <row r="3">
          <cell r="G3">
            <v>0.01</v>
          </cell>
        </row>
        <row r="4">
          <cell r="G4">
            <v>0.01</v>
          </cell>
        </row>
        <row r="5">
          <cell r="G5">
            <v>0.01</v>
          </cell>
        </row>
        <row r="6">
          <cell r="G6">
            <v>0.01</v>
          </cell>
        </row>
        <row r="7">
          <cell r="G7">
            <v>0.25</v>
          </cell>
        </row>
        <row r="8">
          <cell r="G8">
            <v>0.01</v>
          </cell>
        </row>
        <row r="9">
          <cell r="G9">
            <v>0.01</v>
          </cell>
        </row>
        <row r="10">
          <cell r="G10">
            <v>0.01</v>
          </cell>
        </row>
        <row r="11">
          <cell r="G11">
            <v>0.01</v>
          </cell>
        </row>
        <row r="12">
          <cell r="G12">
            <v>0.01</v>
          </cell>
        </row>
        <row r="13">
          <cell r="G13">
            <v>0.01</v>
          </cell>
        </row>
        <row r="14">
          <cell r="G14">
            <v>0.01</v>
          </cell>
        </row>
        <row r="15">
          <cell r="G15">
            <v>0.01</v>
          </cell>
        </row>
        <row r="16">
          <cell r="G16">
            <v>0.01</v>
          </cell>
        </row>
        <row r="17">
          <cell r="G17">
            <v>0.01</v>
          </cell>
        </row>
        <row r="18">
          <cell r="G18">
            <v>0.01</v>
          </cell>
        </row>
        <row r="19">
          <cell r="G19">
            <v>0.01</v>
          </cell>
        </row>
        <row r="20">
          <cell r="G20">
            <v>0.01</v>
          </cell>
        </row>
        <row r="21">
          <cell r="G21">
            <v>0.01</v>
          </cell>
        </row>
        <row r="22">
          <cell r="G22">
            <v>0.01</v>
          </cell>
        </row>
        <row r="23">
          <cell r="G23">
            <v>0.01</v>
          </cell>
        </row>
        <row r="24">
          <cell r="G24">
            <v>0.01</v>
          </cell>
        </row>
        <row r="25">
          <cell r="G25">
            <v>0.01</v>
          </cell>
        </row>
        <row r="26">
          <cell r="G26">
            <v>0.01</v>
          </cell>
        </row>
        <row r="27">
          <cell r="G27">
            <v>0.01</v>
          </cell>
        </row>
        <row r="28">
          <cell r="G28">
            <v>0.3</v>
          </cell>
        </row>
        <row r="29">
          <cell r="G29">
            <v>0.01</v>
          </cell>
        </row>
        <row r="30">
          <cell r="G30">
            <v>0.01</v>
          </cell>
        </row>
        <row r="31">
          <cell r="G31">
            <v>0.01</v>
          </cell>
        </row>
        <row r="32">
          <cell r="G32">
            <v>0.01</v>
          </cell>
        </row>
        <row r="33">
          <cell r="G33">
            <v>0.01</v>
          </cell>
        </row>
        <row r="34">
          <cell r="G34">
            <v>0.01</v>
          </cell>
        </row>
        <row r="35">
          <cell r="G35">
            <v>0.01</v>
          </cell>
        </row>
        <row r="36">
          <cell r="G36">
            <v>0.01</v>
          </cell>
        </row>
        <row r="37">
          <cell r="G37">
            <v>0.01</v>
          </cell>
        </row>
        <row r="38">
          <cell r="G38">
            <v>0.01</v>
          </cell>
        </row>
        <row r="39">
          <cell r="G39">
            <v>0.01</v>
          </cell>
        </row>
        <row r="41">
          <cell r="G41">
            <v>0.01</v>
          </cell>
        </row>
        <row r="42">
          <cell r="G42">
            <v>0.01</v>
          </cell>
        </row>
        <row r="43">
          <cell r="G43">
            <v>0.01</v>
          </cell>
        </row>
        <row r="44">
          <cell r="G44">
            <v>0.01</v>
          </cell>
        </row>
        <row r="45">
          <cell r="G45">
            <v>0.01</v>
          </cell>
        </row>
        <row r="46">
          <cell r="G46">
            <v>0.01</v>
          </cell>
        </row>
        <row r="47">
          <cell r="G47">
            <v>0.01</v>
          </cell>
        </row>
        <row r="48">
          <cell r="G48">
            <v>0.01</v>
          </cell>
        </row>
        <row r="49">
          <cell r="G49">
            <v>0.01</v>
          </cell>
        </row>
        <row r="50">
          <cell r="G50">
            <v>0.01</v>
          </cell>
        </row>
        <row r="51">
          <cell r="G51">
            <v>0.01</v>
          </cell>
        </row>
        <row r="52">
          <cell r="G52">
            <v>0.01</v>
          </cell>
        </row>
        <row r="53">
          <cell r="G53">
            <v>0.01</v>
          </cell>
        </row>
        <row r="54">
          <cell r="G54">
            <v>0.01</v>
          </cell>
        </row>
        <row r="55">
          <cell r="G55">
            <v>0.01</v>
          </cell>
        </row>
        <row r="56">
          <cell r="G56">
            <v>0.01</v>
          </cell>
        </row>
        <row r="57">
          <cell r="G57">
            <v>0.01</v>
          </cell>
        </row>
        <row r="58">
          <cell r="G58">
            <v>0.01</v>
          </cell>
        </row>
        <row r="59">
          <cell r="G59">
            <v>0.01</v>
          </cell>
        </row>
        <row r="60">
          <cell r="G60">
            <v>0.01</v>
          </cell>
        </row>
        <row r="61">
          <cell r="G61">
            <v>0.01</v>
          </cell>
        </row>
        <row r="62">
          <cell r="G62">
            <v>0.01</v>
          </cell>
        </row>
        <row r="63">
          <cell r="G63">
            <v>0.01</v>
          </cell>
        </row>
        <row r="64">
          <cell r="G64">
            <v>0.01</v>
          </cell>
        </row>
        <row r="65">
          <cell r="G65">
            <v>0.01</v>
          </cell>
        </row>
        <row r="66">
          <cell r="G66">
            <v>0.01</v>
          </cell>
        </row>
        <row r="67">
          <cell r="G67">
            <v>0.01</v>
          </cell>
        </row>
        <row r="68">
          <cell r="G68">
            <v>0.01</v>
          </cell>
        </row>
        <row r="78">
          <cell r="G78">
            <v>0.2</v>
          </cell>
        </row>
        <row r="79">
          <cell r="G79">
            <v>0.01</v>
          </cell>
        </row>
        <row r="80">
          <cell r="G80">
            <v>0.01</v>
          </cell>
        </row>
        <row r="81">
          <cell r="G81">
            <v>0.01</v>
          </cell>
        </row>
        <row r="82">
          <cell r="G82">
            <v>0.01</v>
          </cell>
        </row>
        <row r="83">
          <cell r="G83">
            <v>0.01</v>
          </cell>
        </row>
        <row r="84">
          <cell r="G84">
            <v>0.01</v>
          </cell>
        </row>
        <row r="85">
          <cell r="G85">
            <v>0.01</v>
          </cell>
        </row>
        <row r="86">
          <cell r="G86">
            <v>0.01</v>
          </cell>
        </row>
        <row r="87">
          <cell r="G87">
            <v>0.01</v>
          </cell>
        </row>
        <row r="88">
          <cell r="G88">
            <v>0.01</v>
          </cell>
        </row>
        <row r="89">
          <cell r="G89">
            <v>0.01</v>
          </cell>
        </row>
        <row r="90">
          <cell r="G90">
            <v>0.01</v>
          </cell>
        </row>
        <row r="91">
          <cell r="G91">
            <v>0.01</v>
          </cell>
        </row>
        <row r="92">
          <cell r="G92">
            <v>0.01</v>
          </cell>
        </row>
        <row r="93">
          <cell r="G93">
            <v>0.01</v>
          </cell>
        </row>
        <row r="94">
          <cell r="G94">
            <v>0.01</v>
          </cell>
        </row>
        <row r="95">
          <cell r="G95">
            <v>0.01</v>
          </cell>
        </row>
        <row r="96">
          <cell r="G96">
            <v>0.01</v>
          </cell>
        </row>
        <row r="97">
          <cell r="G97">
            <v>0.01</v>
          </cell>
        </row>
        <row r="98">
          <cell r="G98">
            <v>0.01</v>
          </cell>
        </row>
        <row r="99">
          <cell r="G99">
            <v>0.01</v>
          </cell>
        </row>
        <row r="100">
          <cell r="G100">
            <v>0.01</v>
          </cell>
        </row>
        <row r="101">
          <cell r="G101">
            <v>0.01</v>
          </cell>
        </row>
        <row r="102">
          <cell r="G102">
            <v>0.01</v>
          </cell>
        </row>
        <row r="103">
          <cell r="G103">
            <v>0.01</v>
          </cell>
        </row>
        <row r="104">
          <cell r="G104">
            <v>0.01</v>
          </cell>
        </row>
        <row r="105">
          <cell r="G105">
            <v>0.01</v>
          </cell>
        </row>
        <row r="106">
          <cell r="G106">
            <v>0.01</v>
          </cell>
        </row>
        <row r="107">
          <cell r="G107">
            <v>0.01</v>
          </cell>
        </row>
        <row r="108">
          <cell r="G108">
            <v>0.01</v>
          </cell>
        </row>
        <row r="109">
          <cell r="G109">
            <v>0.01</v>
          </cell>
        </row>
        <row r="110">
          <cell r="G110">
            <v>0.01</v>
          </cell>
        </row>
        <row r="111">
          <cell r="G111">
            <v>0.01</v>
          </cell>
        </row>
        <row r="112">
          <cell r="G112">
            <v>0.01</v>
          </cell>
        </row>
        <row r="113">
          <cell r="G113">
            <v>0.01</v>
          </cell>
        </row>
        <row r="114">
          <cell r="G114">
            <v>0.01</v>
          </cell>
        </row>
        <row r="115">
          <cell r="G115">
            <v>0.01</v>
          </cell>
        </row>
        <row r="116">
          <cell r="G116">
            <v>0.01</v>
          </cell>
        </row>
        <row r="117">
          <cell r="G117">
            <v>0.01</v>
          </cell>
        </row>
        <row r="118">
          <cell r="G118">
            <v>0.01</v>
          </cell>
        </row>
        <row r="119">
          <cell r="G119">
            <v>0.01</v>
          </cell>
        </row>
        <row r="120">
          <cell r="G120">
            <v>0.01</v>
          </cell>
        </row>
        <row r="121">
          <cell r="G121">
            <v>0.01</v>
          </cell>
        </row>
        <row r="122">
          <cell r="G122">
            <v>0.01</v>
          </cell>
        </row>
        <row r="123">
          <cell r="G123">
            <v>0.01</v>
          </cell>
        </row>
        <row r="124">
          <cell r="G124">
            <v>0.01</v>
          </cell>
        </row>
        <row r="125">
          <cell r="G125">
            <v>0.01</v>
          </cell>
        </row>
        <row r="126">
          <cell r="G126">
            <v>0.01</v>
          </cell>
        </row>
        <row r="127">
          <cell r="G127">
            <v>0.01</v>
          </cell>
        </row>
        <row r="128">
          <cell r="G128">
            <v>0.01</v>
          </cell>
        </row>
        <row r="129">
          <cell r="G129">
            <v>0.01</v>
          </cell>
        </row>
        <row r="130">
          <cell r="G130">
            <v>0.01</v>
          </cell>
        </row>
        <row r="131">
          <cell r="G131">
            <v>0.01</v>
          </cell>
        </row>
        <row r="132">
          <cell r="G132">
            <v>0.01</v>
          </cell>
        </row>
        <row r="133">
          <cell r="G133">
            <v>0.01</v>
          </cell>
        </row>
        <row r="134">
          <cell r="G134">
            <v>0.25</v>
          </cell>
        </row>
        <row r="135">
          <cell r="G135">
            <v>0.01</v>
          </cell>
        </row>
        <row r="136">
          <cell r="G136">
            <v>0.01</v>
          </cell>
        </row>
        <row r="137">
          <cell r="G137">
            <v>0.01</v>
          </cell>
        </row>
        <row r="138">
          <cell r="G138">
            <v>0.01</v>
          </cell>
        </row>
        <row r="139">
          <cell r="G139">
            <v>0.01</v>
          </cell>
        </row>
        <row r="140">
          <cell r="G140">
            <v>0.25</v>
          </cell>
        </row>
        <row r="141">
          <cell r="G141">
            <v>0.25</v>
          </cell>
        </row>
      </sheetData>
      <sheetData sheetId="7">
        <row r="1">
          <cell r="G1" t="str">
            <v>Paid = $1.68</v>
          </cell>
        </row>
        <row r="2">
          <cell r="G2">
            <v>0.01</v>
          </cell>
        </row>
        <row r="3">
          <cell r="G3">
            <v>0.01</v>
          </cell>
        </row>
        <row r="4">
          <cell r="G4">
            <v>0.01</v>
          </cell>
        </row>
        <row r="5">
          <cell r="G5">
            <v>0.01</v>
          </cell>
        </row>
        <row r="6">
          <cell r="G6">
            <v>0.01</v>
          </cell>
        </row>
        <row r="7">
          <cell r="G7">
            <v>0.01</v>
          </cell>
        </row>
        <row r="8">
          <cell r="G8">
            <v>0.01</v>
          </cell>
        </row>
        <row r="9">
          <cell r="G9">
            <v>0.01</v>
          </cell>
        </row>
        <row r="10">
          <cell r="G10">
            <v>0.01</v>
          </cell>
        </row>
        <row r="11">
          <cell r="G11">
            <v>0.01</v>
          </cell>
        </row>
        <row r="12">
          <cell r="G12">
            <v>0.01</v>
          </cell>
        </row>
        <row r="13">
          <cell r="G13">
            <v>0.01</v>
          </cell>
        </row>
        <row r="14">
          <cell r="G14">
            <v>0.01</v>
          </cell>
        </row>
        <row r="15">
          <cell r="G15">
            <v>0.01</v>
          </cell>
        </row>
        <row r="16">
          <cell r="G16">
            <v>0.01</v>
          </cell>
        </row>
        <row r="17">
          <cell r="G17">
            <v>0.01</v>
          </cell>
        </row>
        <row r="18">
          <cell r="G18">
            <v>0.01</v>
          </cell>
        </row>
        <row r="19">
          <cell r="G19">
            <v>0.01</v>
          </cell>
        </row>
        <row r="20">
          <cell r="G20">
            <v>0.01</v>
          </cell>
        </row>
        <row r="21">
          <cell r="G21">
            <v>0.01</v>
          </cell>
        </row>
        <row r="22">
          <cell r="G22">
            <v>0.01</v>
          </cell>
        </row>
        <row r="23">
          <cell r="G23">
            <v>0.01</v>
          </cell>
        </row>
        <row r="24">
          <cell r="G24">
            <v>0.01</v>
          </cell>
        </row>
        <row r="25">
          <cell r="G25">
            <v>0.01</v>
          </cell>
        </row>
        <row r="26">
          <cell r="G26">
            <v>0.01</v>
          </cell>
        </row>
        <row r="27">
          <cell r="G27">
            <v>0.01</v>
          </cell>
        </row>
        <row r="28">
          <cell r="G28">
            <v>0.01</v>
          </cell>
        </row>
        <row r="29">
          <cell r="G29">
            <v>0.01</v>
          </cell>
        </row>
        <row r="30">
          <cell r="G30">
            <v>0.01</v>
          </cell>
        </row>
        <row r="31">
          <cell r="G31">
            <v>0.01</v>
          </cell>
        </row>
        <row r="32">
          <cell r="G32">
            <v>0.01</v>
          </cell>
        </row>
        <row r="33">
          <cell r="G33">
            <v>0.01</v>
          </cell>
        </row>
        <row r="34">
          <cell r="G34">
            <v>0.01</v>
          </cell>
        </row>
        <row r="35">
          <cell r="G35">
            <v>0.01</v>
          </cell>
        </row>
        <row r="36">
          <cell r="G36">
            <v>0.01</v>
          </cell>
        </row>
        <row r="37">
          <cell r="G37">
            <v>0.01</v>
          </cell>
        </row>
        <row r="38">
          <cell r="G38">
            <v>0.01</v>
          </cell>
        </row>
        <row r="39">
          <cell r="G39">
            <v>0.01</v>
          </cell>
        </row>
        <row r="40">
          <cell r="G40">
            <v>0.01</v>
          </cell>
        </row>
        <row r="41">
          <cell r="G41">
            <v>0.01</v>
          </cell>
        </row>
        <row r="42">
          <cell r="G42">
            <v>0.01</v>
          </cell>
        </row>
        <row r="43">
          <cell r="G43">
            <v>0.01</v>
          </cell>
        </row>
        <row r="44">
          <cell r="G44">
            <v>0.01</v>
          </cell>
        </row>
        <row r="45">
          <cell r="G45">
            <v>0.01</v>
          </cell>
        </row>
        <row r="46">
          <cell r="G46">
            <v>0.01</v>
          </cell>
        </row>
        <row r="47">
          <cell r="G47">
            <v>0.01</v>
          </cell>
        </row>
        <row r="48">
          <cell r="G48">
            <v>0.01</v>
          </cell>
        </row>
        <row r="49">
          <cell r="G49">
            <v>0.01</v>
          </cell>
        </row>
        <row r="50">
          <cell r="G50">
            <v>0.01</v>
          </cell>
        </row>
        <row r="51">
          <cell r="G51">
            <v>0.01</v>
          </cell>
        </row>
        <row r="52">
          <cell r="G52">
            <v>0.01</v>
          </cell>
        </row>
        <row r="53">
          <cell r="G53">
            <v>0.01</v>
          </cell>
        </row>
        <row r="54">
          <cell r="G54">
            <v>0.01</v>
          </cell>
        </row>
        <row r="55">
          <cell r="G55">
            <v>0.01</v>
          </cell>
        </row>
        <row r="56">
          <cell r="G56">
            <v>0.01</v>
          </cell>
        </row>
        <row r="57">
          <cell r="G57">
            <v>0.2</v>
          </cell>
        </row>
        <row r="58">
          <cell r="G58">
            <v>0.25</v>
          </cell>
        </row>
        <row r="59">
          <cell r="G59">
            <v>0.01</v>
          </cell>
        </row>
        <row r="60">
          <cell r="G60">
            <v>0.01</v>
          </cell>
        </row>
        <row r="61">
          <cell r="G61">
            <v>0.01</v>
          </cell>
        </row>
        <row r="62">
          <cell r="G62">
            <v>0.01</v>
          </cell>
        </row>
        <row r="63">
          <cell r="G63">
            <v>0.01</v>
          </cell>
        </row>
        <row r="64">
          <cell r="G64">
            <v>0.01</v>
          </cell>
        </row>
        <row r="65">
          <cell r="G65">
            <v>0.01</v>
          </cell>
        </row>
        <row r="66">
          <cell r="G66">
            <v>0.01</v>
          </cell>
        </row>
        <row r="67">
          <cell r="G67">
            <v>0.01</v>
          </cell>
        </row>
        <row r="68">
          <cell r="G68">
            <v>0.01</v>
          </cell>
        </row>
        <row r="69">
          <cell r="G69">
            <v>0.01</v>
          </cell>
        </row>
        <row r="70">
          <cell r="G70">
            <v>0.01</v>
          </cell>
        </row>
        <row r="71">
          <cell r="G71">
            <v>0.01</v>
          </cell>
        </row>
        <row r="72">
          <cell r="G72">
            <v>0.01</v>
          </cell>
        </row>
        <row r="73">
          <cell r="G73">
            <v>0.01</v>
          </cell>
        </row>
        <row r="74">
          <cell r="G74">
            <v>0.01</v>
          </cell>
        </row>
        <row r="75">
          <cell r="G75">
            <v>0.01</v>
          </cell>
        </row>
        <row r="76">
          <cell r="G76">
            <v>0.01</v>
          </cell>
        </row>
        <row r="77">
          <cell r="G77">
            <v>0.01</v>
          </cell>
        </row>
        <row r="78">
          <cell r="G78">
            <v>0.01</v>
          </cell>
        </row>
        <row r="79">
          <cell r="G79">
            <v>0.01</v>
          </cell>
        </row>
        <row r="80">
          <cell r="G80">
            <v>0.01</v>
          </cell>
        </row>
        <row r="81">
          <cell r="G81">
            <v>0.01</v>
          </cell>
        </row>
        <row r="82">
          <cell r="G82">
            <v>0.01</v>
          </cell>
        </row>
        <row r="83">
          <cell r="G83">
            <v>0.01</v>
          </cell>
        </row>
        <row r="84">
          <cell r="G84">
            <v>0.01</v>
          </cell>
        </row>
        <row r="85">
          <cell r="G85">
            <v>0.01</v>
          </cell>
        </row>
        <row r="86">
          <cell r="G86">
            <v>0.01</v>
          </cell>
        </row>
        <row r="87">
          <cell r="G87">
            <v>0.01</v>
          </cell>
        </row>
        <row r="88">
          <cell r="G88">
            <v>0.01</v>
          </cell>
        </row>
        <row r="89">
          <cell r="G89">
            <v>0.01</v>
          </cell>
        </row>
        <row r="90">
          <cell r="G90">
            <v>0.01</v>
          </cell>
        </row>
        <row r="91">
          <cell r="G91">
            <v>0.01</v>
          </cell>
        </row>
        <row r="92">
          <cell r="G92">
            <v>0.01</v>
          </cell>
        </row>
        <row r="93">
          <cell r="G93">
            <v>0.01</v>
          </cell>
        </row>
        <row r="94">
          <cell r="G94">
            <v>0.01</v>
          </cell>
        </row>
        <row r="95">
          <cell r="G95">
            <v>0.01</v>
          </cell>
        </row>
        <row r="96">
          <cell r="G96">
            <v>0.01</v>
          </cell>
        </row>
        <row r="97">
          <cell r="G97">
            <v>0.01</v>
          </cell>
        </row>
        <row r="98">
          <cell r="G98">
            <v>0.01</v>
          </cell>
        </row>
        <row r="99">
          <cell r="G99">
            <v>0.01</v>
          </cell>
        </row>
        <row r="100">
          <cell r="G100">
            <v>0.01</v>
          </cell>
        </row>
        <row r="101">
          <cell r="G101">
            <v>0.01</v>
          </cell>
        </row>
        <row r="102">
          <cell r="G102">
            <v>0.01</v>
          </cell>
        </row>
        <row r="103">
          <cell r="G103">
            <v>0.01</v>
          </cell>
        </row>
        <row r="104">
          <cell r="G104">
            <v>0.01</v>
          </cell>
        </row>
        <row r="105">
          <cell r="G105">
            <v>0.01</v>
          </cell>
        </row>
        <row r="106">
          <cell r="G106">
            <v>0.01</v>
          </cell>
        </row>
        <row r="107">
          <cell r="G107">
            <v>0.01</v>
          </cell>
        </row>
        <row r="108">
          <cell r="G108">
            <v>0.01</v>
          </cell>
        </row>
        <row r="109">
          <cell r="G109">
            <v>0.01</v>
          </cell>
        </row>
        <row r="110">
          <cell r="G110">
            <v>0.01</v>
          </cell>
        </row>
        <row r="111">
          <cell r="G111">
            <v>0.01</v>
          </cell>
        </row>
        <row r="112">
          <cell r="G112">
            <v>0.01</v>
          </cell>
        </row>
        <row r="113">
          <cell r="G113">
            <v>0.01</v>
          </cell>
        </row>
        <row r="114">
          <cell r="G114">
            <v>0.01</v>
          </cell>
        </row>
        <row r="115">
          <cell r="G115">
            <v>0.01</v>
          </cell>
        </row>
        <row r="116">
          <cell r="G116">
            <v>0.01</v>
          </cell>
        </row>
        <row r="117">
          <cell r="G117">
            <v>0.01</v>
          </cell>
        </row>
        <row r="118">
          <cell r="G118">
            <v>0.01</v>
          </cell>
        </row>
        <row r="119">
          <cell r="G119">
            <v>0.01</v>
          </cell>
        </row>
        <row r="120">
          <cell r="G120">
            <v>0.01</v>
          </cell>
        </row>
        <row r="121">
          <cell r="G121">
            <v>0.01</v>
          </cell>
        </row>
        <row r="122">
          <cell r="G122">
            <v>0.01</v>
          </cell>
        </row>
        <row r="123">
          <cell r="G123">
            <v>0.01</v>
          </cell>
        </row>
        <row r="124">
          <cell r="G124">
            <v>0.01</v>
          </cell>
        </row>
        <row r="125">
          <cell r="G125">
            <v>0.01</v>
          </cell>
        </row>
        <row r="126">
          <cell r="G126">
            <v>0.01</v>
          </cell>
        </row>
      </sheetData>
      <sheetData sheetId="8">
        <row r="1">
          <cell r="G1" t="str">
            <v>Paid = $3.05</v>
          </cell>
        </row>
        <row r="2">
          <cell r="G2">
            <v>0.01</v>
          </cell>
        </row>
        <row r="3">
          <cell r="G3">
            <v>0.01</v>
          </cell>
        </row>
        <row r="4">
          <cell r="G4">
            <v>0.01</v>
          </cell>
        </row>
        <row r="5">
          <cell r="G5">
            <v>0.01</v>
          </cell>
        </row>
        <row r="6">
          <cell r="G6">
            <v>0.01</v>
          </cell>
        </row>
        <row r="7">
          <cell r="G7">
            <v>0.01</v>
          </cell>
        </row>
        <row r="8">
          <cell r="G8">
            <v>0.01</v>
          </cell>
        </row>
        <row r="9">
          <cell r="G9">
            <v>0.01</v>
          </cell>
        </row>
        <row r="10">
          <cell r="G10">
            <v>0.01</v>
          </cell>
        </row>
        <row r="11">
          <cell r="G11">
            <v>0.01</v>
          </cell>
        </row>
        <row r="12">
          <cell r="G12">
            <v>0.01</v>
          </cell>
        </row>
        <row r="13">
          <cell r="G13">
            <v>0.01</v>
          </cell>
        </row>
        <row r="14">
          <cell r="G14">
            <v>0.01</v>
          </cell>
        </row>
        <row r="15">
          <cell r="G15">
            <v>0.01</v>
          </cell>
        </row>
        <row r="16">
          <cell r="G16">
            <v>0.01</v>
          </cell>
        </row>
        <row r="17">
          <cell r="G17">
            <v>0.01</v>
          </cell>
        </row>
        <row r="18">
          <cell r="G18">
            <v>0.01</v>
          </cell>
        </row>
        <row r="19">
          <cell r="G19">
            <v>0.01</v>
          </cell>
        </row>
        <row r="20">
          <cell r="G20">
            <v>0.01</v>
          </cell>
        </row>
        <row r="21">
          <cell r="G21">
            <v>0.01</v>
          </cell>
        </row>
        <row r="22">
          <cell r="G22">
            <v>0.01</v>
          </cell>
        </row>
        <row r="23">
          <cell r="G23">
            <v>0.01</v>
          </cell>
        </row>
        <row r="24">
          <cell r="G24">
            <v>0.01</v>
          </cell>
        </row>
        <row r="25">
          <cell r="G25">
            <v>0.01</v>
          </cell>
        </row>
        <row r="26">
          <cell r="G26">
            <v>0.01</v>
          </cell>
        </row>
        <row r="27">
          <cell r="G27">
            <v>0.01</v>
          </cell>
        </row>
        <row r="28">
          <cell r="G28">
            <v>0.01</v>
          </cell>
        </row>
        <row r="29">
          <cell r="G29">
            <v>0.01</v>
          </cell>
        </row>
        <row r="30">
          <cell r="G30">
            <v>0.01</v>
          </cell>
        </row>
        <row r="31">
          <cell r="G31">
            <v>0.01</v>
          </cell>
        </row>
        <row r="32">
          <cell r="G32">
            <v>0.01</v>
          </cell>
        </row>
        <row r="33">
          <cell r="G33">
            <v>0.01</v>
          </cell>
        </row>
        <row r="34">
          <cell r="G34">
            <v>0.01</v>
          </cell>
        </row>
        <row r="35">
          <cell r="G35">
            <v>0.01</v>
          </cell>
        </row>
        <row r="36">
          <cell r="G36">
            <v>0.01</v>
          </cell>
        </row>
        <row r="37">
          <cell r="G37">
            <v>0.01</v>
          </cell>
        </row>
        <row r="38">
          <cell r="G38">
            <v>0.01</v>
          </cell>
        </row>
        <row r="39">
          <cell r="G39">
            <v>0.01</v>
          </cell>
        </row>
        <row r="40">
          <cell r="G40">
            <v>0.01</v>
          </cell>
        </row>
        <row r="41">
          <cell r="G41">
            <v>0.01</v>
          </cell>
        </row>
        <row r="42">
          <cell r="G42">
            <v>0.01</v>
          </cell>
        </row>
        <row r="43">
          <cell r="G43">
            <v>0.01</v>
          </cell>
        </row>
        <row r="44">
          <cell r="G44">
            <v>0.01</v>
          </cell>
        </row>
        <row r="45">
          <cell r="G45">
            <v>0.01</v>
          </cell>
        </row>
        <row r="46">
          <cell r="G46">
            <v>0.01</v>
          </cell>
        </row>
        <row r="47">
          <cell r="G47">
            <v>0.01</v>
          </cell>
        </row>
        <row r="48">
          <cell r="G48">
            <v>0.01</v>
          </cell>
        </row>
        <row r="49">
          <cell r="G49">
            <v>0.01</v>
          </cell>
        </row>
        <row r="50">
          <cell r="G50">
            <v>0.01</v>
          </cell>
        </row>
        <row r="51">
          <cell r="G51">
            <v>0.01</v>
          </cell>
        </row>
        <row r="52">
          <cell r="G52">
            <v>0.01</v>
          </cell>
        </row>
        <row r="53">
          <cell r="G53">
            <v>0.01</v>
          </cell>
        </row>
        <row r="54">
          <cell r="G54">
            <v>0.01</v>
          </cell>
        </row>
        <row r="55">
          <cell r="G55">
            <v>0.01</v>
          </cell>
        </row>
        <row r="56">
          <cell r="G56">
            <v>0.01</v>
          </cell>
        </row>
        <row r="57">
          <cell r="G57">
            <v>0.01</v>
          </cell>
        </row>
        <row r="58">
          <cell r="G58">
            <v>0.01</v>
          </cell>
        </row>
        <row r="59">
          <cell r="G59">
            <v>0.01</v>
          </cell>
        </row>
        <row r="60">
          <cell r="G60">
            <v>0.01</v>
          </cell>
        </row>
        <row r="61">
          <cell r="G61">
            <v>0.01</v>
          </cell>
        </row>
        <row r="62">
          <cell r="G62">
            <v>0.01</v>
          </cell>
        </row>
        <row r="63">
          <cell r="G63">
            <v>0.01</v>
          </cell>
        </row>
        <row r="64">
          <cell r="G64">
            <v>0.01</v>
          </cell>
        </row>
        <row r="65">
          <cell r="G65">
            <v>0.01</v>
          </cell>
        </row>
        <row r="66">
          <cell r="G66">
            <v>0.01</v>
          </cell>
        </row>
        <row r="67">
          <cell r="G67">
            <v>0.01</v>
          </cell>
        </row>
        <row r="68">
          <cell r="G68">
            <v>0.01</v>
          </cell>
        </row>
        <row r="69">
          <cell r="G69">
            <v>0.01</v>
          </cell>
        </row>
        <row r="70">
          <cell r="G70">
            <v>0.01</v>
          </cell>
        </row>
        <row r="71">
          <cell r="G71">
            <v>0.01</v>
          </cell>
        </row>
        <row r="72">
          <cell r="G72">
            <v>0.01</v>
          </cell>
        </row>
        <row r="73">
          <cell r="G73">
            <v>0.01</v>
          </cell>
        </row>
        <row r="74">
          <cell r="G74">
            <v>0.01</v>
          </cell>
        </row>
        <row r="75">
          <cell r="G75">
            <v>0.01</v>
          </cell>
        </row>
        <row r="76">
          <cell r="G76">
            <v>0.01</v>
          </cell>
        </row>
        <row r="77">
          <cell r="G77">
            <v>0.01</v>
          </cell>
        </row>
        <row r="78">
          <cell r="G78">
            <v>0.01</v>
          </cell>
        </row>
        <row r="79">
          <cell r="G79">
            <v>0.01</v>
          </cell>
        </row>
        <row r="80">
          <cell r="G80">
            <v>0.01</v>
          </cell>
        </row>
        <row r="81">
          <cell r="G81">
            <v>0.01</v>
          </cell>
        </row>
        <row r="82">
          <cell r="G82">
            <v>0.01</v>
          </cell>
        </row>
        <row r="83">
          <cell r="G83">
            <v>0.01</v>
          </cell>
        </row>
        <row r="84">
          <cell r="G84">
            <v>0.01</v>
          </cell>
        </row>
        <row r="85">
          <cell r="G85">
            <v>0.01</v>
          </cell>
        </row>
        <row r="86">
          <cell r="G86">
            <v>0.01</v>
          </cell>
        </row>
        <row r="87">
          <cell r="G87">
            <v>0.01</v>
          </cell>
        </row>
        <row r="88">
          <cell r="G88">
            <v>0.01</v>
          </cell>
        </row>
        <row r="89">
          <cell r="G89">
            <v>0.01</v>
          </cell>
        </row>
        <row r="90">
          <cell r="G90">
            <v>0.01</v>
          </cell>
        </row>
        <row r="91">
          <cell r="G91">
            <v>0.01</v>
          </cell>
        </row>
        <row r="92">
          <cell r="G92">
            <v>0.01</v>
          </cell>
        </row>
        <row r="93">
          <cell r="G93">
            <v>0.01</v>
          </cell>
        </row>
        <row r="94">
          <cell r="G94">
            <v>0.5</v>
          </cell>
        </row>
        <row r="95">
          <cell r="G95">
            <v>0.01</v>
          </cell>
        </row>
        <row r="96">
          <cell r="G96">
            <v>0.01</v>
          </cell>
        </row>
        <row r="97">
          <cell r="G97">
            <v>0.75</v>
          </cell>
        </row>
        <row r="98">
          <cell r="G98">
            <v>0.25</v>
          </cell>
        </row>
        <row r="99">
          <cell r="G99">
            <v>0.01</v>
          </cell>
        </row>
        <row r="100">
          <cell r="G100">
            <v>0.01</v>
          </cell>
        </row>
        <row r="101">
          <cell r="G101">
            <v>0.01</v>
          </cell>
        </row>
        <row r="102">
          <cell r="G102">
            <v>0.01</v>
          </cell>
        </row>
        <row r="103">
          <cell r="G103">
            <v>0.01</v>
          </cell>
        </row>
        <row r="104">
          <cell r="G104">
            <v>0.01</v>
          </cell>
        </row>
        <row r="105">
          <cell r="G105">
            <v>0.01</v>
          </cell>
        </row>
        <row r="106">
          <cell r="G106">
            <v>0.01</v>
          </cell>
        </row>
        <row r="107">
          <cell r="G107">
            <v>0.01</v>
          </cell>
        </row>
        <row r="108">
          <cell r="G108">
            <v>0.01</v>
          </cell>
        </row>
        <row r="109">
          <cell r="G109">
            <v>0.01</v>
          </cell>
        </row>
        <row r="110">
          <cell r="G110">
            <v>0.5</v>
          </cell>
        </row>
      </sheetData>
      <sheetData sheetId="9">
        <row r="1">
          <cell r="G1" t="str">
            <v>Paid = $17.97</v>
          </cell>
        </row>
        <row r="2">
          <cell r="G2">
            <v>0.01</v>
          </cell>
        </row>
        <row r="3">
          <cell r="G3">
            <v>0.01</v>
          </cell>
        </row>
        <row r="4">
          <cell r="G4">
            <v>0.01</v>
          </cell>
        </row>
        <row r="5">
          <cell r="G5">
            <v>0.01</v>
          </cell>
        </row>
        <row r="6">
          <cell r="G6">
            <v>0.01</v>
          </cell>
        </row>
        <row r="7">
          <cell r="G7">
            <v>0.01</v>
          </cell>
        </row>
        <row r="8">
          <cell r="G8">
            <v>0.01</v>
          </cell>
        </row>
        <row r="9">
          <cell r="G9">
            <v>0.01</v>
          </cell>
        </row>
        <row r="10">
          <cell r="G10">
            <v>0.01</v>
          </cell>
        </row>
        <row r="11">
          <cell r="G11">
            <v>0.01</v>
          </cell>
        </row>
        <row r="12">
          <cell r="G12">
            <v>0.01</v>
          </cell>
        </row>
        <row r="13">
          <cell r="G13">
            <v>0.01</v>
          </cell>
        </row>
        <row r="14">
          <cell r="G14">
            <v>0.4</v>
          </cell>
        </row>
        <row r="15">
          <cell r="G15">
            <v>0.01</v>
          </cell>
        </row>
        <row r="16">
          <cell r="G16">
            <v>0.01</v>
          </cell>
        </row>
        <row r="17">
          <cell r="G17">
            <v>0.01</v>
          </cell>
        </row>
        <row r="18">
          <cell r="G18">
            <v>0.01</v>
          </cell>
        </row>
        <row r="19">
          <cell r="G19">
            <v>0.01</v>
          </cell>
        </row>
        <row r="20">
          <cell r="G20">
            <v>0.01</v>
          </cell>
        </row>
        <row r="21">
          <cell r="G21">
            <v>0.01</v>
          </cell>
        </row>
        <row r="22">
          <cell r="G22">
            <v>0.01</v>
          </cell>
        </row>
        <row r="23">
          <cell r="G23">
            <v>0.01</v>
          </cell>
        </row>
        <row r="24">
          <cell r="G24">
            <v>1</v>
          </cell>
        </row>
        <row r="25">
          <cell r="G25">
            <v>0.01</v>
          </cell>
        </row>
        <row r="26">
          <cell r="G26">
            <v>0.01</v>
          </cell>
        </row>
        <row r="27">
          <cell r="G27">
            <v>0.01</v>
          </cell>
        </row>
        <row r="28">
          <cell r="G28">
            <v>0.01</v>
          </cell>
        </row>
        <row r="29">
          <cell r="G29">
            <v>0.01</v>
          </cell>
        </row>
        <row r="30">
          <cell r="G30">
            <v>0.01</v>
          </cell>
        </row>
        <row r="31">
          <cell r="G31">
            <v>0.01</v>
          </cell>
        </row>
        <row r="32">
          <cell r="G32">
            <v>0.01</v>
          </cell>
        </row>
        <row r="33">
          <cell r="G33">
            <v>0.01</v>
          </cell>
        </row>
        <row r="34">
          <cell r="G34">
            <v>0.01</v>
          </cell>
        </row>
        <row r="35">
          <cell r="G35">
            <v>0.01</v>
          </cell>
        </row>
        <row r="36">
          <cell r="G36">
            <v>0.9</v>
          </cell>
        </row>
        <row r="37">
          <cell r="G37">
            <v>0.25</v>
          </cell>
        </row>
        <row r="38">
          <cell r="G38">
            <v>0.01</v>
          </cell>
        </row>
        <row r="39">
          <cell r="G39">
            <v>0.01</v>
          </cell>
        </row>
        <row r="40">
          <cell r="G40">
            <v>0.01</v>
          </cell>
        </row>
        <row r="41">
          <cell r="G41">
            <v>0.01</v>
          </cell>
        </row>
        <row r="42">
          <cell r="G42">
            <v>0.01</v>
          </cell>
        </row>
        <row r="43">
          <cell r="G43">
            <v>0.01</v>
          </cell>
        </row>
        <row r="44">
          <cell r="G44">
            <v>0.01</v>
          </cell>
        </row>
        <row r="45">
          <cell r="G45">
            <v>0.01</v>
          </cell>
        </row>
        <row r="46">
          <cell r="G46">
            <v>0.01</v>
          </cell>
        </row>
        <row r="47">
          <cell r="G47">
            <v>0.01</v>
          </cell>
        </row>
        <row r="48">
          <cell r="G48">
            <v>0.01</v>
          </cell>
        </row>
        <row r="49">
          <cell r="G49">
            <v>0.3</v>
          </cell>
        </row>
        <row r="50">
          <cell r="G50">
            <v>0.01</v>
          </cell>
        </row>
        <row r="51">
          <cell r="G51">
            <v>0.01</v>
          </cell>
        </row>
        <row r="52">
          <cell r="G52">
            <v>0.01</v>
          </cell>
        </row>
        <row r="53">
          <cell r="G53">
            <v>0.01</v>
          </cell>
        </row>
        <row r="54">
          <cell r="G54">
            <v>0.01</v>
          </cell>
        </row>
        <row r="55">
          <cell r="G55">
            <v>0.01</v>
          </cell>
        </row>
        <row r="56">
          <cell r="G56">
            <v>0.01</v>
          </cell>
        </row>
        <row r="57">
          <cell r="G57">
            <v>0.01</v>
          </cell>
        </row>
        <row r="58">
          <cell r="G58">
            <v>0.01</v>
          </cell>
        </row>
        <row r="59">
          <cell r="G59">
            <v>0.01</v>
          </cell>
        </row>
        <row r="60">
          <cell r="G60">
            <v>0.01</v>
          </cell>
        </row>
        <row r="61">
          <cell r="G61">
            <v>0.01</v>
          </cell>
        </row>
        <row r="62">
          <cell r="G62">
            <v>0.03</v>
          </cell>
        </row>
        <row r="63">
          <cell r="G63">
            <v>0.03</v>
          </cell>
        </row>
        <row r="64">
          <cell r="G64">
            <v>0.01</v>
          </cell>
        </row>
        <row r="65">
          <cell r="G65">
            <v>0.01</v>
          </cell>
        </row>
        <row r="66">
          <cell r="G66">
            <v>0.01</v>
          </cell>
        </row>
        <row r="67">
          <cell r="G67">
            <v>0.01</v>
          </cell>
        </row>
        <row r="68">
          <cell r="G68">
            <v>0.01</v>
          </cell>
        </row>
        <row r="69">
          <cell r="G69">
            <v>0.01</v>
          </cell>
        </row>
        <row r="70">
          <cell r="G70">
            <v>0.01</v>
          </cell>
        </row>
        <row r="71">
          <cell r="G71">
            <v>0.01</v>
          </cell>
        </row>
        <row r="72">
          <cell r="G72">
            <v>0.01</v>
          </cell>
        </row>
        <row r="73">
          <cell r="G73">
            <v>0.01</v>
          </cell>
        </row>
        <row r="74">
          <cell r="G74">
            <v>0.01</v>
          </cell>
        </row>
        <row r="75">
          <cell r="G75">
            <v>1.5</v>
          </cell>
        </row>
        <row r="76">
          <cell r="G76">
            <v>2.25</v>
          </cell>
        </row>
        <row r="77">
          <cell r="G77">
            <v>0.01</v>
          </cell>
        </row>
        <row r="78">
          <cell r="G78">
            <v>0.01</v>
          </cell>
        </row>
        <row r="79">
          <cell r="G79">
            <v>0.01</v>
          </cell>
        </row>
        <row r="80">
          <cell r="G80">
            <v>0.01</v>
          </cell>
        </row>
        <row r="81">
          <cell r="G81">
            <v>0.01</v>
          </cell>
        </row>
        <row r="82">
          <cell r="G82">
            <v>0.01</v>
          </cell>
        </row>
        <row r="83">
          <cell r="G83">
            <v>0.01</v>
          </cell>
        </row>
        <row r="84">
          <cell r="G84">
            <v>0.01</v>
          </cell>
        </row>
        <row r="85">
          <cell r="G85">
            <v>0.5</v>
          </cell>
        </row>
        <row r="86">
          <cell r="G86">
            <v>0.01</v>
          </cell>
        </row>
        <row r="87">
          <cell r="G87">
            <v>1.5</v>
          </cell>
        </row>
        <row r="88">
          <cell r="G88">
            <v>0.01</v>
          </cell>
        </row>
        <row r="89">
          <cell r="G89">
            <v>0.01</v>
          </cell>
        </row>
        <row r="90">
          <cell r="G90">
            <v>0.01</v>
          </cell>
        </row>
        <row r="91">
          <cell r="G91">
            <v>0.01</v>
          </cell>
        </row>
        <row r="92">
          <cell r="G92">
            <v>0.25</v>
          </cell>
        </row>
        <row r="93">
          <cell r="G93">
            <v>0.75</v>
          </cell>
        </row>
        <row r="94">
          <cell r="G94">
            <v>0.01</v>
          </cell>
        </row>
        <row r="95">
          <cell r="G95">
            <v>0.01</v>
          </cell>
        </row>
        <row r="96">
          <cell r="G96">
            <v>1.1000000000000001</v>
          </cell>
        </row>
        <row r="97">
          <cell r="G97">
            <v>0.01</v>
          </cell>
        </row>
        <row r="98">
          <cell r="G98">
            <v>0.01</v>
          </cell>
        </row>
        <row r="99">
          <cell r="G99">
            <v>0.01</v>
          </cell>
        </row>
        <row r="100">
          <cell r="G100">
            <v>0.01</v>
          </cell>
        </row>
        <row r="101">
          <cell r="G101">
            <v>0.01</v>
          </cell>
        </row>
        <row r="102">
          <cell r="G102">
            <v>0.01</v>
          </cell>
        </row>
        <row r="103">
          <cell r="G103">
            <v>0.3</v>
          </cell>
        </row>
        <row r="104">
          <cell r="G104">
            <v>0.95</v>
          </cell>
        </row>
        <row r="105">
          <cell r="G105">
            <v>0.01</v>
          </cell>
        </row>
        <row r="106">
          <cell r="G106">
            <v>1.5</v>
          </cell>
        </row>
        <row r="107">
          <cell r="G107">
            <v>0.01</v>
          </cell>
        </row>
        <row r="108">
          <cell r="G108">
            <v>0.01</v>
          </cell>
        </row>
        <row r="109">
          <cell r="G109">
            <v>0.01</v>
          </cell>
        </row>
        <row r="110">
          <cell r="G110">
            <v>0.01</v>
          </cell>
        </row>
        <row r="111">
          <cell r="G111">
            <v>0.25</v>
          </cell>
        </row>
        <row r="112">
          <cell r="G112">
            <v>1.25</v>
          </cell>
        </row>
        <row r="113">
          <cell r="G113">
            <v>0.03</v>
          </cell>
        </row>
        <row r="114">
          <cell r="G114">
            <v>0.01</v>
          </cell>
        </row>
        <row r="115">
          <cell r="G115">
            <v>2</v>
          </cell>
        </row>
      </sheetData>
      <sheetData sheetId="10">
        <row r="1">
          <cell r="G1" t="str">
            <v>Paid = $26.71</v>
          </cell>
        </row>
        <row r="2">
          <cell r="G2">
            <v>0.01</v>
          </cell>
        </row>
        <row r="3">
          <cell r="G3">
            <v>0.01</v>
          </cell>
        </row>
        <row r="4">
          <cell r="G4">
            <v>0.01</v>
          </cell>
        </row>
        <row r="5">
          <cell r="G5">
            <v>0.01</v>
          </cell>
        </row>
        <row r="6">
          <cell r="G6">
            <v>0.01</v>
          </cell>
        </row>
        <row r="7">
          <cell r="G7">
            <v>0.01</v>
          </cell>
        </row>
        <row r="8">
          <cell r="G8">
            <v>0.01</v>
          </cell>
        </row>
        <row r="9">
          <cell r="G9">
            <v>0.01</v>
          </cell>
        </row>
        <row r="10">
          <cell r="G10">
            <v>0.4</v>
          </cell>
        </row>
        <row r="11">
          <cell r="G11">
            <v>0.03</v>
          </cell>
        </row>
        <row r="12">
          <cell r="G12">
            <v>0.5</v>
          </cell>
        </row>
        <row r="13">
          <cell r="G13">
            <v>0.01</v>
          </cell>
        </row>
        <row r="14">
          <cell r="G14">
            <v>0.01</v>
          </cell>
        </row>
        <row r="15">
          <cell r="G15">
            <v>0.01</v>
          </cell>
        </row>
        <row r="16">
          <cell r="G16">
            <v>0.01</v>
          </cell>
        </row>
        <row r="17">
          <cell r="G17">
            <v>0.01</v>
          </cell>
        </row>
        <row r="18">
          <cell r="G18">
            <v>0.01</v>
          </cell>
        </row>
        <row r="19">
          <cell r="G19">
            <v>0.01</v>
          </cell>
        </row>
        <row r="20">
          <cell r="G20">
            <v>0.2</v>
          </cell>
        </row>
        <row r="21">
          <cell r="G21">
            <v>0.5</v>
          </cell>
        </row>
        <row r="22">
          <cell r="G22">
            <v>0.01</v>
          </cell>
        </row>
        <row r="23">
          <cell r="G23">
            <v>0.2</v>
          </cell>
        </row>
        <row r="24">
          <cell r="G24">
            <v>0.5</v>
          </cell>
        </row>
        <row r="25">
          <cell r="G25">
            <v>0.01</v>
          </cell>
        </row>
        <row r="26">
          <cell r="G26">
            <v>0.01</v>
          </cell>
        </row>
        <row r="27">
          <cell r="G27">
            <v>0.01</v>
          </cell>
        </row>
        <row r="28">
          <cell r="G28">
            <v>0.01</v>
          </cell>
        </row>
        <row r="29">
          <cell r="G29">
            <v>0.01</v>
          </cell>
        </row>
        <row r="30">
          <cell r="G30">
            <v>0.01</v>
          </cell>
        </row>
        <row r="31">
          <cell r="G31">
            <v>0.01</v>
          </cell>
        </row>
        <row r="32">
          <cell r="G32">
            <v>0.01</v>
          </cell>
        </row>
        <row r="33">
          <cell r="G33">
            <v>0.01</v>
          </cell>
        </row>
        <row r="34">
          <cell r="G34">
            <v>0.01</v>
          </cell>
        </row>
        <row r="35">
          <cell r="G35">
            <v>0.01</v>
          </cell>
        </row>
        <row r="36">
          <cell r="G36">
            <v>0.01</v>
          </cell>
        </row>
        <row r="37">
          <cell r="G37">
            <v>0.03</v>
          </cell>
        </row>
        <row r="38">
          <cell r="G38">
            <v>0.9</v>
          </cell>
        </row>
        <row r="39">
          <cell r="G39">
            <v>0.03</v>
          </cell>
        </row>
        <row r="40">
          <cell r="G40">
            <v>1.1000000000000001</v>
          </cell>
        </row>
        <row r="41">
          <cell r="G41">
            <v>0.01</v>
          </cell>
        </row>
        <row r="42">
          <cell r="G42">
            <v>0.01</v>
          </cell>
        </row>
        <row r="43">
          <cell r="G43">
            <v>0.01</v>
          </cell>
        </row>
        <row r="44">
          <cell r="G44">
            <v>0.01</v>
          </cell>
        </row>
        <row r="45">
          <cell r="G45">
            <v>0.01</v>
          </cell>
        </row>
        <row r="46">
          <cell r="G46">
            <v>0.01</v>
          </cell>
        </row>
        <row r="47">
          <cell r="G47">
            <v>0.01</v>
          </cell>
        </row>
        <row r="48">
          <cell r="G48">
            <v>0.01</v>
          </cell>
        </row>
        <row r="49">
          <cell r="G49">
            <v>0.01</v>
          </cell>
        </row>
        <row r="50">
          <cell r="G50">
            <v>0.01</v>
          </cell>
        </row>
        <row r="51">
          <cell r="G51">
            <v>0.01</v>
          </cell>
        </row>
        <row r="52">
          <cell r="G52">
            <v>0.75</v>
          </cell>
        </row>
        <row r="53">
          <cell r="G53">
            <v>0.01</v>
          </cell>
        </row>
        <row r="54">
          <cell r="G54">
            <v>0.9</v>
          </cell>
        </row>
        <row r="55">
          <cell r="G55">
            <v>0.01</v>
          </cell>
        </row>
        <row r="56">
          <cell r="G56">
            <v>0.01</v>
          </cell>
        </row>
        <row r="57">
          <cell r="G57">
            <v>0.01</v>
          </cell>
        </row>
        <row r="58">
          <cell r="G58">
            <v>0.01</v>
          </cell>
        </row>
        <row r="59">
          <cell r="G59">
            <v>0.01</v>
          </cell>
        </row>
        <row r="60">
          <cell r="G60">
            <v>0.01</v>
          </cell>
        </row>
        <row r="61">
          <cell r="G61">
            <v>0.01</v>
          </cell>
        </row>
        <row r="62">
          <cell r="G62">
            <v>0.03</v>
          </cell>
        </row>
        <row r="63">
          <cell r="G63">
            <v>0.4</v>
          </cell>
        </row>
        <row r="64">
          <cell r="G64">
            <v>1.25</v>
          </cell>
        </row>
        <row r="65">
          <cell r="G65">
            <v>0.03</v>
          </cell>
        </row>
        <row r="66">
          <cell r="G66">
            <v>0.01</v>
          </cell>
        </row>
        <row r="67">
          <cell r="G67">
            <v>0.01</v>
          </cell>
        </row>
        <row r="68">
          <cell r="G68">
            <v>1.75</v>
          </cell>
        </row>
        <row r="69">
          <cell r="G69">
            <v>0.03</v>
          </cell>
        </row>
        <row r="70">
          <cell r="G70">
            <v>0.03</v>
          </cell>
        </row>
        <row r="71">
          <cell r="G71">
            <v>0.03</v>
          </cell>
        </row>
        <row r="72">
          <cell r="G72">
            <v>1</v>
          </cell>
        </row>
        <row r="73">
          <cell r="G73">
            <v>0.01</v>
          </cell>
        </row>
        <row r="74">
          <cell r="G74">
            <v>0.01</v>
          </cell>
        </row>
        <row r="75">
          <cell r="G75">
            <v>0.03</v>
          </cell>
        </row>
        <row r="76">
          <cell r="G76">
            <v>0.25</v>
          </cell>
        </row>
        <row r="77">
          <cell r="G77">
            <v>0.01</v>
          </cell>
        </row>
        <row r="78">
          <cell r="G78">
            <v>0.03</v>
          </cell>
        </row>
        <row r="79">
          <cell r="G79">
            <v>0.03</v>
          </cell>
        </row>
        <row r="80">
          <cell r="G80">
            <v>1.75</v>
          </cell>
        </row>
        <row r="81">
          <cell r="G81">
            <v>0.6</v>
          </cell>
        </row>
        <row r="82">
          <cell r="G82">
            <v>2.25</v>
          </cell>
        </row>
        <row r="83">
          <cell r="G83">
            <v>0.01</v>
          </cell>
        </row>
        <row r="84">
          <cell r="G84">
            <v>0.03</v>
          </cell>
        </row>
        <row r="85">
          <cell r="G85">
            <v>0.03</v>
          </cell>
        </row>
        <row r="86">
          <cell r="G86">
            <v>0.5</v>
          </cell>
        </row>
        <row r="87">
          <cell r="G87">
            <v>0.03</v>
          </cell>
        </row>
        <row r="88">
          <cell r="G88">
            <v>0.01</v>
          </cell>
        </row>
        <row r="89">
          <cell r="G89">
            <v>0.01</v>
          </cell>
        </row>
        <row r="90">
          <cell r="G90">
            <v>0.9</v>
          </cell>
        </row>
        <row r="91">
          <cell r="G91">
            <v>1</v>
          </cell>
        </row>
        <row r="92">
          <cell r="G92">
            <v>0.03</v>
          </cell>
        </row>
        <row r="93">
          <cell r="G93">
            <v>0.03</v>
          </cell>
        </row>
        <row r="94">
          <cell r="G94">
            <v>0.03</v>
          </cell>
        </row>
        <row r="95">
          <cell r="G95">
            <v>0.03</v>
          </cell>
        </row>
        <row r="96">
          <cell r="G96">
            <v>0.25</v>
          </cell>
        </row>
        <row r="97">
          <cell r="G97">
            <v>0.5</v>
          </cell>
        </row>
        <row r="98">
          <cell r="G98">
            <v>0.01</v>
          </cell>
        </row>
        <row r="99">
          <cell r="G99">
            <v>0.01</v>
          </cell>
        </row>
        <row r="100">
          <cell r="G100">
            <v>1.75</v>
          </cell>
        </row>
        <row r="101">
          <cell r="G101">
            <v>0.03</v>
          </cell>
        </row>
        <row r="102">
          <cell r="G102">
            <v>0.03</v>
          </cell>
        </row>
        <row r="103">
          <cell r="G103">
            <v>0.03</v>
          </cell>
        </row>
        <row r="104">
          <cell r="G104">
            <v>0.03</v>
          </cell>
        </row>
        <row r="105">
          <cell r="G105">
            <v>0.35</v>
          </cell>
        </row>
        <row r="106">
          <cell r="G106">
            <v>2</v>
          </cell>
        </row>
        <row r="107">
          <cell r="G107">
            <v>0.01</v>
          </cell>
        </row>
        <row r="108">
          <cell r="G108">
            <v>0.01</v>
          </cell>
        </row>
        <row r="109">
          <cell r="G109">
            <v>0.01</v>
          </cell>
        </row>
        <row r="110">
          <cell r="G110">
            <v>3</v>
          </cell>
        </row>
      </sheetData>
      <sheetData sheetId="11">
        <row r="1">
          <cell r="G1" t="str">
            <v>Paid = $33.76</v>
          </cell>
        </row>
        <row r="2">
          <cell r="G2">
            <v>0.01</v>
          </cell>
        </row>
        <row r="3">
          <cell r="G3">
            <v>0.01</v>
          </cell>
        </row>
        <row r="4">
          <cell r="G4">
            <v>0.03</v>
          </cell>
        </row>
        <row r="5">
          <cell r="G5">
            <v>0.03</v>
          </cell>
        </row>
        <row r="6">
          <cell r="G6">
            <v>0.03</v>
          </cell>
        </row>
        <row r="7">
          <cell r="G7">
            <v>1.75</v>
          </cell>
        </row>
        <row r="8">
          <cell r="G8">
            <v>0.4</v>
          </cell>
        </row>
        <row r="9">
          <cell r="G9">
            <v>0.01</v>
          </cell>
        </row>
        <row r="10">
          <cell r="G10">
            <v>1.75</v>
          </cell>
        </row>
        <row r="11">
          <cell r="G11">
            <v>0.03</v>
          </cell>
        </row>
        <row r="12">
          <cell r="G12">
            <v>0.03</v>
          </cell>
        </row>
        <row r="13">
          <cell r="G13">
            <v>0.5</v>
          </cell>
        </row>
        <row r="14">
          <cell r="G14">
            <v>0.5</v>
          </cell>
        </row>
        <row r="15">
          <cell r="G15">
            <v>0.5</v>
          </cell>
        </row>
        <row r="16">
          <cell r="G16">
            <v>2.5</v>
          </cell>
        </row>
        <row r="17">
          <cell r="G17">
            <v>0.03</v>
          </cell>
        </row>
        <row r="18">
          <cell r="G18">
            <v>0.25</v>
          </cell>
        </row>
        <row r="19">
          <cell r="G19">
            <v>0.4</v>
          </cell>
        </row>
        <row r="20">
          <cell r="G20">
            <v>0.01</v>
          </cell>
        </row>
        <row r="21">
          <cell r="G21">
            <v>0.01</v>
          </cell>
        </row>
        <row r="22">
          <cell r="G22">
            <v>2</v>
          </cell>
        </row>
        <row r="23">
          <cell r="G23">
            <v>0.25</v>
          </cell>
        </row>
        <row r="24">
          <cell r="G24">
            <v>0.03</v>
          </cell>
        </row>
        <row r="25">
          <cell r="G25">
            <v>0.03</v>
          </cell>
        </row>
        <row r="26">
          <cell r="G26">
            <v>0.03</v>
          </cell>
        </row>
        <row r="27">
          <cell r="G27">
            <v>0.03</v>
          </cell>
        </row>
        <row r="28">
          <cell r="G28">
            <v>0.03</v>
          </cell>
        </row>
        <row r="29">
          <cell r="G29">
            <v>0.01</v>
          </cell>
        </row>
        <row r="30">
          <cell r="G30">
            <v>1.3</v>
          </cell>
        </row>
        <row r="31">
          <cell r="G31">
            <v>1.75</v>
          </cell>
        </row>
        <row r="32">
          <cell r="G32">
            <v>0.01</v>
          </cell>
        </row>
        <row r="33">
          <cell r="G33">
            <v>0.01</v>
          </cell>
        </row>
        <row r="34">
          <cell r="G34">
            <v>0.01</v>
          </cell>
        </row>
        <row r="35">
          <cell r="G35">
            <v>0.01</v>
          </cell>
        </row>
        <row r="36">
          <cell r="G36">
            <v>0.01</v>
          </cell>
        </row>
        <row r="37">
          <cell r="G37">
            <v>0.01</v>
          </cell>
        </row>
        <row r="38">
          <cell r="G38">
            <v>0.01</v>
          </cell>
        </row>
        <row r="39">
          <cell r="G39">
            <v>0.01</v>
          </cell>
        </row>
        <row r="40">
          <cell r="G40">
            <v>0.03</v>
          </cell>
        </row>
        <row r="41">
          <cell r="G41">
            <v>0.01</v>
          </cell>
        </row>
        <row r="42">
          <cell r="G42">
            <v>0.01</v>
          </cell>
        </row>
        <row r="43">
          <cell r="G43">
            <v>1.5</v>
          </cell>
        </row>
        <row r="44">
          <cell r="G44">
            <v>0.01</v>
          </cell>
        </row>
        <row r="45">
          <cell r="G45">
            <v>0.01</v>
          </cell>
        </row>
        <row r="46">
          <cell r="G46">
            <v>0.01</v>
          </cell>
        </row>
        <row r="47">
          <cell r="G47">
            <v>0.01</v>
          </cell>
        </row>
        <row r="48">
          <cell r="G48">
            <v>1.25</v>
          </cell>
        </row>
        <row r="49">
          <cell r="G49">
            <v>0.03</v>
          </cell>
        </row>
        <row r="50">
          <cell r="G50">
            <v>0.03</v>
          </cell>
        </row>
        <row r="51">
          <cell r="G51">
            <v>0.03</v>
          </cell>
        </row>
        <row r="52">
          <cell r="G52">
            <v>0.02</v>
          </cell>
        </row>
        <row r="53">
          <cell r="G53">
            <v>0.2</v>
          </cell>
        </row>
        <row r="54">
          <cell r="G54">
            <v>1.25</v>
          </cell>
        </row>
        <row r="55">
          <cell r="G55">
            <v>0.01</v>
          </cell>
        </row>
        <row r="56">
          <cell r="G56">
            <v>0.01</v>
          </cell>
        </row>
        <row r="57">
          <cell r="G57">
            <v>1.3</v>
          </cell>
        </row>
        <row r="58">
          <cell r="G58">
            <v>0.03</v>
          </cell>
        </row>
        <row r="59">
          <cell r="G59">
            <v>0.01</v>
          </cell>
        </row>
        <row r="60">
          <cell r="G60">
            <v>0.03</v>
          </cell>
        </row>
        <row r="61">
          <cell r="G61">
            <v>0.03</v>
          </cell>
        </row>
        <row r="62">
          <cell r="G62">
            <v>0.25</v>
          </cell>
        </row>
        <row r="63">
          <cell r="G63">
            <v>1.25</v>
          </cell>
        </row>
        <row r="64">
          <cell r="G64">
            <v>0.01</v>
          </cell>
        </row>
        <row r="65">
          <cell r="G65">
            <v>0.25</v>
          </cell>
        </row>
        <row r="66">
          <cell r="G66">
            <v>1.1000000000000001</v>
          </cell>
        </row>
        <row r="67">
          <cell r="G67">
            <v>0.03</v>
          </cell>
        </row>
        <row r="68">
          <cell r="G68">
            <v>0.03</v>
          </cell>
        </row>
        <row r="69">
          <cell r="G69">
            <v>0.01</v>
          </cell>
        </row>
        <row r="70">
          <cell r="G70">
            <v>0.03</v>
          </cell>
        </row>
        <row r="71">
          <cell r="G71">
            <v>0.01</v>
          </cell>
        </row>
        <row r="72">
          <cell r="G72">
            <v>0.6</v>
          </cell>
        </row>
        <row r="73">
          <cell r="G73">
            <v>1.4</v>
          </cell>
        </row>
        <row r="74">
          <cell r="G74">
            <v>1.5</v>
          </cell>
        </row>
        <row r="75">
          <cell r="G75">
            <v>0.03</v>
          </cell>
        </row>
        <row r="76">
          <cell r="G76">
            <v>0.03</v>
          </cell>
        </row>
        <row r="77">
          <cell r="G77">
            <v>0.03</v>
          </cell>
        </row>
        <row r="78">
          <cell r="G78">
            <v>0.01</v>
          </cell>
        </row>
        <row r="79">
          <cell r="G79">
            <v>0.01</v>
          </cell>
        </row>
        <row r="80">
          <cell r="G80">
            <v>0.03</v>
          </cell>
        </row>
        <row r="81">
          <cell r="G81">
            <v>0.03</v>
          </cell>
        </row>
        <row r="82">
          <cell r="G82">
            <v>1.75</v>
          </cell>
        </row>
        <row r="83">
          <cell r="G83">
            <v>0.25</v>
          </cell>
        </row>
        <row r="84">
          <cell r="G84">
            <v>0.01</v>
          </cell>
        </row>
        <row r="85">
          <cell r="G85">
            <v>2</v>
          </cell>
        </row>
        <row r="86">
          <cell r="G86">
            <v>0.01</v>
          </cell>
        </row>
        <row r="87">
          <cell r="G87">
            <v>0.01</v>
          </cell>
        </row>
        <row r="88">
          <cell r="G88">
            <v>0.03</v>
          </cell>
        </row>
        <row r="89">
          <cell r="G89">
            <v>0.03</v>
          </cell>
        </row>
        <row r="90">
          <cell r="G90">
            <v>0.03</v>
          </cell>
        </row>
        <row r="91">
          <cell r="G91">
            <v>0.03</v>
          </cell>
        </row>
        <row r="92">
          <cell r="G92">
            <v>0.03</v>
          </cell>
        </row>
        <row r="93">
          <cell r="G93">
            <v>0.01</v>
          </cell>
        </row>
        <row r="94">
          <cell r="G94">
            <v>0.01</v>
          </cell>
        </row>
        <row r="95">
          <cell r="G95">
            <v>0.01</v>
          </cell>
        </row>
        <row r="96">
          <cell r="G96">
            <v>0.01</v>
          </cell>
        </row>
        <row r="97">
          <cell r="G97">
            <v>0.01</v>
          </cell>
        </row>
        <row r="98">
          <cell r="G98">
            <v>0.03</v>
          </cell>
        </row>
        <row r="99">
          <cell r="G99">
            <v>0.03</v>
          </cell>
        </row>
        <row r="100">
          <cell r="G100">
            <v>0.03</v>
          </cell>
        </row>
        <row r="101">
          <cell r="G101">
            <v>1.25</v>
          </cell>
        </row>
        <row r="102">
          <cell r="G102">
            <v>0.01</v>
          </cell>
        </row>
        <row r="103">
          <cell r="G103">
            <v>1.4</v>
          </cell>
        </row>
      </sheetData>
      <sheetData sheetId="12">
        <row r="1">
          <cell r="G1" t="str">
            <v>Paid = $54.43</v>
          </cell>
        </row>
        <row r="2">
          <cell r="G2">
            <v>0.03</v>
          </cell>
        </row>
        <row r="3">
          <cell r="G3">
            <v>0.03</v>
          </cell>
        </row>
        <row r="4">
          <cell r="G4">
            <v>0.03</v>
          </cell>
        </row>
        <row r="5">
          <cell r="G5">
            <v>0.03</v>
          </cell>
        </row>
        <row r="7">
          <cell r="G7">
            <v>0.01</v>
          </cell>
        </row>
        <row r="8">
          <cell r="G8">
            <v>0.01</v>
          </cell>
        </row>
        <row r="9">
          <cell r="G9">
            <v>0.5</v>
          </cell>
        </row>
        <row r="10">
          <cell r="G10">
            <v>0.5</v>
          </cell>
        </row>
        <row r="11">
          <cell r="G11">
            <v>0.01</v>
          </cell>
        </row>
        <row r="12">
          <cell r="G12">
            <v>0.01</v>
          </cell>
        </row>
        <row r="13">
          <cell r="G13">
            <v>0.01</v>
          </cell>
        </row>
        <row r="14">
          <cell r="G14">
            <v>0.01</v>
          </cell>
        </row>
        <row r="15">
          <cell r="G15">
            <v>0.01</v>
          </cell>
        </row>
        <row r="16">
          <cell r="G16">
            <v>0.9</v>
          </cell>
        </row>
        <row r="17">
          <cell r="G17">
            <v>0.75</v>
          </cell>
        </row>
        <row r="18">
          <cell r="G18">
            <v>0.01</v>
          </cell>
        </row>
        <row r="19">
          <cell r="G19">
            <v>0.01</v>
          </cell>
        </row>
        <row r="20">
          <cell r="G20">
            <v>0.01</v>
          </cell>
        </row>
        <row r="21">
          <cell r="G21">
            <v>0.01</v>
          </cell>
        </row>
        <row r="22">
          <cell r="G22">
            <v>1</v>
          </cell>
        </row>
        <row r="23">
          <cell r="G23">
            <v>0.9</v>
          </cell>
        </row>
        <row r="24">
          <cell r="G24">
            <v>0.25</v>
          </cell>
        </row>
        <row r="25">
          <cell r="G25">
            <v>0.25</v>
          </cell>
        </row>
        <row r="26">
          <cell r="G26">
            <v>0.01</v>
          </cell>
        </row>
        <row r="27">
          <cell r="G27">
            <v>0.03</v>
          </cell>
        </row>
        <row r="28">
          <cell r="G28">
            <v>0.03</v>
          </cell>
        </row>
        <row r="29">
          <cell r="G29">
            <v>0.01</v>
          </cell>
        </row>
        <row r="30">
          <cell r="G30">
            <v>0.01</v>
          </cell>
        </row>
        <row r="31">
          <cell r="G31">
            <v>0.6</v>
          </cell>
        </row>
        <row r="32">
          <cell r="G32">
            <v>0.75</v>
          </cell>
        </row>
        <row r="33">
          <cell r="G33">
            <v>0.01</v>
          </cell>
        </row>
        <row r="34">
          <cell r="G34">
            <v>0.25</v>
          </cell>
        </row>
        <row r="35">
          <cell r="G35">
            <v>0.25</v>
          </cell>
        </row>
        <row r="36">
          <cell r="G36">
            <v>0.03</v>
          </cell>
        </row>
        <row r="37">
          <cell r="G37">
            <v>0.03</v>
          </cell>
        </row>
        <row r="38">
          <cell r="G38">
            <v>0.03</v>
          </cell>
        </row>
        <row r="39">
          <cell r="G39">
            <v>0.03</v>
          </cell>
        </row>
        <row r="40">
          <cell r="G40">
            <v>0.03</v>
          </cell>
        </row>
        <row r="41">
          <cell r="G41">
            <v>0.01</v>
          </cell>
        </row>
        <row r="42">
          <cell r="G42">
            <v>0.1</v>
          </cell>
        </row>
        <row r="43">
          <cell r="G43">
            <v>0.1</v>
          </cell>
        </row>
        <row r="44">
          <cell r="G44">
            <v>0.75</v>
          </cell>
        </row>
        <row r="45">
          <cell r="G45">
            <v>0.65</v>
          </cell>
        </row>
        <row r="46">
          <cell r="G46">
            <v>0.01</v>
          </cell>
        </row>
        <row r="47">
          <cell r="G47">
            <v>0.03</v>
          </cell>
        </row>
        <row r="48">
          <cell r="G48">
            <v>0.01</v>
          </cell>
        </row>
        <row r="49">
          <cell r="G49">
            <v>0.01</v>
          </cell>
        </row>
        <row r="50">
          <cell r="G50">
            <v>0.01</v>
          </cell>
        </row>
        <row r="51">
          <cell r="G51">
            <v>0.01</v>
          </cell>
        </row>
        <row r="52">
          <cell r="G52">
            <v>3</v>
          </cell>
        </row>
        <row r="53">
          <cell r="G53">
            <v>0.75</v>
          </cell>
        </row>
        <row r="54">
          <cell r="G54">
            <v>0.4</v>
          </cell>
        </row>
        <row r="55">
          <cell r="G55">
            <v>0.03</v>
          </cell>
        </row>
        <row r="56">
          <cell r="G56">
            <v>0.01</v>
          </cell>
        </row>
        <row r="57">
          <cell r="G57">
            <v>0.75</v>
          </cell>
        </row>
        <row r="58">
          <cell r="G58">
            <v>1</v>
          </cell>
        </row>
        <row r="59">
          <cell r="G59">
            <v>0.25</v>
          </cell>
        </row>
        <row r="60">
          <cell r="G60">
            <v>0.25</v>
          </cell>
        </row>
        <row r="61">
          <cell r="G61">
            <v>0.01</v>
          </cell>
        </row>
        <row r="62">
          <cell r="G62">
            <v>0.25</v>
          </cell>
        </row>
        <row r="63">
          <cell r="G63">
            <v>0.75</v>
          </cell>
        </row>
        <row r="64">
          <cell r="G64">
            <v>3</v>
          </cell>
        </row>
        <row r="65">
          <cell r="G65">
            <v>0.2</v>
          </cell>
        </row>
        <row r="66">
          <cell r="G66">
            <v>0.25</v>
          </cell>
        </row>
        <row r="67">
          <cell r="G67">
            <v>0.03</v>
          </cell>
        </row>
        <row r="68">
          <cell r="G68">
            <v>0.03</v>
          </cell>
        </row>
        <row r="69">
          <cell r="G69">
            <v>0.01</v>
          </cell>
        </row>
        <row r="70">
          <cell r="G70">
            <v>0.01</v>
          </cell>
        </row>
        <row r="71">
          <cell r="G71">
            <v>0.01</v>
          </cell>
        </row>
        <row r="72">
          <cell r="G72">
            <v>0.1</v>
          </cell>
        </row>
        <row r="73">
          <cell r="G73">
            <v>0.25</v>
          </cell>
        </row>
        <row r="74">
          <cell r="G74">
            <v>0.25</v>
          </cell>
        </row>
        <row r="75">
          <cell r="G75">
            <v>3.5</v>
          </cell>
        </row>
        <row r="76">
          <cell r="G76">
            <v>3.5</v>
          </cell>
        </row>
        <row r="77">
          <cell r="G77">
            <v>1.75</v>
          </cell>
        </row>
        <row r="78">
          <cell r="G78">
            <v>0.01</v>
          </cell>
        </row>
        <row r="79">
          <cell r="G79">
            <v>0.25</v>
          </cell>
        </row>
        <row r="80">
          <cell r="G80">
            <v>0.25</v>
          </cell>
        </row>
        <row r="81">
          <cell r="G81">
            <v>0.25</v>
          </cell>
        </row>
        <row r="82">
          <cell r="G82">
            <v>8</v>
          </cell>
        </row>
        <row r="83">
          <cell r="G83">
            <v>8</v>
          </cell>
        </row>
        <row r="84">
          <cell r="G84">
            <v>0.01</v>
          </cell>
        </row>
        <row r="85">
          <cell r="G85">
            <v>2.75</v>
          </cell>
        </row>
        <row r="86">
          <cell r="G86">
            <v>2.75</v>
          </cell>
        </row>
        <row r="87">
          <cell r="G87">
            <v>2.75</v>
          </cell>
        </row>
      </sheetData>
      <sheetData sheetId="13">
        <row r="1">
          <cell r="G1" t="str">
            <v>Paid = $62.96</v>
          </cell>
        </row>
        <row r="2">
          <cell r="G2">
            <v>0.01</v>
          </cell>
        </row>
        <row r="3">
          <cell r="G3">
            <v>0.25</v>
          </cell>
        </row>
        <row r="4">
          <cell r="G4">
            <v>0.2</v>
          </cell>
        </row>
        <row r="5">
          <cell r="G5">
            <v>0.25</v>
          </cell>
        </row>
        <row r="6">
          <cell r="G6">
            <v>2.5</v>
          </cell>
        </row>
        <row r="7">
          <cell r="G7">
            <v>2.5</v>
          </cell>
        </row>
        <row r="8">
          <cell r="G8">
            <v>0.03</v>
          </cell>
        </row>
        <row r="9">
          <cell r="G9">
            <v>0.03</v>
          </cell>
        </row>
        <row r="10">
          <cell r="G10">
            <v>0.25</v>
          </cell>
        </row>
        <row r="11">
          <cell r="G11">
            <v>0.25</v>
          </cell>
        </row>
        <row r="12">
          <cell r="G12">
            <v>4</v>
          </cell>
        </row>
        <row r="13">
          <cell r="G13">
            <v>4</v>
          </cell>
        </row>
        <row r="14">
          <cell r="G14">
            <v>0.03</v>
          </cell>
        </row>
        <row r="15">
          <cell r="G15">
            <v>0.03</v>
          </cell>
        </row>
        <row r="16">
          <cell r="G16">
            <v>0.03</v>
          </cell>
        </row>
        <row r="17">
          <cell r="G17">
            <v>0.03</v>
          </cell>
        </row>
        <row r="18">
          <cell r="G18">
            <v>0.03</v>
          </cell>
        </row>
        <row r="19">
          <cell r="G19">
            <v>0.6</v>
          </cell>
        </row>
        <row r="20">
          <cell r="G20">
            <v>6</v>
          </cell>
        </row>
        <row r="21">
          <cell r="G21">
            <v>6</v>
          </cell>
        </row>
        <row r="22">
          <cell r="G22">
            <v>0.03</v>
          </cell>
        </row>
        <row r="23">
          <cell r="G23">
            <v>0.03</v>
          </cell>
        </row>
        <row r="24">
          <cell r="G24">
            <v>0.03</v>
          </cell>
        </row>
        <row r="25">
          <cell r="G25">
            <v>0.01</v>
          </cell>
        </row>
        <row r="26">
          <cell r="G26">
            <v>0.01</v>
          </cell>
        </row>
        <row r="27">
          <cell r="G27">
            <v>0.01</v>
          </cell>
        </row>
        <row r="28">
          <cell r="G28">
            <v>0.01</v>
          </cell>
        </row>
        <row r="29">
          <cell r="G29">
            <v>0.01</v>
          </cell>
        </row>
        <row r="30">
          <cell r="G30">
            <v>0.25</v>
          </cell>
        </row>
        <row r="31">
          <cell r="G31">
            <v>2.25</v>
          </cell>
        </row>
        <row r="32">
          <cell r="G32">
            <v>2.1</v>
          </cell>
        </row>
        <row r="33">
          <cell r="G33">
            <v>0.03</v>
          </cell>
        </row>
        <row r="34">
          <cell r="G34">
            <v>0.03</v>
          </cell>
        </row>
        <row r="35">
          <cell r="G35">
            <v>0.01</v>
          </cell>
        </row>
        <row r="36">
          <cell r="G36">
            <v>0.01</v>
          </cell>
        </row>
        <row r="37">
          <cell r="G37">
            <v>0.01</v>
          </cell>
        </row>
        <row r="38">
          <cell r="G38">
            <v>0.25</v>
          </cell>
        </row>
        <row r="39">
          <cell r="G39">
            <v>0.25</v>
          </cell>
        </row>
        <row r="40">
          <cell r="G40">
            <v>1.75</v>
          </cell>
        </row>
        <row r="41">
          <cell r="G41">
            <v>2.1</v>
          </cell>
        </row>
        <row r="42">
          <cell r="G42">
            <v>0.03</v>
          </cell>
        </row>
        <row r="43">
          <cell r="G43">
            <v>0.03</v>
          </cell>
        </row>
        <row r="44">
          <cell r="G44">
            <v>0.03</v>
          </cell>
        </row>
        <row r="45">
          <cell r="G45">
            <v>0.01</v>
          </cell>
        </row>
        <row r="46">
          <cell r="G46">
            <v>0.01</v>
          </cell>
        </row>
        <row r="47">
          <cell r="G47">
            <v>0.01</v>
          </cell>
        </row>
        <row r="48">
          <cell r="G48">
            <v>0.25</v>
          </cell>
        </row>
        <row r="49">
          <cell r="G49">
            <v>0.1</v>
          </cell>
        </row>
        <row r="50">
          <cell r="G50">
            <v>2.5</v>
          </cell>
        </row>
        <row r="51">
          <cell r="G51">
            <v>2.5</v>
          </cell>
        </row>
        <row r="52">
          <cell r="G52">
            <v>0.03</v>
          </cell>
        </row>
        <row r="53">
          <cell r="G53">
            <v>0.03</v>
          </cell>
        </row>
        <row r="54">
          <cell r="G54">
            <v>0.03</v>
          </cell>
        </row>
        <row r="55">
          <cell r="G55">
            <v>0.01</v>
          </cell>
        </row>
        <row r="56">
          <cell r="G56">
            <v>0.01</v>
          </cell>
        </row>
        <row r="57">
          <cell r="G57">
            <v>0.01</v>
          </cell>
        </row>
        <row r="58">
          <cell r="G58">
            <v>0.01</v>
          </cell>
        </row>
        <row r="59">
          <cell r="G59">
            <v>0.03</v>
          </cell>
        </row>
        <row r="60">
          <cell r="G60">
            <v>0.03</v>
          </cell>
        </row>
        <row r="61">
          <cell r="G61">
            <v>0.03</v>
          </cell>
        </row>
        <row r="62">
          <cell r="G62">
            <v>0.03</v>
          </cell>
        </row>
        <row r="63">
          <cell r="G63">
            <v>0.03</v>
          </cell>
        </row>
        <row r="64">
          <cell r="G64">
            <v>0.03</v>
          </cell>
        </row>
        <row r="65">
          <cell r="G65">
            <v>0.2</v>
          </cell>
        </row>
        <row r="66">
          <cell r="G66">
            <v>0.2</v>
          </cell>
        </row>
        <row r="67">
          <cell r="G67">
            <v>3</v>
          </cell>
        </row>
        <row r="68">
          <cell r="G68">
            <v>3</v>
          </cell>
        </row>
        <row r="69">
          <cell r="G69">
            <v>0.03</v>
          </cell>
        </row>
        <row r="70">
          <cell r="G70">
            <v>0.03</v>
          </cell>
        </row>
        <row r="71">
          <cell r="G71">
            <v>0.03</v>
          </cell>
        </row>
        <row r="72">
          <cell r="G72">
            <v>0.01</v>
          </cell>
        </row>
        <row r="73">
          <cell r="G73">
            <v>0.01</v>
          </cell>
        </row>
        <row r="74">
          <cell r="G74">
            <v>0.01</v>
          </cell>
        </row>
        <row r="75">
          <cell r="G75">
            <v>0.01</v>
          </cell>
        </row>
        <row r="76">
          <cell r="G76">
            <v>0.01</v>
          </cell>
        </row>
        <row r="77">
          <cell r="G77">
            <v>0.01</v>
          </cell>
        </row>
        <row r="78">
          <cell r="G78">
            <v>0.01</v>
          </cell>
        </row>
        <row r="79">
          <cell r="G79">
            <v>0.01</v>
          </cell>
        </row>
        <row r="80">
          <cell r="G80">
            <v>0.01</v>
          </cell>
        </row>
        <row r="81">
          <cell r="G81">
            <v>3</v>
          </cell>
        </row>
        <row r="82">
          <cell r="G82">
            <v>3.75</v>
          </cell>
        </row>
        <row r="83">
          <cell r="G83">
            <v>0.01</v>
          </cell>
        </row>
        <row r="84">
          <cell r="G84">
            <v>0.2</v>
          </cell>
        </row>
        <row r="85">
          <cell r="G85">
            <v>0.2</v>
          </cell>
        </row>
        <row r="86">
          <cell r="G86">
            <v>0.2</v>
          </cell>
        </row>
        <row r="87">
          <cell r="G87">
            <v>0.2</v>
          </cell>
        </row>
        <row r="88">
          <cell r="G88">
            <v>0.01</v>
          </cell>
        </row>
        <row r="89">
          <cell r="G89">
            <v>0.01</v>
          </cell>
        </row>
        <row r="90">
          <cell r="G90">
            <v>0.01</v>
          </cell>
        </row>
        <row r="91">
          <cell r="G91">
            <v>0.01</v>
          </cell>
        </row>
        <row r="92">
          <cell r="G92">
            <v>0.01</v>
          </cell>
        </row>
        <row r="93">
          <cell r="G93">
            <v>0.2</v>
          </cell>
        </row>
        <row r="94">
          <cell r="G94">
            <v>2.5</v>
          </cell>
        </row>
        <row r="95">
          <cell r="G95">
            <v>2.5</v>
          </cell>
        </row>
        <row r="96">
          <cell r="G96">
            <v>2.5</v>
          </cell>
        </row>
        <row r="97">
          <cell r="G97">
            <v>2.25</v>
          </cell>
        </row>
        <row r="98">
          <cell r="G98">
            <v>0.01</v>
          </cell>
        </row>
        <row r="99">
          <cell r="G99">
            <v>0.01</v>
          </cell>
        </row>
        <row r="100">
          <cell r="G100">
            <v>0.01</v>
          </cell>
        </row>
        <row r="101">
          <cell r="G101">
            <v>0.01</v>
          </cell>
        </row>
        <row r="102">
          <cell r="G102">
            <v>0.01</v>
          </cell>
        </row>
        <row r="103">
          <cell r="G103">
            <v>0.01</v>
          </cell>
        </row>
        <row r="104">
          <cell r="G104">
            <v>0.01</v>
          </cell>
        </row>
        <row r="105">
          <cell r="G105">
            <v>0.01</v>
          </cell>
        </row>
        <row r="106">
          <cell r="G106">
            <v>0.01</v>
          </cell>
        </row>
        <row r="107">
          <cell r="G107">
            <v>0.01</v>
          </cell>
        </row>
        <row r="108">
          <cell r="G108">
            <v>2.25</v>
          </cell>
        </row>
        <row r="109">
          <cell r="G109">
            <v>0.2</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1">
          <cell r="A1" t="str">
            <v>Date &amp; Mint</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mes"/>
      <sheetName val="DimeSearch"/>
      <sheetName val="Legend"/>
      <sheetName val="Sheet3"/>
      <sheetName val="DimeWantList"/>
      <sheetName val="DimeMintage"/>
    </sheetNames>
    <sheetDataSet>
      <sheetData sheetId="0">
        <row r="1">
          <cell r="A1" t="str">
            <v>Date</v>
          </cell>
          <cell r="F1" t="str">
            <v>Paid</v>
          </cell>
          <cell r="G1" t="str">
            <v>Book</v>
          </cell>
        </row>
        <row r="2">
          <cell r="A2">
            <v>1939</v>
          </cell>
          <cell r="F2">
            <v>0.1</v>
          </cell>
          <cell r="G2">
            <v>0.1</v>
          </cell>
          <cell r="N2">
            <v>1939</v>
          </cell>
        </row>
        <row r="3">
          <cell r="A3">
            <v>1941</v>
          </cell>
          <cell r="F3">
            <v>0.1</v>
          </cell>
          <cell r="G3">
            <v>0.1</v>
          </cell>
          <cell r="N3">
            <v>1941</v>
          </cell>
        </row>
        <row r="4">
          <cell r="A4">
            <v>1942</v>
          </cell>
          <cell r="F4">
            <v>0.1</v>
          </cell>
          <cell r="G4">
            <v>0.1</v>
          </cell>
          <cell r="N4">
            <v>1942</v>
          </cell>
        </row>
        <row r="5">
          <cell r="A5">
            <v>1946</v>
          </cell>
          <cell r="F5">
            <v>0.1</v>
          </cell>
          <cell r="G5">
            <v>1.22</v>
          </cell>
          <cell r="N5" t="str">
            <v>1946 D</v>
          </cell>
        </row>
        <row r="6">
          <cell r="A6">
            <v>1946</v>
          </cell>
          <cell r="F6">
            <v>0.1</v>
          </cell>
          <cell r="G6">
            <v>0.1</v>
          </cell>
          <cell r="N6" t="str">
            <v>1946</v>
          </cell>
        </row>
        <row r="7">
          <cell r="A7">
            <v>1951</v>
          </cell>
          <cell r="F7">
            <v>0.1</v>
          </cell>
          <cell r="G7">
            <v>0.1</v>
          </cell>
          <cell r="N7" t="str">
            <v xml:space="preserve">1951 </v>
          </cell>
        </row>
        <row r="8">
          <cell r="A8">
            <v>1954</v>
          </cell>
          <cell r="F8">
            <v>0.1</v>
          </cell>
          <cell r="G8">
            <v>1.22</v>
          </cell>
          <cell r="N8" t="str">
            <v xml:space="preserve">1954 </v>
          </cell>
        </row>
        <row r="9">
          <cell r="A9">
            <v>1957</v>
          </cell>
          <cell r="F9">
            <v>0.1</v>
          </cell>
          <cell r="G9">
            <v>0.1</v>
          </cell>
          <cell r="N9" t="str">
            <v xml:space="preserve">1957 </v>
          </cell>
        </row>
        <row r="10">
          <cell r="A10">
            <v>1960</v>
          </cell>
          <cell r="F10">
            <v>0.1</v>
          </cell>
          <cell r="G10">
            <v>0.1</v>
          </cell>
          <cell r="N10" t="str">
            <v xml:space="preserve">1960 </v>
          </cell>
        </row>
        <row r="11">
          <cell r="A11">
            <v>1963</v>
          </cell>
          <cell r="F11">
            <v>0.1</v>
          </cell>
          <cell r="G11">
            <v>0.1</v>
          </cell>
          <cell r="N11" t="str">
            <v>1963 P</v>
          </cell>
        </row>
        <row r="12">
          <cell r="A12">
            <v>1964</v>
          </cell>
          <cell r="F12">
            <v>0.1</v>
          </cell>
          <cell r="G12">
            <v>1.22</v>
          </cell>
          <cell r="N12" t="str">
            <v>1964 D</v>
          </cell>
        </row>
        <row r="13">
          <cell r="A13">
            <v>1965</v>
          </cell>
          <cell r="F13">
            <v>0.1</v>
          </cell>
          <cell r="G13">
            <v>0.1</v>
          </cell>
          <cell r="N13" t="str">
            <v xml:space="preserve">1965 </v>
          </cell>
        </row>
        <row r="14">
          <cell r="A14">
            <v>1965</v>
          </cell>
          <cell r="F14">
            <v>0.1</v>
          </cell>
          <cell r="G14">
            <v>0.1</v>
          </cell>
          <cell r="N14" t="str">
            <v xml:space="preserve">1965 </v>
          </cell>
        </row>
        <row r="15">
          <cell r="A15">
            <v>1966</v>
          </cell>
          <cell r="F15">
            <v>0.1</v>
          </cell>
          <cell r="G15">
            <v>0.1</v>
          </cell>
          <cell r="N15" t="str">
            <v xml:space="preserve">1966 </v>
          </cell>
        </row>
        <row r="16">
          <cell r="A16">
            <v>1966</v>
          </cell>
          <cell r="F16">
            <v>0.1</v>
          </cell>
          <cell r="G16">
            <v>0.1</v>
          </cell>
          <cell r="N16" t="str">
            <v xml:space="preserve">1966 </v>
          </cell>
        </row>
        <row r="17">
          <cell r="A17">
            <v>1967</v>
          </cell>
          <cell r="F17">
            <v>0.1</v>
          </cell>
          <cell r="G17">
            <v>0.1</v>
          </cell>
          <cell r="N17" t="str">
            <v xml:space="preserve">1967 </v>
          </cell>
        </row>
        <row r="18">
          <cell r="A18">
            <v>1967</v>
          </cell>
          <cell r="F18">
            <v>0.1</v>
          </cell>
          <cell r="G18">
            <v>0.1</v>
          </cell>
          <cell r="N18" t="str">
            <v xml:space="preserve">1967 </v>
          </cell>
        </row>
        <row r="19">
          <cell r="A19">
            <v>1967</v>
          </cell>
          <cell r="F19">
            <v>0.1</v>
          </cell>
          <cell r="G19">
            <v>0.1</v>
          </cell>
          <cell r="N19" t="str">
            <v xml:space="preserve">1967 </v>
          </cell>
        </row>
        <row r="20">
          <cell r="A20">
            <v>1969</v>
          </cell>
          <cell r="F20">
            <v>0.1</v>
          </cell>
          <cell r="G20">
            <v>0.1</v>
          </cell>
          <cell r="N20" t="str">
            <v xml:space="preserve">1969 </v>
          </cell>
        </row>
        <row r="21">
          <cell r="A21">
            <v>1969</v>
          </cell>
          <cell r="F21">
            <v>0.1</v>
          </cell>
          <cell r="G21">
            <v>0.1</v>
          </cell>
          <cell r="N21" t="str">
            <v>1969 D</v>
          </cell>
        </row>
        <row r="22">
          <cell r="A22">
            <v>1970</v>
          </cell>
          <cell r="F22">
            <v>0.1</v>
          </cell>
          <cell r="G22">
            <v>0.1</v>
          </cell>
          <cell r="N22">
            <v>1970</v>
          </cell>
        </row>
        <row r="23">
          <cell r="A23">
            <v>1970</v>
          </cell>
          <cell r="F23">
            <v>0.1</v>
          </cell>
          <cell r="G23">
            <v>0.1</v>
          </cell>
          <cell r="N23" t="str">
            <v>1970 D</v>
          </cell>
        </row>
        <row r="24">
          <cell r="A24">
            <v>1974</v>
          </cell>
          <cell r="F24">
            <v>0.1</v>
          </cell>
          <cell r="G24">
            <v>0.1</v>
          </cell>
          <cell r="N24" t="str">
            <v xml:space="preserve">1974 </v>
          </cell>
        </row>
        <row r="25">
          <cell r="A25">
            <v>1975</v>
          </cell>
          <cell r="F25">
            <v>0.1</v>
          </cell>
          <cell r="G25">
            <v>0.1</v>
          </cell>
          <cell r="N25" t="str">
            <v xml:space="preserve">1975 </v>
          </cell>
        </row>
        <row r="26">
          <cell r="A26">
            <v>1977</v>
          </cell>
          <cell r="F26">
            <v>0.1</v>
          </cell>
          <cell r="G26">
            <v>0.1</v>
          </cell>
          <cell r="N26" t="str">
            <v>1977 D</v>
          </cell>
        </row>
        <row r="27">
          <cell r="A27">
            <v>1977</v>
          </cell>
          <cell r="F27">
            <v>0.1</v>
          </cell>
          <cell r="G27">
            <v>0.1</v>
          </cell>
          <cell r="N27" t="str">
            <v xml:space="preserve">1977 </v>
          </cell>
        </row>
        <row r="28">
          <cell r="A28">
            <v>1981</v>
          </cell>
          <cell r="F28">
            <v>0.1</v>
          </cell>
          <cell r="G28">
            <v>0.1</v>
          </cell>
          <cell r="N28" t="str">
            <v>1981 P</v>
          </cell>
        </row>
        <row r="29">
          <cell r="A29">
            <v>1981</v>
          </cell>
          <cell r="F29">
            <v>0.1</v>
          </cell>
          <cell r="G29">
            <v>0.1</v>
          </cell>
          <cell r="N29" t="str">
            <v>1981 P</v>
          </cell>
        </row>
        <row r="30">
          <cell r="A30">
            <v>1981</v>
          </cell>
          <cell r="F30">
            <v>0.1</v>
          </cell>
          <cell r="G30">
            <v>0.1</v>
          </cell>
          <cell r="N30" t="str">
            <v>1981 P</v>
          </cell>
        </row>
        <row r="31">
          <cell r="A31">
            <v>1982</v>
          </cell>
          <cell r="F31">
            <v>0.1</v>
          </cell>
          <cell r="G31">
            <v>0.1</v>
          </cell>
          <cell r="N31" t="str">
            <v>1982 P</v>
          </cell>
        </row>
        <row r="32">
          <cell r="A32">
            <v>1983</v>
          </cell>
          <cell r="F32">
            <v>0.1</v>
          </cell>
          <cell r="G32">
            <v>0.1</v>
          </cell>
          <cell r="N32" t="str">
            <v>1983 D</v>
          </cell>
        </row>
        <row r="33">
          <cell r="A33">
            <v>1985</v>
          </cell>
          <cell r="F33">
            <v>0.1</v>
          </cell>
          <cell r="G33">
            <v>0.1</v>
          </cell>
          <cell r="N33" t="str">
            <v>1985 P</v>
          </cell>
        </row>
        <row r="34">
          <cell r="A34">
            <v>1985</v>
          </cell>
          <cell r="F34">
            <v>0.1</v>
          </cell>
          <cell r="G34">
            <v>0.1</v>
          </cell>
          <cell r="N34" t="str">
            <v>1985 D</v>
          </cell>
        </row>
        <row r="35">
          <cell r="A35">
            <v>1985</v>
          </cell>
          <cell r="F35">
            <v>0.1</v>
          </cell>
          <cell r="G35">
            <v>0.1</v>
          </cell>
          <cell r="N35" t="str">
            <v>1985 P</v>
          </cell>
        </row>
        <row r="36">
          <cell r="A36">
            <v>1985</v>
          </cell>
          <cell r="F36">
            <v>0.1</v>
          </cell>
          <cell r="G36">
            <v>0.1</v>
          </cell>
          <cell r="N36" t="str">
            <v>1985 P</v>
          </cell>
        </row>
        <row r="37">
          <cell r="A37">
            <v>1986</v>
          </cell>
          <cell r="F37">
            <v>0.1</v>
          </cell>
          <cell r="G37">
            <v>0.1</v>
          </cell>
          <cell r="N37" t="str">
            <v>1986 P</v>
          </cell>
        </row>
        <row r="38">
          <cell r="A38">
            <v>1986</v>
          </cell>
          <cell r="F38">
            <v>0.1</v>
          </cell>
          <cell r="G38">
            <v>0.1</v>
          </cell>
          <cell r="N38" t="str">
            <v>1986 P</v>
          </cell>
        </row>
        <row r="39">
          <cell r="A39">
            <v>1986</v>
          </cell>
          <cell r="F39">
            <v>0.1</v>
          </cell>
          <cell r="G39">
            <v>1.5</v>
          </cell>
          <cell r="N39" t="str">
            <v>1986 P</v>
          </cell>
        </row>
        <row r="40">
          <cell r="A40">
            <v>1987</v>
          </cell>
          <cell r="F40">
            <v>0.1</v>
          </cell>
          <cell r="G40">
            <v>0.1</v>
          </cell>
          <cell r="N40" t="str">
            <v>1987 D</v>
          </cell>
        </row>
        <row r="41">
          <cell r="A41">
            <v>1988</v>
          </cell>
          <cell r="F41">
            <v>0.1</v>
          </cell>
          <cell r="G41">
            <v>0.1</v>
          </cell>
          <cell r="N41" t="str">
            <v>1988 D</v>
          </cell>
        </row>
        <row r="42">
          <cell r="A42">
            <v>1988</v>
          </cell>
          <cell r="F42">
            <v>0.1</v>
          </cell>
          <cell r="G42">
            <v>0.1</v>
          </cell>
          <cell r="N42" t="str">
            <v>1988 D</v>
          </cell>
        </row>
        <row r="43">
          <cell r="A43">
            <v>1989</v>
          </cell>
          <cell r="F43">
            <v>0.1</v>
          </cell>
          <cell r="G43">
            <v>0.1</v>
          </cell>
          <cell r="N43" t="str">
            <v>1989 P</v>
          </cell>
        </row>
        <row r="44">
          <cell r="A44">
            <v>1989</v>
          </cell>
          <cell r="F44">
            <v>0.1</v>
          </cell>
          <cell r="G44">
            <v>0.1</v>
          </cell>
          <cell r="N44" t="str">
            <v>1989 P</v>
          </cell>
        </row>
        <row r="45">
          <cell r="A45">
            <v>1990</v>
          </cell>
          <cell r="F45">
            <v>0.1</v>
          </cell>
          <cell r="G45">
            <v>0.1</v>
          </cell>
          <cell r="N45" t="str">
            <v>1990 P</v>
          </cell>
        </row>
        <row r="46">
          <cell r="A46">
            <v>1991</v>
          </cell>
          <cell r="F46">
            <v>0.1</v>
          </cell>
          <cell r="G46">
            <v>0.1</v>
          </cell>
          <cell r="N46">
            <v>1992</v>
          </cell>
        </row>
        <row r="47">
          <cell r="A47">
            <v>1992</v>
          </cell>
          <cell r="F47">
            <v>0.1</v>
          </cell>
          <cell r="G47">
            <v>0.1</v>
          </cell>
          <cell r="N47" t="str">
            <v>1992 P</v>
          </cell>
        </row>
        <row r="48">
          <cell r="A48">
            <v>1992</v>
          </cell>
          <cell r="F48">
            <v>0.1</v>
          </cell>
          <cell r="G48">
            <v>0.1</v>
          </cell>
          <cell r="N48" t="str">
            <v>1992 D</v>
          </cell>
        </row>
        <row r="49">
          <cell r="A49">
            <v>1993</v>
          </cell>
          <cell r="F49">
            <v>0.1</v>
          </cell>
          <cell r="G49">
            <v>0.1</v>
          </cell>
          <cell r="N49" t="str">
            <v>1993 P</v>
          </cell>
        </row>
        <row r="50">
          <cell r="A50">
            <v>1993</v>
          </cell>
          <cell r="F50">
            <v>0.1</v>
          </cell>
          <cell r="G50">
            <v>0.1</v>
          </cell>
          <cell r="N50" t="str">
            <v>1993 D</v>
          </cell>
        </row>
        <row r="51">
          <cell r="A51">
            <v>1993</v>
          </cell>
          <cell r="F51">
            <v>0.1</v>
          </cell>
          <cell r="G51">
            <v>0.1</v>
          </cell>
          <cell r="N51" t="str">
            <v>1993 P</v>
          </cell>
        </row>
        <row r="52">
          <cell r="A52">
            <v>1993</v>
          </cell>
          <cell r="F52">
            <v>0.1</v>
          </cell>
          <cell r="G52">
            <v>1.5</v>
          </cell>
          <cell r="N52" t="str">
            <v>1993 D</v>
          </cell>
        </row>
        <row r="53">
          <cell r="A53">
            <v>1994</v>
          </cell>
          <cell r="F53">
            <v>0.1</v>
          </cell>
          <cell r="G53">
            <v>0.1</v>
          </cell>
          <cell r="N53" t="str">
            <v>1994 D</v>
          </cell>
        </row>
        <row r="54">
          <cell r="A54">
            <v>1994</v>
          </cell>
          <cell r="F54">
            <v>0.1</v>
          </cell>
          <cell r="G54">
            <v>0.1</v>
          </cell>
          <cell r="N54" t="str">
            <v>1994 D</v>
          </cell>
        </row>
        <row r="55">
          <cell r="A55">
            <v>1994</v>
          </cell>
          <cell r="F55">
            <v>0.1</v>
          </cell>
          <cell r="G55">
            <v>0.1</v>
          </cell>
          <cell r="N55" t="str">
            <v>1994 P</v>
          </cell>
        </row>
        <row r="56">
          <cell r="A56">
            <v>1994</v>
          </cell>
          <cell r="F56">
            <v>0.1</v>
          </cell>
          <cell r="G56">
            <v>0.1</v>
          </cell>
          <cell r="N56" t="str">
            <v>1994 D</v>
          </cell>
        </row>
        <row r="57">
          <cell r="A57">
            <v>1994</v>
          </cell>
          <cell r="F57">
            <v>0.1</v>
          </cell>
          <cell r="G57">
            <v>0.1</v>
          </cell>
          <cell r="N57" t="str">
            <v>1994 P</v>
          </cell>
        </row>
        <row r="58">
          <cell r="A58">
            <v>1995</v>
          </cell>
          <cell r="F58">
            <v>0.1</v>
          </cell>
          <cell r="G58">
            <v>0.1</v>
          </cell>
          <cell r="N58" t="str">
            <v>1995 P</v>
          </cell>
        </row>
        <row r="59">
          <cell r="A59">
            <v>1995</v>
          </cell>
          <cell r="F59">
            <v>0.1</v>
          </cell>
          <cell r="G59">
            <v>0.1</v>
          </cell>
          <cell r="N59" t="str">
            <v>1995 P</v>
          </cell>
        </row>
        <row r="60">
          <cell r="A60">
            <v>1996</v>
          </cell>
          <cell r="F60">
            <v>0.1</v>
          </cell>
          <cell r="G60">
            <v>0.1</v>
          </cell>
          <cell r="N60" t="str">
            <v>1996 P</v>
          </cell>
        </row>
        <row r="61">
          <cell r="A61">
            <v>1996</v>
          </cell>
          <cell r="F61">
            <v>0.1</v>
          </cell>
          <cell r="G61">
            <v>0.1</v>
          </cell>
          <cell r="N61" t="str">
            <v>1996 P</v>
          </cell>
        </row>
        <row r="62">
          <cell r="A62">
            <v>1996</v>
          </cell>
          <cell r="F62">
            <v>0.1</v>
          </cell>
          <cell r="G62">
            <v>0.1</v>
          </cell>
          <cell r="N62" t="str">
            <v>1996 D</v>
          </cell>
        </row>
        <row r="63">
          <cell r="A63">
            <v>1996</v>
          </cell>
          <cell r="F63">
            <v>0.1</v>
          </cell>
          <cell r="G63">
            <v>0.1</v>
          </cell>
          <cell r="N63" t="str">
            <v>1996 D</v>
          </cell>
        </row>
        <row r="64">
          <cell r="A64">
            <v>1996</v>
          </cell>
          <cell r="F64">
            <v>0.1</v>
          </cell>
          <cell r="G64">
            <v>0.1</v>
          </cell>
          <cell r="N64" t="str">
            <v>1996 D</v>
          </cell>
        </row>
        <row r="65">
          <cell r="A65">
            <v>1996</v>
          </cell>
          <cell r="F65">
            <v>0.1</v>
          </cell>
          <cell r="G65">
            <v>0.1</v>
          </cell>
          <cell r="N65" t="str">
            <v>1996 D</v>
          </cell>
        </row>
        <row r="66">
          <cell r="A66">
            <v>1997</v>
          </cell>
          <cell r="F66">
            <v>0.1</v>
          </cell>
          <cell r="G66">
            <v>0.1</v>
          </cell>
          <cell r="N66" t="str">
            <v>1997 P</v>
          </cell>
        </row>
        <row r="67">
          <cell r="A67">
            <v>1997</v>
          </cell>
          <cell r="F67">
            <v>0.1</v>
          </cell>
          <cell r="G67">
            <v>0.1</v>
          </cell>
          <cell r="N67" t="str">
            <v>1997 P</v>
          </cell>
        </row>
        <row r="68">
          <cell r="A68">
            <v>1997</v>
          </cell>
          <cell r="F68">
            <v>0.1</v>
          </cell>
          <cell r="G68">
            <v>0.1</v>
          </cell>
          <cell r="N68" t="str">
            <v>1997 D</v>
          </cell>
        </row>
        <row r="69">
          <cell r="A69">
            <v>1997</v>
          </cell>
          <cell r="F69">
            <v>0.1</v>
          </cell>
          <cell r="G69">
            <v>0.1</v>
          </cell>
          <cell r="N69" t="str">
            <v>1997 D</v>
          </cell>
        </row>
        <row r="70">
          <cell r="A70">
            <v>1998</v>
          </cell>
          <cell r="F70">
            <v>0.1</v>
          </cell>
          <cell r="G70">
            <v>0.1</v>
          </cell>
          <cell r="N70" t="str">
            <v>1998 D</v>
          </cell>
        </row>
        <row r="71">
          <cell r="A71">
            <v>1998</v>
          </cell>
          <cell r="F71">
            <v>0.1</v>
          </cell>
          <cell r="G71">
            <v>0.1</v>
          </cell>
          <cell r="N71" t="str">
            <v>1998 D</v>
          </cell>
        </row>
        <row r="72">
          <cell r="A72">
            <v>1998</v>
          </cell>
          <cell r="F72">
            <v>0.1</v>
          </cell>
          <cell r="G72">
            <v>0.1</v>
          </cell>
          <cell r="N72" t="str">
            <v>1998 P</v>
          </cell>
        </row>
        <row r="73">
          <cell r="A73">
            <v>1998</v>
          </cell>
          <cell r="F73">
            <v>0.1</v>
          </cell>
          <cell r="G73">
            <v>0.1</v>
          </cell>
          <cell r="N73" t="str">
            <v>1998 D</v>
          </cell>
        </row>
        <row r="74">
          <cell r="A74">
            <v>1999</v>
          </cell>
          <cell r="F74">
            <v>0.1</v>
          </cell>
          <cell r="G74">
            <v>0.1</v>
          </cell>
          <cell r="N74" t="str">
            <v>1999 D</v>
          </cell>
        </row>
        <row r="75">
          <cell r="A75">
            <v>1999</v>
          </cell>
          <cell r="F75">
            <v>0.1</v>
          </cell>
          <cell r="G75">
            <v>0.1</v>
          </cell>
          <cell r="N75" t="str">
            <v>1999 P</v>
          </cell>
        </row>
        <row r="76">
          <cell r="A76">
            <v>1999</v>
          </cell>
          <cell r="F76">
            <v>0.1</v>
          </cell>
          <cell r="G76">
            <v>0.1</v>
          </cell>
          <cell r="N76" t="str">
            <v>1999 P</v>
          </cell>
        </row>
        <row r="77">
          <cell r="A77">
            <v>1999</v>
          </cell>
          <cell r="F77">
            <v>0.1</v>
          </cell>
          <cell r="G77">
            <v>0.1</v>
          </cell>
          <cell r="N77" t="str">
            <v>1999 D</v>
          </cell>
        </row>
        <row r="78">
          <cell r="A78">
            <v>2000</v>
          </cell>
          <cell r="F78">
            <v>0.1</v>
          </cell>
          <cell r="G78">
            <v>0.1</v>
          </cell>
          <cell r="N78" t="str">
            <v>2000 D</v>
          </cell>
        </row>
        <row r="79">
          <cell r="A79">
            <v>2000</v>
          </cell>
          <cell r="F79">
            <v>0.1</v>
          </cell>
          <cell r="G79">
            <v>0.1</v>
          </cell>
          <cell r="N79" t="str">
            <v>2000 D</v>
          </cell>
        </row>
        <row r="80">
          <cell r="A80">
            <v>2001</v>
          </cell>
          <cell r="F80">
            <v>0.1</v>
          </cell>
          <cell r="G80">
            <v>0.1</v>
          </cell>
          <cell r="N80" t="str">
            <v>2001 D</v>
          </cell>
        </row>
        <row r="81">
          <cell r="A81">
            <v>2001</v>
          </cell>
          <cell r="F81">
            <v>0.1</v>
          </cell>
          <cell r="G81">
            <v>0.1</v>
          </cell>
          <cell r="N81" t="str">
            <v>2001 D</v>
          </cell>
        </row>
        <row r="82">
          <cell r="A82">
            <v>2002</v>
          </cell>
          <cell r="F82">
            <v>0.1</v>
          </cell>
          <cell r="G82">
            <v>0.1</v>
          </cell>
          <cell r="N82" t="str">
            <v>2003 P</v>
          </cell>
        </row>
        <row r="83">
          <cell r="A83">
            <v>2003</v>
          </cell>
          <cell r="F83">
            <v>0.1</v>
          </cell>
          <cell r="G83">
            <v>0.1</v>
          </cell>
          <cell r="N83" t="str">
            <v>2003 P</v>
          </cell>
        </row>
        <row r="84">
          <cell r="A84">
            <v>2003</v>
          </cell>
          <cell r="F84">
            <v>0.1</v>
          </cell>
          <cell r="G84">
            <v>1.5</v>
          </cell>
          <cell r="N84" t="str">
            <v>2003 P</v>
          </cell>
        </row>
        <row r="85">
          <cell r="A85">
            <v>2003</v>
          </cell>
          <cell r="F85">
            <v>0.1</v>
          </cell>
          <cell r="G85">
            <v>0.1</v>
          </cell>
          <cell r="N85" t="str">
            <v>2004 P</v>
          </cell>
        </row>
        <row r="86">
          <cell r="A86">
            <v>2004</v>
          </cell>
          <cell r="F86">
            <v>0.1</v>
          </cell>
          <cell r="G86">
            <v>0.1</v>
          </cell>
          <cell r="N86" t="str">
            <v>2004 P</v>
          </cell>
        </row>
        <row r="87">
          <cell r="A87">
            <v>2004</v>
          </cell>
          <cell r="F87">
            <v>0.1</v>
          </cell>
          <cell r="G87">
            <v>0.1</v>
          </cell>
          <cell r="N87" t="str">
            <v>2004 P</v>
          </cell>
        </row>
        <row r="88">
          <cell r="A88">
            <v>2004</v>
          </cell>
          <cell r="F88">
            <v>0.1</v>
          </cell>
          <cell r="G88">
            <v>1.5</v>
          </cell>
          <cell r="N88" t="str">
            <v>2004 P</v>
          </cell>
        </row>
        <row r="89">
          <cell r="A89">
            <v>2005</v>
          </cell>
          <cell r="F89">
            <v>0.1</v>
          </cell>
          <cell r="G89">
            <v>0.1</v>
          </cell>
          <cell r="N89" t="str">
            <v>2005 P</v>
          </cell>
        </row>
        <row r="90">
          <cell r="A90">
            <v>2005</v>
          </cell>
          <cell r="F90">
            <v>0.1</v>
          </cell>
          <cell r="G90">
            <v>0.1</v>
          </cell>
          <cell r="N90" t="str">
            <v>2005 P</v>
          </cell>
        </row>
        <row r="91">
          <cell r="A91">
            <v>2006</v>
          </cell>
          <cell r="F91">
            <v>0.1</v>
          </cell>
          <cell r="G91">
            <v>0.1</v>
          </cell>
          <cell r="N91" t="str">
            <v>2006 P</v>
          </cell>
        </row>
        <row r="92">
          <cell r="A92">
            <v>2007</v>
          </cell>
          <cell r="F92">
            <v>0.1</v>
          </cell>
          <cell r="G92">
            <v>0.1</v>
          </cell>
          <cell r="N92" t="str">
            <v>2007 P</v>
          </cell>
        </row>
        <row r="93">
          <cell r="A93">
            <v>2007</v>
          </cell>
          <cell r="F93">
            <v>0.1</v>
          </cell>
          <cell r="G93">
            <v>0.1</v>
          </cell>
          <cell r="N93" t="str">
            <v>2007 P</v>
          </cell>
        </row>
        <row r="94">
          <cell r="A94">
            <v>2007</v>
          </cell>
          <cell r="F94">
            <v>0.1</v>
          </cell>
          <cell r="G94">
            <v>0.1</v>
          </cell>
          <cell r="N94" t="str">
            <v>2009 P</v>
          </cell>
        </row>
        <row r="95">
          <cell r="A95">
            <v>2007</v>
          </cell>
          <cell r="F95">
            <v>0.1</v>
          </cell>
          <cell r="G95">
            <v>0.1</v>
          </cell>
          <cell r="N95" t="str">
            <v>2007 P</v>
          </cell>
        </row>
        <row r="96">
          <cell r="A96">
            <v>2008</v>
          </cell>
          <cell r="F96">
            <v>0.1</v>
          </cell>
          <cell r="G96">
            <v>0.1</v>
          </cell>
          <cell r="N96" t="str">
            <v>2008 D</v>
          </cell>
        </row>
        <row r="97">
          <cell r="A97">
            <v>2008</v>
          </cell>
          <cell r="F97">
            <v>0.1</v>
          </cell>
          <cell r="G97">
            <v>0.1</v>
          </cell>
          <cell r="N97" t="str">
            <v>2008 P</v>
          </cell>
        </row>
        <row r="98">
          <cell r="A98">
            <v>2010</v>
          </cell>
          <cell r="F98">
            <v>0.1</v>
          </cell>
          <cell r="G98">
            <v>0.1</v>
          </cell>
          <cell r="N98" t="str">
            <v>2010 P</v>
          </cell>
        </row>
        <row r="99">
          <cell r="A99">
            <v>2010</v>
          </cell>
          <cell r="F99">
            <v>0.1</v>
          </cell>
          <cell r="G99">
            <v>0.1</v>
          </cell>
          <cell r="N99" t="str">
            <v>2010 P</v>
          </cell>
        </row>
        <row r="100">
          <cell r="A100">
            <v>2010</v>
          </cell>
          <cell r="F100">
            <v>0.1</v>
          </cell>
          <cell r="G100">
            <v>0.1</v>
          </cell>
          <cell r="N100" t="str">
            <v>2010 P</v>
          </cell>
        </row>
        <row r="101">
          <cell r="A101">
            <v>2010</v>
          </cell>
          <cell r="F101">
            <v>0.1</v>
          </cell>
          <cell r="G101">
            <v>0.1</v>
          </cell>
          <cell r="N101" t="str">
            <v>2010 P</v>
          </cell>
        </row>
        <row r="102">
          <cell r="A102">
            <v>2011</v>
          </cell>
          <cell r="F102">
            <v>0.1</v>
          </cell>
          <cell r="G102">
            <v>0.1</v>
          </cell>
          <cell r="N102" t="str">
            <v>2011 P</v>
          </cell>
        </row>
        <row r="103">
          <cell r="A103">
            <v>2011</v>
          </cell>
          <cell r="F103">
            <v>0.1</v>
          </cell>
          <cell r="G103">
            <v>0.1</v>
          </cell>
          <cell r="N103" t="str">
            <v>2011 P</v>
          </cell>
        </row>
        <row r="104">
          <cell r="A104">
            <v>2011</v>
          </cell>
          <cell r="F104">
            <v>0.1</v>
          </cell>
          <cell r="G104">
            <v>0.1</v>
          </cell>
          <cell r="N104" t="str">
            <v>2011 P</v>
          </cell>
        </row>
        <row r="105">
          <cell r="A105">
            <v>2011</v>
          </cell>
          <cell r="F105">
            <v>0.1</v>
          </cell>
          <cell r="G105">
            <v>0.1</v>
          </cell>
          <cell r="N105" t="str">
            <v>2011 P</v>
          </cell>
        </row>
        <row r="106">
          <cell r="A106">
            <v>2011</v>
          </cell>
          <cell r="F106">
            <v>0.1</v>
          </cell>
          <cell r="G106">
            <v>0.1</v>
          </cell>
          <cell r="N106" t="str">
            <v>2011 P</v>
          </cell>
        </row>
        <row r="107">
          <cell r="A107">
            <v>2011</v>
          </cell>
          <cell r="F107">
            <v>0.1</v>
          </cell>
          <cell r="G107">
            <v>0.1</v>
          </cell>
          <cell r="N107" t="str">
            <v>2011 D</v>
          </cell>
        </row>
        <row r="108">
          <cell r="A108">
            <v>2012</v>
          </cell>
          <cell r="F108">
            <v>0.1</v>
          </cell>
          <cell r="G108">
            <v>0.1</v>
          </cell>
          <cell r="N108" t="str">
            <v>2012 P</v>
          </cell>
        </row>
        <row r="109">
          <cell r="A109">
            <v>2012</v>
          </cell>
          <cell r="F109">
            <v>0.1</v>
          </cell>
          <cell r="G109">
            <v>0.1</v>
          </cell>
          <cell r="N109" t="str">
            <v>2012 P</v>
          </cell>
        </row>
        <row r="110">
          <cell r="A110">
            <v>2012</v>
          </cell>
          <cell r="F110">
            <v>0.1</v>
          </cell>
          <cell r="G110">
            <v>0.1</v>
          </cell>
          <cell r="N110" t="str">
            <v>2012 P</v>
          </cell>
        </row>
        <row r="111">
          <cell r="A111">
            <v>2012</v>
          </cell>
          <cell r="F111">
            <v>0.1</v>
          </cell>
          <cell r="G111">
            <v>0.1</v>
          </cell>
          <cell r="N111" t="str">
            <v>2012 P</v>
          </cell>
        </row>
        <row r="112">
          <cell r="A112">
            <v>2013</v>
          </cell>
          <cell r="F112">
            <v>0.1</v>
          </cell>
          <cell r="G112">
            <v>0.1</v>
          </cell>
          <cell r="N112" t="str">
            <v>2013 P</v>
          </cell>
        </row>
        <row r="113">
          <cell r="A113">
            <v>2013</v>
          </cell>
          <cell r="F113">
            <v>0.1</v>
          </cell>
          <cell r="G113">
            <v>0.1</v>
          </cell>
          <cell r="N113" t="str">
            <v>2013 P</v>
          </cell>
        </row>
        <row r="114">
          <cell r="A114">
            <v>2014</v>
          </cell>
          <cell r="F114">
            <v>0.1</v>
          </cell>
          <cell r="G114">
            <v>0.1</v>
          </cell>
          <cell r="N114" t="str">
            <v>2014 P</v>
          </cell>
        </row>
        <row r="115">
          <cell r="A115">
            <v>2014</v>
          </cell>
          <cell r="F115">
            <v>0.1</v>
          </cell>
          <cell r="G115">
            <v>0.1</v>
          </cell>
          <cell r="N115" t="str">
            <v>2014 P</v>
          </cell>
        </row>
        <row r="116">
          <cell r="A116">
            <v>2014</v>
          </cell>
          <cell r="F116">
            <v>0.1</v>
          </cell>
          <cell r="G116">
            <v>0.1</v>
          </cell>
          <cell r="N116" t="str">
            <v>2014 P</v>
          </cell>
        </row>
        <row r="117">
          <cell r="A117">
            <v>2014</v>
          </cell>
          <cell r="F117">
            <v>0.1</v>
          </cell>
          <cell r="G117">
            <v>0.1</v>
          </cell>
          <cell r="N117" t="str">
            <v>2014 P</v>
          </cell>
        </row>
        <row r="118">
          <cell r="A118">
            <v>2014</v>
          </cell>
          <cell r="F118">
            <v>0.1</v>
          </cell>
          <cell r="G118">
            <v>0.1</v>
          </cell>
          <cell r="N118" t="str">
            <v>2014 P</v>
          </cell>
        </row>
        <row r="119">
          <cell r="A119">
            <v>2014</v>
          </cell>
          <cell r="F119">
            <v>0.1</v>
          </cell>
          <cell r="G119">
            <v>0.1</v>
          </cell>
          <cell r="N119" t="str">
            <v>2014 P</v>
          </cell>
        </row>
        <row r="120">
          <cell r="A120">
            <v>2014</v>
          </cell>
          <cell r="F120">
            <v>0.1</v>
          </cell>
          <cell r="G120">
            <v>0.1</v>
          </cell>
          <cell r="N120" t="str">
            <v>2014 P</v>
          </cell>
        </row>
        <row r="121">
          <cell r="A121">
            <v>2015</v>
          </cell>
          <cell r="F121">
            <v>0.1</v>
          </cell>
          <cell r="G121">
            <v>1.5</v>
          </cell>
          <cell r="N121" t="str">
            <v>20154 P</v>
          </cell>
        </row>
        <row r="122">
          <cell r="A122">
            <v>2015</v>
          </cell>
          <cell r="F122">
            <v>0.1</v>
          </cell>
          <cell r="G122">
            <v>0.1</v>
          </cell>
          <cell r="N122" t="str">
            <v>2015 P</v>
          </cell>
        </row>
        <row r="123">
          <cell r="A123">
            <v>2015</v>
          </cell>
          <cell r="F123">
            <v>0.1</v>
          </cell>
          <cell r="G123">
            <v>0.1</v>
          </cell>
          <cell r="N123" t="str">
            <v>2015 P</v>
          </cell>
        </row>
        <row r="124">
          <cell r="A124">
            <v>2015</v>
          </cell>
          <cell r="F124">
            <v>0.1</v>
          </cell>
          <cell r="G124">
            <v>0.1</v>
          </cell>
          <cell r="N124" t="str">
            <v>2015 P</v>
          </cell>
        </row>
        <row r="125">
          <cell r="A125">
            <v>2016</v>
          </cell>
          <cell r="F125">
            <v>0.1</v>
          </cell>
          <cell r="G125">
            <v>0.1</v>
          </cell>
          <cell r="N125" t="str">
            <v>2016 P</v>
          </cell>
        </row>
        <row r="126">
          <cell r="A126">
            <v>2016</v>
          </cell>
          <cell r="F126">
            <v>0.1</v>
          </cell>
          <cell r="G126">
            <v>0.1</v>
          </cell>
          <cell r="N126" t="str">
            <v>2016 P</v>
          </cell>
        </row>
        <row r="127">
          <cell r="A127">
            <v>2016</v>
          </cell>
          <cell r="F127">
            <v>0.1</v>
          </cell>
          <cell r="G127">
            <v>0.1</v>
          </cell>
          <cell r="N127" t="str">
            <v>2016 P</v>
          </cell>
        </row>
        <row r="128">
          <cell r="A128">
            <v>2016</v>
          </cell>
          <cell r="F128">
            <v>0.1</v>
          </cell>
          <cell r="G128">
            <v>0.1</v>
          </cell>
          <cell r="N128" t="str">
            <v>2016 P</v>
          </cell>
        </row>
        <row r="129">
          <cell r="A129">
            <v>2016</v>
          </cell>
          <cell r="F129">
            <v>0.1</v>
          </cell>
          <cell r="G129">
            <v>0.1</v>
          </cell>
          <cell r="N129" t="str">
            <v>2016 D</v>
          </cell>
        </row>
        <row r="130">
          <cell r="A130">
            <v>2016</v>
          </cell>
          <cell r="F130">
            <v>0.1</v>
          </cell>
          <cell r="G130">
            <v>0.1</v>
          </cell>
          <cell r="N130" t="str">
            <v>2016 P</v>
          </cell>
        </row>
        <row r="131">
          <cell r="A131">
            <v>2016</v>
          </cell>
          <cell r="F131">
            <v>0.1</v>
          </cell>
          <cell r="G131">
            <v>0.1</v>
          </cell>
          <cell r="N131" t="str">
            <v>2016 P</v>
          </cell>
        </row>
        <row r="132">
          <cell r="A132">
            <v>2016</v>
          </cell>
          <cell r="F132">
            <v>0.1</v>
          </cell>
          <cell r="G132">
            <v>0.1</v>
          </cell>
          <cell r="N132" t="str">
            <v>2016 P</v>
          </cell>
        </row>
        <row r="133">
          <cell r="A133">
            <v>2016</v>
          </cell>
          <cell r="F133">
            <v>0.1</v>
          </cell>
          <cell r="G133">
            <v>1.5</v>
          </cell>
          <cell r="N133" t="str">
            <v>2016 P</v>
          </cell>
        </row>
        <row r="134">
          <cell r="A134">
            <v>2016</v>
          </cell>
          <cell r="F134">
            <v>0.1</v>
          </cell>
          <cell r="G134">
            <v>0.1</v>
          </cell>
          <cell r="N134" t="str">
            <v>2016 P</v>
          </cell>
        </row>
        <row r="135">
          <cell r="A135">
            <v>2017</v>
          </cell>
          <cell r="F135">
            <v>0.1</v>
          </cell>
          <cell r="G135">
            <v>0.1</v>
          </cell>
          <cell r="N135" t="str">
            <v>2017 P</v>
          </cell>
        </row>
        <row r="136">
          <cell r="A136">
            <v>2017</v>
          </cell>
          <cell r="F136">
            <v>0.1</v>
          </cell>
          <cell r="G136">
            <v>0.1</v>
          </cell>
          <cell r="N136" t="str">
            <v>2017 P</v>
          </cell>
        </row>
        <row r="137">
          <cell r="A137">
            <v>2017</v>
          </cell>
          <cell r="F137">
            <v>0.1</v>
          </cell>
          <cell r="G137">
            <v>0.1</v>
          </cell>
          <cell r="N137" t="str">
            <v>2017 P</v>
          </cell>
        </row>
        <row r="138">
          <cell r="A138">
            <v>2017</v>
          </cell>
          <cell r="F138">
            <v>0.25</v>
          </cell>
          <cell r="G138">
            <v>0.25</v>
          </cell>
          <cell r="N138" t="str">
            <v>2017 P</v>
          </cell>
        </row>
        <row r="139">
          <cell r="A139">
            <v>2017</v>
          </cell>
          <cell r="F139">
            <v>0.1</v>
          </cell>
          <cell r="G139">
            <v>0.1</v>
          </cell>
          <cell r="N139" t="str">
            <v>2017 P</v>
          </cell>
        </row>
        <row r="140">
          <cell r="A140">
            <v>2018</v>
          </cell>
          <cell r="F140">
            <v>0.1</v>
          </cell>
          <cell r="G140">
            <v>0.1</v>
          </cell>
          <cell r="N140" t="str">
            <v>2018 P</v>
          </cell>
        </row>
        <row r="141">
          <cell r="A141">
            <v>2018</v>
          </cell>
          <cell r="F141">
            <v>0.1</v>
          </cell>
          <cell r="G141">
            <v>0.1</v>
          </cell>
          <cell r="N141" t="str">
            <v>2018 P</v>
          </cell>
        </row>
        <row r="142">
          <cell r="A142">
            <v>2018</v>
          </cell>
          <cell r="F142">
            <v>0.1</v>
          </cell>
          <cell r="G142">
            <v>0.1</v>
          </cell>
          <cell r="N142" t="str">
            <v>2018 P</v>
          </cell>
        </row>
        <row r="143">
          <cell r="A143">
            <v>2018</v>
          </cell>
          <cell r="F143">
            <v>0.1</v>
          </cell>
          <cell r="G143">
            <v>0.1</v>
          </cell>
          <cell r="N143" t="str">
            <v>2018 P</v>
          </cell>
        </row>
        <row r="144">
          <cell r="A144">
            <v>2019</v>
          </cell>
          <cell r="F144">
            <v>0.1</v>
          </cell>
          <cell r="G144">
            <v>0.1</v>
          </cell>
          <cell r="N144" t="str">
            <v>2019 P</v>
          </cell>
        </row>
        <row r="145">
          <cell r="A145">
            <v>2019</v>
          </cell>
          <cell r="F145">
            <v>0.1</v>
          </cell>
          <cell r="G145">
            <v>0.1</v>
          </cell>
          <cell r="N145" t="str">
            <v>2020 P</v>
          </cell>
        </row>
        <row r="146">
          <cell r="A146">
            <v>2019</v>
          </cell>
          <cell r="F146">
            <v>0.1</v>
          </cell>
          <cell r="G146">
            <v>0.1</v>
          </cell>
          <cell r="N146" t="str">
            <v>2020 P</v>
          </cell>
        </row>
        <row r="147">
          <cell r="A147">
            <v>2020</v>
          </cell>
          <cell r="F147">
            <v>0.1</v>
          </cell>
          <cell r="G147">
            <v>0.1</v>
          </cell>
          <cell r="N147" t="str">
            <v>2021 P</v>
          </cell>
        </row>
        <row r="148">
          <cell r="A148">
            <v>2020</v>
          </cell>
          <cell r="F148">
            <v>0.1</v>
          </cell>
          <cell r="G148">
            <v>0.1</v>
          </cell>
          <cell r="N148" t="str">
            <v>2021 P</v>
          </cell>
        </row>
        <row r="149">
          <cell r="A149">
            <v>2020</v>
          </cell>
          <cell r="F149">
            <v>0.1</v>
          </cell>
          <cell r="G149">
            <v>0.1</v>
          </cell>
          <cell r="N149" t="str">
            <v>2021 P</v>
          </cell>
        </row>
        <row r="150">
          <cell r="A150">
            <v>2021</v>
          </cell>
          <cell r="F150">
            <v>0.1</v>
          </cell>
          <cell r="G150">
            <v>0.1</v>
          </cell>
          <cell r="N150" t="str">
            <v>2022 P</v>
          </cell>
        </row>
        <row r="151">
          <cell r="A151">
            <v>2021</v>
          </cell>
          <cell r="F151">
            <v>0.1</v>
          </cell>
          <cell r="G151">
            <v>0.1</v>
          </cell>
          <cell r="N151" t="str">
            <v>2022 P</v>
          </cell>
        </row>
        <row r="152">
          <cell r="A152">
            <v>2021</v>
          </cell>
          <cell r="F152">
            <v>0.1</v>
          </cell>
          <cell r="G152">
            <v>1.5</v>
          </cell>
          <cell r="N152" t="str">
            <v>2021 D</v>
          </cell>
        </row>
        <row r="153">
          <cell r="A153">
            <v>2022</v>
          </cell>
          <cell r="F153">
            <v>0.1</v>
          </cell>
          <cell r="G153">
            <v>1.5</v>
          </cell>
        </row>
        <row r="154">
          <cell r="A154">
            <v>2022</v>
          </cell>
          <cell r="F154">
            <v>0.1</v>
          </cell>
          <cell r="G154">
            <v>0.1</v>
          </cell>
        </row>
        <row r="155">
          <cell r="A155">
            <v>2022</v>
          </cell>
          <cell r="F155">
            <v>0.1</v>
          </cell>
          <cell r="G155">
            <v>0.1</v>
          </cell>
        </row>
        <row r="156">
          <cell r="A156"/>
        </row>
        <row r="157">
          <cell r="A157"/>
        </row>
        <row r="158">
          <cell r="A158"/>
        </row>
        <row r="159">
          <cell r="A159"/>
        </row>
        <row r="160">
          <cell r="A160"/>
        </row>
        <row r="161">
          <cell r="A161"/>
        </row>
        <row r="162">
          <cell r="A162"/>
        </row>
        <row r="163">
          <cell r="A163"/>
        </row>
        <row r="164">
          <cell r="A164"/>
        </row>
        <row r="165">
          <cell r="A165"/>
        </row>
        <row r="166">
          <cell r="A166"/>
        </row>
        <row r="167">
          <cell r="A167"/>
        </row>
        <row r="168">
          <cell r="A168"/>
        </row>
        <row r="169">
          <cell r="A169"/>
        </row>
        <row r="170">
          <cell r="A170"/>
        </row>
        <row r="171">
          <cell r="A171"/>
        </row>
        <row r="172">
          <cell r="A172"/>
        </row>
        <row r="173">
          <cell r="A173"/>
        </row>
        <row r="174">
          <cell r="A174"/>
        </row>
        <row r="175">
          <cell r="A175"/>
        </row>
        <row r="176">
          <cell r="A176"/>
        </row>
        <row r="177">
          <cell r="A177"/>
        </row>
        <row r="178">
          <cell r="A178"/>
        </row>
        <row r="179">
          <cell r="A179"/>
        </row>
        <row r="180">
          <cell r="A180"/>
        </row>
        <row r="181">
          <cell r="A181"/>
        </row>
        <row r="182">
          <cell r="A182"/>
        </row>
        <row r="183">
          <cell r="A183"/>
        </row>
        <row r="184">
          <cell r="A184"/>
        </row>
        <row r="185">
          <cell r="A185"/>
        </row>
        <row r="186">
          <cell r="A186"/>
        </row>
        <row r="187">
          <cell r="A187"/>
        </row>
        <row r="188">
          <cell r="A188"/>
        </row>
        <row r="189">
          <cell r="A189"/>
        </row>
        <row r="190">
          <cell r="A190"/>
        </row>
        <row r="191">
          <cell r="A191"/>
        </row>
        <row r="192">
          <cell r="A192"/>
        </row>
        <row r="193">
          <cell r="A193"/>
        </row>
        <row r="194">
          <cell r="A194"/>
        </row>
        <row r="195">
          <cell r="A195"/>
        </row>
        <row r="196">
          <cell r="A196"/>
        </row>
        <row r="197">
          <cell r="A197"/>
        </row>
        <row r="198">
          <cell r="A198"/>
        </row>
        <row r="199">
          <cell r="A199"/>
        </row>
        <row r="200">
          <cell r="A200"/>
        </row>
        <row r="201">
          <cell r="A201"/>
        </row>
        <row r="202">
          <cell r="A202"/>
        </row>
        <row r="203">
          <cell r="A203"/>
        </row>
        <row r="204">
          <cell r="A204"/>
        </row>
        <row r="205">
          <cell r="A205"/>
        </row>
        <row r="206">
          <cell r="A206"/>
        </row>
        <row r="207">
          <cell r="A207"/>
        </row>
        <row r="208">
          <cell r="A208"/>
        </row>
        <row r="209">
          <cell r="A209"/>
        </row>
        <row r="210">
          <cell r="A210"/>
        </row>
        <row r="211">
          <cell r="A211"/>
        </row>
        <row r="212">
          <cell r="A212"/>
        </row>
        <row r="213">
          <cell r="A213"/>
        </row>
        <row r="214">
          <cell r="A214"/>
        </row>
        <row r="215">
          <cell r="A215"/>
        </row>
        <row r="216">
          <cell r="A216"/>
        </row>
        <row r="217">
          <cell r="A217"/>
        </row>
        <row r="218">
          <cell r="A218"/>
        </row>
        <row r="219">
          <cell r="A219"/>
        </row>
        <row r="220">
          <cell r="A220"/>
        </row>
        <row r="221">
          <cell r="A221"/>
        </row>
        <row r="222">
          <cell r="A222"/>
        </row>
        <row r="223">
          <cell r="A223"/>
        </row>
        <row r="224">
          <cell r="A224"/>
        </row>
        <row r="225">
          <cell r="A225"/>
        </row>
        <row r="226">
          <cell r="A226"/>
        </row>
        <row r="227">
          <cell r="A227"/>
        </row>
        <row r="228">
          <cell r="A228"/>
        </row>
        <row r="229">
          <cell r="A229"/>
        </row>
        <row r="230">
          <cell r="A230"/>
        </row>
        <row r="231">
          <cell r="A231"/>
        </row>
        <row r="232">
          <cell r="A232"/>
        </row>
        <row r="233">
          <cell r="A233"/>
        </row>
        <row r="234">
          <cell r="A234"/>
        </row>
        <row r="235">
          <cell r="A235"/>
        </row>
        <row r="236">
          <cell r="A236"/>
        </row>
        <row r="237">
          <cell r="A237"/>
        </row>
        <row r="238">
          <cell r="A238"/>
        </row>
        <row r="239">
          <cell r="A239"/>
        </row>
        <row r="240">
          <cell r="A240"/>
        </row>
        <row r="241">
          <cell r="A241"/>
        </row>
        <row r="242">
          <cell r="A242"/>
        </row>
        <row r="243">
          <cell r="A243"/>
        </row>
        <row r="244">
          <cell r="A244"/>
        </row>
        <row r="245">
          <cell r="A245"/>
        </row>
        <row r="246">
          <cell r="A246"/>
        </row>
        <row r="247">
          <cell r="A247"/>
        </row>
        <row r="248">
          <cell r="A248"/>
        </row>
        <row r="249">
          <cell r="A249"/>
        </row>
        <row r="250">
          <cell r="A250"/>
        </row>
        <row r="251">
          <cell r="A251"/>
        </row>
        <row r="252">
          <cell r="A252"/>
        </row>
        <row r="253">
          <cell r="A253"/>
        </row>
        <row r="254">
          <cell r="A254"/>
        </row>
        <row r="255">
          <cell r="A255"/>
        </row>
        <row r="256">
          <cell r="A256"/>
        </row>
        <row r="257">
          <cell r="A257"/>
        </row>
        <row r="258">
          <cell r="A258"/>
        </row>
        <row r="259">
          <cell r="A259"/>
        </row>
        <row r="260">
          <cell r="A260"/>
        </row>
        <row r="261">
          <cell r="A261"/>
        </row>
        <row r="262">
          <cell r="A262"/>
        </row>
        <row r="263">
          <cell r="A263"/>
        </row>
        <row r="264">
          <cell r="A264"/>
        </row>
        <row r="265">
          <cell r="A265"/>
        </row>
        <row r="266">
          <cell r="A266"/>
        </row>
        <row r="267">
          <cell r="A267"/>
        </row>
        <row r="268">
          <cell r="A268"/>
        </row>
        <row r="269">
          <cell r="A269"/>
        </row>
        <row r="270">
          <cell r="A270"/>
        </row>
        <row r="271">
          <cell r="A271"/>
        </row>
        <row r="272">
          <cell r="A272"/>
        </row>
        <row r="273">
          <cell r="A273"/>
        </row>
        <row r="274">
          <cell r="A274"/>
        </row>
        <row r="275">
          <cell r="A275"/>
        </row>
        <row r="276">
          <cell r="A276"/>
        </row>
        <row r="277">
          <cell r="A277"/>
        </row>
        <row r="278">
          <cell r="A278"/>
        </row>
        <row r="279">
          <cell r="A279"/>
        </row>
        <row r="280">
          <cell r="A280"/>
        </row>
        <row r="281">
          <cell r="A281"/>
        </row>
        <row r="282">
          <cell r="A282"/>
        </row>
        <row r="283">
          <cell r="A283"/>
        </row>
        <row r="284">
          <cell r="A284"/>
        </row>
        <row r="285">
          <cell r="A285"/>
        </row>
        <row r="286">
          <cell r="A286"/>
        </row>
        <row r="287">
          <cell r="A287"/>
        </row>
        <row r="288">
          <cell r="A288"/>
        </row>
        <row r="289">
          <cell r="A289"/>
        </row>
        <row r="290">
          <cell r="A290"/>
        </row>
        <row r="291">
          <cell r="A291"/>
        </row>
        <row r="292">
          <cell r="A292"/>
        </row>
        <row r="293">
          <cell r="A293"/>
        </row>
        <row r="294">
          <cell r="A294"/>
        </row>
        <row r="295">
          <cell r="A295"/>
        </row>
        <row r="296">
          <cell r="A296"/>
        </row>
        <row r="297">
          <cell r="A297"/>
        </row>
        <row r="298">
          <cell r="A298"/>
        </row>
        <row r="299">
          <cell r="A299"/>
        </row>
        <row r="300">
          <cell r="A300"/>
        </row>
      </sheetData>
      <sheetData sheetId="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Quarters"/>
      <sheetName val="QuarterSearch"/>
      <sheetName val="Sheet2"/>
      <sheetName val="QuarterMintage"/>
      <sheetName val="Work"/>
    </sheetNames>
    <sheetDataSet>
      <sheetData sheetId="0">
        <row r="1">
          <cell r="K1" t="e">
            <v>#REF!</v>
          </cell>
        </row>
        <row r="2">
          <cell r="K2" t="e">
            <v>#REF!</v>
          </cell>
        </row>
        <row r="3">
          <cell r="K3">
            <v>1939</v>
          </cell>
        </row>
        <row r="4">
          <cell r="K4">
            <v>1942</v>
          </cell>
        </row>
        <row r="5">
          <cell r="K5">
            <v>1946</v>
          </cell>
        </row>
        <row r="6">
          <cell r="K6">
            <v>1952</v>
          </cell>
        </row>
        <row r="7">
          <cell r="K7">
            <v>1952</v>
          </cell>
        </row>
        <row r="8">
          <cell r="K8">
            <v>1965</v>
          </cell>
        </row>
        <row r="9">
          <cell r="K9">
            <v>1965</v>
          </cell>
        </row>
        <row r="10">
          <cell r="K10">
            <v>1966</v>
          </cell>
        </row>
        <row r="11">
          <cell r="K11">
            <v>1970</v>
          </cell>
        </row>
        <row r="12">
          <cell r="K12" t="str">
            <v>1972 D</v>
          </cell>
        </row>
        <row r="13">
          <cell r="K13">
            <v>1972</v>
          </cell>
        </row>
        <row r="14">
          <cell r="K14">
            <v>1974</v>
          </cell>
        </row>
        <row r="15">
          <cell r="K15">
            <v>1974</v>
          </cell>
        </row>
        <row r="16">
          <cell r="K16">
            <v>1976</v>
          </cell>
        </row>
        <row r="17">
          <cell r="K17" t="str">
            <v>1976 P</v>
          </cell>
        </row>
        <row r="18">
          <cell r="K18">
            <v>1976</v>
          </cell>
        </row>
        <row r="19">
          <cell r="K19" t="str">
            <v>1976 D</v>
          </cell>
        </row>
        <row r="20">
          <cell r="K20">
            <v>1976</v>
          </cell>
        </row>
        <row r="21">
          <cell r="K21">
            <v>1976</v>
          </cell>
        </row>
        <row r="22">
          <cell r="K22" t="str">
            <v>1976 D</v>
          </cell>
        </row>
        <row r="23">
          <cell r="K23" t="str">
            <v>1978 D</v>
          </cell>
        </row>
        <row r="24">
          <cell r="K24" t="str">
            <v>1978 D</v>
          </cell>
        </row>
        <row r="25">
          <cell r="K25">
            <v>1984</v>
          </cell>
        </row>
        <row r="26">
          <cell r="K26" t="str">
            <v>1985 P</v>
          </cell>
        </row>
        <row r="27">
          <cell r="K27" t="str">
            <v>1986 P</v>
          </cell>
        </row>
        <row r="28">
          <cell r="K28" t="str">
            <v>1986 P</v>
          </cell>
        </row>
        <row r="29">
          <cell r="K29" t="str">
            <v>1987 D</v>
          </cell>
        </row>
        <row r="30">
          <cell r="K30" t="str">
            <v>1988 P</v>
          </cell>
        </row>
        <row r="31">
          <cell r="K31" t="str">
            <v>1989 D</v>
          </cell>
        </row>
        <row r="32">
          <cell r="K32">
            <v>1990</v>
          </cell>
        </row>
        <row r="33">
          <cell r="K33" t="str">
            <v>1990 D</v>
          </cell>
        </row>
        <row r="34">
          <cell r="K34">
            <v>1990</v>
          </cell>
        </row>
        <row r="35">
          <cell r="K35" t="str">
            <v>1990 D</v>
          </cell>
        </row>
        <row r="36">
          <cell r="K36">
            <v>1991</v>
          </cell>
        </row>
        <row r="37">
          <cell r="K37">
            <v>1991</v>
          </cell>
        </row>
        <row r="38">
          <cell r="K38" t="str">
            <v>1992 D</v>
          </cell>
        </row>
        <row r="39">
          <cell r="K39" t="str">
            <v>1993 P</v>
          </cell>
        </row>
        <row r="40">
          <cell r="K40" t="str">
            <v>1996 P</v>
          </cell>
        </row>
        <row r="41">
          <cell r="K41" t="str">
            <v>1996 D</v>
          </cell>
        </row>
        <row r="42">
          <cell r="K42">
            <v>1997</v>
          </cell>
        </row>
        <row r="43">
          <cell r="K43">
            <v>1997</v>
          </cell>
        </row>
        <row r="44">
          <cell r="K44">
            <v>1998</v>
          </cell>
        </row>
        <row r="45">
          <cell r="K45" t="str">
            <v>1998 P</v>
          </cell>
        </row>
        <row r="46">
          <cell r="K46" t="str">
            <v>1999 P</v>
          </cell>
        </row>
        <row r="47">
          <cell r="K47" t="str">
            <v>1999 D</v>
          </cell>
        </row>
        <row r="48">
          <cell r="K48" t="str">
            <v>1999 P</v>
          </cell>
        </row>
        <row r="49">
          <cell r="K49" t="str">
            <v>1999 P</v>
          </cell>
        </row>
        <row r="50">
          <cell r="K50">
            <v>1999</v>
          </cell>
        </row>
        <row r="51">
          <cell r="K51" t="str">
            <v>1999 P</v>
          </cell>
        </row>
        <row r="52">
          <cell r="K52" t="str">
            <v>1999 P</v>
          </cell>
        </row>
        <row r="53">
          <cell r="K53" t="str">
            <v>1999 P</v>
          </cell>
        </row>
        <row r="54">
          <cell r="K54" t="str">
            <v>1999 D</v>
          </cell>
        </row>
        <row r="55">
          <cell r="K55" t="str">
            <v>1999 D</v>
          </cell>
        </row>
        <row r="56">
          <cell r="K56" t="str">
            <v>1999 D</v>
          </cell>
        </row>
        <row r="57">
          <cell r="K57" t="str">
            <v>1999 D</v>
          </cell>
        </row>
        <row r="58">
          <cell r="K58" t="str">
            <v>1999 P</v>
          </cell>
        </row>
        <row r="59">
          <cell r="K59" t="str">
            <v>1999 P</v>
          </cell>
        </row>
        <row r="60">
          <cell r="K60" t="str">
            <v>1999 P</v>
          </cell>
        </row>
        <row r="61">
          <cell r="K61" t="str">
            <v>1999 P</v>
          </cell>
        </row>
        <row r="62">
          <cell r="K62" t="str">
            <v>1999 D</v>
          </cell>
        </row>
        <row r="63">
          <cell r="K63" t="str">
            <v>1999 D</v>
          </cell>
        </row>
        <row r="64">
          <cell r="K64" t="str">
            <v>1999 D</v>
          </cell>
        </row>
        <row r="65">
          <cell r="K65" t="str">
            <v>1999 D</v>
          </cell>
        </row>
        <row r="66">
          <cell r="K66" t="str">
            <v>1999 P</v>
          </cell>
        </row>
        <row r="67">
          <cell r="K67" t="str">
            <v>1999 P</v>
          </cell>
        </row>
        <row r="68">
          <cell r="K68" t="str">
            <v>1999 P</v>
          </cell>
        </row>
        <row r="69">
          <cell r="K69" t="str">
            <v>1999 D</v>
          </cell>
        </row>
        <row r="70">
          <cell r="K70" t="str">
            <v>1999 P</v>
          </cell>
        </row>
        <row r="71">
          <cell r="K71" t="str">
            <v>1999 P</v>
          </cell>
        </row>
        <row r="72">
          <cell r="K72" t="str">
            <v>1999 D</v>
          </cell>
        </row>
        <row r="73">
          <cell r="K73" t="str">
            <v>1999 P</v>
          </cell>
        </row>
        <row r="74">
          <cell r="K74" t="str">
            <v>1999 P</v>
          </cell>
        </row>
        <row r="75">
          <cell r="K75" t="str">
            <v>1999 P</v>
          </cell>
        </row>
        <row r="76">
          <cell r="K76" t="str">
            <v>2000 P</v>
          </cell>
        </row>
        <row r="77">
          <cell r="K77" t="str">
            <v>2000 P</v>
          </cell>
        </row>
        <row r="78">
          <cell r="K78" t="str">
            <v>2000 P</v>
          </cell>
        </row>
        <row r="79">
          <cell r="K79" t="str">
            <v>2000 P</v>
          </cell>
        </row>
        <row r="80">
          <cell r="K80" t="str">
            <v>2001 P</v>
          </cell>
        </row>
        <row r="81">
          <cell r="K81" t="str">
            <v>2001 P</v>
          </cell>
        </row>
        <row r="82">
          <cell r="K82" t="str">
            <v>2001 P</v>
          </cell>
        </row>
        <row r="83">
          <cell r="K83" t="str">
            <v>2001 P</v>
          </cell>
        </row>
        <row r="84">
          <cell r="K84" t="str">
            <v>2001 P</v>
          </cell>
        </row>
        <row r="85">
          <cell r="K85" t="str">
            <v>2002 P</v>
          </cell>
        </row>
        <row r="86">
          <cell r="K86" t="str">
            <v>2006 P</v>
          </cell>
        </row>
        <row r="87">
          <cell r="K87" t="str">
            <v>2006 P</v>
          </cell>
        </row>
        <row r="88">
          <cell r="K88" t="str">
            <v>2006 P</v>
          </cell>
        </row>
        <row r="89">
          <cell r="K89" t="str">
            <v>2006 P</v>
          </cell>
        </row>
        <row r="90">
          <cell r="K90" t="str">
            <v>2009 P</v>
          </cell>
        </row>
        <row r="91">
          <cell r="K91" t="str">
            <v>2011 P</v>
          </cell>
        </row>
        <row r="92">
          <cell r="K92" t="str">
            <v>2012 P</v>
          </cell>
        </row>
        <row r="93">
          <cell r="K93" t="str">
            <v>2012 P</v>
          </cell>
        </row>
        <row r="94">
          <cell r="K94" t="str">
            <v>2013 D</v>
          </cell>
        </row>
        <row r="95">
          <cell r="K95" t="str">
            <v>2013 P</v>
          </cell>
        </row>
        <row r="96">
          <cell r="K96">
            <v>2013</v>
          </cell>
        </row>
        <row r="97">
          <cell r="K97" t="str">
            <v>2014 P</v>
          </cell>
        </row>
        <row r="98">
          <cell r="K98" t="str">
            <v>2014 P</v>
          </cell>
        </row>
        <row r="99">
          <cell r="K99" t="str">
            <v>2014 P</v>
          </cell>
        </row>
        <row r="100">
          <cell r="K100" t="str">
            <v>2014 P</v>
          </cell>
        </row>
        <row r="101">
          <cell r="K101" t="str">
            <v>2015 P</v>
          </cell>
        </row>
        <row r="102">
          <cell r="K102" t="str">
            <v>2015 P</v>
          </cell>
        </row>
        <row r="103">
          <cell r="K103" t="str">
            <v>2015 P</v>
          </cell>
        </row>
        <row r="104">
          <cell r="K104" t="str">
            <v>2015 P</v>
          </cell>
        </row>
        <row r="105">
          <cell r="K105" t="str">
            <v>2015 P</v>
          </cell>
        </row>
        <row r="106">
          <cell r="K106" t="str">
            <v>2015 D</v>
          </cell>
        </row>
        <row r="107">
          <cell r="K107" t="str">
            <v>2015 P</v>
          </cell>
        </row>
        <row r="108">
          <cell r="K108" t="str">
            <v>2015 D</v>
          </cell>
        </row>
        <row r="109">
          <cell r="K109" t="str">
            <v>2016 P</v>
          </cell>
        </row>
        <row r="110">
          <cell r="K110" t="str">
            <v>2016 P</v>
          </cell>
        </row>
        <row r="111">
          <cell r="K111" t="str">
            <v>2016 P</v>
          </cell>
        </row>
        <row r="112">
          <cell r="K112" t="str">
            <v>2016 P</v>
          </cell>
        </row>
        <row r="113">
          <cell r="K113" t="str">
            <v>2016 P</v>
          </cell>
        </row>
        <row r="114">
          <cell r="K114" t="str">
            <v>2016 P</v>
          </cell>
        </row>
        <row r="115">
          <cell r="K115" t="str">
            <v>2016 P</v>
          </cell>
        </row>
        <row r="116">
          <cell r="K116" t="str">
            <v>2016 P</v>
          </cell>
        </row>
        <row r="117">
          <cell r="K117" t="str">
            <v>2017 P</v>
          </cell>
        </row>
        <row r="118">
          <cell r="K118" t="str">
            <v>2017 P</v>
          </cell>
        </row>
        <row r="119">
          <cell r="K119" t="str">
            <v>2017 P</v>
          </cell>
        </row>
        <row r="120">
          <cell r="K120">
            <v>2017</v>
          </cell>
        </row>
        <row r="121">
          <cell r="K121" t="str">
            <v>2017 P</v>
          </cell>
        </row>
        <row r="122">
          <cell r="K122" t="str">
            <v>2017 P</v>
          </cell>
        </row>
        <row r="123">
          <cell r="K123" t="str">
            <v>2017 P</v>
          </cell>
        </row>
        <row r="124">
          <cell r="K124" t="str">
            <v>2017 P</v>
          </cell>
        </row>
        <row r="125">
          <cell r="K125" t="str">
            <v>2017 P</v>
          </cell>
        </row>
        <row r="126">
          <cell r="K126" t="str">
            <v>2018 P</v>
          </cell>
        </row>
        <row r="127">
          <cell r="K127" t="str">
            <v>2018 P</v>
          </cell>
        </row>
        <row r="128">
          <cell r="K128" t="str">
            <v>2018 P</v>
          </cell>
        </row>
        <row r="129">
          <cell r="K129" t="str">
            <v>2018 P</v>
          </cell>
        </row>
        <row r="130">
          <cell r="K130" t="str">
            <v>2018 P</v>
          </cell>
        </row>
        <row r="131">
          <cell r="K131" t="str">
            <v>2018 P</v>
          </cell>
        </row>
        <row r="132">
          <cell r="K132" t="str">
            <v>2018 P</v>
          </cell>
        </row>
        <row r="133">
          <cell r="K133" t="str">
            <v>2018 P</v>
          </cell>
        </row>
        <row r="134">
          <cell r="K134" t="str">
            <v>2018 P</v>
          </cell>
        </row>
        <row r="135">
          <cell r="K135" t="str">
            <v>2019 P</v>
          </cell>
        </row>
        <row r="136">
          <cell r="K136" t="str">
            <v>2019 P</v>
          </cell>
        </row>
        <row r="137">
          <cell r="K137" t="str">
            <v>2019 P</v>
          </cell>
        </row>
        <row r="138">
          <cell r="K138" t="str">
            <v>2019 D</v>
          </cell>
        </row>
        <row r="139">
          <cell r="K139" t="str">
            <v>2019 P</v>
          </cell>
        </row>
        <row r="140">
          <cell r="K140" t="str">
            <v>2021 P</v>
          </cell>
        </row>
        <row r="141">
          <cell r="K141" t="str">
            <v>2021 P</v>
          </cell>
        </row>
        <row r="142">
          <cell r="K142" t="str">
            <v>2021 P</v>
          </cell>
        </row>
        <row r="143">
          <cell r="K143" t="str">
            <v>2022 P</v>
          </cell>
        </row>
        <row r="144">
          <cell r="K144" t="str">
            <v>2023 P</v>
          </cell>
        </row>
        <row r="145">
          <cell r="K145" t="str">
            <v>2019-D</v>
          </cell>
        </row>
      </sheetData>
      <sheetData sheetId="1"/>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alves"/>
      <sheetName val="HalveSearch"/>
      <sheetName val="HalvesWork"/>
      <sheetName val="Table 0 (2)"/>
      <sheetName val="WantList"/>
      <sheetName val="Sheet2"/>
      <sheetName val="Sheet3"/>
      <sheetName val="HalfMintage"/>
      <sheetName val="Sheet7"/>
      <sheetName val="Table 0"/>
      <sheetName val="Sheet8"/>
      <sheetName val="Sheet6"/>
    </sheetNames>
    <sheetDataSet>
      <sheetData sheetId="0">
        <row r="1">
          <cell r="A1" t="str">
            <v>DATE</v>
          </cell>
          <cell r="F1" t="str">
            <v>CONDITION</v>
          </cell>
          <cell r="G1" t="str">
            <v>Paid</v>
          </cell>
        </row>
        <row r="2">
          <cell r="A2">
            <v>1936</v>
          </cell>
          <cell r="F2" t="str">
            <v xml:space="preserve">VF-20 VERY FINE </v>
          </cell>
          <cell r="G2">
            <v>20</v>
          </cell>
        </row>
        <row r="3">
          <cell r="A3">
            <v>1937</v>
          </cell>
          <cell r="F3" t="str">
            <v>VF 20 VERY FINE</v>
          </cell>
          <cell r="G3">
            <v>9</v>
          </cell>
          <cell r="O3"/>
        </row>
        <row r="4">
          <cell r="A4">
            <v>1938</v>
          </cell>
          <cell r="F4" t="str">
            <v>VF 20 VERY FINE</v>
          </cell>
          <cell r="G4">
            <v>13</v>
          </cell>
          <cell r="O4"/>
        </row>
        <row r="5">
          <cell r="A5">
            <v>1938</v>
          </cell>
          <cell r="F5" t="str">
            <v xml:space="preserve">VF-20 VERY FINE </v>
          </cell>
          <cell r="G5">
            <v>13</v>
          </cell>
          <cell r="O5"/>
        </row>
        <row r="6">
          <cell r="A6">
            <v>1939</v>
          </cell>
          <cell r="F6" t="str">
            <v>VF 20 VERY FINE</v>
          </cell>
          <cell r="G6">
            <v>12</v>
          </cell>
          <cell r="O6"/>
        </row>
        <row r="7">
          <cell r="A7">
            <v>1940</v>
          </cell>
          <cell r="F7" t="str">
            <v>VF 20 VERY FINE</v>
          </cell>
          <cell r="G7">
            <v>10</v>
          </cell>
          <cell r="O7"/>
        </row>
        <row r="8">
          <cell r="A8">
            <v>1941</v>
          </cell>
          <cell r="F8" t="str">
            <v>VF20 VERY FINE</v>
          </cell>
          <cell r="G8">
            <v>30</v>
          </cell>
          <cell r="O8" t="str">
            <v>1941 D</v>
          </cell>
        </row>
        <row r="9">
          <cell r="A9">
            <v>1942</v>
          </cell>
          <cell r="F9" t="str">
            <v>VF20 VERY FINE</v>
          </cell>
          <cell r="G9">
            <v>13</v>
          </cell>
          <cell r="O9">
            <v>1942</v>
          </cell>
        </row>
        <row r="10">
          <cell r="A10">
            <v>1943</v>
          </cell>
          <cell r="F10" t="str">
            <v>VF20 VERY FINE</v>
          </cell>
          <cell r="G10">
            <v>28</v>
          </cell>
          <cell r="O10" t="str">
            <v>1943 S</v>
          </cell>
        </row>
        <row r="11">
          <cell r="A11">
            <v>1943</v>
          </cell>
          <cell r="F11" t="str">
            <v xml:space="preserve">VF-20 VERY FINE </v>
          </cell>
          <cell r="G11">
            <v>13</v>
          </cell>
          <cell r="O11"/>
        </row>
        <row r="12">
          <cell r="A12">
            <v>1944</v>
          </cell>
          <cell r="F12" t="str">
            <v>VF20 VERY FINE</v>
          </cell>
          <cell r="G12">
            <v>19</v>
          </cell>
          <cell r="O12">
            <v>1944</v>
          </cell>
        </row>
        <row r="13">
          <cell r="A13">
            <v>1945</v>
          </cell>
          <cell r="F13" t="str">
            <v>VF20 VERY FINE</v>
          </cell>
          <cell r="G13">
            <v>23</v>
          </cell>
          <cell r="O13">
            <v>1945</v>
          </cell>
        </row>
        <row r="14">
          <cell r="A14">
            <v>1946</v>
          </cell>
          <cell r="F14" t="str">
            <v>VF20 VERY FINE</v>
          </cell>
          <cell r="G14">
            <v>19</v>
          </cell>
          <cell r="O14">
            <v>1946</v>
          </cell>
        </row>
        <row r="15">
          <cell r="A15">
            <v>1947</v>
          </cell>
          <cell r="F15" t="str">
            <v>XF</v>
          </cell>
          <cell r="G15">
            <v>7</v>
          </cell>
          <cell r="O15">
            <v>1947</v>
          </cell>
        </row>
        <row r="16">
          <cell r="A16">
            <v>1948</v>
          </cell>
          <cell r="F16" t="str">
            <v>MS63</v>
          </cell>
          <cell r="G16">
            <v>18.98</v>
          </cell>
          <cell r="O16" t="str">
            <v>1948 D</v>
          </cell>
        </row>
        <row r="17">
          <cell r="A17">
            <v>1949</v>
          </cell>
          <cell r="F17" t="str">
            <v>VF20 VERY FINE</v>
          </cell>
          <cell r="G17">
            <v>19.489999999999998</v>
          </cell>
          <cell r="O17">
            <v>1949</v>
          </cell>
        </row>
        <row r="18">
          <cell r="A18">
            <v>1949</v>
          </cell>
          <cell r="F18" t="str">
            <v>AU58</v>
          </cell>
          <cell r="G18">
            <v>19.489999999999998</v>
          </cell>
          <cell r="O18" t="str">
            <v>1949 P</v>
          </cell>
        </row>
        <row r="19">
          <cell r="A19">
            <v>1950</v>
          </cell>
          <cell r="F19" t="str">
            <v>VF20 VERY FINE</v>
          </cell>
          <cell r="G19">
            <v>18.489999999999998</v>
          </cell>
          <cell r="O19">
            <v>1950</v>
          </cell>
        </row>
        <row r="20">
          <cell r="A20">
            <v>1950</v>
          </cell>
          <cell r="F20" t="str">
            <v>MS63</v>
          </cell>
          <cell r="G20">
            <v>17.489999999999998</v>
          </cell>
          <cell r="O20" t="str">
            <v>1950 D</v>
          </cell>
        </row>
        <row r="21">
          <cell r="A21">
            <v>1951</v>
          </cell>
          <cell r="F21" t="str">
            <v>VF20 VERY FINE</v>
          </cell>
          <cell r="G21">
            <v>16.29</v>
          </cell>
          <cell r="O21">
            <v>1951</v>
          </cell>
        </row>
        <row r="22">
          <cell r="A22">
            <v>1951</v>
          </cell>
          <cell r="F22" t="str">
            <v>MS64</v>
          </cell>
          <cell r="G22">
            <v>17</v>
          </cell>
          <cell r="O22" t="str">
            <v>1951 D</v>
          </cell>
        </row>
        <row r="23">
          <cell r="A23">
            <v>1951</v>
          </cell>
          <cell r="F23" t="str">
            <v>AU58</v>
          </cell>
          <cell r="G23">
            <v>17</v>
          </cell>
          <cell r="O23" t="str">
            <v>1951 S</v>
          </cell>
        </row>
        <row r="24">
          <cell r="A24">
            <v>1952</v>
          </cell>
          <cell r="F24" t="str">
            <v>AU58</v>
          </cell>
          <cell r="G24">
            <v>14.5</v>
          </cell>
          <cell r="O24">
            <v>1952</v>
          </cell>
        </row>
        <row r="25">
          <cell r="A25">
            <v>1953</v>
          </cell>
          <cell r="F25" t="str">
            <v>AU58</v>
          </cell>
          <cell r="G25">
            <v>12.13</v>
          </cell>
          <cell r="O25" t="str">
            <v>1953 D</v>
          </cell>
        </row>
        <row r="26">
          <cell r="A26">
            <v>1954</v>
          </cell>
          <cell r="F26" t="str">
            <v>AU58</v>
          </cell>
          <cell r="G26">
            <v>13.02</v>
          </cell>
          <cell r="O26">
            <v>1954</v>
          </cell>
        </row>
        <row r="27">
          <cell r="A27">
            <v>1955</v>
          </cell>
          <cell r="F27" t="str">
            <v>AU58</v>
          </cell>
          <cell r="G27">
            <v>19.350000000000001</v>
          </cell>
          <cell r="O27">
            <v>1955</v>
          </cell>
        </row>
        <row r="28">
          <cell r="A28">
            <v>1956</v>
          </cell>
          <cell r="F28" t="str">
            <v>AU58</v>
          </cell>
          <cell r="G28">
            <v>20.28</v>
          </cell>
          <cell r="O28">
            <v>1956</v>
          </cell>
        </row>
        <row r="29">
          <cell r="A29">
            <v>1956</v>
          </cell>
          <cell r="F29" t="str">
            <v>MS64</v>
          </cell>
          <cell r="G29">
            <v>20.28</v>
          </cell>
          <cell r="O29">
            <v>1956</v>
          </cell>
        </row>
        <row r="30">
          <cell r="A30">
            <v>1957</v>
          </cell>
          <cell r="F30" t="str">
            <v>AU58</v>
          </cell>
          <cell r="G30">
            <v>14.75</v>
          </cell>
          <cell r="O30">
            <v>1957</v>
          </cell>
        </row>
        <row r="31">
          <cell r="A31">
            <v>1957</v>
          </cell>
          <cell r="F31" t="str">
            <v>MS64</v>
          </cell>
          <cell r="G31">
            <v>14.64</v>
          </cell>
          <cell r="O31" t="str">
            <v>1957 D</v>
          </cell>
        </row>
        <row r="32">
          <cell r="A32">
            <v>1958</v>
          </cell>
          <cell r="F32" t="str">
            <v>AU58</v>
          </cell>
          <cell r="G32">
            <v>14</v>
          </cell>
          <cell r="O32" t="str">
            <v>1958 D</v>
          </cell>
        </row>
        <row r="33">
          <cell r="A33">
            <v>1959</v>
          </cell>
          <cell r="F33" t="str">
            <v>AU58</v>
          </cell>
          <cell r="G33">
            <v>12.93</v>
          </cell>
          <cell r="O33">
            <v>1959</v>
          </cell>
        </row>
        <row r="34">
          <cell r="A34">
            <v>1959</v>
          </cell>
          <cell r="F34" t="str">
            <v>MS64</v>
          </cell>
          <cell r="G34">
            <v>14.19</v>
          </cell>
          <cell r="O34">
            <v>1959</v>
          </cell>
        </row>
        <row r="35">
          <cell r="A35">
            <v>1960</v>
          </cell>
          <cell r="F35" t="str">
            <v>AU58</v>
          </cell>
          <cell r="G35">
            <v>11</v>
          </cell>
          <cell r="O35" t="str">
            <v>1960 P</v>
          </cell>
        </row>
        <row r="36">
          <cell r="A36">
            <v>1960</v>
          </cell>
          <cell r="F36" t="str">
            <v>AU58</v>
          </cell>
          <cell r="G36">
            <v>14.19</v>
          </cell>
          <cell r="O36">
            <v>1960</v>
          </cell>
        </row>
        <row r="37">
          <cell r="A37">
            <v>1961</v>
          </cell>
          <cell r="F37" t="str">
            <v>MS63</v>
          </cell>
          <cell r="G37">
            <v>13.75</v>
          </cell>
          <cell r="O37">
            <v>1961</v>
          </cell>
        </row>
        <row r="38">
          <cell r="A38">
            <v>1962</v>
          </cell>
          <cell r="F38" t="str">
            <v>MS63</v>
          </cell>
          <cell r="G38">
            <v>13.98</v>
          </cell>
          <cell r="O38">
            <v>1962</v>
          </cell>
        </row>
        <row r="39">
          <cell r="A39">
            <v>1962</v>
          </cell>
          <cell r="F39" t="str">
            <v>MS63</v>
          </cell>
          <cell r="G39">
            <v>13.98</v>
          </cell>
          <cell r="O39">
            <v>1962</v>
          </cell>
        </row>
        <row r="40">
          <cell r="A40">
            <v>1962</v>
          </cell>
          <cell r="F40" t="str">
            <v>MS63</v>
          </cell>
          <cell r="G40">
            <v>13.98</v>
          </cell>
          <cell r="O40" t="str">
            <v>1962 P</v>
          </cell>
        </row>
        <row r="41">
          <cell r="A41">
            <v>1963</v>
          </cell>
          <cell r="F41" t="str">
            <v>MS63</v>
          </cell>
          <cell r="G41">
            <v>11.92</v>
          </cell>
          <cell r="O41" t="str">
            <v>1963 D</v>
          </cell>
        </row>
        <row r="42">
          <cell r="A42">
            <v>1963</v>
          </cell>
          <cell r="F42" t="str">
            <v>MS63</v>
          </cell>
          <cell r="G42">
            <v>11.92</v>
          </cell>
          <cell r="O42">
            <v>1963</v>
          </cell>
        </row>
        <row r="43">
          <cell r="A43">
            <v>1963</v>
          </cell>
          <cell r="F43" t="str">
            <v>VF20 VERY FINE</v>
          </cell>
          <cell r="G43">
            <v>11.92</v>
          </cell>
          <cell r="O43">
            <v>1963</v>
          </cell>
        </row>
        <row r="44">
          <cell r="A44">
            <v>1964</v>
          </cell>
          <cell r="F44"/>
          <cell r="G44">
            <v>0.5</v>
          </cell>
          <cell r="O44">
            <v>1964</v>
          </cell>
        </row>
        <row r="45">
          <cell r="A45">
            <v>1964</v>
          </cell>
          <cell r="F45"/>
          <cell r="G45">
            <v>0.5</v>
          </cell>
          <cell r="O45">
            <v>1964</v>
          </cell>
        </row>
        <row r="46">
          <cell r="A46">
            <v>1964</v>
          </cell>
          <cell r="F46"/>
          <cell r="G46">
            <v>0.5</v>
          </cell>
          <cell r="O46">
            <v>1964</v>
          </cell>
        </row>
        <row r="47">
          <cell r="A47">
            <v>1964</v>
          </cell>
          <cell r="F47" t="str">
            <v>MS63</v>
          </cell>
          <cell r="G47">
            <v>0.5</v>
          </cell>
          <cell r="O47">
            <v>1964</v>
          </cell>
        </row>
        <row r="48">
          <cell r="A48">
            <v>1964</v>
          </cell>
          <cell r="F48" t="str">
            <v>AU</v>
          </cell>
          <cell r="G48">
            <v>0.5</v>
          </cell>
          <cell r="O48">
            <v>1965</v>
          </cell>
        </row>
        <row r="49">
          <cell r="A49">
            <v>1965</v>
          </cell>
          <cell r="F49" t="str">
            <v>MS63</v>
          </cell>
          <cell r="G49">
            <v>0.5</v>
          </cell>
          <cell r="O49">
            <v>1964</v>
          </cell>
        </row>
        <row r="50">
          <cell r="A50">
            <v>1965</v>
          </cell>
          <cell r="F50" t="str">
            <v>BU</v>
          </cell>
          <cell r="G50">
            <v>0.5</v>
          </cell>
          <cell r="O50">
            <v>1965</v>
          </cell>
        </row>
        <row r="51">
          <cell r="A51">
            <v>1965</v>
          </cell>
          <cell r="F51"/>
          <cell r="G51">
            <v>0.5</v>
          </cell>
          <cell r="O51">
            <v>1966</v>
          </cell>
        </row>
        <row r="52">
          <cell r="A52">
            <v>1966</v>
          </cell>
          <cell r="F52"/>
          <cell r="G52">
            <v>0.5</v>
          </cell>
          <cell r="O52">
            <v>1966</v>
          </cell>
        </row>
        <row r="53">
          <cell r="A53">
            <v>1966</v>
          </cell>
          <cell r="F53"/>
          <cell r="G53">
            <v>0.5</v>
          </cell>
          <cell r="O53">
            <v>1966</v>
          </cell>
        </row>
        <row r="54">
          <cell r="A54">
            <v>1966</v>
          </cell>
          <cell r="F54" t="str">
            <v>AU</v>
          </cell>
          <cell r="G54">
            <v>0.5</v>
          </cell>
          <cell r="O54">
            <v>1967</v>
          </cell>
        </row>
        <row r="55">
          <cell r="A55">
            <v>1967</v>
          </cell>
          <cell r="F55"/>
          <cell r="G55">
            <v>0.5</v>
          </cell>
          <cell r="O55">
            <v>1967</v>
          </cell>
        </row>
        <row r="56">
          <cell r="A56">
            <v>1967</v>
          </cell>
          <cell r="F56"/>
          <cell r="G56">
            <v>0.5</v>
          </cell>
          <cell r="O56">
            <v>1967</v>
          </cell>
        </row>
        <row r="57">
          <cell r="A57">
            <v>1967</v>
          </cell>
          <cell r="F57"/>
          <cell r="G57">
            <v>0.5</v>
          </cell>
          <cell r="O57">
            <v>1967</v>
          </cell>
        </row>
        <row r="58">
          <cell r="A58">
            <v>1967</v>
          </cell>
          <cell r="F58"/>
          <cell r="G58">
            <v>0.5</v>
          </cell>
          <cell r="O58">
            <v>1967</v>
          </cell>
        </row>
        <row r="59">
          <cell r="A59">
            <v>1967</v>
          </cell>
          <cell r="F59"/>
          <cell r="G59">
            <v>0.5</v>
          </cell>
          <cell r="O59">
            <v>1967</v>
          </cell>
        </row>
        <row r="60">
          <cell r="A60">
            <v>1967</v>
          </cell>
          <cell r="F60" t="str">
            <v>AU</v>
          </cell>
          <cell r="G60">
            <v>0.5</v>
          </cell>
          <cell r="O60">
            <v>1968</v>
          </cell>
        </row>
        <row r="61">
          <cell r="A61">
            <v>1967</v>
          </cell>
          <cell r="F61" t="str">
            <v>AU</v>
          </cell>
          <cell r="G61">
            <v>0.5</v>
          </cell>
          <cell r="O61"/>
        </row>
        <row r="62">
          <cell r="A62">
            <v>1968</v>
          </cell>
          <cell r="F62"/>
          <cell r="G62">
            <v>0.5</v>
          </cell>
          <cell r="O62" t="str">
            <v>1968 D</v>
          </cell>
        </row>
        <row r="63">
          <cell r="A63">
            <v>1968</v>
          </cell>
          <cell r="F63" t="str">
            <v>AU</v>
          </cell>
          <cell r="G63">
            <v>0.5</v>
          </cell>
          <cell r="O63" t="str">
            <v>1969 D</v>
          </cell>
        </row>
        <row r="64">
          <cell r="A64">
            <v>1968</v>
          </cell>
          <cell r="F64" t="str">
            <v>AU</v>
          </cell>
          <cell r="G64">
            <v>0.5</v>
          </cell>
          <cell r="O64" t="str">
            <v>1968 D</v>
          </cell>
        </row>
        <row r="65">
          <cell r="A65">
            <v>1969</v>
          </cell>
          <cell r="F65" t="str">
            <v>AU</v>
          </cell>
          <cell r="G65">
            <v>0.5</v>
          </cell>
          <cell r="O65" t="str">
            <v>1969 D</v>
          </cell>
        </row>
        <row r="66">
          <cell r="A66">
            <v>1969</v>
          </cell>
          <cell r="F66" t="str">
            <v>AU</v>
          </cell>
          <cell r="G66">
            <v>0.5</v>
          </cell>
          <cell r="O66" t="str">
            <v>1969 D</v>
          </cell>
        </row>
        <row r="67">
          <cell r="A67">
            <v>1969</v>
          </cell>
          <cell r="F67" t="str">
            <v>AU</v>
          </cell>
          <cell r="G67">
            <v>0.5</v>
          </cell>
          <cell r="O67" t="str">
            <v>1969 D</v>
          </cell>
        </row>
        <row r="68">
          <cell r="A68">
            <v>1969</v>
          </cell>
          <cell r="F68" t="str">
            <v>AU</v>
          </cell>
          <cell r="G68">
            <v>0.5</v>
          </cell>
          <cell r="O68" t="str">
            <v>1969 D</v>
          </cell>
        </row>
        <row r="69">
          <cell r="A69">
            <v>1969</v>
          </cell>
          <cell r="F69" t="str">
            <v>AU</v>
          </cell>
          <cell r="G69">
            <v>0.5</v>
          </cell>
          <cell r="O69" t="str">
            <v>1969 D</v>
          </cell>
        </row>
        <row r="70">
          <cell r="A70">
            <v>1969</v>
          </cell>
          <cell r="F70" t="str">
            <v>AU</v>
          </cell>
          <cell r="G70">
            <v>0.5</v>
          </cell>
          <cell r="O70" t="str">
            <v>1969 D</v>
          </cell>
        </row>
        <row r="71">
          <cell r="A71">
            <v>1969</v>
          </cell>
          <cell r="F71" t="str">
            <v>AU</v>
          </cell>
          <cell r="G71">
            <v>0.5</v>
          </cell>
          <cell r="O71" t="str">
            <v>1969 D</v>
          </cell>
        </row>
        <row r="72">
          <cell r="A72">
            <v>1969</v>
          </cell>
          <cell r="F72" t="str">
            <v>AU</v>
          </cell>
          <cell r="G72">
            <v>0.5</v>
          </cell>
          <cell r="O72"/>
        </row>
        <row r="73">
          <cell r="A73">
            <v>1971</v>
          </cell>
          <cell r="F73"/>
          <cell r="G73">
            <v>0.5</v>
          </cell>
          <cell r="O73">
            <v>1971</v>
          </cell>
        </row>
        <row r="74">
          <cell r="A74">
            <v>1971</v>
          </cell>
          <cell r="F74"/>
          <cell r="G74">
            <v>0.5</v>
          </cell>
          <cell r="O74">
            <v>1971</v>
          </cell>
        </row>
        <row r="75">
          <cell r="A75">
            <v>1971</v>
          </cell>
          <cell r="F75"/>
          <cell r="G75">
            <v>0.5</v>
          </cell>
          <cell r="O75">
            <v>1971</v>
          </cell>
        </row>
        <row r="76">
          <cell r="A76">
            <v>1971</v>
          </cell>
          <cell r="F76"/>
          <cell r="G76">
            <v>0.5</v>
          </cell>
          <cell r="O76">
            <v>1971</v>
          </cell>
        </row>
        <row r="77">
          <cell r="A77">
            <v>1971</v>
          </cell>
          <cell r="F77"/>
          <cell r="G77">
            <v>0.5</v>
          </cell>
          <cell r="O77" t="str">
            <v>1971 D</v>
          </cell>
        </row>
        <row r="78">
          <cell r="A78">
            <v>1971</v>
          </cell>
          <cell r="F78"/>
          <cell r="G78">
            <v>0.5</v>
          </cell>
          <cell r="O78">
            <v>1971</v>
          </cell>
        </row>
        <row r="79">
          <cell r="A79">
            <v>1971</v>
          </cell>
          <cell r="F79"/>
          <cell r="G79">
            <v>0.5</v>
          </cell>
          <cell r="O79">
            <v>1971</v>
          </cell>
        </row>
        <row r="80">
          <cell r="A80">
            <v>1971</v>
          </cell>
          <cell r="F80"/>
          <cell r="G80">
            <v>0.5</v>
          </cell>
          <cell r="O80">
            <v>1971</v>
          </cell>
        </row>
        <row r="81">
          <cell r="A81">
            <v>1971</v>
          </cell>
          <cell r="F81"/>
          <cell r="G81">
            <v>0.5</v>
          </cell>
          <cell r="O81">
            <v>1971</v>
          </cell>
        </row>
        <row r="82">
          <cell r="A82">
            <v>1971</v>
          </cell>
          <cell r="F82"/>
          <cell r="G82">
            <v>0.5</v>
          </cell>
          <cell r="O82">
            <v>1971</v>
          </cell>
        </row>
        <row r="83">
          <cell r="A83">
            <v>1971</v>
          </cell>
          <cell r="F83"/>
          <cell r="G83">
            <v>0.5</v>
          </cell>
          <cell r="O83">
            <v>1971</v>
          </cell>
        </row>
        <row r="84">
          <cell r="A84">
            <v>1971</v>
          </cell>
          <cell r="F84"/>
          <cell r="G84">
            <v>0.5</v>
          </cell>
          <cell r="O84" t="str">
            <v>1971 D</v>
          </cell>
        </row>
        <row r="85">
          <cell r="A85">
            <v>1971</v>
          </cell>
          <cell r="F85"/>
          <cell r="G85">
            <v>0.5</v>
          </cell>
          <cell r="O85" t="str">
            <v>1971 D</v>
          </cell>
        </row>
        <row r="86">
          <cell r="A86">
            <v>1971</v>
          </cell>
          <cell r="F86"/>
          <cell r="G86">
            <v>0.5</v>
          </cell>
          <cell r="O86" t="str">
            <v>1971 D</v>
          </cell>
        </row>
        <row r="87">
          <cell r="A87">
            <v>1971</v>
          </cell>
          <cell r="F87"/>
          <cell r="G87">
            <v>0.5</v>
          </cell>
          <cell r="O87">
            <v>1971</v>
          </cell>
        </row>
        <row r="88">
          <cell r="A88">
            <v>1971</v>
          </cell>
          <cell r="F88"/>
          <cell r="G88">
            <v>0.5</v>
          </cell>
          <cell r="O88" t="str">
            <v>1971 D</v>
          </cell>
        </row>
        <row r="89">
          <cell r="A89">
            <v>1971</v>
          </cell>
          <cell r="F89"/>
          <cell r="G89">
            <v>0.5</v>
          </cell>
          <cell r="O89">
            <v>1971</v>
          </cell>
        </row>
        <row r="90">
          <cell r="A90">
            <v>1971</v>
          </cell>
          <cell r="F90"/>
          <cell r="G90">
            <v>0.5</v>
          </cell>
          <cell r="O90">
            <v>1971</v>
          </cell>
        </row>
        <row r="91">
          <cell r="A91">
            <v>1971</v>
          </cell>
          <cell r="F91"/>
          <cell r="G91">
            <v>0.5</v>
          </cell>
          <cell r="O91">
            <v>1972</v>
          </cell>
        </row>
        <row r="92">
          <cell r="A92">
            <v>1971</v>
          </cell>
          <cell r="F92"/>
          <cell r="G92">
            <v>0.5</v>
          </cell>
          <cell r="O92">
            <v>1973</v>
          </cell>
        </row>
        <row r="93">
          <cell r="A93">
            <v>1972</v>
          </cell>
          <cell r="F93"/>
          <cell r="G93">
            <v>0.5</v>
          </cell>
          <cell r="O93">
            <v>1972</v>
          </cell>
        </row>
        <row r="94">
          <cell r="A94">
            <v>1972</v>
          </cell>
          <cell r="F94"/>
          <cell r="G94">
            <v>0.5</v>
          </cell>
          <cell r="O94">
            <v>1972</v>
          </cell>
        </row>
        <row r="95">
          <cell r="A95">
            <v>1972</v>
          </cell>
          <cell r="F95"/>
          <cell r="G95">
            <v>0.5</v>
          </cell>
          <cell r="O95">
            <v>1972</v>
          </cell>
        </row>
        <row r="96">
          <cell r="A96">
            <v>1972</v>
          </cell>
          <cell r="F96"/>
          <cell r="G96">
            <v>0.5</v>
          </cell>
          <cell r="O96">
            <v>1972</v>
          </cell>
        </row>
        <row r="97">
          <cell r="A97">
            <v>1972</v>
          </cell>
          <cell r="F97"/>
          <cell r="G97">
            <v>0.5</v>
          </cell>
          <cell r="O97">
            <v>1972</v>
          </cell>
        </row>
        <row r="98">
          <cell r="A98">
            <v>1972</v>
          </cell>
          <cell r="F98"/>
          <cell r="G98">
            <v>0.5</v>
          </cell>
          <cell r="O98">
            <v>1972</v>
          </cell>
        </row>
        <row r="99">
          <cell r="A99">
            <v>1973</v>
          </cell>
          <cell r="F99"/>
          <cell r="G99">
            <v>0.5</v>
          </cell>
          <cell r="O99">
            <v>1973</v>
          </cell>
        </row>
        <row r="100">
          <cell r="A100">
            <v>1973</v>
          </cell>
          <cell r="F100"/>
          <cell r="G100">
            <v>0.5</v>
          </cell>
          <cell r="O100">
            <v>1973</v>
          </cell>
        </row>
        <row r="101">
          <cell r="A101">
            <v>1973</v>
          </cell>
          <cell r="F101"/>
          <cell r="G101">
            <v>0.5</v>
          </cell>
          <cell r="O101">
            <v>1973</v>
          </cell>
        </row>
        <row r="102">
          <cell r="A102">
            <v>1973</v>
          </cell>
          <cell r="F102"/>
          <cell r="G102">
            <v>0.5</v>
          </cell>
          <cell r="O102">
            <v>1973</v>
          </cell>
        </row>
        <row r="103">
          <cell r="A103">
            <v>1973</v>
          </cell>
          <cell r="F103"/>
          <cell r="G103">
            <v>0.5</v>
          </cell>
          <cell r="O103">
            <v>1973</v>
          </cell>
        </row>
        <row r="104">
          <cell r="A104">
            <v>1973</v>
          </cell>
          <cell r="F104"/>
          <cell r="G104">
            <v>0.5</v>
          </cell>
          <cell r="O104">
            <v>1974</v>
          </cell>
        </row>
        <row r="105">
          <cell r="A105">
            <v>1974</v>
          </cell>
          <cell r="F105"/>
          <cell r="G105">
            <v>0.5</v>
          </cell>
          <cell r="O105">
            <v>1974</v>
          </cell>
        </row>
        <row r="106">
          <cell r="A106">
            <v>1974</v>
          </cell>
          <cell r="F106"/>
          <cell r="G106">
            <v>0.5</v>
          </cell>
          <cell r="O106">
            <v>1974</v>
          </cell>
        </row>
        <row r="107">
          <cell r="A107">
            <v>1974</v>
          </cell>
          <cell r="F107"/>
          <cell r="G107">
            <v>0.5</v>
          </cell>
          <cell r="O107">
            <v>1974</v>
          </cell>
        </row>
        <row r="108">
          <cell r="A108">
            <v>1974</v>
          </cell>
          <cell r="F108"/>
          <cell r="G108">
            <v>0.5</v>
          </cell>
          <cell r="O108">
            <v>1974</v>
          </cell>
        </row>
        <row r="109">
          <cell r="A109">
            <v>1974</v>
          </cell>
          <cell r="F109"/>
          <cell r="G109">
            <v>0.5</v>
          </cell>
          <cell r="O109">
            <v>1974</v>
          </cell>
        </row>
        <row r="110">
          <cell r="A110">
            <v>1974</v>
          </cell>
          <cell r="F110"/>
          <cell r="G110">
            <v>0.5</v>
          </cell>
          <cell r="O110">
            <v>1974</v>
          </cell>
        </row>
        <row r="111">
          <cell r="A111">
            <v>1974</v>
          </cell>
          <cell r="F111"/>
          <cell r="G111">
            <v>0.5</v>
          </cell>
          <cell r="O111">
            <v>1974</v>
          </cell>
        </row>
        <row r="112">
          <cell r="A112">
            <v>1974</v>
          </cell>
          <cell r="F112"/>
          <cell r="G112">
            <v>0.5</v>
          </cell>
          <cell r="O112">
            <v>1974</v>
          </cell>
        </row>
        <row r="113">
          <cell r="A113">
            <v>1974</v>
          </cell>
          <cell r="F113"/>
          <cell r="G113">
            <v>0.5</v>
          </cell>
          <cell r="O113">
            <v>1974</v>
          </cell>
        </row>
        <row r="114">
          <cell r="A114">
            <v>1974</v>
          </cell>
          <cell r="F114"/>
          <cell r="G114">
            <v>0.5</v>
          </cell>
          <cell r="O114">
            <v>1974</v>
          </cell>
        </row>
        <row r="115">
          <cell r="A115">
            <v>1974</v>
          </cell>
          <cell r="F115"/>
          <cell r="G115">
            <v>0.5</v>
          </cell>
          <cell r="O115" t="str">
            <v>1974 D</v>
          </cell>
        </row>
        <row r="116">
          <cell r="A116">
            <v>1974</v>
          </cell>
          <cell r="F116"/>
          <cell r="G116">
            <v>0.5</v>
          </cell>
          <cell r="O116">
            <v>1974</v>
          </cell>
        </row>
        <row r="117">
          <cell r="A117">
            <v>1974</v>
          </cell>
          <cell r="F117"/>
          <cell r="G117">
            <v>0.5</v>
          </cell>
          <cell r="O117">
            <v>1975</v>
          </cell>
        </row>
        <row r="118">
          <cell r="A118">
            <v>1974</v>
          </cell>
          <cell r="F118" t="str">
            <v>AU</v>
          </cell>
          <cell r="G118">
            <v>0.5</v>
          </cell>
          <cell r="O118">
            <v>1976</v>
          </cell>
        </row>
        <row r="119">
          <cell r="A119">
            <v>1975</v>
          </cell>
          <cell r="F119" t="str">
            <v>MS-63 SELECT UNCIRC</v>
          </cell>
          <cell r="G119">
            <v>0.5</v>
          </cell>
          <cell r="O119">
            <v>1977</v>
          </cell>
        </row>
        <row r="120">
          <cell r="A120">
            <v>1976</v>
          </cell>
          <cell r="F120"/>
          <cell r="G120">
            <v>0.5</v>
          </cell>
          <cell r="O120">
            <v>1978</v>
          </cell>
        </row>
        <row r="121">
          <cell r="A121">
            <v>1976</v>
          </cell>
          <cell r="F121"/>
          <cell r="G121">
            <v>0.5</v>
          </cell>
          <cell r="O121">
            <v>1979</v>
          </cell>
        </row>
        <row r="122">
          <cell r="A122">
            <v>1976</v>
          </cell>
          <cell r="F122"/>
          <cell r="G122">
            <v>0.5</v>
          </cell>
          <cell r="O122">
            <v>1980</v>
          </cell>
        </row>
        <row r="123">
          <cell r="A123">
            <v>1976</v>
          </cell>
          <cell r="F123"/>
          <cell r="G123">
            <v>0.5</v>
          </cell>
          <cell r="O123">
            <v>1981</v>
          </cell>
        </row>
        <row r="124">
          <cell r="A124">
            <v>1976</v>
          </cell>
          <cell r="F124"/>
          <cell r="G124">
            <v>0.5</v>
          </cell>
          <cell r="O124">
            <v>1982</v>
          </cell>
        </row>
        <row r="125">
          <cell r="A125">
            <v>1976</v>
          </cell>
          <cell r="F125"/>
          <cell r="G125">
            <v>0.5</v>
          </cell>
          <cell r="O125">
            <v>1983</v>
          </cell>
        </row>
        <row r="126">
          <cell r="A126">
            <v>1976</v>
          </cell>
          <cell r="F126"/>
          <cell r="G126">
            <v>0.5</v>
          </cell>
          <cell r="O126">
            <v>1984</v>
          </cell>
        </row>
        <row r="127">
          <cell r="A127">
            <v>1976</v>
          </cell>
          <cell r="F127"/>
          <cell r="G127">
            <v>0.5</v>
          </cell>
          <cell r="O127">
            <v>1985</v>
          </cell>
        </row>
        <row r="128">
          <cell r="A128">
            <v>1976</v>
          </cell>
          <cell r="F128"/>
          <cell r="G128">
            <v>0.5</v>
          </cell>
          <cell r="O128">
            <v>1986</v>
          </cell>
        </row>
        <row r="129">
          <cell r="A129">
            <v>1976</v>
          </cell>
          <cell r="F129"/>
          <cell r="G129">
            <v>0.5</v>
          </cell>
          <cell r="O129">
            <v>1987</v>
          </cell>
        </row>
        <row r="130">
          <cell r="A130">
            <v>1976</v>
          </cell>
          <cell r="F130"/>
          <cell r="G130">
            <v>0.5</v>
          </cell>
          <cell r="O130">
            <v>1988</v>
          </cell>
        </row>
        <row r="131">
          <cell r="A131">
            <v>1976</v>
          </cell>
          <cell r="F131"/>
          <cell r="G131">
            <v>0.5</v>
          </cell>
          <cell r="O131">
            <v>1989</v>
          </cell>
        </row>
        <row r="132">
          <cell r="A132">
            <v>1976</v>
          </cell>
          <cell r="F132"/>
          <cell r="G132">
            <v>0.5</v>
          </cell>
          <cell r="O132">
            <v>1990</v>
          </cell>
        </row>
        <row r="133">
          <cell r="A133">
            <v>1976</v>
          </cell>
          <cell r="F133" t="str">
            <v>MS-63 SELECT UNCIRC</v>
          </cell>
          <cell r="G133">
            <v>0.5</v>
          </cell>
          <cell r="O133">
            <v>1991</v>
          </cell>
        </row>
        <row r="134">
          <cell r="A134">
            <v>1976</v>
          </cell>
          <cell r="F134"/>
          <cell r="G134">
            <v>0.5</v>
          </cell>
          <cell r="O134">
            <v>1992</v>
          </cell>
        </row>
        <row r="135">
          <cell r="A135">
            <v>1976</v>
          </cell>
          <cell r="F135" t="str">
            <v>MS-63 SELECT UNCIRC</v>
          </cell>
          <cell r="G135">
            <v>0.5</v>
          </cell>
          <cell r="O135">
            <v>1993</v>
          </cell>
        </row>
        <row r="136">
          <cell r="A136">
            <v>1976</v>
          </cell>
          <cell r="F136" t="str">
            <v>AU</v>
          </cell>
          <cell r="G136">
            <v>0.5</v>
          </cell>
          <cell r="O136">
            <v>1994</v>
          </cell>
        </row>
        <row r="137">
          <cell r="A137">
            <v>1976</v>
          </cell>
          <cell r="F137" t="str">
            <v>AU</v>
          </cell>
          <cell r="G137">
            <v>0.5</v>
          </cell>
          <cell r="O137">
            <v>1995</v>
          </cell>
        </row>
        <row r="138">
          <cell r="A138">
            <v>1977</v>
          </cell>
          <cell r="F138" t="str">
            <v>MS-63 SELECT UNCIRC</v>
          </cell>
          <cell r="G138">
            <v>0.5</v>
          </cell>
          <cell r="O138">
            <v>1996</v>
          </cell>
        </row>
        <row r="139">
          <cell r="A139">
            <v>1977</v>
          </cell>
          <cell r="F139" t="str">
            <v>MS-63 SELECT UNCIRC</v>
          </cell>
          <cell r="G139">
            <v>0.5</v>
          </cell>
          <cell r="O139">
            <v>1997</v>
          </cell>
        </row>
        <row r="140">
          <cell r="A140">
            <v>1977</v>
          </cell>
          <cell r="F140" t="str">
            <v>MS-63 SELECT UNCIRC</v>
          </cell>
          <cell r="G140">
            <v>0.5</v>
          </cell>
          <cell r="O140">
            <v>1998</v>
          </cell>
        </row>
        <row r="141">
          <cell r="A141">
            <v>1977</v>
          </cell>
          <cell r="F141" t="str">
            <v>MS-65 CHOICE UNCIRC</v>
          </cell>
          <cell r="G141">
            <v>0.5</v>
          </cell>
          <cell r="O141">
            <v>1999</v>
          </cell>
        </row>
        <row r="142">
          <cell r="A142">
            <v>1977</v>
          </cell>
          <cell r="F142" t="str">
            <v>AU</v>
          </cell>
          <cell r="G142">
            <v>0.5</v>
          </cell>
          <cell r="O142">
            <v>2000</v>
          </cell>
        </row>
        <row r="143">
          <cell r="A143">
            <v>1977</v>
          </cell>
          <cell r="F143" t="str">
            <v>AU</v>
          </cell>
          <cell r="G143">
            <v>0.5</v>
          </cell>
          <cell r="O143">
            <v>2001</v>
          </cell>
        </row>
        <row r="144">
          <cell r="A144">
            <v>1978</v>
          </cell>
          <cell r="F144" t="str">
            <v>MS-63 SELECT UNCIRC</v>
          </cell>
          <cell r="G144">
            <v>0.5</v>
          </cell>
          <cell r="O144">
            <v>2002</v>
          </cell>
        </row>
        <row r="145">
          <cell r="A145">
            <v>1978</v>
          </cell>
          <cell r="F145" t="str">
            <v>AU</v>
          </cell>
          <cell r="G145">
            <v>0.5</v>
          </cell>
          <cell r="O145">
            <v>1976</v>
          </cell>
        </row>
        <row r="146">
          <cell r="A146">
            <v>1979</v>
          </cell>
          <cell r="F146" t="str">
            <v>MS-63 SELECT UNCIRC</v>
          </cell>
          <cell r="G146">
            <v>0.5</v>
          </cell>
          <cell r="O146">
            <v>1976</v>
          </cell>
        </row>
        <row r="147">
          <cell r="A147">
            <v>1979</v>
          </cell>
          <cell r="F147" t="str">
            <v>MS-63 SELECT UNCIRC</v>
          </cell>
          <cell r="G147">
            <v>0.5</v>
          </cell>
          <cell r="O147">
            <v>1976</v>
          </cell>
        </row>
        <row r="148">
          <cell r="A148">
            <v>1979</v>
          </cell>
          <cell r="F148" t="str">
            <v>MS-63 SELECT UNCIRC</v>
          </cell>
          <cell r="G148">
            <v>0.5</v>
          </cell>
          <cell r="O148">
            <v>1976</v>
          </cell>
        </row>
        <row r="149">
          <cell r="A149">
            <v>1979</v>
          </cell>
          <cell r="F149" t="str">
            <v>MS-63 SELECT UNCIRC</v>
          </cell>
          <cell r="G149">
            <v>0.5</v>
          </cell>
          <cell r="O149">
            <v>1976</v>
          </cell>
        </row>
        <row r="150">
          <cell r="A150">
            <v>1979</v>
          </cell>
          <cell r="F150" t="str">
            <v>AU</v>
          </cell>
          <cell r="G150">
            <v>0.5</v>
          </cell>
          <cell r="O150">
            <v>1976</v>
          </cell>
        </row>
        <row r="151">
          <cell r="A151">
            <v>1979</v>
          </cell>
          <cell r="F151" t="str">
            <v>AU</v>
          </cell>
          <cell r="G151">
            <v>0.5</v>
          </cell>
          <cell r="O151">
            <v>1976</v>
          </cell>
        </row>
        <row r="152">
          <cell r="A152">
            <v>1979</v>
          </cell>
          <cell r="F152" t="str">
            <v>AU</v>
          </cell>
          <cell r="G152">
            <v>0.5</v>
          </cell>
          <cell r="O152">
            <v>1976</v>
          </cell>
        </row>
        <row r="153">
          <cell r="A153">
            <v>1980</v>
          </cell>
          <cell r="F153" t="str">
            <v>MS-63 SELECT UNCIRC</v>
          </cell>
          <cell r="G153">
            <v>0.5</v>
          </cell>
          <cell r="O153">
            <v>1976</v>
          </cell>
        </row>
        <row r="154">
          <cell r="A154">
            <v>1980</v>
          </cell>
          <cell r="F154" t="str">
            <v>MS-63 SELECT UNCIRC</v>
          </cell>
          <cell r="G154">
            <v>0.5</v>
          </cell>
          <cell r="O154">
            <v>1976</v>
          </cell>
        </row>
        <row r="155">
          <cell r="A155">
            <v>1980</v>
          </cell>
          <cell r="F155" t="str">
            <v>MS-63 SELECT UNCIRC</v>
          </cell>
          <cell r="G155">
            <v>0.5</v>
          </cell>
          <cell r="O155">
            <v>1976</v>
          </cell>
        </row>
        <row r="156">
          <cell r="A156">
            <v>1980</v>
          </cell>
          <cell r="F156" t="str">
            <v>MS-65 CHOICE UNCIRC</v>
          </cell>
          <cell r="G156">
            <v>0.5</v>
          </cell>
          <cell r="O156">
            <v>1976</v>
          </cell>
        </row>
        <row r="157">
          <cell r="A157">
            <v>1980</v>
          </cell>
          <cell r="F157" t="str">
            <v>MS-65 CHOICE UNCIRC</v>
          </cell>
          <cell r="G157">
            <v>0.5</v>
          </cell>
          <cell r="O157">
            <v>1976</v>
          </cell>
        </row>
        <row r="158">
          <cell r="A158">
            <v>1981</v>
          </cell>
          <cell r="F158" t="str">
            <v>AU</v>
          </cell>
          <cell r="G158">
            <v>0.5</v>
          </cell>
          <cell r="O158">
            <v>1976</v>
          </cell>
        </row>
        <row r="159">
          <cell r="A159">
            <v>1981</v>
          </cell>
          <cell r="F159" t="str">
            <v>AU</v>
          </cell>
          <cell r="G159">
            <v>0.5</v>
          </cell>
          <cell r="O159">
            <v>1976</v>
          </cell>
        </row>
        <row r="160">
          <cell r="A160">
            <v>1981</v>
          </cell>
          <cell r="F160" t="str">
            <v>AU</v>
          </cell>
          <cell r="G160">
            <v>0.5</v>
          </cell>
          <cell r="O160">
            <v>1976</v>
          </cell>
        </row>
        <row r="161">
          <cell r="A161">
            <v>1983</v>
          </cell>
          <cell r="F161" t="str">
            <v>MS-63 SELECT UNCIRC</v>
          </cell>
          <cell r="G161">
            <v>0.5</v>
          </cell>
          <cell r="O161">
            <v>1976</v>
          </cell>
        </row>
        <row r="162">
          <cell r="A162">
            <v>1983</v>
          </cell>
          <cell r="F162" t="str">
            <v>MS-65 CHOICE UNCIRC</v>
          </cell>
          <cell r="G162">
            <v>0.5</v>
          </cell>
          <cell r="O162" t="str">
            <v>1983 P</v>
          </cell>
        </row>
        <row r="163">
          <cell r="A163">
            <v>1983</v>
          </cell>
          <cell r="F163" t="str">
            <v>MS-65 CHOICE UNCIRC</v>
          </cell>
          <cell r="G163">
            <v>0.5</v>
          </cell>
          <cell r="O163" t="str">
            <v>1983 P</v>
          </cell>
        </row>
        <row r="164">
          <cell r="A164">
            <v>1983</v>
          </cell>
          <cell r="F164" t="str">
            <v>MS-65 CHOICE UNCIRC</v>
          </cell>
          <cell r="G164">
            <v>0.5</v>
          </cell>
          <cell r="O164" t="str">
            <v>1983 P</v>
          </cell>
        </row>
        <row r="165">
          <cell r="A165">
            <v>1983</v>
          </cell>
          <cell r="F165" t="str">
            <v>MS-63 SELECT UNCIRC</v>
          </cell>
          <cell r="G165">
            <v>0.5</v>
          </cell>
          <cell r="O165" t="str">
            <v>1983 P</v>
          </cell>
        </row>
        <row r="166">
          <cell r="A166">
            <v>1983</v>
          </cell>
          <cell r="F166" t="str">
            <v>AU</v>
          </cell>
          <cell r="G166">
            <v>0.5</v>
          </cell>
          <cell r="O166" t="str">
            <v>1983 P</v>
          </cell>
        </row>
        <row r="167">
          <cell r="A167">
            <v>1983</v>
          </cell>
          <cell r="F167" t="str">
            <v>MS-63 SELECT UNCIRC</v>
          </cell>
          <cell r="G167">
            <v>0.5</v>
          </cell>
          <cell r="O167" t="str">
            <v>1983 D</v>
          </cell>
        </row>
        <row r="168">
          <cell r="A168">
            <v>1984</v>
          </cell>
          <cell r="F168" t="str">
            <v>MS-63 SELECT UNCIRC</v>
          </cell>
          <cell r="G168">
            <v>0.5</v>
          </cell>
          <cell r="O168" t="str">
            <v>1984 P</v>
          </cell>
        </row>
        <row r="169">
          <cell r="A169">
            <v>1984</v>
          </cell>
          <cell r="F169" t="str">
            <v>MS-63 SELECT UNCIRC</v>
          </cell>
          <cell r="G169">
            <v>0.5</v>
          </cell>
          <cell r="O169" t="str">
            <v>1984 P</v>
          </cell>
        </row>
        <row r="170">
          <cell r="A170">
            <v>1984</v>
          </cell>
          <cell r="F170" t="str">
            <v>AU</v>
          </cell>
          <cell r="G170">
            <v>0.5</v>
          </cell>
          <cell r="O170" t="str">
            <v>1984 P</v>
          </cell>
        </row>
        <row r="171">
          <cell r="A171">
            <v>1985</v>
          </cell>
          <cell r="F171" t="str">
            <v>MS-63 SELECT UNCIRC</v>
          </cell>
          <cell r="G171">
            <v>0.5</v>
          </cell>
          <cell r="O171" t="str">
            <v>1985 D</v>
          </cell>
        </row>
        <row r="172">
          <cell r="A172">
            <v>1985</v>
          </cell>
          <cell r="F172" t="str">
            <v>MS-63 SELECT UNCIRC</v>
          </cell>
          <cell r="G172">
            <v>0.5</v>
          </cell>
          <cell r="O172" t="str">
            <v>1985 D</v>
          </cell>
        </row>
        <row r="173">
          <cell r="A173">
            <v>1988</v>
          </cell>
          <cell r="F173" t="str">
            <v>MS-63 SELECT UNCIRC</v>
          </cell>
          <cell r="G173">
            <v>0.5</v>
          </cell>
          <cell r="O173" t="str">
            <v>1988 P</v>
          </cell>
        </row>
        <row r="174">
          <cell r="A174">
            <v>1988</v>
          </cell>
          <cell r="F174" t="str">
            <v>MS-63 SELECT UNCIRC</v>
          </cell>
          <cell r="G174">
            <v>0.5</v>
          </cell>
          <cell r="O174" t="str">
            <v>1988 P</v>
          </cell>
        </row>
        <row r="175">
          <cell r="A175">
            <v>1988</v>
          </cell>
          <cell r="F175" t="str">
            <v>AU</v>
          </cell>
          <cell r="G175">
            <v>0.5</v>
          </cell>
          <cell r="O175" t="str">
            <v>1988 P</v>
          </cell>
        </row>
        <row r="176">
          <cell r="A176">
            <v>1989</v>
          </cell>
          <cell r="F176" t="str">
            <v>MS-63 SELECT UNCIRC</v>
          </cell>
          <cell r="G176">
            <v>0.5</v>
          </cell>
          <cell r="O176" t="str">
            <v>1989 D</v>
          </cell>
        </row>
        <row r="177">
          <cell r="A177">
            <v>1990</v>
          </cell>
          <cell r="F177" t="str">
            <v>AU</v>
          </cell>
          <cell r="G177">
            <v>0.5</v>
          </cell>
          <cell r="O177" t="str">
            <v>1990 P</v>
          </cell>
        </row>
        <row r="178">
          <cell r="A178">
            <v>1990</v>
          </cell>
          <cell r="F178" t="str">
            <v>AU</v>
          </cell>
          <cell r="G178">
            <v>0.5</v>
          </cell>
          <cell r="O178" t="str">
            <v>1990 P</v>
          </cell>
        </row>
        <row r="179">
          <cell r="A179">
            <v>1990</v>
          </cell>
          <cell r="F179" t="str">
            <v>AU</v>
          </cell>
          <cell r="G179">
            <v>0.5</v>
          </cell>
          <cell r="O179" t="str">
            <v>1990 P</v>
          </cell>
        </row>
        <row r="180">
          <cell r="A180">
            <v>1991</v>
          </cell>
          <cell r="F180" t="str">
            <v>MS-63 SELECT UNCIRC</v>
          </cell>
          <cell r="G180">
            <v>0.5</v>
          </cell>
          <cell r="O180" t="str">
            <v>1991 D</v>
          </cell>
        </row>
        <row r="181">
          <cell r="A181">
            <v>1992</v>
          </cell>
          <cell r="F181" t="str">
            <v>AU</v>
          </cell>
          <cell r="G181">
            <v>0.5</v>
          </cell>
          <cell r="O181" t="str">
            <v>1992 P</v>
          </cell>
        </row>
        <row r="182">
          <cell r="A182">
            <v>1992</v>
          </cell>
          <cell r="F182" t="str">
            <v>AU</v>
          </cell>
          <cell r="G182">
            <v>0.5</v>
          </cell>
          <cell r="O182" t="str">
            <v>1992 P</v>
          </cell>
        </row>
        <row r="183">
          <cell r="A183">
            <v>1992</v>
          </cell>
          <cell r="F183" t="str">
            <v>AU</v>
          </cell>
          <cell r="G183">
            <v>0.5</v>
          </cell>
          <cell r="O183" t="str">
            <v>1992 P</v>
          </cell>
        </row>
        <row r="184">
          <cell r="A184">
            <v>1992</v>
          </cell>
          <cell r="F184" t="str">
            <v>MS-63 SELECT UNCIRC</v>
          </cell>
          <cell r="G184">
            <v>0.5</v>
          </cell>
          <cell r="O184" t="str">
            <v>1992 P</v>
          </cell>
        </row>
        <row r="185">
          <cell r="A185">
            <v>1993</v>
          </cell>
          <cell r="F185" t="str">
            <v>MS-63 SELECT UNCIRC</v>
          </cell>
          <cell r="G185">
            <v>0.5</v>
          </cell>
          <cell r="O185" t="str">
            <v>1993 D</v>
          </cell>
        </row>
        <row r="186">
          <cell r="A186"/>
        </row>
        <row r="187">
          <cell r="A187"/>
        </row>
        <row r="188">
          <cell r="A188"/>
        </row>
        <row r="189">
          <cell r="A189"/>
        </row>
        <row r="190">
          <cell r="A190"/>
        </row>
        <row r="191">
          <cell r="A191"/>
        </row>
        <row r="192">
          <cell r="A192"/>
        </row>
        <row r="193">
          <cell r="A193"/>
        </row>
        <row r="194">
          <cell r="A194"/>
        </row>
        <row r="195">
          <cell r="A195"/>
        </row>
        <row r="196">
          <cell r="A196"/>
        </row>
      </sheetData>
      <sheetData sheetId="1"/>
      <sheetData sheetId="2"/>
      <sheetData sheetId="3"/>
      <sheetData sheetId="4"/>
      <sheetData sheetId="5">
        <row r="1">
          <cell r="A1" t="str">
            <v xml:space="preserve">Date/Mint Mark </v>
          </cell>
          <cell r="K1" t="str">
            <v xml:space="preserve">Date/Mint Mark </v>
          </cell>
          <cell r="L1" t="str">
            <v>Mintage</v>
          </cell>
          <cell r="M1" t="str">
            <v>VF20 VERY FINE</v>
          </cell>
          <cell r="N1" t="str">
            <v>AU58</v>
          </cell>
          <cell r="O1" t="str">
            <v>MS63</v>
          </cell>
          <cell r="P1" t="str">
            <v>MS64</v>
          </cell>
          <cell r="Q1" t="str">
            <v>MS65</v>
          </cell>
          <cell r="R1" t="str">
            <v>MS66</v>
          </cell>
        </row>
        <row r="2">
          <cell r="A2">
            <v>1948</v>
          </cell>
          <cell r="K2">
            <v>1948</v>
          </cell>
          <cell r="L2">
            <v>3006814</v>
          </cell>
          <cell r="M2">
            <v>8</v>
          </cell>
          <cell r="N2">
            <v>15</v>
          </cell>
          <cell r="O2">
            <v>32</v>
          </cell>
          <cell r="P2">
            <v>44</v>
          </cell>
          <cell r="Q2">
            <v>109</v>
          </cell>
          <cell r="R2">
            <v>299</v>
          </cell>
        </row>
        <row r="3">
          <cell r="A3" t="str">
            <v>1948 D</v>
          </cell>
          <cell r="K3" t="str">
            <v>1948 D</v>
          </cell>
          <cell r="L3">
            <v>4028600</v>
          </cell>
          <cell r="M3">
            <v>8</v>
          </cell>
          <cell r="N3">
            <v>14</v>
          </cell>
          <cell r="O3">
            <v>20</v>
          </cell>
          <cell r="P3">
            <v>40</v>
          </cell>
          <cell r="Q3">
            <v>94</v>
          </cell>
          <cell r="R3">
            <v>603</v>
          </cell>
        </row>
        <row r="4">
          <cell r="A4">
            <v>1949</v>
          </cell>
          <cell r="K4">
            <v>1949</v>
          </cell>
          <cell r="L4">
            <v>5614000</v>
          </cell>
          <cell r="M4">
            <v>8</v>
          </cell>
          <cell r="N4">
            <v>22</v>
          </cell>
          <cell r="O4">
            <v>36</v>
          </cell>
          <cell r="P4">
            <v>69</v>
          </cell>
          <cell r="Q4">
            <v>218</v>
          </cell>
          <cell r="R4">
            <v>373</v>
          </cell>
        </row>
        <row r="5">
          <cell r="A5" t="str">
            <v>1949 D</v>
          </cell>
          <cell r="K5" t="str">
            <v>1949 D</v>
          </cell>
          <cell r="L5">
            <v>4120600</v>
          </cell>
          <cell r="M5">
            <v>8</v>
          </cell>
          <cell r="N5">
            <v>27</v>
          </cell>
          <cell r="O5">
            <v>54</v>
          </cell>
          <cell r="P5">
            <v>84</v>
          </cell>
          <cell r="Q5">
            <v>460</v>
          </cell>
          <cell r="R5">
            <v>6325</v>
          </cell>
        </row>
        <row r="6">
          <cell r="A6" t="str">
            <v>1949 S</v>
          </cell>
          <cell r="K6" t="str">
            <v>1949 S</v>
          </cell>
          <cell r="L6">
            <v>3744000</v>
          </cell>
          <cell r="M6">
            <v>8</v>
          </cell>
          <cell r="N6">
            <v>20</v>
          </cell>
          <cell r="O6">
            <v>79</v>
          </cell>
          <cell r="P6">
            <v>126</v>
          </cell>
          <cell r="Q6">
            <v>218</v>
          </cell>
          <cell r="R6">
            <v>517</v>
          </cell>
        </row>
        <row r="7">
          <cell r="A7">
            <v>1950</v>
          </cell>
          <cell r="K7">
            <v>1950</v>
          </cell>
          <cell r="L7">
            <v>7742123</v>
          </cell>
          <cell r="M7">
            <v>8</v>
          </cell>
          <cell r="N7">
            <v>15</v>
          </cell>
          <cell r="O7">
            <v>31</v>
          </cell>
          <cell r="P7">
            <v>59</v>
          </cell>
          <cell r="Q7">
            <v>149</v>
          </cell>
          <cell r="R7">
            <v>1035</v>
          </cell>
        </row>
        <row r="8">
          <cell r="A8" t="str">
            <v>1950 D</v>
          </cell>
          <cell r="K8" t="str">
            <v>1950 D</v>
          </cell>
          <cell r="L8">
            <v>8031600</v>
          </cell>
          <cell r="M8">
            <v>8</v>
          </cell>
          <cell r="N8">
            <v>15</v>
          </cell>
          <cell r="O8">
            <v>42</v>
          </cell>
          <cell r="P8">
            <v>56</v>
          </cell>
          <cell r="Q8">
            <v>299</v>
          </cell>
          <cell r="R8">
            <v>920</v>
          </cell>
        </row>
        <row r="9">
          <cell r="A9">
            <v>1951</v>
          </cell>
          <cell r="K9">
            <v>1951</v>
          </cell>
          <cell r="L9">
            <v>16802102</v>
          </cell>
          <cell r="M9">
            <v>8</v>
          </cell>
          <cell r="N9">
            <v>12</v>
          </cell>
          <cell r="O9">
            <v>28</v>
          </cell>
          <cell r="P9">
            <v>56</v>
          </cell>
          <cell r="Q9">
            <v>184</v>
          </cell>
          <cell r="R9">
            <v>431</v>
          </cell>
        </row>
        <row r="10">
          <cell r="A10" t="str">
            <v>1951 D</v>
          </cell>
          <cell r="K10" t="str">
            <v>1951 D</v>
          </cell>
          <cell r="L10">
            <v>9475200</v>
          </cell>
          <cell r="M10">
            <v>8</v>
          </cell>
          <cell r="N10">
            <v>14</v>
          </cell>
          <cell r="O10">
            <v>30</v>
          </cell>
          <cell r="P10">
            <v>56</v>
          </cell>
          <cell r="Q10">
            <v>184</v>
          </cell>
          <cell r="R10">
            <v>718</v>
          </cell>
        </row>
        <row r="11">
          <cell r="A11" t="str">
            <v>1951 S</v>
          </cell>
          <cell r="K11" t="str">
            <v>1951 S</v>
          </cell>
          <cell r="L11">
            <v>13696000</v>
          </cell>
          <cell r="M11">
            <v>8</v>
          </cell>
          <cell r="N11">
            <v>12</v>
          </cell>
          <cell r="O11">
            <v>132</v>
          </cell>
          <cell r="P11">
            <v>186</v>
          </cell>
          <cell r="Q11">
            <v>299</v>
          </cell>
          <cell r="R11">
            <v>862</v>
          </cell>
        </row>
        <row r="12">
          <cell r="A12">
            <v>1952</v>
          </cell>
          <cell r="K12">
            <v>1952</v>
          </cell>
          <cell r="L12">
            <v>21192093</v>
          </cell>
          <cell r="M12">
            <v>8</v>
          </cell>
          <cell r="N12">
            <v>12</v>
          </cell>
          <cell r="O12">
            <v>36</v>
          </cell>
          <cell r="P12">
            <v>79</v>
          </cell>
          <cell r="Q12">
            <v>89</v>
          </cell>
          <cell r="R12">
            <v>178</v>
          </cell>
        </row>
        <row r="13">
          <cell r="A13" t="str">
            <v>1952 D</v>
          </cell>
          <cell r="K13" t="str">
            <v>1952 D</v>
          </cell>
          <cell r="L13">
            <v>25395600</v>
          </cell>
          <cell r="M13">
            <v>8</v>
          </cell>
          <cell r="N13">
            <v>15</v>
          </cell>
          <cell r="O13">
            <v>30</v>
          </cell>
          <cell r="P13">
            <v>79</v>
          </cell>
          <cell r="Q13">
            <v>138</v>
          </cell>
          <cell r="R13">
            <v>632</v>
          </cell>
        </row>
        <row r="14">
          <cell r="A14" t="str">
            <v>1952 S</v>
          </cell>
          <cell r="K14" t="str">
            <v>1952 S</v>
          </cell>
          <cell r="L14">
            <v>5526000</v>
          </cell>
          <cell r="M14">
            <v>8</v>
          </cell>
          <cell r="N14">
            <v>18</v>
          </cell>
          <cell r="O14">
            <v>126</v>
          </cell>
          <cell r="P14">
            <v>431</v>
          </cell>
          <cell r="Q14">
            <v>575</v>
          </cell>
          <cell r="R14">
            <v>1955</v>
          </cell>
        </row>
        <row r="15">
          <cell r="A15">
            <v>1953</v>
          </cell>
          <cell r="K15">
            <v>1953</v>
          </cell>
          <cell r="L15">
            <v>2668120</v>
          </cell>
          <cell r="M15">
            <v>8</v>
          </cell>
          <cell r="N15">
            <v>15</v>
          </cell>
          <cell r="O15">
            <v>45</v>
          </cell>
          <cell r="P15">
            <v>84</v>
          </cell>
          <cell r="Q15">
            <v>920</v>
          </cell>
          <cell r="R15">
            <v>4312</v>
          </cell>
        </row>
        <row r="16">
          <cell r="A16" t="str">
            <v>1953 D</v>
          </cell>
          <cell r="K16" t="str">
            <v>1953 D</v>
          </cell>
          <cell r="L16">
            <v>20900400</v>
          </cell>
          <cell r="M16">
            <v>8</v>
          </cell>
          <cell r="N16">
            <v>15</v>
          </cell>
          <cell r="O16">
            <v>25</v>
          </cell>
          <cell r="P16">
            <v>38</v>
          </cell>
          <cell r="Q16">
            <v>126</v>
          </cell>
          <cell r="R16">
            <v>460</v>
          </cell>
        </row>
        <row r="17">
          <cell r="A17" t="str">
            <v>1953 S</v>
          </cell>
          <cell r="K17" t="str">
            <v>1953 S</v>
          </cell>
          <cell r="L17">
            <v>4148000</v>
          </cell>
          <cell r="M17">
            <v>8</v>
          </cell>
          <cell r="N17">
            <v>25</v>
          </cell>
          <cell r="O17" t="str">
            <v>-------------</v>
          </cell>
          <cell r="P17">
            <v>10350</v>
          </cell>
          <cell r="Q17">
            <v>11500</v>
          </cell>
          <cell r="R17">
            <v>12650</v>
          </cell>
        </row>
        <row r="18">
          <cell r="A18">
            <v>1954</v>
          </cell>
          <cell r="K18">
            <v>1954</v>
          </cell>
          <cell r="L18">
            <v>13188203</v>
          </cell>
          <cell r="M18">
            <v>8</v>
          </cell>
          <cell r="N18">
            <v>12</v>
          </cell>
          <cell r="O18">
            <v>27</v>
          </cell>
          <cell r="P18">
            <v>38</v>
          </cell>
          <cell r="Q18">
            <v>84</v>
          </cell>
          <cell r="R18">
            <v>805</v>
          </cell>
        </row>
        <row r="19">
          <cell r="A19" t="str">
            <v>1954 D</v>
          </cell>
          <cell r="K19" t="str">
            <v>1954 D</v>
          </cell>
          <cell r="L19">
            <v>25445580</v>
          </cell>
          <cell r="M19">
            <v>8</v>
          </cell>
          <cell r="N19">
            <v>12</v>
          </cell>
          <cell r="O19">
            <v>21</v>
          </cell>
          <cell r="P19">
            <v>37</v>
          </cell>
          <cell r="Q19">
            <v>104</v>
          </cell>
          <cell r="R19">
            <v>776</v>
          </cell>
        </row>
        <row r="20">
          <cell r="A20" t="str">
            <v>1954 S</v>
          </cell>
          <cell r="K20" t="str">
            <v>1954 S</v>
          </cell>
          <cell r="L20">
            <v>4993400</v>
          </cell>
          <cell r="M20">
            <v>8</v>
          </cell>
          <cell r="N20">
            <v>12</v>
          </cell>
          <cell r="O20">
            <v>18</v>
          </cell>
          <cell r="P20">
            <v>50</v>
          </cell>
          <cell r="Q20">
            <v>253</v>
          </cell>
          <cell r="R20">
            <v>1495</v>
          </cell>
        </row>
        <row r="21">
          <cell r="A21">
            <v>1955</v>
          </cell>
          <cell r="K21">
            <v>1955</v>
          </cell>
          <cell r="L21">
            <v>2498181</v>
          </cell>
          <cell r="M21">
            <v>8</v>
          </cell>
          <cell r="N21">
            <v>12</v>
          </cell>
          <cell r="O21">
            <v>31</v>
          </cell>
          <cell r="P21">
            <v>49</v>
          </cell>
          <cell r="Q21">
            <v>65</v>
          </cell>
          <cell r="R21">
            <v>575</v>
          </cell>
        </row>
        <row r="22">
          <cell r="A22" t="str">
            <v>1955 Bugs Bunny variety</v>
          </cell>
          <cell r="K22">
            <v>1955</v>
          </cell>
          <cell r="L22" t="str">
            <v>Inc. above</v>
          </cell>
          <cell r="M22">
            <v>20</v>
          </cell>
          <cell r="N22">
            <v>35</v>
          </cell>
          <cell r="O22">
            <v>48</v>
          </cell>
          <cell r="P22">
            <v>64</v>
          </cell>
          <cell r="Q22">
            <v>345</v>
          </cell>
          <cell r="R22" t="str">
            <v>-----------------</v>
          </cell>
        </row>
        <row r="23">
          <cell r="A23">
            <v>1956</v>
          </cell>
          <cell r="K23">
            <v>1956</v>
          </cell>
          <cell r="L23">
            <v>4032000</v>
          </cell>
          <cell r="M23">
            <v>8</v>
          </cell>
          <cell r="N23">
            <v>15</v>
          </cell>
          <cell r="O23">
            <v>27</v>
          </cell>
          <cell r="P23">
            <v>36</v>
          </cell>
          <cell r="Q23">
            <v>69</v>
          </cell>
          <cell r="R23">
            <v>161</v>
          </cell>
        </row>
        <row r="24">
          <cell r="A24">
            <v>1957</v>
          </cell>
          <cell r="K24">
            <v>1957</v>
          </cell>
          <cell r="L24">
            <v>5114000</v>
          </cell>
          <cell r="M24">
            <v>8</v>
          </cell>
          <cell r="N24">
            <v>12</v>
          </cell>
          <cell r="O24">
            <v>22</v>
          </cell>
          <cell r="P24">
            <v>38</v>
          </cell>
          <cell r="Q24">
            <v>161</v>
          </cell>
          <cell r="R24">
            <v>488</v>
          </cell>
        </row>
        <row r="25">
          <cell r="A25" t="str">
            <v>1957 D</v>
          </cell>
          <cell r="K25" t="str">
            <v>1957 D</v>
          </cell>
          <cell r="L25">
            <v>19996850</v>
          </cell>
          <cell r="M25">
            <v>8</v>
          </cell>
          <cell r="N25">
            <v>12</v>
          </cell>
          <cell r="O25">
            <v>20</v>
          </cell>
          <cell r="P25">
            <v>38</v>
          </cell>
          <cell r="Q25">
            <v>47</v>
          </cell>
          <cell r="R25">
            <v>155</v>
          </cell>
        </row>
        <row r="26">
          <cell r="A26">
            <v>1958</v>
          </cell>
          <cell r="K26">
            <v>1958</v>
          </cell>
          <cell r="L26">
            <v>4042000</v>
          </cell>
          <cell r="M26">
            <v>8</v>
          </cell>
          <cell r="N26">
            <v>14</v>
          </cell>
          <cell r="O26">
            <v>34</v>
          </cell>
          <cell r="P26">
            <v>50</v>
          </cell>
          <cell r="Q26">
            <v>138</v>
          </cell>
          <cell r="R26">
            <v>149</v>
          </cell>
        </row>
        <row r="27">
          <cell r="A27" t="str">
            <v>1958 D</v>
          </cell>
          <cell r="K27" t="str">
            <v>1958 D</v>
          </cell>
          <cell r="L27">
            <v>23962412</v>
          </cell>
          <cell r="M27">
            <v>8</v>
          </cell>
          <cell r="N27">
            <v>13</v>
          </cell>
          <cell r="O27">
            <v>21</v>
          </cell>
          <cell r="P27">
            <v>53</v>
          </cell>
          <cell r="Q27">
            <v>138</v>
          </cell>
          <cell r="R27">
            <v>149</v>
          </cell>
        </row>
        <row r="28">
          <cell r="A28">
            <v>1959</v>
          </cell>
          <cell r="K28">
            <v>1959</v>
          </cell>
          <cell r="L28">
            <v>6200000</v>
          </cell>
          <cell r="M28">
            <v>8</v>
          </cell>
          <cell r="N28">
            <v>15</v>
          </cell>
          <cell r="O28">
            <v>25</v>
          </cell>
          <cell r="P28">
            <v>53</v>
          </cell>
          <cell r="Q28">
            <v>157</v>
          </cell>
          <cell r="R28">
            <v>1610</v>
          </cell>
        </row>
        <row r="29">
          <cell r="A29" t="str">
            <v>1959 D</v>
          </cell>
          <cell r="K29" t="str">
            <v>1959 D</v>
          </cell>
          <cell r="L29">
            <v>13053750</v>
          </cell>
          <cell r="M29">
            <v>8</v>
          </cell>
          <cell r="N29">
            <v>12</v>
          </cell>
          <cell r="O29">
            <v>20</v>
          </cell>
          <cell r="P29">
            <v>40</v>
          </cell>
          <cell r="Q29">
            <v>126</v>
          </cell>
          <cell r="R29">
            <v>747</v>
          </cell>
        </row>
        <row r="30">
          <cell r="A30">
            <v>1960</v>
          </cell>
          <cell r="K30">
            <v>1960</v>
          </cell>
          <cell r="L30">
            <v>6024000</v>
          </cell>
          <cell r="M30">
            <v>8</v>
          </cell>
          <cell r="N30">
            <v>12</v>
          </cell>
          <cell r="O30">
            <v>20</v>
          </cell>
          <cell r="P30">
            <v>40</v>
          </cell>
          <cell r="Q30">
            <v>218</v>
          </cell>
          <cell r="R30">
            <v>1955</v>
          </cell>
        </row>
        <row r="31">
          <cell r="A31" t="str">
            <v>1960 D</v>
          </cell>
          <cell r="K31" t="str">
            <v>1960 D</v>
          </cell>
          <cell r="L31">
            <v>18215812</v>
          </cell>
          <cell r="M31">
            <v>8</v>
          </cell>
          <cell r="N31">
            <v>13</v>
          </cell>
          <cell r="O31">
            <v>18</v>
          </cell>
          <cell r="P31">
            <v>38</v>
          </cell>
          <cell r="Q31">
            <v>373</v>
          </cell>
          <cell r="R31">
            <v>5750</v>
          </cell>
        </row>
        <row r="32">
          <cell r="A32">
            <v>1961</v>
          </cell>
          <cell r="K32">
            <v>1961</v>
          </cell>
          <cell r="L32">
            <v>8290000</v>
          </cell>
          <cell r="M32">
            <v>8</v>
          </cell>
          <cell r="N32">
            <v>15</v>
          </cell>
          <cell r="O32">
            <v>45</v>
          </cell>
          <cell r="P32">
            <v>99</v>
          </cell>
          <cell r="Q32">
            <v>862</v>
          </cell>
          <cell r="R32">
            <v>6900</v>
          </cell>
        </row>
        <row r="33">
          <cell r="A33" t="str">
            <v>1961 DDR PR only</v>
          </cell>
          <cell r="K33" t="str">
            <v>1961 DDR PR only</v>
          </cell>
          <cell r="L33" t="str">
            <v>Inc. above</v>
          </cell>
          <cell r="M33"/>
          <cell r="N33"/>
          <cell r="O33"/>
          <cell r="P33">
            <v>1840</v>
          </cell>
          <cell r="Q33">
            <v>2070</v>
          </cell>
          <cell r="R33">
            <v>3220</v>
          </cell>
        </row>
        <row r="34">
          <cell r="A34" t="str">
            <v>1961 D</v>
          </cell>
          <cell r="K34" t="str">
            <v>1961 D</v>
          </cell>
          <cell r="L34">
            <v>20276442</v>
          </cell>
          <cell r="M34">
            <v>8</v>
          </cell>
          <cell r="N34"/>
          <cell r="O34">
            <v>25</v>
          </cell>
          <cell r="P34">
            <v>56</v>
          </cell>
          <cell r="Q34">
            <v>460</v>
          </cell>
          <cell r="R34">
            <v>5175</v>
          </cell>
        </row>
        <row r="35">
          <cell r="A35">
            <v>1962</v>
          </cell>
          <cell r="K35">
            <v>1962</v>
          </cell>
          <cell r="L35">
            <v>9714000</v>
          </cell>
          <cell r="M35">
            <v>8</v>
          </cell>
          <cell r="N35">
            <v>13</v>
          </cell>
          <cell r="O35">
            <v>29</v>
          </cell>
          <cell r="P35">
            <v>218</v>
          </cell>
          <cell r="Q35">
            <v>1495</v>
          </cell>
          <cell r="R35">
            <v>17825</v>
          </cell>
        </row>
        <row r="36">
          <cell r="A36" t="str">
            <v>1962 D</v>
          </cell>
          <cell r="K36" t="str">
            <v>1962 D</v>
          </cell>
          <cell r="L36">
            <v>35473281</v>
          </cell>
          <cell r="M36">
            <v>8</v>
          </cell>
          <cell r="N36">
            <v>13</v>
          </cell>
          <cell r="O36">
            <v>20</v>
          </cell>
          <cell r="P36">
            <v>56</v>
          </cell>
          <cell r="Q36">
            <v>345</v>
          </cell>
          <cell r="R36">
            <v>4456</v>
          </cell>
        </row>
        <row r="37">
          <cell r="A37">
            <v>1963</v>
          </cell>
          <cell r="K37">
            <v>1963</v>
          </cell>
          <cell r="L37">
            <v>22164000</v>
          </cell>
          <cell r="M37">
            <v>8</v>
          </cell>
          <cell r="N37">
            <v>11</v>
          </cell>
          <cell r="O37">
            <v>15</v>
          </cell>
          <cell r="P37">
            <v>138</v>
          </cell>
          <cell r="Q37">
            <v>977</v>
          </cell>
          <cell r="R37"/>
        </row>
        <row r="38">
          <cell r="A38" t="str">
            <v>1963 D</v>
          </cell>
          <cell r="K38" t="str">
            <v>1963 D</v>
          </cell>
          <cell r="L38">
            <v>67069292</v>
          </cell>
          <cell r="M38">
            <v>8</v>
          </cell>
          <cell r="N38">
            <v>11</v>
          </cell>
          <cell r="O38">
            <v>15</v>
          </cell>
          <cell r="P38">
            <v>104</v>
          </cell>
          <cell r="Q38">
            <v>207</v>
          </cell>
          <cell r="R38">
            <v>1495</v>
          </cell>
        </row>
        <row r="39">
          <cell r="A39">
            <v>1964</v>
          </cell>
          <cell r="B39">
            <v>7.4</v>
          </cell>
          <cell r="C39">
            <v>3.7</v>
          </cell>
        </row>
        <row r="40">
          <cell r="A40" t="str">
            <v>1964 D</v>
          </cell>
          <cell r="B40">
            <v>7.8</v>
          </cell>
          <cell r="C40">
            <v>3.7</v>
          </cell>
        </row>
        <row r="41">
          <cell r="A41">
            <v>1965</v>
          </cell>
          <cell r="B41">
            <v>3.3</v>
          </cell>
          <cell r="C41">
            <v>1.7</v>
          </cell>
        </row>
        <row r="42">
          <cell r="A42">
            <v>1966</v>
          </cell>
          <cell r="B42">
            <v>3</v>
          </cell>
          <cell r="C42">
            <v>1.4</v>
          </cell>
        </row>
        <row r="43">
          <cell r="A43">
            <v>1967</v>
          </cell>
          <cell r="B43">
            <v>3.1</v>
          </cell>
          <cell r="C43">
            <v>1.6</v>
          </cell>
        </row>
        <row r="44">
          <cell r="A44" t="str">
            <v>1968 D</v>
          </cell>
          <cell r="B44">
            <v>3.2</v>
          </cell>
          <cell r="C44">
            <v>1.6</v>
          </cell>
        </row>
        <row r="45">
          <cell r="A45" t="str">
            <v>1969 D</v>
          </cell>
          <cell r="B45">
            <v>3.1</v>
          </cell>
          <cell r="C45">
            <v>1.6</v>
          </cell>
        </row>
        <row r="46">
          <cell r="A46" t="str">
            <v>1970 D</v>
          </cell>
          <cell r="B46">
            <v>7.2</v>
          </cell>
          <cell r="C46">
            <v>3.7</v>
          </cell>
        </row>
        <row r="47">
          <cell r="A47">
            <v>1971</v>
          </cell>
          <cell r="B47">
            <v>1</v>
          </cell>
          <cell r="C47" t="str">
            <v>F.V.</v>
          </cell>
        </row>
        <row r="48">
          <cell r="A48" t="str">
            <v>1971 D</v>
          </cell>
          <cell r="B48">
            <v>1</v>
          </cell>
          <cell r="C48" t="str">
            <v>F.V.</v>
          </cell>
        </row>
        <row r="49">
          <cell r="A49">
            <v>1972</v>
          </cell>
          <cell r="B49">
            <v>1</v>
          </cell>
          <cell r="C49" t="str">
            <v>F.V.</v>
          </cell>
        </row>
        <row r="50">
          <cell r="A50" t="str">
            <v>1972 D</v>
          </cell>
          <cell r="B50">
            <v>1</v>
          </cell>
          <cell r="C50" t="str">
            <v>F.V.</v>
          </cell>
        </row>
        <row r="51">
          <cell r="A51">
            <v>1973</v>
          </cell>
          <cell r="B51">
            <v>1</v>
          </cell>
          <cell r="C51" t="str">
            <v>F.V.</v>
          </cell>
        </row>
        <row r="52">
          <cell r="A52" t="str">
            <v>1973 D</v>
          </cell>
          <cell r="B52">
            <v>1</v>
          </cell>
          <cell r="C52" t="str">
            <v>F.V.</v>
          </cell>
        </row>
        <row r="53">
          <cell r="A53">
            <v>1974</v>
          </cell>
          <cell r="B53">
            <v>1</v>
          </cell>
          <cell r="C53" t="str">
            <v>F.V.</v>
          </cell>
        </row>
        <row r="54">
          <cell r="A54" t="str">
            <v>1974 D</v>
          </cell>
          <cell r="B54">
            <v>1</v>
          </cell>
          <cell r="C54" t="str">
            <v>F.V.</v>
          </cell>
        </row>
        <row r="55">
          <cell r="A55">
            <v>1976</v>
          </cell>
          <cell r="B55">
            <v>1</v>
          </cell>
          <cell r="C55" t="str">
            <v>F.V.</v>
          </cell>
        </row>
        <row r="56">
          <cell r="A56" t="str">
            <v>1976 D</v>
          </cell>
          <cell r="B56">
            <v>1</v>
          </cell>
          <cell r="C56" t="str">
            <v>F.V.</v>
          </cell>
        </row>
        <row r="57">
          <cell r="A57" t="str">
            <v>1976 S Silver</v>
          </cell>
          <cell r="B57">
            <v>3.1</v>
          </cell>
          <cell r="C57">
            <v>1.6</v>
          </cell>
        </row>
        <row r="58">
          <cell r="A58">
            <v>1977</v>
          </cell>
          <cell r="B58">
            <v>1</v>
          </cell>
          <cell r="C58" t="str">
            <v>F.V.</v>
          </cell>
        </row>
        <row r="59">
          <cell r="A59" t="str">
            <v>1977 D</v>
          </cell>
          <cell r="B59">
            <v>1</v>
          </cell>
          <cell r="C59" t="str">
            <v>F.V.</v>
          </cell>
        </row>
        <row r="60">
          <cell r="A60">
            <v>1978</v>
          </cell>
          <cell r="B60">
            <v>1</v>
          </cell>
          <cell r="C60" t="str">
            <v>F.V.</v>
          </cell>
        </row>
        <row r="61">
          <cell r="A61" t="str">
            <v>1978 D</v>
          </cell>
          <cell r="B61">
            <v>1</v>
          </cell>
          <cell r="C61" t="str">
            <v>F.V.</v>
          </cell>
        </row>
        <row r="62">
          <cell r="A62">
            <v>1979</v>
          </cell>
          <cell r="B62">
            <v>1</v>
          </cell>
          <cell r="C62" t="str">
            <v>F.V.</v>
          </cell>
        </row>
        <row r="63">
          <cell r="A63" t="str">
            <v>1979 D</v>
          </cell>
          <cell r="B63">
            <v>1</v>
          </cell>
          <cell r="C63" t="str">
            <v>F.V.</v>
          </cell>
        </row>
        <row r="64">
          <cell r="A64">
            <v>1980</v>
          </cell>
          <cell r="B64">
            <v>1</v>
          </cell>
          <cell r="C64" t="str">
            <v>F.V.</v>
          </cell>
        </row>
        <row r="65">
          <cell r="A65" t="str">
            <v>1980 P</v>
          </cell>
          <cell r="B65"/>
          <cell r="C65"/>
        </row>
        <row r="66">
          <cell r="A66" t="str">
            <v>1980 D</v>
          </cell>
          <cell r="B66">
            <v>1</v>
          </cell>
          <cell r="C66" t="str">
            <v>F.V.</v>
          </cell>
        </row>
        <row r="67">
          <cell r="A67">
            <v>1981</v>
          </cell>
          <cell r="B67">
            <v>1</v>
          </cell>
          <cell r="C67" t="str">
            <v>F.V.</v>
          </cell>
        </row>
        <row r="68">
          <cell r="A68" t="str">
            <v>1981 D</v>
          </cell>
          <cell r="B68">
            <v>1</v>
          </cell>
          <cell r="C68" t="str">
            <v>F.V.</v>
          </cell>
        </row>
        <row r="69">
          <cell r="A69">
            <v>1982</v>
          </cell>
          <cell r="B69">
            <v>1</v>
          </cell>
          <cell r="C69" t="str">
            <v>F.V.</v>
          </cell>
        </row>
        <row r="70">
          <cell r="A70" t="str">
            <v>1982 D</v>
          </cell>
          <cell r="B70">
            <v>1</v>
          </cell>
          <cell r="C70" t="str">
            <v>F.V.</v>
          </cell>
        </row>
        <row r="71">
          <cell r="A71">
            <v>1983</v>
          </cell>
          <cell r="B71">
            <v>1</v>
          </cell>
          <cell r="C71" t="str">
            <v>F.V.</v>
          </cell>
        </row>
        <row r="72">
          <cell r="A72" t="str">
            <v>1983 P</v>
          </cell>
          <cell r="B72"/>
          <cell r="C72"/>
        </row>
        <row r="73">
          <cell r="A73" t="str">
            <v>1983 D</v>
          </cell>
          <cell r="B73">
            <v>1</v>
          </cell>
          <cell r="C73" t="str">
            <v>F.V.</v>
          </cell>
        </row>
        <row r="74">
          <cell r="A74">
            <v>1984</v>
          </cell>
          <cell r="B74">
            <v>1</v>
          </cell>
          <cell r="C74" t="str">
            <v>F.V.</v>
          </cell>
        </row>
        <row r="75">
          <cell r="A75" t="str">
            <v>1984 p</v>
          </cell>
          <cell r="B75"/>
          <cell r="C75"/>
        </row>
        <row r="76">
          <cell r="A76" t="str">
            <v>1984 D</v>
          </cell>
          <cell r="B76">
            <v>1</v>
          </cell>
          <cell r="C76" t="str">
            <v>F.V.</v>
          </cell>
        </row>
        <row r="77">
          <cell r="A77">
            <v>1985</v>
          </cell>
          <cell r="B77">
            <v>1</v>
          </cell>
          <cell r="C77" t="str">
            <v>F.V.</v>
          </cell>
        </row>
        <row r="78">
          <cell r="A78" t="str">
            <v>1985 D</v>
          </cell>
          <cell r="B78">
            <v>1</v>
          </cell>
          <cell r="C78" t="str">
            <v>F.V.</v>
          </cell>
        </row>
        <row r="79">
          <cell r="A79">
            <v>1986</v>
          </cell>
          <cell r="B79">
            <v>1</v>
          </cell>
          <cell r="C79" t="str">
            <v>F.V.</v>
          </cell>
        </row>
        <row r="80">
          <cell r="A80" t="str">
            <v>1986 D</v>
          </cell>
          <cell r="B80">
            <v>1</v>
          </cell>
          <cell r="C80" t="str">
            <v>F.V.</v>
          </cell>
        </row>
        <row r="81">
          <cell r="A81">
            <v>1987</v>
          </cell>
          <cell r="B81">
            <v>1</v>
          </cell>
          <cell r="C81" t="str">
            <v>F.V.</v>
          </cell>
        </row>
        <row r="82">
          <cell r="A82" t="str">
            <v>1987 D</v>
          </cell>
          <cell r="B82">
            <v>1</v>
          </cell>
          <cell r="C82" t="str">
            <v>F.V.</v>
          </cell>
        </row>
        <row r="83">
          <cell r="A83">
            <v>1988</v>
          </cell>
          <cell r="B83">
            <v>1</v>
          </cell>
          <cell r="C83" t="str">
            <v>F.V.</v>
          </cell>
        </row>
        <row r="84">
          <cell r="A84" t="str">
            <v>1988 P</v>
          </cell>
          <cell r="B84"/>
          <cell r="C84"/>
        </row>
        <row r="85">
          <cell r="A85" t="str">
            <v>1988 D</v>
          </cell>
          <cell r="B85">
            <v>1</v>
          </cell>
          <cell r="C85" t="str">
            <v>F.V.</v>
          </cell>
        </row>
        <row r="86">
          <cell r="A86">
            <v>1989</v>
          </cell>
          <cell r="B86">
            <v>1</v>
          </cell>
          <cell r="C86" t="str">
            <v>F.V.</v>
          </cell>
        </row>
        <row r="87">
          <cell r="A87" t="str">
            <v>1989 D</v>
          </cell>
          <cell r="B87">
            <v>1</v>
          </cell>
          <cell r="C87" t="str">
            <v>F.V.</v>
          </cell>
        </row>
        <row r="88">
          <cell r="A88">
            <v>1990</v>
          </cell>
          <cell r="B88">
            <v>1</v>
          </cell>
          <cell r="C88" t="str">
            <v>F.V.</v>
          </cell>
        </row>
        <row r="89">
          <cell r="A89" t="str">
            <v>1990 P</v>
          </cell>
          <cell r="B89"/>
          <cell r="C89"/>
        </row>
        <row r="90">
          <cell r="A90" t="str">
            <v>1990 D</v>
          </cell>
          <cell r="B90">
            <v>1</v>
          </cell>
          <cell r="C90" t="str">
            <v>F.V.</v>
          </cell>
        </row>
        <row r="91">
          <cell r="A91">
            <v>1991</v>
          </cell>
          <cell r="B91">
            <v>1</v>
          </cell>
          <cell r="C91" t="str">
            <v>F.V.</v>
          </cell>
        </row>
        <row r="92">
          <cell r="A92" t="str">
            <v>1991 D</v>
          </cell>
          <cell r="B92">
            <v>1</v>
          </cell>
          <cell r="C92" t="str">
            <v>F.V.</v>
          </cell>
        </row>
        <row r="93">
          <cell r="A93">
            <v>1992</v>
          </cell>
          <cell r="B93">
            <v>1</v>
          </cell>
          <cell r="C93" t="str">
            <v>F.V.</v>
          </cell>
        </row>
        <row r="94">
          <cell r="A94" t="str">
            <v>1992 P</v>
          </cell>
          <cell r="B94"/>
          <cell r="C94"/>
        </row>
        <row r="95">
          <cell r="A95" t="str">
            <v>1992 D</v>
          </cell>
          <cell r="B95">
            <v>1</v>
          </cell>
          <cell r="C95" t="str">
            <v>F.V.</v>
          </cell>
        </row>
        <row r="96">
          <cell r="A96">
            <v>1993</v>
          </cell>
          <cell r="B96">
            <v>1</v>
          </cell>
          <cell r="C96" t="str">
            <v>F.V.</v>
          </cell>
        </row>
        <row r="97">
          <cell r="A97" t="str">
            <v>1993 D</v>
          </cell>
          <cell r="B97">
            <v>1</v>
          </cell>
          <cell r="C97" t="str">
            <v>F.V.</v>
          </cell>
        </row>
        <row r="98">
          <cell r="A98">
            <v>1994</v>
          </cell>
          <cell r="B98">
            <v>1</v>
          </cell>
          <cell r="C98" t="str">
            <v>F.V.</v>
          </cell>
        </row>
        <row r="99">
          <cell r="A99" t="str">
            <v>1994 D</v>
          </cell>
          <cell r="B99">
            <v>1</v>
          </cell>
          <cell r="C99" t="str">
            <v>F.V.</v>
          </cell>
        </row>
        <row r="100">
          <cell r="A100">
            <v>1995</v>
          </cell>
          <cell r="B100">
            <v>1</v>
          </cell>
          <cell r="C100" t="str">
            <v>F.V.</v>
          </cell>
        </row>
        <row r="101">
          <cell r="A101" t="str">
            <v>1995 D</v>
          </cell>
          <cell r="B101">
            <v>1</v>
          </cell>
          <cell r="C101" t="str">
            <v>F.V.</v>
          </cell>
        </row>
        <row r="102">
          <cell r="A102">
            <v>1996</v>
          </cell>
          <cell r="B102">
            <v>1</v>
          </cell>
          <cell r="C102" t="str">
            <v>F.V.</v>
          </cell>
        </row>
        <row r="103">
          <cell r="A103" t="str">
            <v>1996 D</v>
          </cell>
          <cell r="B103">
            <v>1</v>
          </cell>
          <cell r="C103" t="str">
            <v>F.V.</v>
          </cell>
        </row>
        <row r="104">
          <cell r="A104">
            <v>1997</v>
          </cell>
          <cell r="B104">
            <v>1</v>
          </cell>
          <cell r="C104" t="str">
            <v>F.V.</v>
          </cell>
        </row>
        <row r="105">
          <cell r="A105" t="str">
            <v>1997 D</v>
          </cell>
          <cell r="B105">
            <v>1</v>
          </cell>
          <cell r="C105" t="str">
            <v>F.V.</v>
          </cell>
        </row>
        <row r="106">
          <cell r="A106">
            <v>1998</v>
          </cell>
          <cell r="B106">
            <v>1</v>
          </cell>
          <cell r="C106" t="str">
            <v>F.V.</v>
          </cell>
        </row>
        <row r="107">
          <cell r="A107" t="str">
            <v>1998 D</v>
          </cell>
          <cell r="B107">
            <v>1</v>
          </cell>
          <cell r="C107" t="str">
            <v>F.V.</v>
          </cell>
        </row>
        <row r="108">
          <cell r="A108">
            <v>1999</v>
          </cell>
          <cell r="B108">
            <v>1</v>
          </cell>
          <cell r="C108" t="str">
            <v>F.V.</v>
          </cell>
        </row>
        <row r="109">
          <cell r="A109" t="str">
            <v>1999 D</v>
          </cell>
          <cell r="B109">
            <v>1</v>
          </cell>
          <cell r="C109" t="str">
            <v>F.V.</v>
          </cell>
        </row>
        <row r="110">
          <cell r="A110">
            <v>2000</v>
          </cell>
          <cell r="B110">
            <v>1</v>
          </cell>
          <cell r="C110" t="str">
            <v>F.V.</v>
          </cell>
        </row>
        <row r="111">
          <cell r="A111" t="str">
            <v>2000 D</v>
          </cell>
          <cell r="B111">
            <v>1</v>
          </cell>
          <cell r="C111" t="str">
            <v>F.V.</v>
          </cell>
        </row>
        <row r="112">
          <cell r="A112">
            <v>2001</v>
          </cell>
          <cell r="B112">
            <v>1</v>
          </cell>
          <cell r="C112" t="str">
            <v>F.V.</v>
          </cell>
        </row>
        <row r="113">
          <cell r="A113" t="str">
            <v>2001 D</v>
          </cell>
          <cell r="B113">
            <v>1</v>
          </cell>
          <cell r="C113" t="str">
            <v>F.V.</v>
          </cell>
        </row>
        <row r="114">
          <cell r="A114">
            <v>2002</v>
          </cell>
          <cell r="B114">
            <v>1</v>
          </cell>
          <cell r="C114" t="str">
            <v>F.V.</v>
          </cell>
        </row>
        <row r="115">
          <cell r="A115" t="str">
            <v>2002 D</v>
          </cell>
          <cell r="B115">
            <v>1</v>
          </cell>
          <cell r="C115" t="str">
            <v>F.V.</v>
          </cell>
        </row>
        <row r="116">
          <cell r="A116">
            <v>2003</v>
          </cell>
          <cell r="B116">
            <v>1</v>
          </cell>
          <cell r="C116" t="str">
            <v>F.V.</v>
          </cell>
        </row>
        <row r="117">
          <cell r="A117" t="str">
            <v>2003 D</v>
          </cell>
          <cell r="B117">
            <v>1</v>
          </cell>
          <cell r="C117" t="str">
            <v>F.V.</v>
          </cell>
        </row>
        <row r="118">
          <cell r="A118">
            <v>2004</v>
          </cell>
          <cell r="B118">
            <v>1</v>
          </cell>
          <cell r="C118" t="str">
            <v>F.V.</v>
          </cell>
        </row>
        <row r="119">
          <cell r="A119" t="str">
            <v>2004 D</v>
          </cell>
          <cell r="B119">
            <v>1</v>
          </cell>
          <cell r="C119" t="str">
            <v>F.V.</v>
          </cell>
        </row>
        <row r="120">
          <cell r="A120">
            <v>2005</v>
          </cell>
          <cell r="B120">
            <v>1</v>
          </cell>
          <cell r="C120" t="str">
            <v>F.V.</v>
          </cell>
        </row>
        <row r="121">
          <cell r="A121" t="str">
            <v>2005 D</v>
          </cell>
          <cell r="B121">
            <v>1</v>
          </cell>
          <cell r="C121" t="str">
            <v>F.V.</v>
          </cell>
        </row>
        <row r="122">
          <cell r="A122">
            <v>2006</v>
          </cell>
          <cell r="B122">
            <v>1</v>
          </cell>
          <cell r="C122" t="str">
            <v>F.V.</v>
          </cell>
        </row>
        <row r="123">
          <cell r="A123" t="str">
            <v>2006 D</v>
          </cell>
          <cell r="B123">
            <v>1</v>
          </cell>
          <cell r="C123" t="str">
            <v>F.V.</v>
          </cell>
        </row>
        <row r="124">
          <cell r="A124">
            <v>2007</v>
          </cell>
          <cell r="B124">
            <v>1</v>
          </cell>
          <cell r="C124" t="str">
            <v>F.V.</v>
          </cell>
        </row>
        <row r="125">
          <cell r="A125" t="str">
            <v>2007 D</v>
          </cell>
          <cell r="B125">
            <v>1</v>
          </cell>
          <cell r="C125" t="str">
            <v>F.V.</v>
          </cell>
        </row>
        <row r="126">
          <cell r="A126">
            <v>2008</v>
          </cell>
          <cell r="B126">
            <v>1</v>
          </cell>
          <cell r="C126" t="str">
            <v>F.V.</v>
          </cell>
        </row>
        <row r="127">
          <cell r="A127" t="str">
            <v>2008 D</v>
          </cell>
          <cell r="B127">
            <v>1</v>
          </cell>
          <cell r="C127" t="str">
            <v>F.V.</v>
          </cell>
        </row>
        <row r="128">
          <cell r="A128">
            <v>2009</v>
          </cell>
          <cell r="B128">
            <v>1</v>
          </cell>
          <cell r="C128" t="str">
            <v>F.V.</v>
          </cell>
        </row>
        <row r="129">
          <cell r="A129">
            <v>2010</v>
          </cell>
          <cell r="B129">
            <v>1</v>
          </cell>
          <cell r="C129" t="str">
            <v>F.V.</v>
          </cell>
        </row>
        <row r="130">
          <cell r="A130" t="str">
            <v>2010 D</v>
          </cell>
          <cell r="B130">
            <v>1</v>
          </cell>
          <cell r="C130" t="str">
            <v>F.V.</v>
          </cell>
        </row>
        <row r="131">
          <cell r="A131" t="str">
            <v>2011 P</v>
          </cell>
          <cell r="B131">
            <v>1</v>
          </cell>
          <cell r="C131" t="str">
            <v>F.V.</v>
          </cell>
        </row>
        <row r="132">
          <cell r="A132" t="str">
            <v>2011 D</v>
          </cell>
          <cell r="B132">
            <v>1</v>
          </cell>
          <cell r="C132" t="str">
            <v>F.V.</v>
          </cell>
        </row>
        <row r="133">
          <cell r="A133" t="str">
            <v>2012 P</v>
          </cell>
          <cell r="B133">
            <v>1</v>
          </cell>
          <cell r="C133" t="str">
            <v>F.V.</v>
          </cell>
        </row>
        <row r="134">
          <cell r="A134" t="str">
            <v>2012 D</v>
          </cell>
          <cell r="B134">
            <v>1</v>
          </cell>
          <cell r="C134" t="str">
            <v>F.V.</v>
          </cell>
        </row>
        <row r="135">
          <cell r="A135" t="str">
            <v>2013 P</v>
          </cell>
          <cell r="B135">
            <v>1</v>
          </cell>
          <cell r="C135" t="str">
            <v>F.V.</v>
          </cell>
        </row>
        <row r="136">
          <cell r="A136" t="str">
            <v>2013 D</v>
          </cell>
          <cell r="B136">
            <v>1</v>
          </cell>
          <cell r="C136" t="str">
            <v>F.V.</v>
          </cell>
        </row>
        <row r="137">
          <cell r="A137" t="str">
            <v>2014 P</v>
          </cell>
          <cell r="B137">
            <v>1</v>
          </cell>
          <cell r="C137" t="str">
            <v>F.V.</v>
          </cell>
        </row>
        <row r="138">
          <cell r="A138" t="str">
            <v>2014 D</v>
          </cell>
          <cell r="B138">
            <v>1</v>
          </cell>
          <cell r="C138" t="str">
            <v>F.V.</v>
          </cell>
        </row>
        <row r="139">
          <cell r="A139" t="str">
            <v>2015 P</v>
          </cell>
          <cell r="B139">
            <v>1</v>
          </cell>
          <cell r="C139" t="str">
            <v>F.V.</v>
          </cell>
        </row>
        <row r="140">
          <cell r="A140" t="str">
            <v>2015 D</v>
          </cell>
          <cell r="B140">
            <v>1</v>
          </cell>
          <cell r="C140" t="str">
            <v>F.V.</v>
          </cell>
        </row>
      </sheetData>
      <sheetData sheetId="6"/>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ILVER DOLLARS"/>
      <sheetName val="DollarSearch"/>
      <sheetName val="Sheet2"/>
      <sheetName val="Dollar_Bills"/>
      <sheetName val="Dollar_Year_Sets"/>
      <sheetName val="Dollar_Want_List"/>
      <sheetName val="Work"/>
    </sheetNames>
    <sheetDataSet>
      <sheetData sheetId="0"/>
      <sheetData sheetId="1"/>
      <sheetData sheetId="2">
        <row r="1">
          <cell r="A1" t="str">
            <v>Year</v>
          </cell>
          <cell r="B1" t="str">
            <v>Mintage</v>
          </cell>
          <cell r="C1" t="str">
            <v>Good</v>
          </cell>
          <cell r="D1" t="str">
            <v>Fine</v>
          </cell>
          <cell r="E1" t="str">
            <v>Extra Fine</v>
          </cell>
          <cell r="F1" t="str">
            <v>Uncirculated</v>
          </cell>
        </row>
        <row r="2">
          <cell r="A2">
            <v>1878</v>
          </cell>
          <cell r="B2">
            <v>10508800</v>
          </cell>
          <cell r="C2" t="str">
            <v>$23.00   $25.00</v>
          </cell>
          <cell r="D2" t="str">
            <v>$28.00   $30.00</v>
          </cell>
          <cell r="E2" t="str">
            <v>$34.00   $36.00</v>
          </cell>
          <cell r="F2" t="str">
            <v>$50.00 and up</v>
          </cell>
        </row>
        <row r="3">
          <cell r="A3" t="str">
            <v>1878 CC</v>
          </cell>
          <cell r="B3">
            <v>2212000</v>
          </cell>
          <cell r="C3" t="str">
            <v>$65.00   $70.00</v>
          </cell>
          <cell r="D3" t="str">
            <v>$80.00   $85.00</v>
          </cell>
          <cell r="E3" t="str">
            <v>$90.00   $95.00</v>
          </cell>
          <cell r="F3" t="str">
            <v>$180.00 and up</v>
          </cell>
        </row>
        <row r="4">
          <cell r="A4" t="str">
            <v>1878 S</v>
          </cell>
          <cell r="B4">
            <v>9774000</v>
          </cell>
          <cell r="C4" t="str">
            <v>$21.00   $22.00</v>
          </cell>
          <cell r="D4" t="str">
            <v>$22.00   $23.00</v>
          </cell>
          <cell r="E4" t="str">
            <v>$24.00   $25.00</v>
          </cell>
          <cell r="F4" t="str">
            <v>$45.00 and up</v>
          </cell>
        </row>
        <row r="5">
          <cell r="A5">
            <v>1879</v>
          </cell>
          <cell r="B5">
            <v>14806000</v>
          </cell>
          <cell r="C5" t="str">
            <v>$21.00   $22.00</v>
          </cell>
          <cell r="D5" t="str">
            <v>$22.00   $23.00</v>
          </cell>
          <cell r="E5" t="str">
            <v>$24.00   $25.00</v>
          </cell>
          <cell r="F5" t="str">
            <v>$35.00 and up</v>
          </cell>
        </row>
        <row r="6">
          <cell r="A6" t="str">
            <v>1879 CC</v>
          </cell>
          <cell r="B6">
            <v>756000</v>
          </cell>
          <cell r="C6" t="str">
            <v>$100.00   $115.00</v>
          </cell>
          <cell r="D6" t="str">
            <v>$125.00   $130.00</v>
          </cell>
          <cell r="E6" t="str">
            <v>$450.00   $500.00</v>
          </cell>
          <cell r="F6" t="str">
            <v>$3500.00 and up</v>
          </cell>
        </row>
        <row r="7">
          <cell r="A7" t="str">
            <v>1879 O</v>
          </cell>
          <cell r="B7">
            <v>2887000</v>
          </cell>
          <cell r="C7" t="str">
            <v>$21.00   $22.00</v>
          </cell>
          <cell r="D7" t="str">
            <v>$22.00   $23.00</v>
          </cell>
          <cell r="E7" t="str">
            <v>$24.00   $25.00</v>
          </cell>
          <cell r="F7" t="str">
            <v>$80.00 and up</v>
          </cell>
        </row>
        <row r="8">
          <cell r="A8" t="str">
            <v>1879 S</v>
          </cell>
          <cell r="B8">
            <v>9110000</v>
          </cell>
          <cell r="C8" t="str">
            <v>$21.00   $22.00</v>
          </cell>
          <cell r="D8" t="str">
            <v>$22.00   $23.00</v>
          </cell>
          <cell r="E8" t="str">
            <v>$24.00   $25.00</v>
          </cell>
          <cell r="F8" t="str">
            <v>$35.00 and up</v>
          </cell>
        </row>
        <row r="9">
          <cell r="A9">
            <v>1880</v>
          </cell>
          <cell r="B9">
            <v>12600000</v>
          </cell>
          <cell r="C9" t="str">
            <v>$21.00   $22.00</v>
          </cell>
          <cell r="D9" t="str">
            <v>$22.00   $23.00</v>
          </cell>
          <cell r="E9" t="str">
            <v>$24.00   $25.00</v>
          </cell>
          <cell r="F9" t="str">
            <v>$35.00 and up</v>
          </cell>
        </row>
        <row r="10">
          <cell r="A10" t="str">
            <v>1880 CC</v>
          </cell>
          <cell r="B10">
            <v>591000</v>
          </cell>
          <cell r="C10" t="str">
            <v>$100.00   $115.00</v>
          </cell>
          <cell r="D10" t="str">
            <v>$125.00   $140.00</v>
          </cell>
          <cell r="E10" t="str">
            <v>$180.00   $200.00</v>
          </cell>
          <cell r="F10" t="str">
            <v>$340.00 and up</v>
          </cell>
        </row>
        <row r="11">
          <cell r="A11" t="str">
            <v>1880 O</v>
          </cell>
          <cell r="B11">
            <v>5305000</v>
          </cell>
          <cell r="C11" t="str">
            <v>$21.00   $22.00</v>
          </cell>
          <cell r="D11" t="str">
            <v>$22.00   $23.00</v>
          </cell>
          <cell r="E11" t="str">
            <v>$24.00   $25.00</v>
          </cell>
          <cell r="F11" t="str">
            <v>$90.00 and up</v>
          </cell>
        </row>
        <row r="12">
          <cell r="A12" t="str">
            <v>1880 S</v>
          </cell>
          <cell r="B12">
            <v>8900000</v>
          </cell>
          <cell r="C12" t="str">
            <v>$21.00   $22.00</v>
          </cell>
          <cell r="D12" t="str">
            <v>$22.00   $23.00</v>
          </cell>
          <cell r="E12" t="str">
            <v>$24.00   $25.00</v>
          </cell>
          <cell r="F12" t="str">
            <v>$35.00 and up</v>
          </cell>
        </row>
        <row r="13">
          <cell r="A13">
            <v>1881</v>
          </cell>
          <cell r="B13">
            <v>9163000</v>
          </cell>
          <cell r="C13" t="str">
            <v>$21.00   $22.00</v>
          </cell>
          <cell r="D13" t="str">
            <v>$22.00   $23.00</v>
          </cell>
          <cell r="E13" t="str">
            <v>$24.00   $25.00</v>
          </cell>
          <cell r="F13" t="str">
            <v>$35.00 and up</v>
          </cell>
        </row>
        <row r="14">
          <cell r="A14" t="str">
            <v>1881 CC</v>
          </cell>
          <cell r="B14">
            <v>296000</v>
          </cell>
          <cell r="C14" t="str">
            <v>$260.00   $270.00</v>
          </cell>
          <cell r="D14" t="str">
            <v>$275.00   $300.00</v>
          </cell>
          <cell r="E14" t="str">
            <v>$300.00   $325.00</v>
          </cell>
          <cell r="F14" t="str">
            <v>$360.00 and up</v>
          </cell>
        </row>
        <row r="15">
          <cell r="A15" t="str">
            <v>1881 O</v>
          </cell>
          <cell r="B15">
            <v>5708000</v>
          </cell>
          <cell r="C15" t="str">
            <v>$21.00   $22.00</v>
          </cell>
          <cell r="D15" t="str">
            <v>$22.00   $23.00</v>
          </cell>
          <cell r="E15" t="str">
            <v>$24.00   $25.00</v>
          </cell>
          <cell r="F15" t="str">
            <v>$35.00 and up</v>
          </cell>
        </row>
        <row r="16">
          <cell r="A16" t="str">
            <v>1881 S</v>
          </cell>
          <cell r="B16">
            <v>12760000</v>
          </cell>
          <cell r="C16" t="str">
            <v>$21.00   $22.00</v>
          </cell>
          <cell r="D16" t="str">
            <v>$22.00   $23.00</v>
          </cell>
          <cell r="E16" t="str">
            <v>$24.00   $25.00</v>
          </cell>
          <cell r="F16" t="str">
            <v>$35.00 and up</v>
          </cell>
        </row>
        <row r="17">
          <cell r="A17">
            <v>1882</v>
          </cell>
          <cell r="B17">
            <v>11100000</v>
          </cell>
          <cell r="C17" t="str">
            <v>$21.00   $22.00</v>
          </cell>
          <cell r="D17" t="str">
            <v>$22.00   $23.00</v>
          </cell>
          <cell r="E17" t="str">
            <v>$24.00   $25.00</v>
          </cell>
          <cell r="F17" t="str">
            <v>$35.00 and up</v>
          </cell>
        </row>
        <row r="18">
          <cell r="A18" t="str">
            <v>1882 CC</v>
          </cell>
          <cell r="B18">
            <v>1133000</v>
          </cell>
          <cell r="C18" t="str">
            <v>$65.00   $70.00</v>
          </cell>
          <cell r="D18" t="str">
            <v>$75.00   $80.00</v>
          </cell>
          <cell r="E18" t="str">
            <v>$100.00   $110.00</v>
          </cell>
          <cell r="F18" t="str">
            <v>$145.00 and up</v>
          </cell>
        </row>
        <row r="19">
          <cell r="A19" t="str">
            <v>1882 O</v>
          </cell>
          <cell r="B19">
            <v>6090000</v>
          </cell>
          <cell r="C19" t="str">
            <v>$21.00   $22.00</v>
          </cell>
          <cell r="D19" t="str">
            <v>$22.00   $23.00</v>
          </cell>
          <cell r="E19" t="str">
            <v>$24.00   $25.00</v>
          </cell>
          <cell r="F19" t="str">
            <v>$35.00 and up</v>
          </cell>
        </row>
        <row r="20">
          <cell r="A20" t="str">
            <v>1882 S</v>
          </cell>
          <cell r="B20">
            <v>9250000</v>
          </cell>
          <cell r="C20" t="str">
            <v>$21.00   $22.00</v>
          </cell>
          <cell r="D20" t="str">
            <v>$22.00   $23.00</v>
          </cell>
          <cell r="E20" t="str">
            <v>$24.00   $25.00</v>
          </cell>
          <cell r="F20" t="str">
            <v>$35.00 and up</v>
          </cell>
        </row>
        <row r="21">
          <cell r="A21">
            <v>1883</v>
          </cell>
          <cell r="B21">
            <v>12290000</v>
          </cell>
          <cell r="C21" t="str">
            <v>$21.00   $22.00</v>
          </cell>
          <cell r="D21" t="str">
            <v>$22.00   $23.00</v>
          </cell>
          <cell r="E21" t="str">
            <v>$24.00   $25.00</v>
          </cell>
          <cell r="F21" t="str">
            <v>$35.00 and up</v>
          </cell>
        </row>
        <row r="22">
          <cell r="A22" t="str">
            <v>1883 CC</v>
          </cell>
          <cell r="B22">
            <v>1204000</v>
          </cell>
          <cell r="C22" t="str">
            <v>$65.00   $70.00</v>
          </cell>
          <cell r="D22" t="str">
            <v>$75.00   $80.00</v>
          </cell>
          <cell r="E22" t="str">
            <v>$100.00   $110.00</v>
          </cell>
          <cell r="F22" t="str">
            <v>$145.00 and up</v>
          </cell>
        </row>
        <row r="23">
          <cell r="A23" t="str">
            <v>1883 O</v>
          </cell>
          <cell r="B23">
            <v>8725000</v>
          </cell>
          <cell r="C23" t="str">
            <v>$21.00   $22.00</v>
          </cell>
          <cell r="D23" t="str">
            <v>$22.00   $23.00</v>
          </cell>
          <cell r="E23" t="str">
            <v>$24.00   $25.00</v>
          </cell>
          <cell r="F23" t="str">
            <v>$35.00 and up</v>
          </cell>
        </row>
        <row r="24">
          <cell r="A24" t="str">
            <v>1883 S</v>
          </cell>
          <cell r="B24">
            <v>6250000</v>
          </cell>
          <cell r="C24" t="str">
            <v>$23.00   $25.00</v>
          </cell>
          <cell r="D24" t="str">
            <v>$26.00   $28.00</v>
          </cell>
          <cell r="E24" t="str">
            <v>$34.00   $36.00</v>
          </cell>
          <cell r="F24" t="str">
            <v>$875.00 and up</v>
          </cell>
        </row>
        <row r="25">
          <cell r="A25">
            <v>1884</v>
          </cell>
          <cell r="B25">
            <v>14070000</v>
          </cell>
          <cell r="C25" t="str">
            <v>$21.00   $22.00</v>
          </cell>
          <cell r="D25" t="str">
            <v>$22.00   $23.00</v>
          </cell>
          <cell r="E25" t="str">
            <v>$24.00   $25.00</v>
          </cell>
          <cell r="F25" t="str">
            <v>$35.00 and up</v>
          </cell>
        </row>
        <row r="26">
          <cell r="A26" t="str">
            <v>1884 CC</v>
          </cell>
          <cell r="B26">
            <v>1136000</v>
          </cell>
          <cell r="C26" t="str">
            <v>$75.00   $80.00</v>
          </cell>
          <cell r="D26" t="str">
            <v>$100.00   $110.00</v>
          </cell>
          <cell r="E26" t="str">
            <v>$120.00   $130.00</v>
          </cell>
          <cell r="F26" t="str">
            <v>$145.00 and up</v>
          </cell>
        </row>
        <row r="27">
          <cell r="A27" t="str">
            <v>1884 O</v>
          </cell>
          <cell r="B27">
            <v>9730000</v>
          </cell>
          <cell r="C27" t="str">
            <v>$21.00   $22.00</v>
          </cell>
          <cell r="D27" t="str">
            <v>$22.00   $23.00</v>
          </cell>
          <cell r="E27" t="str">
            <v>$24.00   $25.00</v>
          </cell>
          <cell r="F27" t="str">
            <v>$35.00 and up</v>
          </cell>
        </row>
        <row r="28">
          <cell r="A28" t="str">
            <v>1884 S</v>
          </cell>
          <cell r="B28">
            <v>3200000</v>
          </cell>
          <cell r="C28" t="str">
            <v>$23.00   $25.00</v>
          </cell>
          <cell r="D28" t="str">
            <v>$26.00   $28.00</v>
          </cell>
          <cell r="E28" t="str">
            <v>$48.00   $50.00</v>
          </cell>
          <cell r="F28" t="str">
            <v>$16000.00 and up</v>
          </cell>
        </row>
        <row r="29">
          <cell r="A29">
            <v>1885</v>
          </cell>
          <cell r="B29">
            <v>17787000</v>
          </cell>
          <cell r="C29" t="str">
            <v>$21.00   $22.00</v>
          </cell>
          <cell r="D29" t="str">
            <v>$22.00   $23.00</v>
          </cell>
          <cell r="E29" t="str">
            <v>$24.00   $25.00</v>
          </cell>
          <cell r="F29" t="str">
            <v>$35.00 and up</v>
          </cell>
        </row>
        <row r="30">
          <cell r="A30" t="str">
            <v>1885 CC</v>
          </cell>
          <cell r="B30">
            <v>238000</v>
          </cell>
          <cell r="C30" t="str">
            <v>$350.00   $375.00</v>
          </cell>
          <cell r="D30" t="str">
            <v>$400.00   $425.00</v>
          </cell>
          <cell r="E30" t="str">
            <v>$450.00   $475.00</v>
          </cell>
          <cell r="F30" t="str">
            <v>$500.00 and up</v>
          </cell>
        </row>
        <row r="31">
          <cell r="A31" t="str">
            <v>1885 O</v>
          </cell>
          <cell r="B31">
            <v>9185000</v>
          </cell>
          <cell r="C31" t="str">
            <v>$21.00   $22.00</v>
          </cell>
          <cell r="D31" t="str">
            <v>$22.00   $23.00</v>
          </cell>
          <cell r="E31" t="str">
            <v>$24.00   $25.00</v>
          </cell>
          <cell r="F31" t="str">
            <v>$35.00 and up</v>
          </cell>
        </row>
        <row r="32">
          <cell r="A32" t="str">
            <v>1885 S</v>
          </cell>
          <cell r="B32">
            <v>1497000</v>
          </cell>
          <cell r="C32" t="str">
            <v>$23.00   $25.00</v>
          </cell>
          <cell r="D32" t="str">
            <v>$26.00   $28.00</v>
          </cell>
          <cell r="E32" t="str">
            <v>$52.00   $57.00</v>
          </cell>
          <cell r="F32" t="str">
            <v>$175.00 and up</v>
          </cell>
        </row>
        <row r="33">
          <cell r="A33">
            <v>1886</v>
          </cell>
          <cell r="B33">
            <v>19963000</v>
          </cell>
          <cell r="C33" t="str">
            <v>$21.00   $22.00</v>
          </cell>
          <cell r="D33" t="str">
            <v>$22.00   $23.00</v>
          </cell>
          <cell r="E33" t="str">
            <v>$24.00   $25.00</v>
          </cell>
          <cell r="F33" t="str">
            <v>$35.00 and up</v>
          </cell>
        </row>
        <row r="34">
          <cell r="A34" t="str">
            <v>1886 O</v>
          </cell>
          <cell r="B34">
            <v>10710000</v>
          </cell>
          <cell r="C34" t="str">
            <v>$23.00   $25.00</v>
          </cell>
          <cell r="D34" t="str">
            <v>$28.00   $30.00</v>
          </cell>
          <cell r="E34" t="str">
            <v>$34.00   $36.00</v>
          </cell>
          <cell r="F34" t="str">
            <v>$800.00 and up</v>
          </cell>
        </row>
        <row r="35">
          <cell r="A35" t="str">
            <v>1886 S</v>
          </cell>
          <cell r="B35">
            <v>750000</v>
          </cell>
          <cell r="C35" t="str">
            <v>$28.00   $32.00</v>
          </cell>
          <cell r="D35" t="str">
            <v>$40.00   $45.00</v>
          </cell>
          <cell r="E35" t="str">
            <v>$75.00   $80.00</v>
          </cell>
          <cell r="F35" t="str">
            <v>$250.00 and up</v>
          </cell>
        </row>
        <row r="36">
          <cell r="A36">
            <v>1887</v>
          </cell>
          <cell r="B36">
            <v>20290000</v>
          </cell>
          <cell r="C36" t="str">
            <v>$21.00   $22.00</v>
          </cell>
          <cell r="D36" t="str">
            <v>$22.00   $23.00</v>
          </cell>
          <cell r="E36" t="str">
            <v>$24.00   $25.00</v>
          </cell>
          <cell r="F36" t="str">
            <v>$35.00 and up</v>
          </cell>
        </row>
        <row r="37">
          <cell r="A37" t="str">
            <v>1887 O</v>
          </cell>
          <cell r="B37">
            <v>11550000</v>
          </cell>
          <cell r="C37" t="str">
            <v>$21.00   $22.00</v>
          </cell>
          <cell r="D37" t="str">
            <v>$22.00   $23.00</v>
          </cell>
          <cell r="E37" t="str">
            <v>$24.00   $25.00</v>
          </cell>
          <cell r="F37" t="str">
            <v>$50.00 and up</v>
          </cell>
        </row>
        <row r="38">
          <cell r="A38" t="str">
            <v>1887 S</v>
          </cell>
          <cell r="B38">
            <v>1771000</v>
          </cell>
          <cell r="C38" t="str">
            <v>$23.00   $25.00</v>
          </cell>
          <cell r="D38" t="str">
            <v>$26.00   $28.00</v>
          </cell>
          <cell r="E38" t="str">
            <v>$34.00   $36.00</v>
          </cell>
          <cell r="F38" t="str">
            <v>$115.00 and up</v>
          </cell>
        </row>
        <row r="39">
          <cell r="A39">
            <v>1888</v>
          </cell>
          <cell r="B39">
            <v>19183000</v>
          </cell>
          <cell r="C39" t="str">
            <v>$21.00   $22.00</v>
          </cell>
          <cell r="D39" t="str">
            <v>$22.00   $23.00</v>
          </cell>
          <cell r="E39" t="str">
            <v>$24.00   $25.00</v>
          </cell>
          <cell r="F39" t="str">
            <v>$35.00 and up</v>
          </cell>
        </row>
        <row r="40">
          <cell r="A40" t="str">
            <v>1888 O</v>
          </cell>
          <cell r="B40">
            <v>12150000</v>
          </cell>
          <cell r="C40" t="str">
            <v>$21.00   $22.00</v>
          </cell>
          <cell r="D40" t="str">
            <v>$22.00   $23.00</v>
          </cell>
          <cell r="E40" t="str">
            <v>$24.00   $25.00</v>
          </cell>
          <cell r="F40" t="str">
            <v>$35.00 and up</v>
          </cell>
        </row>
        <row r="41">
          <cell r="A41" t="str">
            <v>1888 S</v>
          </cell>
          <cell r="B41">
            <v>657000</v>
          </cell>
          <cell r="C41" t="str">
            <v>$90.00   $100.00</v>
          </cell>
          <cell r="D41" t="str">
            <v>$120.00   $130.00</v>
          </cell>
          <cell r="E41" t="str">
            <v>$145.00   $160.00</v>
          </cell>
          <cell r="F41" t="str">
            <v>$245.00 and up</v>
          </cell>
        </row>
        <row r="42">
          <cell r="A42">
            <v>1889</v>
          </cell>
          <cell r="B42">
            <v>21726000</v>
          </cell>
          <cell r="C42" t="str">
            <v>$21.00   $22.00</v>
          </cell>
          <cell r="D42" t="str">
            <v>$22.00   $23.00</v>
          </cell>
          <cell r="E42" t="str">
            <v>$24.00   $25.00</v>
          </cell>
          <cell r="F42" t="str">
            <v>$35.00 and up</v>
          </cell>
        </row>
        <row r="43">
          <cell r="A43" t="str">
            <v>1889 CC</v>
          </cell>
          <cell r="B43">
            <v>350000</v>
          </cell>
          <cell r="C43" t="str">
            <v>$350.00   $375.00</v>
          </cell>
          <cell r="D43" t="str">
            <v>$600.00   $625.00</v>
          </cell>
          <cell r="E43" t="str">
            <v>$2000.00   $2200.00</v>
          </cell>
          <cell r="F43" t="str">
            <v>$20000.00 and up</v>
          </cell>
        </row>
        <row r="44">
          <cell r="A44" t="str">
            <v>1889 O</v>
          </cell>
          <cell r="B44">
            <v>11875000</v>
          </cell>
          <cell r="C44" t="str">
            <v>$21.00   $22.00</v>
          </cell>
          <cell r="D44" t="str">
            <v>$22.00   $23.00</v>
          </cell>
          <cell r="E44" t="str">
            <v>$24.00   $25.00</v>
          </cell>
          <cell r="F44" t="str">
            <v>$140.00 and up</v>
          </cell>
        </row>
        <row r="45">
          <cell r="A45" t="str">
            <v>1889 S</v>
          </cell>
          <cell r="B45">
            <v>700000</v>
          </cell>
          <cell r="C45" t="str">
            <v>$25.00   $27.00</v>
          </cell>
          <cell r="D45" t="str">
            <v>$42.00   $45.00</v>
          </cell>
          <cell r="E45" t="str">
            <v>$60.00   $65.00</v>
          </cell>
          <cell r="F45" t="str">
            <v>$170.00 and up</v>
          </cell>
        </row>
        <row r="46">
          <cell r="A46">
            <v>1890</v>
          </cell>
          <cell r="B46">
            <v>16802000</v>
          </cell>
          <cell r="C46" t="str">
            <v>$21.00   $22.00</v>
          </cell>
          <cell r="D46" t="str">
            <v>$22.00   $23.00</v>
          </cell>
          <cell r="E46" t="str">
            <v>$24.00   $25.00</v>
          </cell>
          <cell r="F46" t="str">
            <v>$35.00 and up</v>
          </cell>
        </row>
        <row r="47">
          <cell r="A47" t="str">
            <v>1890 CC</v>
          </cell>
          <cell r="B47">
            <v>2309041</v>
          </cell>
          <cell r="C47" t="str">
            <v>$60.00   $65.00</v>
          </cell>
          <cell r="D47" t="str">
            <v>$70.00   $75.00</v>
          </cell>
          <cell r="E47" t="str">
            <v>$100.00   $110.00</v>
          </cell>
          <cell r="F47" t="str">
            <v>$375.00 and up</v>
          </cell>
        </row>
        <row r="48">
          <cell r="A48" t="str">
            <v>1890 O</v>
          </cell>
          <cell r="B48">
            <v>10701000</v>
          </cell>
          <cell r="C48" t="str">
            <v>$21.00   $22.00</v>
          </cell>
          <cell r="D48" t="str">
            <v>$22.00   $23.00</v>
          </cell>
          <cell r="E48" t="str">
            <v>$24.00   $25.00</v>
          </cell>
          <cell r="F48" t="str">
            <v>$45.00 and up</v>
          </cell>
        </row>
        <row r="49">
          <cell r="A49" t="str">
            <v>1890 S</v>
          </cell>
          <cell r="B49">
            <v>8230373</v>
          </cell>
          <cell r="C49" t="str">
            <v>$21.00   $22.00</v>
          </cell>
          <cell r="D49" t="str">
            <v>$22.00   $23.00</v>
          </cell>
          <cell r="E49" t="str">
            <v>$24.00   $25.00</v>
          </cell>
          <cell r="F49" t="str">
            <v>$45.00 and up</v>
          </cell>
        </row>
        <row r="50">
          <cell r="A50">
            <v>1891</v>
          </cell>
          <cell r="B50">
            <v>8693556</v>
          </cell>
          <cell r="C50" t="str">
            <v>$21.00   $22.00</v>
          </cell>
          <cell r="D50" t="str">
            <v>$22.00   $23.00</v>
          </cell>
          <cell r="E50" t="str">
            <v>$24.00   $25.00</v>
          </cell>
          <cell r="F50" t="str">
            <v>$50.00 and up</v>
          </cell>
        </row>
        <row r="51">
          <cell r="A51" t="str">
            <v>1891 CC</v>
          </cell>
          <cell r="B51">
            <v>1618000</v>
          </cell>
          <cell r="C51" t="str">
            <v>$60.00   $65.00</v>
          </cell>
          <cell r="D51" t="str">
            <v>$70.00   $75.00</v>
          </cell>
          <cell r="E51" t="str">
            <v>$100.00   $110.00</v>
          </cell>
          <cell r="F51" t="str">
            <v>$325.00 and up</v>
          </cell>
        </row>
        <row r="52">
          <cell r="A52" t="str">
            <v>1891 O</v>
          </cell>
          <cell r="B52">
            <v>7954529</v>
          </cell>
          <cell r="C52" t="str">
            <v>$21.00   $22.00</v>
          </cell>
          <cell r="D52" t="str">
            <v>$22.00   $23.00</v>
          </cell>
          <cell r="E52" t="str">
            <v>$24.00   $25.00</v>
          </cell>
          <cell r="F52" t="str">
            <v>$125.00 and up</v>
          </cell>
        </row>
        <row r="53">
          <cell r="A53" t="str">
            <v>1891 S</v>
          </cell>
          <cell r="B53">
            <v>5296000</v>
          </cell>
          <cell r="C53" t="str">
            <v>$21.00   $22.00</v>
          </cell>
          <cell r="D53" t="str">
            <v>$22.00   $23.00</v>
          </cell>
          <cell r="E53" t="str">
            <v>$24.00   $25.00</v>
          </cell>
          <cell r="F53" t="str">
            <v>$55.00 and up</v>
          </cell>
        </row>
        <row r="54">
          <cell r="A54">
            <v>1892</v>
          </cell>
          <cell r="B54">
            <v>1036000</v>
          </cell>
          <cell r="C54" t="str">
            <v>$23.00   $25.00</v>
          </cell>
          <cell r="D54" t="str">
            <v>$26.00   $28.00</v>
          </cell>
          <cell r="E54" t="str">
            <v>$34.00   $36.00</v>
          </cell>
          <cell r="F54" t="str">
            <v>$160.00 and up</v>
          </cell>
        </row>
        <row r="55">
          <cell r="A55" t="str">
            <v>1892 CC</v>
          </cell>
          <cell r="B55">
            <v>1352000</v>
          </cell>
          <cell r="C55" t="str">
            <v>$115.00   $125.00</v>
          </cell>
          <cell r="D55" t="str">
            <v>$165.00   $180.00</v>
          </cell>
          <cell r="E55" t="str">
            <v>$350.00   $375.00</v>
          </cell>
          <cell r="F55" t="str">
            <v>$1100.00 and up</v>
          </cell>
        </row>
        <row r="56">
          <cell r="A56" t="str">
            <v>1892 O</v>
          </cell>
          <cell r="B56">
            <v>2744000</v>
          </cell>
          <cell r="C56" t="str">
            <v>$23.00   $25.00</v>
          </cell>
          <cell r="D56" t="str">
            <v>$26.00   $28.00</v>
          </cell>
          <cell r="E56" t="str">
            <v>$34.00   $36.00</v>
          </cell>
          <cell r="F56" t="str">
            <v>$150.00 and up</v>
          </cell>
        </row>
        <row r="57">
          <cell r="A57" t="str">
            <v>1892 S</v>
          </cell>
          <cell r="B57">
            <v>1200000</v>
          </cell>
          <cell r="C57" t="str">
            <v>$23.00   $25.00</v>
          </cell>
          <cell r="D57" t="str">
            <v>$30.00   $35.00</v>
          </cell>
          <cell r="E57" t="str">
            <v>$260.00   $275.00</v>
          </cell>
          <cell r="F57" t="str">
            <v>$35000.00 and up</v>
          </cell>
        </row>
        <row r="58">
          <cell r="A58">
            <v>1893</v>
          </cell>
          <cell r="B58">
            <v>378000</v>
          </cell>
          <cell r="C58" t="str">
            <v>$125.00   $140.00</v>
          </cell>
          <cell r="D58" t="str">
            <v>$160.00   $175.00</v>
          </cell>
          <cell r="E58" t="str">
            <v>$200.00   $220.00</v>
          </cell>
          <cell r="F58" t="str">
            <v>$550.00 and up</v>
          </cell>
        </row>
        <row r="59">
          <cell r="A59" t="str">
            <v>1893 CC</v>
          </cell>
          <cell r="B59">
            <v>677000</v>
          </cell>
          <cell r="C59" t="str">
            <v>$130.00   $145.00</v>
          </cell>
          <cell r="D59" t="str">
            <v>$220.00   $240.00</v>
          </cell>
          <cell r="E59" t="str">
            <v>$1000.00   $1200.00</v>
          </cell>
          <cell r="F59" t="str">
            <v>$3500 and up</v>
          </cell>
        </row>
        <row r="60">
          <cell r="A60" t="str">
            <v>1893 O</v>
          </cell>
          <cell r="B60">
            <v>300000</v>
          </cell>
          <cell r="C60" t="str">
            <v>$90.00   $100.00</v>
          </cell>
          <cell r="D60" t="str">
            <v>$150.00   $165.00</v>
          </cell>
          <cell r="E60" t="str">
            <v>$350.00   $375.00</v>
          </cell>
          <cell r="F60" t="str">
            <v>$2800.00 and up</v>
          </cell>
        </row>
        <row r="61">
          <cell r="A61" t="str">
            <v>1893 S</v>
          </cell>
          <cell r="B61">
            <v>100000</v>
          </cell>
          <cell r="C61" t="str">
            <v>$1500.00   $1800.00</v>
          </cell>
          <cell r="D61" t="str">
            <v>$2500.00   $2750.00</v>
          </cell>
          <cell r="E61" t="str">
            <v>$6000.00   $6250.00</v>
          </cell>
          <cell r="F61" t="str">
            <v>$90000.00 and up</v>
          </cell>
        </row>
        <row r="62">
          <cell r="A62">
            <v>1894</v>
          </cell>
          <cell r="B62">
            <v>110000</v>
          </cell>
          <cell r="C62" t="str">
            <v>$650.00   $700.00</v>
          </cell>
          <cell r="D62" t="str">
            <v>$900.00   $1000.00</v>
          </cell>
          <cell r="E62" t="str">
            <v>$1100.00   $1200.00</v>
          </cell>
          <cell r="F62" t="str">
            <v>$2750.00 and up</v>
          </cell>
        </row>
        <row r="63">
          <cell r="A63" t="str">
            <v>1894 O</v>
          </cell>
          <cell r="B63">
            <v>1723000</v>
          </cell>
          <cell r="C63" t="str">
            <v>$25.00   $27.00</v>
          </cell>
          <cell r="D63" t="str">
            <v>$40.00   $43.00</v>
          </cell>
          <cell r="E63" t="str">
            <v>$80.00   $90.00</v>
          </cell>
          <cell r="F63" t="str">
            <v>$900.00 and up</v>
          </cell>
        </row>
        <row r="64">
          <cell r="A64" t="str">
            <v>1894 S</v>
          </cell>
          <cell r="B64">
            <v>1260000</v>
          </cell>
          <cell r="C64" t="str">
            <v>$30.00   $35.00</v>
          </cell>
          <cell r="D64" t="str">
            <v>$55.00   $60.00</v>
          </cell>
          <cell r="E64" t="str">
            <v>$105.00   $115.00</v>
          </cell>
          <cell r="F64" t="str">
            <v>$540 and up</v>
          </cell>
        </row>
        <row r="65">
          <cell r="A65" t="str">
            <v>1895 O</v>
          </cell>
          <cell r="B65">
            <v>450000</v>
          </cell>
          <cell r="C65" t="str">
            <v>$170.00   $185.00</v>
          </cell>
          <cell r="D65" t="str">
            <v>$240.00   $260.00</v>
          </cell>
          <cell r="E65" t="str">
            <v>$400.00   $425.00</v>
          </cell>
          <cell r="F65" t="str">
            <v>$12000.00 and up</v>
          </cell>
        </row>
        <row r="66">
          <cell r="A66" t="str">
            <v>1895 S</v>
          </cell>
          <cell r="B66">
            <v>400000</v>
          </cell>
          <cell r="C66" t="str">
            <v>$240.00   $260.00</v>
          </cell>
          <cell r="D66" t="str">
            <v>$400.00   $425.00</v>
          </cell>
          <cell r="E66" t="str">
            <v>$850.00   $900.00</v>
          </cell>
          <cell r="F66" t="str">
            <v>$3200.00 and up</v>
          </cell>
        </row>
        <row r="67">
          <cell r="A67">
            <v>1896</v>
          </cell>
          <cell r="B67">
            <v>9976000</v>
          </cell>
          <cell r="C67" t="str">
            <v>$21.00   $22.00</v>
          </cell>
          <cell r="D67" t="str">
            <v>$22.00   $23.00</v>
          </cell>
          <cell r="E67" t="str">
            <v>$24.00   $25.00</v>
          </cell>
          <cell r="F67" t="str">
            <v>$35.00 and up</v>
          </cell>
        </row>
        <row r="68">
          <cell r="A68" t="str">
            <v>1896 O</v>
          </cell>
          <cell r="B68">
            <v>4900000</v>
          </cell>
          <cell r="C68" t="str">
            <v>$23.00   $25.00</v>
          </cell>
          <cell r="D68" t="str">
            <v>$28.00   $30.00</v>
          </cell>
          <cell r="E68" t="str">
            <v>$42.00   $45.00</v>
          </cell>
          <cell r="F68" t="str">
            <v>$1625.00 and up</v>
          </cell>
        </row>
        <row r="69">
          <cell r="A69" t="str">
            <v>1896 S</v>
          </cell>
          <cell r="B69">
            <v>5000000</v>
          </cell>
          <cell r="C69" t="str">
            <v>$23.00   $25.00</v>
          </cell>
          <cell r="D69" t="str">
            <v>$30.00   $32.00</v>
          </cell>
          <cell r="E69" t="str">
            <v>$160.00   $175.00</v>
          </cell>
          <cell r="F69" t="str">
            <v>$1725.00 and up</v>
          </cell>
        </row>
        <row r="70">
          <cell r="A70">
            <v>1897</v>
          </cell>
          <cell r="B70">
            <v>2822000</v>
          </cell>
          <cell r="C70" t="str">
            <v>$21.00   $22.00</v>
          </cell>
          <cell r="D70" t="str">
            <v>$22.00   $23.00</v>
          </cell>
          <cell r="E70" t="str">
            <v>$24.00   $25.00</v>
          </cell>
          <cell r="F70" t="str">
            <v>$35.00 and up</v>
          </cell>
        </row>
        <row r="71">
          <cell r="A71" t="str">
            <v>1897 O</v>
          </cell>
          <cell r="B71">
            <v>4004000</v>
          </cell>
          <cell r="C71" t="str">
            <v>$23.00   $25.00</v>
          </cell>
          <cell r="D71" t="str">
            <v>$28.00   $30.00</v>
          </cell>
          <cell r="E71" t="str">
            <v>$40.00   $43.00</v>
          </cell>
          <cell r="F71" t="str">
            <v>$1200.00 and up</v>
          </cell>
        </row>
        <row r="72">
          <cell r="A72" t="str">
            <v>1897 S</v>
          </cell>
          <cell r="B72">
            <v>5825000</v>
          </cell>
          <cell r="C72" t="str">
            <v>$23.00   $25.00</v>
          </cell>
          <cell r="D72" t="str">
            <v>$28.00   $30.00</v>
          </cell>
          <cell r="E72" t="str">
            <v>$32.00   $34.00</v>
          </cell>
          <cell r="F72" t="str">
            <v>$50.00 and up</v>
          </cell>
        </row>
        <row r="73">
          <cell r="A73">
            <v>1898</v>
          </cell>
          <cell r="B73">
            <v>5884000</v>
          </cell>
          <cell r="C73" t="str">
            <v>$21.00   $22.00</v>
          </cell>
          <cell r="D73" t="str">
            <v>$22.00   $23.00</v>
          </cell>
          <cell r="E73" t="str">
            <v>$24.00   $25.00</v>
          </cell>
          <cell r="F73" t="str">
            <v>$35.00 and up</v>
          </cell>
        </row>
        <row r="74">
          <cell r="A74" t="str">
            <v>1898 O</v>
          </cell>
          <cell r="B74">
            <v>4440000</v>
          </cell>
          <cell r="C74" t="str">
            <v>$21.00   $22.00</v>
          </cell>
          <cell r="D74" t="str">
            <v>$22.00   $23.00</v>
          </cell>
          <cell r="E74" t="str">
            <v>$24.00   $25.00</v>
          </cell>
          <cell r="F74" t="str">
            <v>$35.00 and up</v>
          </cell>
        </row>
        <row r="75">
          <cell r="A75" t="str">
            <v>1898 S</v>
          </cell>
          <cell r="B75">
            <v>4102000</v>
          </cell>
          <cell r="C75" t="str">
            <v>$23.00   $25.00</v>
          </cell>
          <cell r="D75" t="str">
            <v>$28.00   $30.00</v>
          </cell>
          <cell r="E75" t="str">
            <v>$42.00   $45.00</v>
          </cell>
          <cell r="F75" t="str">
            <v>$210.00 and up</v>
          </cell>
        </row>
        <row r="76">
          <cell r="A76">
            <v>1899</v>
          </cell>
          <cell r="B76">
            <v>330000</v>
          </cell>
          <cell r="C76" t="str">
            <v>$100.00   $110.00</v>
          </cell>
          <cell r="D76" t="str">
            <v>$140.00   $150.00</v>
          </cell>
          <cell r="E76" t="str">
            <v>$155.00   $170.00</v>
          </cell>
          <cell r="F76" t="str">
            <v>$200.00 and up</v>
          </cell>
        </row>
        <row r="77">
          <cell r="A77" t="str">
            <v>1899 O</v>
          </cell>
          <cell r="B77">
            <v>12290000</v>
          </cell>
          <cell r="C77" t="str">
            <v>$21.00   $22.00</v>
          </cell>
          <cell r="D77" t="str">
            <v>$22.00   $23.00</v>
          </cell>
          <cell r="E77" t="str">
            <v>$24.00   $25.00</v>
          </cell>
          <cell r="F77" t="str">
            <v>$35.00 and up</v>
          </cell>
        </row>
        <row r="78">
          <cell r="A78" t="str">
            <v>1899 S</v>
          </cell>
          <cell r="B78">
            <v>2562000</v>
          </cell>
          <cell r="C78" t="str">
            <v>$23.00   $25.00</v>
          </cell>
          <cell r="D78" t="str">
            <v>$28.00   $30.00</v>
          </cell>
          <cell r="E78" t="str">
            <v>$50.00   $55.00</v>
          </cell>
          <cell r="F78" t="str">
            <v>$240.00 and up</v>
          </cell>
        </row>
        <row r="79">
          <cell r="A79">
            <v>1900</v>
          </cell>
          <cell r="B79">
            <v>8830000</v>
          </cell>
          <cell r="C79" t="str">
            <v>$21.00   $22.00</v>
          </cell>
          <cell r="D79" t="str">
            <v>$22.00   $23.00</v>
          </cell>
          <cell r="E79" t="str">
            <v>$24.00   $25.00</v>
          </cell>
          <cell r="F79" t="str">
            <v>$35.00 and up</v>
          </cell>
        </row>
        <row r="80">
          <cell r="A80" t="str">
            <v>1900 O</v>
          </cell>
          <cell r="B80">
            <v>12590000</v>
          </cell>
          <cell r="C80" t="str">
            <v>$21.00   $22.00</v>
          </cell>
          <cell r="D80" t="str">
            <v>$22.00   $23.00</v>
          </cell>
          <cell r="E80" t="str">
            <v>$24.00   $25.00</v>
          </cell>
          <cell r="F80" t="str">
            <v>$35.00 and up</v>
          </cell>
        </row>
        <row r="81">
          <cell r="A81" t="str">
            <v>1900 S</v>
          </cell>
          <cell r="B81">
            <v>3540000</v>
          </cell>
          <cell r="C81" t="str">
            <v>$23.00   $25.00</v>
          </cell>
          <cell r="D81" t="str">
            <v>$28.00   $30.00</v>
          </cell>
          <cell r="E81" t="str">
            <v>$35.00   $38.00</v>
          </cell>
          <cell r="F81" t="str">
            <v>$210.00 and up</v>
          </cell>
        </row>
        <row r="82">
          <cell r="A82">
            <v>1901</v>
          </cell>
          <cell r="B82">
            <v>6962000</v>
          </cell>
          <cell r="C82" t="str">
            <v>$23.00   $25.00</v>
          </cell>
          <cell r="D82" t="str">
            <v>$30.00   $32.00</v>
          </cell>
          <cell r="E82" t="str">
            <v>$75.00   $80.00</v>
          </cell>
          <cell r="F82" t="str">
            <v>$3400.00 and up</v>
          </cell>
        </row>
        <row r="83">
          <cell r="A83" t="str">
            <v>1901 O</v>
          </cell>
          <cell r="B83">
            <v>13320000</v>
          </cell>
          <cell r="C83" t="str">
            <v>$21.00   $22.00</v>
          </cell>
          <cell r="D83" t="str">
            <v>$22.00   $23.00</v>
          </cell>
          <cell r="E83" t="str">
            <v>$24.00   $25.00</v>
          </cell>
          <cell r="F83" t="str">
            <v>$35.00 and up</v>
          </cell>
        </row>
        <row r="84">
          <cell r="A84" t="str">
            <v>1901 S</v>
          </cell>
          <cell r="B84">
            <v>2284000</v>
          </cell>
          <cell r="C84" t="str">
            <v>$23.00   $25.00</v>
          </cell>
          <cell r="D84" t="str">
            <v>$28.00   $30.00</v>
          </cell>
          <cell r="E84" t="str">
            <v>$42.00   $45.00</v>
          </cell>
          <cell r="F84" t="str">
            <v>$375.00 and up</v>
          </cell>
        </row>
        <row r="85">
          <cell r="A85">
            <v>1902</v>
          </cell>
          <cell r="B85">
            <v>7994000</v>
          </cell>
          <cell r="C85" t="str">
            <v>$21.00   $22.00</v>
          </cell>
          <cell r="D85" t="str">
            <v>$22.00   $23.00</v>
          </cell>
          <cell r="E85" t="str">
            <v>$24.00   $25.00</v>
          </cell>
          <cell r="F85" t="str">
            <v>$45.00 and up</v>
          </cell>
        </row>
        <row r="86">
          <cell r="A86" t="str">
            <v>1902 O</v>
          </cell>
          <cell r="B86">
            <v>8636000</v>
          </cell>
          <cell r="C86" t="str">
            <v>$21.00   $22.00</v>
          </cell>
          <cell r="D86" t="str">
            <v>$22.00   $23.00</v>
          </cell>
          <cell r="E86" t="str">
            <v>$24.00   $25.00</v>
          </cell>
          <cell r="F86" t="str">
            <v>$35.00 and up</v>
          </cell>
        </row>
        <row r="87">
          <cell r="A87" t="str">
            <v>1902 S</v>
          </cell>
          <cell r="B87">
            <v>1530000</v>
          </cell>
          <cell r="C87" t="str">
            <v>$45.00   $50.00</v>
          </cell>
          <cell r="D87" t="str">
            <v>$65.00   $70.00</v>
          </cell>
          <cell r="E87" t="str">
            <v>$145.00   $160.00</v>
          </cell>
          <cell r="F87" t="str">
            <v>$300.00 and up</v>
          </cell>
        </row>
        <row r="88">
          <cell r="A88">
            <v>1903</v>
          </cell>
          <cell r="B88">
            <v>4652000</v>
          </cell>
          <cell r="C88" t="str">
            <v>$30.00   $32.00</v>
          </cell>
          <cell r="D88" t="str">
            <v>$35.00   $38.00</v>
          </cell>
          <cell r="E88" t="str">
            <v>$45.00   $48.00</v>
          </cell>
          <cell r="F88" t="str">
            <v>$65.00 and up</v>
          </cell>
        </row>
        <row r="89">
          <cell r="A89" t="str">
            <v>1903 O</v>
          </cell>
          <cell r="B89">
            <v>4450000</v>
          </cell>
          <cell r="C89" t="str">
            <v>$200.00   $220.00</v>
          </cell>
          <cell r="D89" t="str">
            <v>$260.00   $280.00</v>
          </cell>
          <cell r="E89" t="str">
            <v>$300.00   $325.00</v>
          </cell>
          <cell r="F89" t="str">
            <v>$350.00 and up</v>
          </cell>
        </row>
        <row r="90">
          <cell r="A90" t="str">
            <v>1903 S</v>
          </cell>
          <cell r="B90">
            <v>1241000</v>
          </cell>
          <cell r="C90" t="str">
            <v>$55.00   $60.00</v>
          </cell>
          <cell r="D90" t="str">
            <v>$85.00   $90.00</v>
          </cell>
          <cell r="E90" t="str">
            <v>$275.00   $290.00</v>
          </cell>
          <cell r="F90" t="str">
            <v>$3500.00 and up</v>
          </cell>
        </row>
        <row r="91">
          <cell r="A91">
            <v>1904</v>
          </cell>
          <cell r="B91">
            <v>2788000</v>
          </cell>
          <cell r="C91" t="str">
            <v>$23.00   $25.00</v>
          </cell>
          <cell r="D91" t="str">
            <v>$28.00   $30.00</v>
          </cell>
          <cell r="E91" t="str">
            <v>$34.00   $36.00</v>
          </cell>
          <cell r="F91" t="str">
            <v>$105.00 and up</v>
          </cell>
        </row>
        <row r="92">
          <cell r="A92" t="str">
            <v>1904 O</v>
          </cell>
          <cell r="B92">
            <v>3720000</v>
          </cell>
          <cell r="C92" t="str">
            <v>$21.00   $22.00</v>
          </cell>
          <cell r="D92" t="str">
            <v>$22.00   $23.00</v>
          </cell>
          <cell r="E92" t="str">
            <v>$24.00   $25.00</v>
          </cell>
          <cell r="F92" t="str">
            <v>$35.00 and up</v>
          </cell>
        </row>
        <row r="93">
          <cell r="A93" t="str">
            <v>1904 S</v>
          </cell>
          <cell r="B93">
            <v>2304000</v>
          </cell>
          <cell r="C93" t="str">
            <v>$30.00   $32.00</v>
          </cell>
          <cell r="D93" t="str">
            <v>$38.00   $40.00</v>
          </cell>
          <cell r="E93" t="str">
            <v>$160.00   $175.00</v>
          </cell>
          <cell r="F93" t="str">
            <v>$1750.00 and up</v>
          </cell>
        </row>
        <row r="94">
          <cell r="A94">
            <v>1921</v>
          </cell>
          <cell r="B94">
            <v>44690000</v>
          </cell>
          <cell r="C94" t="str">
            <v>$20.00   $21.00</v>
          </cell>
          <cell r="D94" t="str">
            <v>$21.00   $22.00</v>
          </cell>
          <cell r="E94" t="str">
            <v>$22.00   $23.00</v>
          </cell>
          <cell r="F94" t="str">
            <v>$30.00 and up</v>
          </cell>
        </row>
        <row r="95">
          <cell r="A95" t="str">
            <v>1921 D</v>
          </cell>
          <cell r="B95">
            <v>20345000</v>
          </cell>
          <cell r="C95" t="str">
            <v>$21.00   $22.00</v>
          </cell>
          <cell r="D95" t="str">
            <v>$22.00   $23.00</v>
          </cell>
          <cell r="E95" t="str">
            <v>$23.00   $24.00</v>
          </cell>
          <cell r="F95" t="str">
            <v>$32.00 and up</v>
          </cell>
        </row>
        <row r="96">
          <cell r="A96" t="str">
            <v>1921 S</v>
          </cell>
          <cell r="B96">
            <v>21695000</v>
          </cell>
          <cell r="C96" t="str">
            <v>$21.00   $22.00</v>
          </cell>
          <cell r="D96" t="str">
            <v>$22.00   $23.00</v>
          </cell>
          <cell r="E96" t="str">
            <v>$23.00   $24.00</v>
          </cell>
          <cell r="F96" t="str">
            <v>$32.00 and up</v>
          </cell>
        </row>
        <row r="97">
          <cell r="A97">
            <v>1921</v>
          </cell>
          <cell r="B97">
            <v>1006473</v>
          </cell>
          <cell r="C97" t="str">
            <v>$75.00   $80.00</v>
          </cell>
          <cell r="D97" t="str">
            <v>$95.00   $110.00</v>
          </cell>
          <cell r="E97" t="str">
            <v>$110.00   $120.00</v>
          </cell>
          <cell r="F97" t="str">
            <v>$200.00 and up</v>
          </cell>
        </row>
        <row r="98">
          <cell r="A98">
            <v>1922</v>
          </cell>
          <cell r="B98">
            <v>51737000</v>
          </cell>
          <cell r="C98" t="str">
            <v>$21.00   $22.00</v>
          </cell>
          <cell r="D98" t="str">
            <v>$22.00   $23.00</v>
          </cell>
          <cell r="E98" t="str">
            <v>$24.00   $25.00</v>
          </cell>
          <cell r="F98" t="str">
            <v>$32.00 and up</v>
          </cell>
        </row>
        <row r="99">
          <cell r="A99" t="str">
            <v>1922 D</v>
          </cell>
          <cell r="B99">
            <v>15063000</v>
          </cell>
          <cell r="C99" t="str">
            <v>$21.00   $22.00</v>
          </cell>
          <cell r="D99" t="str">
            <v>$22.00   $23.00</v>
          </cell>
          <cell r="E99" t="str">
            <v>$24.00   $25.00</v>
          </cell>
          <cell r="F99" t="str">
            <v>$34.00 and up</v>
          </cell>
        </row>
        <row r="100">
          <cell r="A100" t="str">
            <v>1922 S</v>
          </cell>
          <cell r="B100">
            <v>17475000</v>
          </cell>
          <cell r="C100" t="str">
            <v>$21.00   $22.00</v>
          </cell>
          <cell r="D100" t="str">
            <v>$22.00   $23.00</v>
          </cell>
          <cell r="E100" t="str">
            <v>$24.00   $25.00</v>
          </cell>
          <cell r="F100" t="str">
            <v>$34.00 and up</v>
          </cell>
        </row>
        <row r="101">
          <cell r="A101">
            <v>1923</v>
          </cell>
          <cell r="B101">
            <v>30800000</v>
          </cell>
          <cell r="C101" t="str">
            <v>$21.00   $22.00</v>
          </cell>
          <cell r="D101" t="str">
            <v>$22.00   $23.00</v>
          </cell>
          <cell r="E101" t="str">
            <v>$24.00   $25.00</v>
          </cell>
          <cell r="F101" t="str">
            <v>$32.00 and up</v>
          </cell>
        </row>
        <row r="102">
          <cell r="A102" t="str">
            <v>1923 D</v>
          </cell>
          <cell r="B102">
            <v>6811000</v>
          </cell>
          <cell r="C102" t="str">
            <v>$21.00   $22.00</v>
          </cell>
          <cell r="D102" t="str">
            <v>$22.00   $23.00</v>
          </cell>
          <cell r="E102" t="str">
            <v>$24.00   $25.00</v>
          </cell>
          <cell r="F102" t="str">
            <v>$38.00 and up</v>
          </cell>
        </row>
        <row r="103">
          <cell r="A103" t="str">
            <v>1923 S</v>
          </cell>
          <cell r="B103">
            <v>19020000</v>
          </cell>
          <cell r="C103" t="str">
            <v>$21.00   $22.00</v>
          </cell>
          <cell r="D103" t="str">
            <v>$22.00   $23.00</v>
          </cell>
          <cell r="E103" t="str">
            <v>$24.00   $25.00</v>
          </cell>
          <cell r="F103" t="str">
            <v>$34.00 and up</v>
          </cell>
        </row>
        <row r="104">
          <cell r="A104">
            <v>1924</v>
          </cell>
          <cell r="B104">
            <v>11811000</v>
          </cell>
          <cell r="C104" t="str">
            <v>$21.00   $22.00</v>
          </cell>
          <cell r="D104" t="str">
            <v>$22.00   $23.00</v>
          </cell>
          <cell r="E104" t="str">
            <v>$24.00   $25.00</v>
          </cell>
          <cell r="F104" t="str">
            <v>$32.00 and up</v>
          </cell>
        </row>
        <row r="105">
          <cell r="A105" t="str">
            <v>1924 S</v>
          </cell>
          <cell r="B105">
            <v>1728000</v>
          </cell>
          <cell r="C105" t="str">
            <v>$22.00   $23.00</v>
          </cell>
          <cell r="D105" t="str">
            <v>$24.00   $25.00</v>
          </cell>
          <cell r="E105" t="str">
            <v>$30.00   $35.00</v>
          </cell>
          <cell r="F105" t="str">
            <v>$150.00 and up</v>
          </cell>
        </row>
        <row r="106">
          <cell r="A106">
            <v>1925</v>
          </cell>
          <cell r="B106">
            <v>10198000</v>
          </cell>
          <cell r="C106" t="str">
            <v>$21.00   $22.00</v>
          </cell>
          <cell r="D106" t="str">
            <v>$22.00   $23.00</v>
          </cell>
          <cell r="E106" t="str">
            <v>$24.00   $25.00</v>
          </cell>
          <cell r="F106" t="str">
            <v>$32.00 and up</v>
          </cell>
        </row>
        <row r="107">
          <cell r="A107" t="str">
            <v>1925 S</v>
          </cell>
          <cell r="B107">
            <v>1610000</v>
          </cell>
          <cell r="C107" t="str">
            <v>$21.00   $22.00</v>
          </cell>
          <cell r="D107" t="str">
            <v>$22.00   $23.00</v>
          </cell>
          <cell r="E107" t="str">
            <v>$25.00   $30.00</v>
          </cell>
          <cell r="F107" t="str">
            <v>$65.00 and up</v>
          </cell>
        </row>
        <row r="108">
          <cell r="A108">
            <v>1926</v>
          </cell>
          <cell r="B108">
            <v>1939000</v>
          </cell>
          <cell r="C108" t="str">
            <v>$21.00   $22.00</v>
          </cell>
          <cell r="D108" t="str">
            <v>$22.00   $23.00</v>
          </cell>
          <cell r="E108" t="str">
            <v>$24.00   $25.00</v>
          </cell>
          <cell r="F108" t="str">
            <v>$32.00 and up</v>
          </cell>
        </row>
        <row r="109">
          <cell r="A109" t="str">
            <v>1926 D</v>
          </cell>
          <cell r="B109">
            <v>2348700</v>
          </cell>
          <cell r="C109" t="str">
            <v>$21.00   $22.00</v>
          </cell>
          <cell r="D109" t="str">
            <v>$22.00   $23.00</v>
          </cell>
          <cell r="E109" t="str">
            <v>$30.00   $31.00</v>
          </cell>
          <cell r="F109" t="str">
            <v>$45.00 and up</v>
          </cell>
        </row>
        <row r="110">
          <cell r="A110" t="str">
            <v>1926 S</v>
          </cell>
          <cell r="B110">
            <v>6980000</v>
          </cell>
          <cell r="C110" t="str">
            <v>$21.00   $22.00</v>
          </cell>
          <cell r="D110" t="str">
            <v>$22.00   $23.00</v>
          </cell>
          <cell r="E110" t="str">
            <v>$24.00   $25.00</v>
          </cell>
          <cell r="F110" t="str">
            <v>$35.00 and up</v>
          </cell>
        </row>
        <row r="111">
          <cell r="A111">
            <v>1927</v>
          </cell>
          <cell r="B111">
            <v>848000</v>
          </cell>
          <cell r="C111" t="str">
            <v>$24.00   $26.00</v>
          </cell>
          <cell r="D111" t="str">
            <v>$28.00   $30.00</v>
          </cell>
          <cell r="E111" t="str">
            <v>$32.00   $35.00</v>
          </cell>
          <cell r="F111" t="str">
            <v>$55.00 and up</v>
          </cell>
        </row>
        <row r="112">
          <cell r="A112" t="str">
            <v>1927 D</v>
          </cell>
          <cell r="B112">
            <v>1268900</v>
          </cell>
          <cell r="C112" t="str">
            <v>$24.00   $26.00</v>
          </cell>
          <cell r="D112" t="str">
            <v>$28.00   $30.00</v>
          </cell>
          <cell r="E112" t="str">
            <v>$32.00   $35.00</v>
          </cell>
          <cell r="F112" t="str">
            <v>$135.00 and up</v>
          </cell>
        </row>
        <row r="113">
          <cell r="A113" t="str">
            <v>1927 S</v>
          </cell>
          <cell r="B113">
            <v>866000</v>
          </cell>
          <cell r="C113" t="str">
            <v>$24.00   $26.00</v>
          </cell>
          <cell r="D113" t="str">
            <v>$28.00   $30.00</v>
          </cell>
          <cell r="E113" t="str">
            <v>$32.00   $35.00</v>
          </cell>
          <cell r="F113" t="str">
            <v>$140.00 and up</v>
          </cell>
        </row>
        <row r="114">
          <cell r="A114">
            <v>1928</v>
          </cell>
          <cell r="B114">
            <v>360649</v>
          </cell>
          <cell r="C114" t="str">
            <v>$230.00   $240.00</v>
          </cell>
          <cell r="D114" t="str">
            <v>$250.00   $270.00</v>
          </cell>
          <cell r="E114" t="str">
            <v>$280.00   $300.00</v>
          </cell>
          <cell r="F114" t="str">
            <v>$375.00 and up</v>
          </cell>
        </row>
        <row r="115">
          <cell r="A115" t="str">
            <v>1928 S</v>
          </cell>
          <cell r="B115">
            <v>1632000</v>
          </cell>
          <cell r="C115" t="str">
            <v>$24.00   $26.00</v>
          </cell>
          <cell r="D115" t="str">
            <v>$28.00   $30.00</v>
          </cell>
          <cell r="E115" t="str">
            <v>$32.00   $35.00</v>
          </cell>
          <cell r="F115" t="str">
            <v>$115.00 and up</v>
          </cell>
        </row>
        <row r="116">
          <cell r="A116">
            <v>1934</v>
          </cell>
          <cell r="B116">
            <v>954057</v>
          </cell>
          <cell r="C116" t="str">
            <v>$30.00   $31.00</v>
          </cell>
          <cell r="D116" t="str">
            <v>$32.00   $33.00</v>
          </cell>
          <cell r="E116" t="str">
            <v>$34.00   $35.00</v>
          </cell>
          <cell r="F116" t="str">
            <v>$80.00 and up</v>
          </cell>
        </row>
        <row r="117">
          <cell r="A117" t="str">
            <v>1934 D</v>
          </cell>
          <cell r="B117">
            <v>1569500</v>
          </cell>
          <cell r="C117" t="str">
            <v>$30.00   $31.00</v>
          </cell>
          <cell r="D117" t="str">
            <v>$32.00   $33.00</v>
          </cell>
          <cell r="E117" t="str">
            <v>$34.00   $35.00</v>
          </cell>
          <cell r="F117" t="str">
            <v>$100.00 and up</v>
          </cell>
        </row>
        <row r="118">
          <cell r="A118" t="str">
            <v>1934 S</v>
          </cell>
          <cell r="B118">
            <v>1011000</v>
          </cell>
          <cell r="C118" t="str">
            <v>$45.00   $50.00</v>
          </cell>
          <cell r="D118" t="str">
            <v>$50.00   $60.00</v>
          </cell>
          <cell r="E118" t="str">
            <v>$135.00   $150.00</v>
          </cell>
          <cell r="F118" t="str">
            <v>$1500.00 and up</v>
          </cell>
        </row>
        <row r="119">
          <cell r="A119">
            <v>1935</v>
          </cell>
          <cell r="B119">
            <v>1576000</v>
          </cell>
          <cell r="C119" t="str">
            <v>$30.00   $31.00</v>
          </cell>
          <cell r="D119" t="str">
            <v>$31.00   $32.00</v>
          </cell>
          <cell r="E119" t="str">
            <v>$33.00   $34.00</v>
          </cell>
          <cell r="F119" t="str">
            <v>$50.00 and up</v>
          </cell>
        </row>
        <row r="120">
          <cell r="A120" t="str">
            <v>1935 S</v>
          </cell>
          <cell r="B120">
            <v>1964000</v>
          </cell>
          <cell r="C120" t="str">
            <v>$30.00   $31.00</v>
          </cell>
          <cell r="D120" t="str">
            <v>$31.00   $32.00</v>
          </cell>
          <cell r="E120" t="str">
            <v>$35.00   $40.00</v>
          </cell>
          <cell r="F120" t="str">
            <v>$200.00 and up</v>
          </cell>
        </row>
        <row r="121">
          <cell r="A121">
            <v>1971</v>
          </cell>
        </row>
        <row r="122">
          <cell r="A122" t="str">
            <v>1971 D</v>
          </cell>
        </row>
        <row r="123">
          <cell r="A123" t="str">
            <v>1971 S</v>
          </cell>
        </row>
        <row r="124">
          <cell r="A124">
            <v>1972</v>
          </cell>
          <cell r="B124" t="str">
            <v>, Type 1</v>
          </cell>
        </row>
        <row r="125">
          <cell r="A125">
            <v>1972</v>
          </cell>
          <cell r="B125" t="str">
            <v>, Type 2</v>
          </cell>
          <cell r="E125" t="str">
            <v>3  History</v>
          </cell>
        </row>
        <row r="126">
          <cell r="A126">
            <v>1972</v>
          </cell>
          <cell r="B126" t="str">
            <v>, Type 3</v>
          </cell>
          <cell r="E126" t="str">
            <v xml:space="preserve">     3.1  Early dollar coins</v>
          </cell>
        </row>
        <row r="127">
          <cell r="A127" t="str">
            <v>1972 D</v>
          </cell>
          <cell r="E127" t="str">
            <v xml:space="preserve">     3.2  The 1804 dollar</v>
          </cell>
        </row>
        <row r="128">
          <cell r="A128" t="str">
            <v>1972 S</v>
          </cell>
          <cell r="B128" t="str">
            <v>* (silver clad)</v>
          </cell>
          <cell r="E128" t="str">
            <v xml:space="preserve">     3.3  Seated Liberty dollar (1836–1873)</v>
          </cell>
        </row>
        <row r="129">
          <cell r="A129">
            <v>1973</v>
          </cell>
          <cell r="E129" t="str">
            <v xml:space="preserve">     3.4  Gold dollar coins (1849–1889)</v>
          </cell>
        </row>
        <row r="130">
          <cell r="A130" t="str">
            <v>1973 D</v>
          </cell>
          <cell r="E130" t="str">
            <v xml:space="preserve">     3.5  Trade dollar (1873–1885)</v>
          </cell>
        </row>
        <row r="131">
          <cell r="A131" t="str">
            <v>1973 S</v>
          </cell>
          <cell r="E131" t="str">
            <v xml:space="preserve">     3.6  Morgan dollar (1878–1904; 1921)</v>
          </cell>
        </row>
        <row r="132">
          <cell r="A132">
            <v>1974</v>
          </cell>
          <cell r="E132" t="str">
            <v xml:space="preserve">     3.7  Peace dollar (1921–1928, 1934–1935)</v>
          </cell>
        </row>
        <row r="133">
          <cell r="A133" t="str">
            <v>1974 D</v>
          </cell>
          <cell r="E133" t="str">
            <v xml:space="preserve">     3.8  Release of dollars by the U.S. Treasury: the GSA sale</v>
          </cell>
        </row>
        <row r="134">
          <cell r="A134" t="str">
            <v>1974 S</v>
          </cell>
          <cell r="E134" t="str">
            <v xml:space="preserve">     3.9  Eisenhower dollar (1971–1978)</v>
          </cell>
        </row>
        <row r="135">
          <cell r="A135">
            <v>1976</v>
          </cell>
          <cell r="E135" t="str">
            <v xml:space="preserve">     3.10  Susan B. Anthony dollar (1979–1981; 1999)</v>
          </cell>
        </row>
        <row r="136">
          <cell r="A136" t="str">
            <v>1976 D</v>
          </cell>
          <cell r="E136" t="str">
            <v xml:space="preserve">     3.11  American Silver Eagle (1986–present)</v>
          </cell>
        </row>
        <row r="137">
          <cell r="A137" t="str">
            <v>1976 S</v>
          </cell>
          <cell r="E137" t="str">
            <v xml:space="preserve">     3.12  Sacagawea dollar (2000–present)</v>
          </cell>
        </row>
        <row r="138">
          <cell r="A138" t="str">
            <v>1976 S</v>
          </cell>
          <cell r="E138" t="str">
            <v xml:space="preserve">          3.12.1  Native American series</v>
          </cell>
        </row>
        <row r="139">
          <cell r="A139">
            <v>1977</v>
          </cell>
          <cell r="E139" t="str">
            <v xml:space="preserve">     3.13  Presidential Dollar Coins (2007–2016)</v>
          </cell>
        </row>
        <row r="140">
          <cell r="A140" t="str">
            <v>1977 D</v>
          </cell>
          <cell r="E140" t="str">
            <v xml:space="preserve">     3.14  American Innovation Dollar Coins (2018–present)</v>
          </cell>
        </row>
        <row r="141">
          <cell r="A141" t="str">
            <v>1977 S</v>
          </cell>
        </row>
        <row r="142">
          <cell r="A142">
            <v>1978</v>
          </cell>
        </row>
        <row r="143">
          <cell r="A143" t="str">
            <v>1978 D</v>
          </cell>
        </row>
        <row r="144">
          <cell r="A144" t="str">
            <v>1978 S</v>
          </cell>
        </row>
      </sheetData>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ickels"/>
      <sheetName val="Sheet1"/>
      <sheetName val="Work"/>
      <sheetName val="NickelMintage"/>
      <sheetName val="Sheet2"/>
      <sheetName val="WantListWorkFile"/>
      <sheetName val="WantList"/>
      <sheetName val="Sheet7"/>
      <sheetName val="Want_List"/>
      <sheetName val="Folder"/>
    </sheetNames>
    <sheetDataSet>
      <sheetData sheetId="0"/>
      <sheetData sheetId="1"/>
      <sheetData sheetId="2"/>
      <sheetData sheetId="3">
        <row r="1">
          <cell r="A1" t="str">
            <v>Mintage</v>
          </cell>
        </row>
        <row r="2">
          <cell r="A2">
            <v>1883</v>
          </cell>
        </row>
        <row r="3">
          <cell r="A3">
            <v>1883</v>
          </cell>
        </row>
        <row r="4">
          <cell r="A4">
            <v>1884</v>
          </cell>
        </row>
        <row r="5">
          <cell r="A5">
            <v>1885</v>
          </cell>
        </row>
        <row r="6">
          <cell r="A6">
            <v>1886</v>
          </cell>
        </row>
        <row r="7">
          <cell r="A7">
            <v>1887</v>
          </cell>
        </row>
        <row r="8">
          <cell r="A8">
            <v>1888</v>
          </cell>
        </row>
        <row r="9">
          <cell r="A9">
            <v>1889</v>
          </cell>
        </row>
        <row r="10">
          <cell r="A10">
            <v>1890</v>
          </cell>
        </row>
        <row r="11">
          <cell r="A11">
            <v>1891</v>
          </cell>
        </row>
        <row r="12">
          <cell r="A12">
            <v>1892</v>
          </cell>
        </row>
        <row r="13">
          <cell r="A13">
            <v>1893</v>
          </cell>
        </row>
        <row r="14">
          <cell r="A14">
            <v>1894</v>
          </cell>
        </row>
        <row r="15">
          <cell r="A15">
            <v>1895</v>
          </cell>
        </row>
        <row r="16">
          <cell r="A16">
            <v>1896</v>
          </cell>
        </row>
        <row r="17">
          <cell r="A17">
            <v>1897</v>
          </cell>
        </row>
        <row r="18">
          <cell r="A18">
            <v>1898</v>
          </cell>
        </row>
        <row r="19">
          <cell r="A19">
            <v>1899</v>
          </cell>
        </row>
        <row r="20">
          <cell r="A20">
            <v>1900</v>
          </cell>
        </row>
        <row r="21">
          <cell r="A21">
            <v>1901</v>
          </cell>
        </row>
        <row r="22">
          <cell r="A22">
            <v>1902</v>
          </cell>
        </row>
        <row r="23">
          <cell r="A23">
            <v>1903</v>
          </cell>
        </row>
        <row r="24">
          <cell r="A24">
            <v>1904</v>
          </cell>
        </row>
        <row r="25">
          <cell r="A25">
            <v>1905</v>
          </cell>
        </row>
        <row r="26">
          <cell r="A26">
            <v>1906</v>
          </cell>
        </row>
        <row r="27">
          <cell r="A27">
            <v>1907</v>
          </cell>
        </row>
        <row r="28">
          <cell r="A28">
            <v>1908</v>
          </cell>
        </row>
        <row r="29">
          <cell r="A29">
            <v>1909</v>
          </cell>
        </row>
        <row r="30">
          <cell r="A30">
            <v>1910</v>
          </cell>
        </row>
        <row r="31">
          <cell r="A31">
            <v>1911</v>
          </cell>
        </row>
        <row r="32">
          <cell r="A32">
            <v>1912</v>
          </cell>
        </row>
        <row r="33">
          <cell r="A33" t="str">
            <v>1912 D</v>
          </cell>
        </row>
        <row r="34">
          <cell r="A34" t="str">
            <v>1912 S</v>
          </cell>
        </row>
        <row r="35">
          <cell r="A35">
            <v>1913</v>
          </cell>
        </row>
        <row r="36">
          <cell r="A36">
            <v>1913</v>
          </cell>
        </row>
        <row r="37">
          <cell r="A37" t="str">
            <v>1913 D</v>
          </cell>
        </row>
        <row r="38">
          <cell r="A38" t="str">
            <v>1913 2</v>
          </cell>
        </row>
        <row r="39">
          <cell r="A39" t="str">
            <v>1913 S</v>
          </cell>
        </row>
        <row r="40">
          <cell r="A40" t="str">
            <v>1913 S</v>
          </cell>
        </row>
        <row r="41">
          <cell r="A41">
            <v>1914</v>
          </cell>
        </row>
        <row r="42">
          <cell r="A42" t="str">
            <v>1914 D</v>
          </cell>
        </row>
        <row r="43">
          <cell r="A43" t="str">
            <v>1914 S</v>
          </cell>
        </row>
        <row r="44">
          <cell r="A44">
            <v>1915</v>
          </cell>
        </row>
        <row r="45">
          <cell r="A45" t="str">
            <v>1915 D</v>
          </cell>
        </row>
        <row r="46">
          <cell r="A46" t="str">
            <v>1915 S</v>
          </cell>
        </row>
        <row r="47">
          <cell r="A47">
            <v>1916</v>
          </cell>
        </row>
        <row r="48">
          <cell r="A48" t="str">
            <v>1916 D</v>
          </cell>
        </row>
        <row r="49">
          <cell r="A49" t="str">
            <v>1916S</v>
          </cell>
        </row>
        <row r="50">
          <cell r="A50">
            <v>1917</v>
          </cell>
        </row>
        <row r="51">
          <cell r="A51" t="str">
            <v>1917 D</v>
          </cell>
        </row>
        <row r="52">
          <cell r="A52" t="str">
            <v>1917 S</v>
          </cell>
        </row>
        <row r="53">
          <cell r="A53">
            <v>1918</v>
          </cell>
        </row>
        <row r="54">
          <cell r="A54" t="str">
            <v>1918 D</v>
          </cell>
        </row>
        <row r="55">
          <cell r="A55" t="str">
            <v>1918 S</v>
          </cell>
        </row>
        <row r="56">
          <cell r="A56">
            <v>1919</v>
          </cell>
        </row>
        <row r="57">
          <cell r="A57" t="str">
            <v>1919 D</v>
          </cell>
        </row>
        <row r="58">
          <cell r="A58" t="str">
            <v>1919 S</v>
          </cell>
        </row>
        <row r="59">
          <cell r="A59">
            <v>1920</v>
          </cell>
        </row>
        <row r="60">
          <cell r="A60" t="str">
            <v>1920 D</v>
          </cell>
        </row>
        <row r="61">
          <cell r="A61" t="str">
            <v>1920 S</v>
          </cell>
        </row>
        <row r="62">
          <cell r="A62">
            <v>1921</v>
          </cell>
        </row>
        <row r="63">
          <cell r="A63" t="str">
            <v>1921 S</v>
          </cell>
        </row>
        <row r="64">
          <cell r="A64">
            <v>1923</v>
          </cell>
        </row>
        <row r="65">
          <cell r="A65" t="str">
            <v>1923 S</v>
          </cell>
        </row>
        <row r="66">
          <cell r="A66">
            <v>1924</v>
          </cell>
        </row>
        <row r="67">
          <cell r="A67" t="str">
            <v>1924 D</v>
          </cell>
        </row>
        <row r="68">
          <cell r="A68" t="str">
            <v>1924 S</v>
          </cell>
        </row>
        <row r="69">
          <cell r="A69">
            <v>1825</v>
          </cell>
        </row>
        <row r="70">
          <cell r="A70" t="str">
            <v>1925 D</v>
          </cell>
        </row>
        <row r="71">
          <cell r="A71" t="str">
            <v>1925 S</v>
          </cell>
        </row>
        <row r="72">
          <cell r="A72">
            <v>1926</v>
          </cell>
        </row>
        <row r="73">
          <cell r="A73" t="str">
            <v>1926 D</v>
          </cell>
        </row>
        <row r="74">
          <cell r="A74" t="str">
            <v>1926 S</v>
          </cell>
        </row>
        <row r="75">
          <cell r="A75">
            <v>1927</v>
          </cell>
        </row>
        <row r="76">
          <cell r="A76" t="str">
            <v>1927 D</v>
          </cell>
        </row>
        <row r="77">
          <cell r="A77" t="str">
            <v>1927 S</v>
          </cell>
        </row>
        <row r="78">
          <cell r="A78">
            <v>1928</v>
          </cell>
        </row>
        <row r="79">
          <cell r="A79" t="str">
            <v>1928 D</v>
          </cell>
        </row>
        <row r="80">
          <cell r="A80" t="str">
            <v>1928 S</v>
          </cell>
        </row>
        <row r="81">
          <cell r="A81">
            <v>1929</v>
          </cell>
        </row>
        <row r="82">
          <cell r="A82" t="str">
            <v>1929 D</v>
          </cell>
        </row>
        <row r="83">
          <cell r="A83" t="str">
            <v>1929 S</v>
          </cell>
        </row>
        <row r="84">
          <cell r="A84">
            <v>1930</v>
          </cell>
        </row>
        <row r="85">
          <cell r="A85" t="str">
            <v>1930 S</v>
          </cell>
        </row>
        <row r="86">
          <cell r="A86" t="str">
            <v>1931 S</v>
          </cell>
        </row>
        <row r="87">
          <cell r="A87">
            <v>1934</v>
          </cell>
        </row>
        <row r="88">
          <cell r="A88" t="str">
            <v>1934 D</v>
          </cell>
        </row>
        <row r="89">
          <cell r="A89">
            <v>1935</v>
          </cell>
        </row>
        <row r="90">
          <cell r="A90" t="str">
            <v>1935 D</v>
          </cell>
        </row>
        <row r="91">
          <cell r="A91" t="str">
            <v>1935 S</v>
          </cell>
        </row>
        <row r="92">
          <cell r="A92">
            <v>1936</v>
          </cell>
        </row>
        <row r="93">
          <cell r="A93" t="str">
            <v>1936 D</v>
          </cell>
        </row>
        <row r="94">
          <cell r="A94" t="str">
            <v>1936 S</v>
          </cell>
        </row>
        <row r="95">
          <cell r="A95">
            <v>1937</v>
          </cell>
        </row>
        <row r="96">
          <cell r="A96" t="str">
            <v>1937 D</v>
          </cell>
        </row>
        <row r="97">
          <cell r="A97" t="str">
            <v>1937 S</v>
          </cell>
        </row>
        <row r="98">
          <cell r="A98" t="str">
            <v>1938 D</v>
          </cell>
        </row>
        <row r="99">
          <cell r="A99">
            <v>1938</v>
          </cell>
        </row>
        <row r="100">
          <cell r="A100" t="str">
            <v>1938 BD</v>
          </cell>
        </row>
        <row r="101">
          <cell r="A101" t="str">
            <v>1938 S</v>
          </cell>
        </row>
        <row r="102">
          <cell r="A102">
            <v>1939</v>
          </cell>
        </row>
        <row r="103">
          <cell r="A103" t="str">
            <v>1939 D</v>
          </cell>
        </row>
        <row r="104">
          <cell r="A104" t="str">
            <v>1939 S</v>
          </cell>
        </row>
        <row r="105">
          <cell r="A105">
            <v>1940</v>
          </cell>
        </row>
        <row r="106">
          <cell r="A106" t="str">
            <v>1940 D</v>
          </cell>
        </row>
        <row r="107">
          <cell r="A107" t="str">
            <v>1940 S</v>
          </cell>
        </row>
        <row r="108">
          <cell r="A108">
            <v>1941</v>
          </cell>
        </row>
        <row r="109">
          <cell r="A109" t="str">
            <v>1941 D</v>
          </cell>
        </row>
        <row r="110">
          <cell r="A110" t="str">
            <v>1941 S</v>
          </cell>
        </row>
        <row r="111">
          <cell r="A111">
            <v>1942</v>
          </cell>
        </row>
        <row r="112">
          <cell r="A112" t="str">
            <v>1942 D</v>
          </cell>
        </row>
        <row r="113">
          <cell r="A113" t="str">
            <v>1942 P</v>
          </cell>
        </row>
        <row r="114">
          <cell r="A114" t="str">
            <v>1942 S</v>
          </cell>
        </row>
        <row r="115">
          <cell r="A115" t="str">
            <v>1943 P</v>
          </cell>
        </row>
        <row r="116">
          <cell r="A116" t="str">
            <v>1943 D</v>
          </cell>
        </row>
        <row r="117">
          <cell r="A117" t="str">
            <v>1943 S</v>
          </cell>
        </row>
        <row r="118">
          <cell r="A118" t="str">
            <v>1944 P</v>
          </cell>
        </row>
        <row r="119">
          <cell r="A119" t="str">
            <v>1944 D</v>
          </cell>
        </row>
        <row r="120">
          <cell r="A120" t="str">
            <v>1944 S</v>
          </cell>
        </row>
        <row r="121">
          <cell r="A121" t="str">
            <v>1945 D</v>
          </cell>
        </row>
        <row r="122">
          <cell r="A122" t="str">
            <v>1945 S</v>
          </cell>
        </row>
        <row r="123">
          <cell r="A123">
            <v>1946</v>
          </cell>
        </row>
        <row r="124">
          <cell r="A124" t="str">
            <v>1946 D</v>
          </cell>
        </row>
        <row r="125">
          <cell r="A125" t="str">
            <v>1946 S</v>
          </cell>
        </row>
        <row r="126">
          <cell r="A126">
            <v>1947</v>
          </cell>
        </row>
        <row r="127">
          <cell r="A127" t="str">
            <v>1947 D</v>
          </cell>
        </row>
        <row r="128">
          <cell r="A128" t="str">
            <v>1947 S</v>
          </cell>
        </row>
        <row r="129">
          <cell r="A129">
            <v>1948</v>
          </cell>
        </row>
        <row r="130">
          <cell r="A130" t="str">
            <v>1948 D</v>
          </cell>
        </row>
        <row r="131">
          <cell r="A131" t="str">
            <v>1948 S</v>
          </cell>
        </row>
        <row r="132">
          <cell r="A132">
            <v>1949</v>
          </cell>
        </row>
        <row r="133">
          <cell r="A133" t="str">
            <v>1949 D</v>
          </cell>
        </row>
        <row r="134">
          <cell r="A134" t="str">
            <v>1949 S</v>
          </cell>
        </row>
        <row r="135">
          <cell r="A135">
            <v>1950</v>
          </cell>
        </row>
        <row r="136">
          <cell r="A136" t="str">
            <v>1950 D</v>
          </cell>
        </row>
        <row r="137">
          <cell r="A137">
            <v>1951</v>
          </cell>
        </row>
        <row r="138">
          <cell r="A138" t="str">
            <v>1951 D</v>
          </cell>
        </row>
        <row r="139">
          <cell r="A139" t="str">
            <v>1951 S</v>
          </cell>
        </row>
        <row r="140">
          <cell r="A140">
            <v>1952</v>
          </cell>
        </row>
        <row r="141">
          <cell r="A141" t="str">
            <v>1952 D</v>
          </cell>
        </row>
        <row r="142">
          <cell r="A142" t="str">
            <v>1952 S</v>
          </cell>
        </row>
        <row r="143">
          <cell r="A143">
            <v>1953</v>
          </cell>
        </row>
        <row r="144">
          <cell r="A144" t="str">
            <v>1953 D</v>
          </cell>
        </row>
        <row r="145">
          <cell r="A145" t="str">
            <v>1953 S</v>
          </cell>
        </row>
        <row r="146">
          <cell r="A146">
            <v>1954</v>
          </cell>
        </row>
        <row r="147">
          <cell r="A147" t="str">
            <v>1954 D</v>
          </cell>
        </row>
        <row r="148">
          <cell r="A148" t="str">
            <v>1954 S</v>
          </cell>
        </row>
        <row r="149">
          <cell r="A149">
            <v>1955</v>
          </cell>
        </row>
        <row r="150">
          <cell r="A150" t="str">
            <v>1955 D</v>
          </cell>
        </row>
        <row r="151">
          <cell r="A151">
            <v>1956</v>
          </cell>
        </row>
        <row r="152">
          <cell r="A152" t="str">
            <v>1956 D</v>
          </cell>
        </row>
        <row r="153">
          <cell r="A153">
            <v>1957</v>
          </cell>
        </row>
        <row r="154">
          <cell r="A154" t="str">
            <v>1957 D</v>
          </cell>
        </row>
        <row r="155">
          <cell r="A155">
            <v>1958</v>
          </cell>
        </row>
        <row r="156">
          <cell r="A156" t="str">
            <v>1958 D</v>
          </cell>
        </row>
        <row r="157">
          <cell r="A157">
            <v>1959</v>
          </cell>
        </row>
        <row r="158">
          <cell r="A158" t="str">
            <v>1959 D</v>
          </cell>
        </row>
        <row r="159">
          <cell r="A159">
            <v>1960</v>
          </cell>
        </row>
        <row r="160">
          <cell r="A160" t="str">
            <v>1960 D</v>
          </cell>
        </row>
        <row r="161">
          <cell r="A161">
            <v>1961</v>
          </cell>
        </row>
        <row r="162">
          <cell r="A162" t="str">
            <v>1961 D</v>
          </cell>
        </row>
        <row r="163">
          <cell r="A163">
            <v>1962</v>
          </cell>
        </row>
        <row r="164">
          <cell r="A164" t="str">
            <v>1962 D</v>
          </cell>
        </row>
        <row r="165">
          <cell r="A165">
            <v>1963</v>
          </cell>
        </row>
        <row r="166">
          <cell r="A166" t="str">
            <v>1963 D</v>
          </cell>
        </row>
        <row r="167">
          <cell r="A167">
            <v>1964</v>
          </cell>
        </row>
        <row r="168">
          <cell r="A168" t="str">
            <v>1964 D</v>
          </cell>
        </row>
        <row r="169">
          <cell r="A169">
            <v>1965</v>
          </cell>
        </row>
        <row r="170">
          <cell r="A170">
            <v>1966</v>
          </cell>
        </row>
        <row r="171">
          <cell r="A171">
            <v>1967</v>
          </cell>
        </row>
        <row r="172">
          <cell r="A172" t="str">
            <v>1968 D</v>
          </cell>
        </row>
        <row r="173">
          <cell r="A173" t="str">
            <v>1968 S</v>
          </cell>
        </row>
        <row r="174">
          <cell r="A174" t="str">
            <v>1969 D</v>
          </cell>
        </row>
        <row r="175">
          <cell r="A175" t="str">
            <v>1969 S</v>
          </cell>
        </row>
        <row r="176">
          <cell r="A176" t="str">
            <v>1970D</v>
          </cell>
        </row>
        <row r="177">
          <cell r="A177" t="str">
            <v>1950 S</v>
          </cell>
        </row>
        <row r="178">
          <cell r="A178">
            <v>1971</v>
          </cell>
        </row>
        <row r="179">
          <cell r="A179" t="str">
            <v>1971 D</v>
          </cell>
        </row>
        <row r="180">
          <cell r="A180" t="str">
            <v>1971 S</v>
          </cell>
        </row>
        <row r="181">
          <cell r="A181">
            <v>1972</v>
          </cell>
        </row>
        <row r="182">
          <cell r="A182" t="str">
            <v>1972 D</v>
          </cell>
        </row>
        <row r="183">
          <cell r="A183" t="str">
            <v>1972 S</v>
          </cell>
        </row>
        <row r="184">
          <cell r="A184">
            <v>1973</v>
          </cell>
        </row>
        <row r="185">
          <cell r="A185" t="str">
            <v>1973 D</v>
          </cell>
        </row>
        <row r="186">
          <cell r="A186" t="str">
            <v>1973 S</v>
          </cell>
        </row>
        <row r="187">
          <cell r="A187">
            <v>1974</v>
          </cell>
        </row>
        <row r="188">
          <cell r="A188" t="str">
            <v>1974 D</v>
          </cell>
        </row>
        <row r="189">
          <cell r="A189" t="str">
            <v>1974 S</v>
          </cell>
        </row>
        <row r="190">
          <cell r="A190">
            <v>1975</v>
          </cell>
        </row>
        <row r="191">
          <cell r="A191" t="str">
            <v>1975 D</v>
          </cell>
        </row>
        <row r="192">
          <cell r="A192" t="str">
            <v>1975 S</v>
          </cell>
        </row>
        <row r="193">
          <cell r="A193">
            <v>1976</v>
          </cell>
        </row>
        <row r="194">
          <cell r="A194" t="str">
            <v>1976 D</v>
          </cell>
        </row>
        <row r="195">
          <cell r="A195" t="str">
            <v>1976 S</v>
          </cell>
        </row>
        <row r="196">
          <cell r="A196">
            <v>1977</v>
          </cell>
        </row>
        <row r="197">
          <cell r="A197" t="str">
            <v>1977 D</v>
          </cell>
        </row>
        <row r="198">
          <cell r="A198" t="str">
            <v>1977 S</v>
          </cell>
        </row>
        <row r="199">
          <cell r="A199">
            <v>1978</v>
          </cell>
        </row>
        <row r="200">
          <cell r="A200" t="str">
            <v>1978 D</v>
          </cell>
        </row>
        <row r="201">
          <cell r="A201" t="str">
            <v>1978 S</v>
          </cell>
        </row>
        <row r="202">
          <cell r="A202">
            <v>1979</v>
          </cell>
        </row>
        <row r="203">
          <cell r="A203" t="str">
            <v>1979 D</v>
          </cell>
        </row>
        <row r="204">
          <cell r="A204" t="str">
            <v>1979 S</v>
          </cell>
        </row>
        <row r="205">
          <cell r="A205" t="str">
            <v>1979 S</v>
          </cell>
        </row>
        <row r="206">
          <cell r="A206" t="str">
            <v>1980 P</v>
          </cell>
        </row>
        <row r="207">
          <cell r="A207" t="str">
            <v>1980 S</v>
          </cell>
        </row>
        <row r="208">
          <cell r="A208" t="str">
            <v>1981 P</v>
          </cell>
        </row>
        <row r="209">
          <cell r="A209" t="str">
            <v>1981 D</v>
          </cell>
        </row>
        <row r="210">
          <cell r="A210" t="str">
            <v>1981 S</v>
          </cell>
        </row>
        <row r="211">
          <cell r="A211" t="str">
            <v>1981 S</v>
          </cell>
        </row>
        <row r="212">
          <cell r="A212" t="str">
            <v>1982 P</v>
          </cell>
        </row>
        <row r="213">
          <cell r="A213" t="str">
            <v>1982 D</v>
          </cell>
        </row>
        <row r="214">
          <cell r="A214" t="str">
            <v>1982 S</v>
          </cell>
        </row>
        <row r="215">
          <cell r="A215" t="str">
            <v>1983 P</v>
          </cell>
        </row>
        <row r="216">
          <cell r="A216" t="str">
            <v>1983 D</v>
          </cell>
        </row>
        <row r="217">
          <cell r="A217" t="str">
            <v>1983 S</v>
          </cell>
        </row>
        <row r="218">
          <cell r="A218" t="str">
            <v>1984 P</v>
          </cell>
        </row>
        <row r="219">
          <cell r="A219" t="str">
            <v>1984 D</v>
          </cell>
        </row>
        <row r="220">
          <cell r="A220" t="str">
            <v>1984 S</v>
          </cell>
        </row>
        <row r="221">
          <cell r="A221" t="str">
            <v>1985 P</v>
          </cell>
        </row>
        <row r="222">
          <cell r="A222" t="str">
            <v>1985 D</v>
          </cell>
        </row>
        <row r="223">
          <cell r="A223" t="str">
            <v>1985 S</v>
          </cell>
        </row>
        <row r="224">
          <cell r="A224" t="str">
            <v>1986 P</v>
          </cell>
        </row>
        <row r="225">
          <cell r="A225" t="str">
            <v>1986 D</v>
          </cell>
        </row>
        <row r="226">
          <cell r="A226" t="str">
            <v>1986 S</v>
          </cell>
        </row>
        <row r="227">
          <cell r="A227" t="str">
            <v>1987 P</v>
          </cell>
        </row>
        <row r="228">
          <cell r="A228" t="str">
            <v>1987 D</v>
          </cell>
        </row>
        <row r="229">
          <cell r="A229" t="str">
            <v>1987 S</v>
          </cell>
        </row>
        <row r="230">
          <cell r="A230" t="str">
            <v>1988 P</v>
          </cell>
        </row>
        <row r="231">
          <cell r="A231" t="str">
            <v>1988 D</v>
          </cell>
        </row>
        <row r="232">
          <cell r="A232" t="str">
            <v>1988 S</v>
          </cell>
        </row>
        <row r="233">
          <cell r="A233" t="str">
            <v>1989 P</v>
          </cell>
        </row>
        <row r="234">
          <cell r="A234" t="str">
            <v>1989 D</v>
          </cell>
        </row>
        <row r="235">
          <cell r="A235" t="str">
            <v>1989 S</v>
          </cell>
        </row>
        <row r="236">
          <cell r="A236" t="str">
            <v>1990 P</v>
          </cell>
        </row>
        <row r="237">
          <cell r="A237" t="str">
            <v>1990 D</v>
          </cell>
        </row>
        <row r="238">
          <cell r="A238" t="str">
            <v>1990 S</v>
          </cell>
        </row>
        <row r="239">
          <cell r="A239" t="str">
            <v>1991 P</v>
          </cell>
        </row>
        <row r="240">
          <cell r="A240" t="str">
            <v>1991 D</v>
          </cell>
        </row>
        <row r="241">
          <cell r="A241" t="str">
            <v>1991 S</v>
          </cell>
        </row>
        <row r="242">
          <cell r="A242" t="str">
            <v>1992 P</v>
          </cell>
        </row>
        <row r="243">
          <cell r="A243" t="str">
            <v>1992 D</v>
          </cell>
        </row>
        <row r="244">
          <cell r="A244" t="str">
            <v>1992 S</v>
          </cell>
        </row>
        <row r="245">
          <cell r="A245" t="str">
            <v>1993 P</v>
          </cell>
        </row>
        <row r="246">
          <cell r="A246" t="str">
            <v>1993 D</v>
          </cell>
        </row>
        <row r="247">
          <cell r="A247" t="str">
            <v>1993 S</v>
          </cell>
        </row>
        <row r="248">
          <cell r="A248" t="str">
            <v>1994 P</v>
          </cell>
        </row>
        <row r="249">
          <cell r="A249" t="str">
            <v>1994 D</v>
          </cell>
        </row>
        <row r="250">
          <cell r="A250" t="str">
            <v>1994 S</v>
          </cell>
        </row>
        <row r="251">
          <cell r="A251" t="str">
            <v>1995 P</v>
          </cell>
        </row>
        <row r="252">
          <cell r="A252" t="str">
            <v>1995 D</v>
          </cell>
        </row>
        <row r="253">
          <cell r="A253" t="str">
            <v>1995 S</v>
          </cell>
        </row>
        <row r="254">
          <cell r="A254" t="str">
            <v>1996 P</v>
          </cell>
        </row>
        <row r="255">
          <cell r="A255" t="str">
            <v>1996 D</v>
          </cell>
        </row>
        <row r="256">
          <cell r="A256" t="str">
            <v>1996 S</v>
          </cell>
        </row>
        <row r="257">
          <cell r="A257" t="str">
            <v>1997 P</v>
          </cell>
        </row>
        <row r="258">
          <cell r="A258" t="str">
            <v>1997 D</v>
          </cell>
        </row>
        <row r="259">
          <cell r="A259" t="str">
            <v>1997 S</v>
          </cell>
        </row>
        <row r="260">
          <cell r="A260" t="str">
            <v>1998 P</v>
          </cell>
        </row>
        <row r="261">
          <cell r="A261" t="str">
            <v>1998 D</v>
          </cell>
        </row>
        <row r="262">
          <cell r="A262" t="str">
            <v>1998 S</v>
          </cell>
        </row>
        <row r="263">
          <cell r="A263" t="str">
            <v>1999 P</v>
          </cell>
        </row>
        <row r="264">
          <cell r="A264" t="str">
            <v>1999 D</v>
          </cell>
        </row>
        <row r="265">
          <cell r="A265" t="str">
            <v>1999 S</v>
          </cell>
        </row>
        <row r="266">
          <cell r="A266" t="str">
            <v>2000 P</v>
          </cell>
        </row>
        <row r="267">
          <cell r="A267" t="str">
            <v>2000 D</v>
          </cell>
        </row>
        <row r="268">
          <cell r="A268" t="str">
            <v>2000 S</v>
          </cell>
        </row>
        <row r="269">
          <cell r="A269" t="str">
            <v>2001 P</v>
          </cell>
        </row>
        <row r="270">
          <cell r="A270" t="str">
            <v>2001 D</v>
          </cell>
        </row>
        <row r="271">
          <cell r="A271" t="str">
            <v>2001 S</v>
          </cell>
        </row>
        <row r="272">
          <cell r="A272" t="str">
            <v>2002 P</v>
          </cell>
        </row>
        <row r="273">
          <cell r="A273" t="str">
            <v>2002 D</v>
          </cell>
        </row>
        <row r="274">
          <cell r="A274" t="str">
            <v>2002 S</v>
          </cell>
        </row>
        <row r="275">
          <cell r="A275" t="str">
            <v>2003 P</v>
          </cell>
        </row>
        <row r="276">
          <cell r="A276" t="str">
            <v>2003 D</v>
          </cell>
        </row>
        <row r="277">
          <cell r="A277" t="str">
            <v>2003 S</v>
          </cell>
        </row>
        <row r="278">
          <cell r="A278" t="str">
            <v>2004 P</v>
          </cell>
        </row>
        <row r="279">
          <cell r="A279" t="str">
            <v>2004 D</v>
          </cell>
        </row>
        <row r="280">
          <cell r="A280" t="str">
            <v>2004 S</v>
          </cell>
        </row>
        <row r="281">
          <cell r="A281" t="str">
            <v>2005 P</v>
          </cell>
        </row>
        <row r="282">
          <cell r="A282" t="str">
            <v>2005 D</v>
          </cell>
        </row>
        <row r="283">
          <cell r="A283" t="str">
            <v>2005 S</v>
          </cell>
        </row>
        <row r="284">
          <cell r="A284" t="str">
            <v>2006 P</v>
          </cell>
        </row>
        <row r="285">
          <cell r="A285" t="str">
            <v>2006 D</v>
          </cell>
        </row>
        <row r="286">
          <cell r="A286" t="str">
            <v>2006 S</v>
          </cell>
        </row>
        <row r="287">
          <cell r="A287" t="str">
            <v>2007 P</v>
          </cell>
        </row>
        <row r="288">
          <cell r="A288" t="str">
            <v>2007 D</v>
          </cell>
        </row>
        <row r="289">
          <cell r="A289" t="str">
            <v>2007 S</v>
          </cell>
        </row>
        <row r="290">
          <cell r="A290" t="str">
            <v>2008 P</v>
          </cell>
        </row>
        <row r="291">
          <cell r="A291" t="str">
            <v>2008 D</v>
          </cell>
        </row>
        <row r="292">
          <cell r="A292" t="str">
            <v>2008 S</v>
          </cell>
        </row>
        <row r="293">
          <cell r="A293" t="str">
            <v>2009 P</v>
          </cell>
        </row>
        <row r="294">
          <cell r="A294" t="str">
            <v>2009 D</v>
          </cell>
        </row>
        <row r="295">
          <cell r="A295" t="str">
            <v>2009 S</v>
          </cell>
        </row>
        <row r="296">
          <cell r="A296" t="str">
            <v>2010 P</v>
          </cell>
        </row>
        <row r="297">
          <cell r="A297" t="str">
            <v>2010 D</v>
          </cell>
        </row>
        <row r="298">
          <cell r="A298" t="str">
            <v>2010 S</v>
          </cell>
        </row>
        <row r="299">
          <cell r="A299" t="str">
            <v>2011 P</v>
          </cell>
        </row>
        <row r="300">
          <cell r="A300" t="str">
            <v>2011 D</v>
          </cell>
        </row>
        <row r="301">
          <cell r="A301" t="str">
            <v>2011 S</v>
          </cell>
        </row>
        <row r="302">
          <cell r="A302" t="str">
            <v>2012 P</v>
          </cell>
        </row>
        <row r="303">
          <cell r="A303" t="str">
            <v>2012 D</v>
          </cell>
        </row>
        <row r="304">
          <cell r="A304" t="str">
            <v>2012 S</v>
          </cell>
        </row>
        <row r="305">
          <cell r="A305" t="str">
            <v>2013 P</v>
          </cell>
        </row>
        <row r="306">
          <cell r="A306" t="str">
            <v>2013 D</v>
          </cell>
        </row>
        <row r="307">
          <cell r="A307" t="str">
            <v>2013 S</v>
          </cell>
        </row>
        <row r="308">
          <cell r="A308" t="str">
            <v>2014 P</v>
          </cell>
        </row>
        <row r="309">
          <cell r="A309" t="str">
            <v>2014 D</v>
          </cell>
        </row>
        <row r="310">
          <cell r="A310" t="str">
            <v>2014 S</v>
          </cell>
        </row>
        <row r="311">
          <cell r="A311" t="str">
            <v>2015 P</v>
          </cell>
        </row>
        <row r="312">
          <cell r="A312" t="str">
            <v>2015 D</v>
          </cell>
        </row>
        <row r="313">
          <cell r="A313" t="str">
            <v>2015 S</v>
          </cell>
        </row>
        <row r="314">
          <cell r="A314" t="str">
            <v>2016 P</v>
          </cell>
        </row>
        <row r="315">
          <cell r="A315" t="str">
            <v>2016 D</v>
          </cell>
        </row>
        <row r="316">
          <cell r="A316" t="str">
            <v>2016 S</v>
          </cell>
        </row>
        <row r="317">
          <cell r="A317" t="str">
            <v>2017 P</v>
          </cell>
        </row>
        <row r="318">
          <cell r="A318" t="str">
            <v>2017 D</v>
          </cell>
        </row>
        <row r="319">
          <cell r="A319" t="str">
            <v>2017 S</v>
          </cell>
        </row>
        <row r="320">
          <cell r="A320" t="str">
            <v>2018 P</v>
          </cell>
        </row>
        <row r="321">
          <cell r="A321" t="str">
            <v>2018 D</v>
          </cell>
        </row>
        <row r="322">
          <cell r="A322" t="str">
            <v>2018 S</v>
          </cell>
        </row>
        <row r="323">
          <cell r="A323" t="str">
            <v>2019 P</v>
          </cell>
        </row>
        <row r="324">
          <cell r="A324" t="str">
            <v>2019 D</v>
          </cell>
        </row>
        <row r="325">
          <cell r="A325" t="str">
            <v>2019 S</v>
          </cell>
        </row>
        <row r="326">
          <cell r="A326" t="str">
            <v>2020 P</v>
          </cell>
        </row>
        <row r="327">
          <cell r="A327" t="str">
            <v>2020 D</v>
          </cell>
        </row>
        <row r="328">
          <cell r="A328" t="str">
            <v>2020 S</v>
          </cell>
        </row>
        <row r="329">
          <cell r="A329" t="str">
            <v>2020 W</v>
          </cell>
        </row>
        <row r="330">
          <cell r="A330" t="str">
            <v xml:space="preserve">2020 W </v>
          </cell>
        </row>
        <row r="331">
          <cell r="A331" t="str">
            <v>2021 P</v>
          </cell>
        </row>
        <row r="332">
          <cell r="A332" t="str">
            <v>2021 D</v>
          </cell>
        </row>
        <row r="333">
          <cell r="A333" t="str">
            <v>2021 S</v>
          </cell>
        </row>
        <row r="334">
          <cell r="A334" t="str">
            <v>2022 P</v>
          </cell>
        </row>
        <row r="335">
          <cell r="A335" t="str">
            <v>2022 D</v>
          </cell>
        </row>
        <row r="336">
          <cell r="A336" t="str">
            <v>2022 S</v>
          </cell>
        </row>
        <row r="337">
          <cell r="A337" t="str">
            <v>2023 P</v>
          </cell>
        </row>
        <row r="338">
          <cell r="A338" t="str">
            <v>2023 D</v>
          </cell>
        </row>
        <row r="339">
          <cell r="A339" t="str">
            <v>2023 S</v>
          </cell>
        </row>
        <row r="340">
          <cell r="A340" t="str">
            <v>2024 P</v>
          </cell>
        </row>
        <row r="341">
          <cell r="A341" t="str">
            <v>2024 D</v>
          </cell>
        </row>
        <row r="342">
          <cell r="A342" t="str">
            <v>2024 S</v>
          </cell>
        </row>
        <row r="343">
          <cell r="A343" t="str">
            <v>2025 P</v>
          </cell>
        </row>
        <row r="344">
          <cell r="A344" t="str">
            <v>2025 D</v>
          </cell>
        </row>
        <row r="345">
          <cell r="A345" t="str">
            <v>2025 S</v>
          </cell>
        </row>
        <row r="380">
          <cell r="A380">
            <v>89</v>
          </cell>
        </row>
      </sheetData>
      <sheetData sheetId="4"/>
      <sheetData sheetId="5">
        <row r="2">
          <cell r="A2">
            <v>1913</v>
          </cell>
        </row>
        <row r="3">
          <cell r="A3" t="str">
            <v>1913 D</v>
          </cell>
        </row>
        <row r="4">
          <cell r="A4" t="str">
            <v>1913 S</v>
          </cell>
        </row>
        <row r="5">
          <cell r="A5">
            <v>1913</v>
          </cell>
        </row>
        <row r="6">
          <cell r="A6" t="str">
            <v>1913 D</v>
          </cell>
        </row>
        <row r="7">
          <cell r="A7" t="str">
            <v>1913 S</v>
          </cell>
        </row>
        <row r="8">
          <cell r="A8">
            <v>1914</v>
          </cell>
        </row>
        <row r="9">
          <cell r="A9" t="str">
            <v>1914 D</v>
          </cell>
        </row>
        <row r="10">
          <cell r="A10" t="str">
            <v>1914 S</v>
          </cell>
        </row>
        <row r="11">
          <cell r="A11">
            <v>1915</v>
          </cell>
        </row>
        <row r="12">
          <cell r="A12" t="str">
            <v>1915 D</v>
          </cell>
        </row>
        <row r="13">
          <cell r="A13" t="str">
            <v>1915 S</v>
          </cell>
        </row>
        <row r="14">
          <cell r="A14">
            <v>1916</v>
          </cell>
        </row>
        <row r="15">
          <cell r="A15" t="str">
            <v>1916 D</v>
          </cell>
        </row>
        <row r="16">
          <cell r="A16" t="str">
            <v>1916 S</v>
          </cell>
        </row>
        <row r="17">
          <cell r="A17">
            <v>1917</v>
          </cell>
        </row>
        <row r="18">
          <cell r="A18" t="str">
            <v>1917 D</v>
          </cell>
        </row>
        <row r="19">
          <cell r="A19" t="str">
            <v>1917 S</v>
          </cell>
        </row>
        <row r="20">
          <cell r="A20">
            <v>1918</v>
          </cell>
        </row>
        <row r="21">
          <cell r="A21" t="str">
            <v>1918 D</v>
          </cell>
        </row>
        <row r="22">
          <cell r="A22" t="str">
            <v>1918 S</v>
          </cell>
        </row>
        <row r="23">
          <cell r="A23">
            <v>1919</v>
          </cell>
        </row>
        <row r="24">
          <cell r="A24" t="str">
            <v>1919 D</v>
          </cell>
        </row>
        <row r="25">
          <cell r="A25" t="str">
            <v>1919 S</v>
          </cell>
        </row>
        <row r="26">
          <cell r="A26">
            <v>1920</v>
          </cell>
        </row>
        <row r="27">
          <cell r="A27" t="str">
            <v>1920 D</v>
          </cell>
        </row>
        <row r="28">
          <cell r="A28" t="str">
            <v>1920 S</v>
          </cell>
        </row>
        <row r="29">
          <cell r="A29">
            <v>1921</v>
          </cell>
        </row>
        <row r="30">
          <cell r="A30" t="str">
            <v>1921 S</v>
          </cell>
        </row>
        <row r="31">
          <cell r="A31">
            <v>1923</v>
          </cell>
        </row>
        <row r="32">
          <cell r="A32" t="str">
            <v>1923 S</v>
          </cell>
        </row>
        <row r="33">
          <cell r="A33">
            <v>1924</v>
          </cell>
        </row>
        <row r="34">
          <cell r="A34" t="str">
            <v>1924 D</v>
          </cell>
        </row>
        <row r="35">
          <cell r="A35" t="str">
            <v>1924 S</v>
          </cell>
        </row>
        <row r="36">
          <cell r="A36">
            <v>1925</v>
          </cell>
        </row>
        <row r="37">
          <cell r="A37" t="str">
            <v>1925 D</v>
          </cell>
        </row>
        <row r="38">
          <cell r="A38" t="str">
            <v>1925 S</v>
          </cell>
        </row>
        <row r="39">
          <cell r="A39">
            <v>1926</v>
          </cell>
        </row>
        <row r="40">
          <cell r="A40" t="str">
            <v>1926 D</v>
          </cell>
        </row>
        <row r="41">
          <cell r="A41" t="str">
            <v>1926 S</v>
          </cell>
        </row>
        <row r="42">
          <cell r="A42">
            <v>1927</v>
          </cell>
        </row>
        <row r="43">
          <cell r="A43" t="str">
            <v>1927 D</v>
          </cell>
        </row>
        <row r="44">
          <cell r="A44" t="str">
            <v>1927 S</v>
          </cell>
        </row>
        <row r="45">
          <cell r="A45">
            <v>1928</v>
          </cell>
        </row>
        <row r="46">
          <cell r="A46" t="str">
            <v>1928 D</v>
          </cell>
        </row>
        <row r="47">
          <cell r="A47" t="str">
            <v>1928 S</v>
          </cell>
        </row>
        <row r="48">
          <cell r="A48">
            <v>1929</v>
          </cell>
        </row>
        <row r="49">
          <cell r="A49" t="str">
            <v>1929 D</v>
          </cell>
        </row>
        <row r="50">
          <cell r="A50" t="str">
            <v>1929 S</v>
          </cell>
        </row>
        <row r="51">
          <cell r="A51">
            <v>1930</v>
          </cell>
        </row>
        <row r="52">
          <cell r="A52" t="str">
            <v>1930 S</v>
          </cell>
        </row>
        <row r="53">
          <cell r="A53" t="str">
            <v>1931 S</v>
          </cell>
        </row>
        <row r="54">
          <cell r="A54">
            <v>1934</v>
          </cell>
        </row>
        <row r="55">
          <cell r="A55" t="str">
            <v>1934 D</v>
          </cell>
        </row>
        <row r="56">
          <cell r="A56">
            <v>1935</v>
          </cell>
        </row>
        <row r="57">
          <cell r="A57" t="str">
            <v>1935 D</v>
          </cell>
        </row>
        <row r="58">
          <cell r="A58" t="str">
            <v>1935 S</v>
          </cell>
        </row>
        <row r="59">
          <cell r="A59">
            <v>1936</v>
          </cell>
        </row>
        <row r="60">
          <cell r="A60" t="str">
            <v>1936 D</v>
          </cell>
        </row>
        <row r="61">
          <cell r="A61" t="str">
            <v>1936 S</v>
          </cell>
        </row>
        <row r="62">
          <cell r="A62">
            <v>1937</v>
          </cell>
        </row>
        <row r="63">
          <cell r="A63" t="str">
            <v>1937 D</v>
          </cell>
        </row>
        <row r="64">
          <cell r="A64" t="str">
            <v>1937 S</v>
          </cell>
        </row>
        <row r="65">
          <cell r="A65">
            <v>1938</v>
          </cell>
        </row>
        <row r="66">
          <cell r="A66" t="str">
            <v>1938 D</v>
          </cell>
        </row>
        <row r="67">
          <cell r="A67" t="str">
            <v>1938 S</v>
          </cell>
        </row>
        <row r="68">
          <cell r="A68">
            <v>1939</v>
          </cell>
        </row>
        <row r="69">
          <cell r="A69" t="str">
            <v>1939 D</v>
          </cell>
        </row>
        <row r="70">
          <cell r="A70" t="str">
            <v>1939 S</v>
          </cell>
        </row>
        <row r="71">
          <cell r="A71">
            <v>1940</v>
          </cell>
        </row>
        <row r="72">
          <cell r="A72" t="str">
            <v>1940 D</v>
          </cell>
        </row>
        <row r="73">
          <cell r="A73" t="str">
            <v>1940 S</v>
          </cell>
        </row>
        <row r="74">
          <cell r="A74">
            <v>1941</v>
          </cell>
        </row>
        <row r="75">
          <cell r="A75" t="str">
            <v>1941 D</v>
          </cell>
        </row>
        <row r="76">
          <cell r="A76" t="str">
            <v>1941 S</v>
          </cell>
        </row>
        <row r="77">
          <cell r="A77">
            <v>1942</v>
          </cell>
        </row>
        <row r="78">
          <cell r="A78" t="str">
            <v>1942 D</v>
          </cell>
        </row>
        <row r="79">
          <cell r="A79" t="str">
            <v>1942 P Silver</v>
          </cell>
        </row>
        <row r="80">
          <cell r="A80" t="str">
            <v>1942 S Silver</v>
          </cell>
        </row>
        <row r="81">
          <cell r="A81" t="str">
            <v>1943 P Silver</v>
          </cell>
        </row>
        <row r="82">
          <cell r="A82" t="str">
            <v>1943 D Silver</v>
          </cell>
        </row>
        <row r="83">
          <cell r="A83" t="str">
            <v>1943 S Silver</v>
          </cell>
        </row>
        <row r="84">
          <cell r="A84" t="str">
            <v>1944 P Silver</v>
          </cell>
        </row>
        <row r="85">
          <cell r="A85" t="str">
            <v>1944 D Silver</v>
          </cell>
        </row>
        <row r="86">
          <cell r="A86" t="str">
            <v>1944 S Silver</v>
          </cell>
        </row>
        <row r="87">
          <cell r="A87" t="str">
            <v>1945 P Silver</v>
          </cell>
        </row>
        <row r="88">
          <cell r="A88" t="str">
            <v>1945 D Silver</v>
          </cell>
        </row>
        <row r="89">
          <cell r="A89" t="str">
            <v>1945 S Silver</v>
          </cell>
        </row>
        <row r="90">
          <cell r="A90">
            <v>1946</v>
          </cell>
        </row>
        <row r="91">
          <cell r="A91" t="str">
            <v>1946 D</v>
          </cell>
        </row>
        <row r="92">
          <cell r="A92" t="str">
            <v>1946 S</v>
          </cell>
        </row>
        <row r="93">
          <cell r="A93">
            <v>1947</v>
          </cell>
        </row>
        <row r="94">
          <cell r="A94" t="str">
            <v>1947 D</v>
          </cell>
        </row>
        <row r="95">
          <cell r="A95" t="str">
            <v>1947 S</v>
          </cell>
        </row>
        <row r="96">
          <cell r="A96">
            <v>1948</v>
          </cell>
        </row>
        <row r="97">
          <cell r="A97" t="str">
            <v>1948 D</v>
          </cell>
        </row>
        <row r="98">
          <cell r="A98" t="str">
            <v>1948 S</v>
          </cell>
        </row>
        <row r="99">
          <cell r="A99">
            <v>1949</v>
          </cell>
        </row>
        <row r="100">
          <cell r="A100" t="str">
            <v>1949 D</v>
          </cell>
        </row>
        <row r="101">
          <cell r="A101" t="str">
            <v>1949 S</v>
          </cell>
        </row>
        <row r="102">
          <cell r="A102">
            <v>1950</v>
          </cell>
        </row>
        <row r="103">
          <cell r="A103" t="str">
            <v>1950 D</v>
          </cell>
        </row>
        <row r="104">
          <cell r="A104">
            <v>1951</v>
          </cell>
        </row>
        <row r="105">
          <cell r="A105" t="str">
            <v>1951 D</v>
          </cell>
        </row>
        <row r="106">
          <cell r="A106" t="str">
            <v>1951 S</v>
          </cell>
        </row>
        <row r="107">
          <cell r="A107">
            <v>1952</v>
          </cell>
        </row>
        <row r="108">
          <cell r="A108" t="str">
            <v>1952 D</v>
          </cell>
        </row>
        <row r="109">
          <cell r="A109" t="str">
            <v>1952 S</v>
          </cell>
        </row>
        <row r="110">
          <cell r="A110">
            <v>1953</v>
          </cell>
        </row>
        <row r="111">
          <cell r="A111" t="str">
            <v>1953 D</v>
          </cell>
        </row>
        <row r="112">
          <cell r="A112" t="str">
            <v>1953 S</v>
          </cell>
        </row>
        <row r="113">
          <cell r="A113">
            <v>1954</v>
          </cell>
        </row>
        <row r="114">
          <cell r="A114" t="str">
            <v>1954 D</v>
          </cell>
        </row>
        <row r="115">
          <cell r="A115" t="str">
            <v>1954 S</v>
          </cell>
        </row>
        <row r="116">
          <cell r="A116">
            <v>1955</v>
          </cell>
        </row>
        <row r="117">
          <cell r="A117" t="str">
            <v>1955 D</v>
          </cell>
        </row>
        <row r="118">
          <cell r="A118">
            <v>1956</v>
          </cell>
        </row>
        <row r="119">
          <cell r="A119" t="str">
            <v>1956 D</v>
          </cell>
        </row>
        <row r="120">
          <cell r="A120">
            <v>1957</v>
          </cell>
        </row>
        <row r="121">
          <cell r="A121" t="str">
            <v>1957 D</v>
          </cell>
        </row>
        <row r="122">
          <cell r="A122">
            <v>1958</v>
          </cell>
        </row>
        <row r="123">
          <cell r="A123" t="str">
            <v>1958 D</v>
          </cell>
        </row>
        <row r="124">
          <cell r="A124">
            <v>1959</v>
          </cell>
        </row>
        <row r="125">
          <cell r="A125" t="str">
            <v>1959 D</v>
          </cell>
        </row>
        <row r="126">
          <cell r="A126">
            <v>1960</v>
          </cell>
        </row>
        <row r="127">
          <cell r="A127" t="str">
            <v>1960 D</v>
          </cell>
        </row>
        <row r="128">
          <cell r="A128">
            <v>1961</v>
          </cell>
        </row>
        <row r="129">
          <cell r="A129" t="str">
            <v>1961 D</v>
          </cell>
        </row>
        <row r="130">
          <cell r="A130">
            <v>1962</v>
          </cell>
        </row>
        <row r="131">
          <cell r="A131" t="str">
            <v>1962 D</v>
          </cell>
        </row>
        <row r="132">
          <cell r="A132">
            <v>1963</v>
          </cell>
        </row>
        <row r="133">
          <cell r="A133" t="str">
            <v>1963 D</v>
          </cell>
        </row>
        <row r="134">
          <cell r="A134">
            <v>1964</v>
          </cell>
        </row>
        <row r="135">
          <cell r="A135" t="str">
            <v>1964 D</v>
          </cell>
        </row>
        <row r="136">
          <cell r="A136">
            <v>1965</v>
          </cell>
        </row>
        <row r="137">
          <cell r="A137">
            <v>1966</v>
          </cell>
        </row>
        <row r="138">
          <cell r="A138">
            <v>1967</v>
          </cell>
        </row>
        <row r="139">
          <cell r="A139" t="str">
            <v>1968 D</v>
          </cell>
        </row>
        <row r="140">
          <cell r="A140" t="str">
            <v>1968 S</v>
          </cell>
        </row>
        <row r="141">
          <cell r="A141" t="str">
            <v>1969 D</v>
          </cell>
        </row>
        <row r="142">
          <cell r="A142" t="str">
            <v>1969 S</v>
          </cell>
        </row>
        <row r="143">
          <cell r="A143" t="str">
            <v>1970 D</v>
          </cell>
        </row>
        <row r="144">
          <cell r="A144" t="str">
            <v>1970 S</v>
          </cell>
        </row>
        <row r="145">
          <cell r="A145">
            <v>1971</v>
          </cell>
        </row>
        <row r="146">
          <cell r="A146" t="str">
            <v>1971 D</v>
          </cell>
        </row>
        <row r="147">
          <cell r="A147">
            <v>1972</v>
          </cell>
        </row>
        <row r="148">
          <cell r="A148" t="str">
            <v>1972 D</v>
          </cell>
        </row>
        <row r="149">
          <cell r="A149">
            <v>1973</v>
          </cell>
        </row>
        <row r="150">
          <cell r="A150" t="str">
            <v>1973 D</v>
          </cell>
        </row>
        <row r="151">
          <cell r="A151">
            <v>1974</v>
          </cell>
        </row>
        <row r="152">
          <cell r="A152" t="str">
            <v>1974 D</v>
          </cell>
        </row>
        <row r="153">
          <cell r="A153">
            <v>1975</v>
          </cell>
        </row>
        <row r="154">
          <cell r="A154" t="str">
            <v>1975 D</v>
          </cell>
        </row>
        <row r="155">
          <cell r="A155">
            <v>1976</v>
          </cell>
        </row>
        <row r="156">
          <cell r="A156" t="str">
            <v>1976 D</v>
          </cell>
        </row>
        <row r="157">
          <cell r="A157">
            <v>1977</v>
          </cell>
        </row>
        <row r="158">
          <cell r="A158" t="str">
            <v>1977 D</v>
          </cell>
        </row>
        <row r="159">
          <cell r="A159">
            <v>1978</v>
          </cell>
        </row>
        <row r="160">
          <cell r="A160" t="str">
            <v>1978 D</v>
          </cell>
        </row>
        <row r="161">
          <cell r="A161">
            <v>1979</v>
          </cell>
        </row>
        <row r="162">
          <cell r="A162" t="str">
            <v>1979 D</v>
          </cell>
        </row>
        <row r="163">
          <cell r="A163" t="str">
            <v>1980 P</v>
          </cell>
        </row>
        <row r="164">
          <cell r="A164" t="str">
            <v>1980 D</v>
          </cell>
        </row>
        <row r="165">
          <cell r="A165" t="str">
            <v>1981 P</v>
          </cell>
        </row>
        <row r="166">
          <cell r="A166" t="str">
            <v>1981 D</v>
          </cell>
        </row>
        <row r="167">
          <cell r="A167" t="str">
            <v>1982 P</v>
          </cell>
        </row>
        <row r="168">
          <cell r="A168" t="str">
            <v>1982 D</v>
          </cell>
        </row>
        <row r="169">
          <cell r="A169" t="str">
            <v>1983 P</v>
          </cell>
        </row>
        <row r="170">
          <cell r="A170" t="str">
            <v>1983 D</v>
          </cell>
        </row>
        <row r="171">
          <cell r="A171" t="str">
            <v>1984 P</v>
          </cell>
        </row>
        <row r="172">
          <cell r="A172" t="str">
            <v>1984 D</v>
          </cell>
        </row>
        <row r="173">
          <cell r="A173" t="str">
            <v>1985 P</v>
          </cell>
        </row>
        <row r="174">
          <cell r="A174" t="str">
            <v>1985 D</v>
          </cell>
        </row>
        <row r="175">
          <cell r="A175" t="str">
            <v>1986 P</v>
          </cell>
        </row>
        <row r="176">
          <cell r="A176" t="str">
            <v>1986 D</v>
          </cell>
        </row>
        <row r="177">
          <cell r="A177" t="str">
            <v>1987 P</v>
          </cell>
        </row>
        <row r="178">
          <cell r="A178" t="str">
            <v>1987 D</v>
          </cell>
        </row>
        <row r="179">
          <cell r="A179" t="str">
            <v>1988 P</v>
          </cell>
        </row>
        <row r="180">
          <cell r="A180" t="str">
            <v>1988 D</v>
          </cell>
        </row>
        <row r="181">
          <cell r="A181" t="str">
            <v>1989 P</v>
          </cell>
        </row>
        <row r="182">
          <cell r="A182" t="str">
            <v>1989 D</v>
          </cell>
        </row>
        <row r="183">
          <cell r="A183" t="str">
            <v>1990 P</v>
          </cell>
        </row>
        <row r="184">
          <cell r="A184" t="str">
            <v>1990 D</v>
          </cell>
        </row>
        <row r="185">
          <cell r="A185" t="str">
            <v>1991 P</v>
          </cell>
        </row>
        <row r="186">
          <cell r="A186" t="str">
            <v>1991 D</v>
          </cell>
        </row>
        <row r="187">
          <cell r="A187" t="str">
            <v>1992 P</v>
          </cell>
        </row>
        <row r="188">
          <cell r="A188" t="str">
            <v>1992 D</v>
          </cell>
        </row>
        <row r="189">
          <cell r="A189" t="str">
            <v>1993 P</v>
          </cell>
        </row>
        <row r="190">
          <cell r="A190" t="str">
            <v>1993 D</v>
          </cell>
        </row>
        <row r="191">
          <cell r="A191" t="str">
            <v>1994 P</v>
          </cell>
        </row>
        <row r="192">
          <cell r="A192" t="str">
            <v>1994 D</v>
          </cell>
        </row>
        <row r="193">
          <cell r="A193" t="str">
            <v>1995 P</v>
          </cell>
        </row>
        <row r="194">
          <cell r="A194" t="str">
            <v>1995 D</v>
          </cell>
        </row>
        <row r="195">
          <cell r="A195" t="str">
            <v>1996 P</v>
          </cell>
        </row>
        <row r="196">
          <cell r="A196" t="str">
            <v>1996 D</v>
          </cell>
        </row>
        <row r="197">
          <cell r="A197" t="str">
            <v>1997 P</v>
          </cell>
        </row>
        <row r="198">
          <cell r="A198" t="str">
            <v>1997 D</v>
          </cell>
        </row>
        <row r="199">
          <cell r="A199" t="str">
            <v>1998 P</v>
          </cell>
        </row>
        <row r="200">
          <cell r="A200" t="str">
            <v>1998 D</v>
          </cell>
        </row>
        <row r="201">
          <cell r="A201" t="str">
            <v>1999 P</v>
          </cell>
        </row>
        <row r="202">
          <cell r="A202" t="str">
            <v>1999 D</v>
          </cell>
        </row>
        <row r="203">
          <cell r="A203" t="str">
            <v>2000 P</v>
          </cell>
        </row>
        <row r="204">
          <cell r="A204" t="str">
            <v>2000 D</v>
          </cell>
        </row>
        <row r="205">
          <cell r="A205" t="str">
            <v>2001 P</v>
          </cell>
        </row>
        <row r="206">
          <cell r="A206" t="str">
            <v>2001 D</v>
          </cell>
        </row>
        <row r="207">
          <cell r="A207" t="str">
            <v>2002 P</v>
          </cell>
        </row>
        <row r="208">
          <cell r="A208" t="str">
            <v>2002 D</v>
          </cell>
        </row>
        <row r="209">
          <cell r="A209" t="str">
            <v>2003 P</v>
          </cell>
        </row>
        <row r="210">
          <cell r="A210" t="str">
            <v>2003 D</v>
          </cell>
        </row>
        <row r="211">
          <cell r="A211" t="str">
            <v>2004 P Peace Medal</v>
          </cell>
        </row>
        <row r="212">
          <cell r="A212" t="str">
            <v>2004 D Peace Medal</v>
          </cell>
        </row>
        <row r="213">
          <cell r="A213" t="str">
            <v>2004 P Keelboat</v>
          </cell>
        </row>
        <row r="214">
          <cell r="A214" t="str">
            <v>2004 D Keelboat</v>
          </cell>
        </row>
        <row r="215">
          <cell r="A215" t="str">
            <v>2005 P Bison</v>
          </cell>
        </row>
        <row r="216">
          <cell r="A216" t="str">
            <v>2005 D Bison</v>
          </cell>
        </row>
        <row r="217">
          <cell r="A217" t="str">
            <v>2005 P Ocean</v>
          </cell>
        </row>
        <row r="218">
          <cell r="A218" t="str">
            <v>2005 D Ocean</v>
          </cell>
        </row>
        <row r="219">
          <cell r="A219" t="str">
            <v>2006 P</v>
          </cell>
        </row>
        <row r="220">
          <cell r="A220" t="str">
            <v>2006 D</v>
          </cell>
        </row>
        <row r="221">
          <cell r="A221" t="str">
            <v>2007 P</v>
          </cell>
        </row>
        <row r="222">
          <cell r="A222" t="str">
            <v>2007 D</v>
          </cell>
        </row>
        <row r="223">
          <cell r="A223" t="str">
            <v>2008 P</v>
          </cell>
        </row>
        <row r="224">
          <cell r="A224" t="str">
            <v>2008 D</v>
          </cell>
        </row>
        <row r="225">
          <cell r="A225" t="str">
            <v>2009 P</v>
          </cell>
        </row>
        <row r="226">
          <cell r="A226" t="str">
            <v>2009 D</v>
          </cell>
        </row>
        <row r="227">
          <cell r="A227" t="str">
            <v>2010 P</v>
          </cell>
        </row>
        <row r="228">
          <cell r="A228" t="str">
            <v>2010 D</v>
          </cell>
        </row>
        <row r="229">
          <cell r="A229" t="str">
            <v>2011 P</v>
          </cell>
        </row>
        <row r="230">
          <cell r="A230" t="str">
            <v>2011 D</v>
          </cell>
        </row>
        <row r="231">
          <cell r="A231" t="str">
            <v>2012 P</v>
          </cell>
        </row>
        <row r="232">
          <cell r="A232" t="str">
            <v>2012 D</v>
          </cell>
        </row>
        <row r="233">
          <cell r="A233" t="str">
            <v>2013 P</v>
          </cell>
        </row>
        <row r="234">
          <cell r="A234" t="str">
            <v>2013 D</v>
          </cell>
        </row>
        <row r="235">
          <cell r="A235" t="str">
            <v>2014 P</v>
          </cell>
        </row>
        <row r="236">
          <cell r="A236" t="str">
            <v>2014 D</v>
          </cell>
        </row>
        <row r="237">
          <cell r="A237" t="str">
            <v>2015 P</v>
          </cell>
        </row>
        <row r="238">
          <cell r="A238" t="str">
            <v>2015 D</v>
          </cell>
        </row>
        <row r="239">
          <cell r="A239" t="str">
            <v>2016 P</v>
          </cell>
        </row>
        <row r="240">
          <cell r="A240" t="str">
            <v>2016 D</v>
          </cell>
        </row>
        <row r="241">
          <cell r="A241" t="str">
            <v>2017 P</v>
          </cell>
        </row>
        <row r="242">
          <cell r="A242" t="str">
            <v>2017 D</v>
          </cell>
        </row>
        <row r="243">
          <cell r="A243" t="str">
            <v>2018 P</v>
          </cell>
        </row>
        <row r="244">
          <cell r="A244" t="str">
            <v>2018 D</v>
          </cell>
        </row>
      </sheetData>
      <sheetData sheetId="6">
        <row r="2">
          <cell r="O2">
            <v>1869</v>
          </cell>
        </row>
        <row r="3">
          <cell r="O3">
            <v>1883</v>
          </cell>
        </row>
        <row r="4">
          <cell r="O4">
            <v>1889</v>
          </cell>
        </row>
        <row r="5">
          <cell r="O5">
            <v>1890</v>
          </cell>
        </row>
        <row r="6">
          <cell r="O6">
            <v>1893</v>
          </cell>
        </row>
        <row r="7">
          <cell r="O7">
            <v>1896</v>
          </cell>
        </row>
        <row r="8">
          <cell r="O8">
            <v>1897</v>
          </cell>
        </row>
        <row r="9">
          <cell r="O9">
            <v>1901</v>
          </cell>
        </row>
        <row r="10">
          <cell r="O10">
            <v>1902</v>
          </cell>
        </row>
        <row r="11">
          <cell r="O11">
            <v>1902</v>
          </cell>
        </row>
        <row r="12">
          <cell r="O12">
            <v>1903</v>
          </cell>
        </row>
        <row r="13">
          <cell r="O13">
            <v>1903</v>
          </cell>
        </row>
        <row r="14">
          <cell r="O14">
            <v>1904</v>
          </cell>
        </row>
        <row r="15">
          <cell r="O15">
            <v>1905</v>
          </cell>
        </row>
        <row r="16">
          <cell r="O16">
            <v>1905</v>
          </cell>
        </row>
        <row r="17">
          <cell r="O17">
            <v>1906</v>
          </cell>
        </row>
        <row r="18">
          <cell r="O18">
            <v>1907</v>
          </cell>
        </row>
        <row r="19">
          <cell r="O19">
            <v>1907</v>
          </cell>
        </row>
        <row r="20">
          <cell r="O20">
            <v>1908</v>
          </cell>
        </row>
        <row r="21">
          <cell r="O21">
            <v>1908</v>
          </cell>
        </row>
        <row r="22">
          <cell r="O22">
            <v>1909</v>
          </cell>
        </row>
        <row r="23">
          <cell r="O23">
            <v>1909</v>
          </cell>
        </row>
        <row r="24">
          <cell r="O24">
            <v>1910</v>
          </cell>
        </row>
        <row r="25">
          <cell r="O25">
            <v>1910</v>
          </cell>
        </row>
        <row r="26">
          <cell r="O26">
            <v>1910</v>
          </cell>
        </row>
        <row r="27">
          <cell r="O27">
            <v>1911</v>
          </cell>
        </row>
        <row r="28">
          <cell r="O28">
            <v>1912</v>
          </cell>
        </row>
        <row r="29">
          <cell r="O29">
            <v>1912</v>
          </cell>
        </row>
        <row r="30">
          <cell r="O30">
            <v>1912</v>
          </cell>
        </row>
        <row r="31">
          <cell r="O31">
            <v>1913</v>
          </cell>
        </row>
        <row r="32">
          <cell r="O32">
            <v>1916</v>
          </cell>
        </row>
        <row r="33">
          <cell r="O33">
            <v>1917</v>
          </cell>
        </row>
        <row r="34">
          <cell r="O34">
            <v>1921</v>
          </cell>
        </row>
        <row r="35">
          <cell r="O35">
            <v>1923</v>
          </cell>
        </row>
        <row r="36">
          <cell r="O36">
            <v>1924</v>
          </cell>
        </row>
        <row r="37">
          <cell r="O37">
            <v>1926</v>
          </cell>
        </row>
        <row r="38">
          <cell r="O38">
            <v>1927</v>
          </cell>
        </row>
        <row r="39">
          <cell r="O39">
            <v>1928</v>
          </cell>
        </row>
        <row r="40">
          <cell r="O40" t="str">
            <v>1929-S</v>
          </cell>
        </row>
        <row r="41">
          <cell r="O41">
            <v>1929</v>
          </cell>
        </row>
        <row r="42">
          <cell r="O42">
            <v>1930</v>
          </cell>
        </row>
        <row r="43">
          <cell r="O43" t="str">
            <v>1931-S</v>
          </cell>
        </row>
        <row r="44">
          <cell r="O44">
            <v>1934</v>
          </cell>
        </row>
        <row r="45">
          <cell r="O45">
            <v>1934</v>
          </cell>
        </row>
        <row r="46">
          <cell r="O46" t="str">
            <v>1934-D</v>
          </cell>
        </row>
        <row r="47">
          <cell r="O47">
            <v>1935</v>
          </cell>
        </row>
        <row r="48">
          <cell r="O48">
            <v>1935</v>
          </cell>
        </row>
        <row r="49">
          <cell r="O49" t="str">
            <v>1935-S</v>
          </cell>
        </row>
        <row r="50">
          <cell r="O50" t="str">
            <v>1935-D</v>
          </cell>
        </row>
        <row r="51">
          <cell r="O51">
            <v>1936</v>
          </cell>
        </row>
        <row r="52">
          <cell r="O52">
            <v>1936</v>
          </cell>
        </row>
        <row r="53">
          <cell r="O53">
            <v>1936</v>
          </cell>
        </row>
        <row r="54">
          <cell r="O54">
            <v>1936</v>
          </cell>
        </row>
        <row r="55">
          <cell r="O55">
            <v>1936</v>
          </cell>
        </row>
        <row r="56">
          <cell r="O56">
            <v>1936</v>
          </cell>
        </row>
        <row r="57">
          <cell r="O57">
            <v>1936</v>
          </cell>
        </row>
        <row r="58">
          <cell r="O58">
            <v>1937</v>
          </cell>
        </row>
        <row r="59">
          <cell r="O59">
            <v>1937</v>
          </cell>
        </row>
        <row r="60">
          <cell r="O60" t="str">
            <v>1937-D</v>
          </cell>
        </row>
        <row r="61">
          <cell r="O61" t="str">
            <v>1938-D</v>
          </cell>
        </row>
        <row r="62">
          <cell r="O62">
            <v>1939</v>
          </cell>
        </row>
        <row r="63">
          <cell r="O63">
            <v>1939</v>
          </cell>
        </row>
        <row r="64">
          <cell r="O64">
            <v>1940</v>
          </cell>
        </row>
        <row r="65">
          <cell r="O65">
            <v>1940</v>
          </cell>
        </row>
        <row r="66">
          <cell r="O66">
            <v>1940</v>
          </cell>
        </row>
        <row r="67">
          <cell r="O67">
            <v>1940</v>
          </cell>
        </row>
        <row r="68">
          <cell r="O68">
            <v>1940</v>
          </cell>
        </row>
        <row r="69">
          <cell r="O69">
            <v>1940</v>
          </cell>
        </row>
        <row r="70">
          <cell r="O70" t="str">
            <v>1940-D</v>
          </cell>
        </row>
        <row r="71">
          <cell r="O71">
            <v>1940</v>
          </cell>
        </row>
        <row r="72">
          <cell r="O72">
            <v>1941</v>
          </cell>
        </row>
        <row r="73">
          <cell r="O73">
            <v>1941</v>
          </cell>
        </row>
        <row r="74">
          <cell r="O74">
            <v>1941</v>
          </cell>
        </row>
        <row r="75">
          <cell r="O75">
            <v>1941</v>
          </cell>
        </row>
        <row r="76">
          <cell r="O76" t="str">
            <v>1941-D</v>
          </cell>
        </row>
        <row r="77">
          <cell r="O77">
            <v>1941</v>
          </cell>
        </row>
        <row r="78">
          <cell r="O78">
            <v>1943</v>
          </cell>
        </row>
        <row r="79">
          <cell r="O79" t="str">
            <v>1944-P</v>
          </cell>
        </row>
        <row r="80">
          <cell r="O80">
            <v>1944</v>
          </cell>
        </row>
        <row r="81">
          <cell r="O81">
            <v>1946</v>
          </cell>
        </row>
        <row r="82">
          <cell r="O82">
            <v>1946</v>
          </cell>
        </row>
        <row r="83">
          <cell r="O83">
            <v>1946</v>
          </cell>
        </row>
        <row r="84">
          <cell r="O84">
            <v>1946</v>
          </cell>
        </row>
        <row r="85">
          <cell r="O85">
            <v>1946</v>
          </cell>
        </row>
        <row r="86">
          <cell r="O86">
            <v>1946</v>
          </cell>
        </row>
        <row r="87">
          <cell r="O87">
            <v>1946</v>
          </cell>
        </row>
        <row r="88">
          <cell r="O88">
            <v>1946</v>
          </cell>
        </row>
        <row r="89">
          <cell r="O89">
            <v>1946</v>
          </cell>
        </row>
        <row r="90">
          <cell r="O90">
            <v>1946</v>
          </cell>
        </row>
        <row r="91">
          <cell r="O91">
            <v>1947</v>
          </cell>
        </row>
        <row r="92">
          <cell r="O92">
            <v>1948</v>
          </cell>
        </row>
        <row r="93">
          <cell r="O93">
            <v>1949</v>
          </cell>
        </row>
        <row r="94">
          <cell r="O94">
            <v>1952</v>
          </cell>
        </row>
        <row r="95">
          <cell r="O95">
            <v>1952</v>
          </cell>
        </row>
        <row r="96">
          <cell r="O96">
            <v>1952</v>
          </cell>
        </row>
        <row r="97">
          <cell r="O97">
            <v>1955</v>
          </cell>
        </row>
        <row r="98">
          <cell r="O98">
            <v>1957</v>
          </cell>
        </row>
        <row r="99">
          <cell r="O99" t="str">
            <v>1957-D</v>
          </cell>
        </row>
        <row r="100">
          <cell r="O100" t="str">
            <v>1957-D</v>
          </cell>
        </row>
        <row r="101">
          <cell r="O101" t="str">
            <v>1957-D</v>
          </cell>
        </row>
        <row r="102">
          <cell r="O102" t="str">
            <v>1958-D</v>
          </cell>
        </row>
        <row r="103">
          <cell r="O103" t="str">
            <v>1958-D</v>
          </cell>
        </row>
        <row r="104">
          <cell r="O104" t="str">
            <v>1958-D</v>
          </cell>
        </row>
        <row r="105">
          <cell r="O105" t="str">
            <v>1958-D</v>
          </cell>
        </row>
        <row r="106">
          <cell r="O106" t="str">
            <v>1959-D</v>
          </cell>
        </row>
        <row r="107">
          <cell r="O107" t="str">
            <v>1959-D</v>
          </cell>
        </row>
        <row r="108">
          <cell r="O108" t="str">
            <v>1959-D</v>
          </cell>
        </row>
        <row r="109">
          <cell r="O109" t="str">
            <v>1960-D</v>
          </cell>
        </row>
        <row r="110">
          <cell r="O110" t="str">
            <v>1960-D</v>
          </cell>
        </row>
        <row r="111">
          <cell r="O111" t="str">
            <v>1960-D</v>
          </cell>
        </row>
        <row r="112">
          <cell r="O112">
            <v>1961</v>
          </cell>
        </row>
        <row r="113">
          <cell r="O113" t="str">
            <v>1961-D</v>
          </cell>
        </row>
        <row r="114">
          <cell r="O114" t="str">
            <v>1961-D</v>
          </cell>
        </row>
        <row r="115">
          <cell r="O115" t="str">
            <v>1961-D</v>
          </cell>
        </row>
        <row r="116">
          <cell r="O116" t="str">
            <v>1961-D</v>
          </cell>
        </row>
        <row r="117">
          <cell r="O117" t="str">
            <v>1961-D</v>
          </cell>
        </row>
        <row r="118">
          <cell r="O118">
            <v>1962</v>
          </cell>
        </row>
        <row r="119">
          <cell r="O119">
            <v>1962</v>
          </cell>
        </row>
        <row r="120">
          <cell r="O120" t="str">
            <v>1962-D</v>
          </cell>
        </row>
        <row r="121">
          <cell r="O121" t="str">
            <v>1962-D</v>
          </cell>
        </row>
        <row r="122">
          <cell r="O122">
            <v>1963</v>
          </cell>
        </row>
        <row r="123">
          <cell r="O123">
            <v>1963</v>
          </cell>
        </row>
        <row r="124">
          <cell r="O124">
            <v>1963</v>
          </cell>
        </row>
        <row r="125">
          <cell r="O125" t="str">
            <v>1963-D</v>
          </cell>
        </row>
        <row r="126">
          <cell r="O126" t="str">
            <v>1963-D</v>
          </cell>
        </row>
        <row r="127">
          <cell r="O127" t="str">
            <v>1963-D</v>
          </cell>
        </row>
        <row r="128">
          <cell r="O128">
            <v>1963</v>
          </cell>
        </row>
        <row r="129">
          <cell r="O129">
            <v>1964</v>
          </cell>
        </row>
        <row r="130">
          <cell r="O130">
            <v>1964</v>
          </cell>
        </row>
        <row r="131">
          <cell r="O131">
            <v>1964</v>
          </cell>
        </row>
        <row r="132">
          <cell r="O132">
            <v>1964</v>
          </cell>
        </row>
        <row r="133">
          <cell r="O133">
            <v>1964</v>
          </cell>
        </row>
        <row r="134">
          <cell r="O134">
            <v>1964</v>
          </cell>
        </row>
        <row r="135">
          <cell r="O135">
            <v>1964</v>
          </cell>
        </row>
        <row r="136">
          <cell r="O136">
            <v>1964</v>
          </cell>
        </row>
        <row r="137">
          <cell r="O137">
            <v>1964</v>
          </cell>
        </row>
        <row r="138">
          <cell r="O138">
            <v>1964</v>
          </cell>
        </row>
        <row r="139">
          <cell r="O139" t="str">
            <v>1964-D</v>
          </cell>
        </row>
        <row r="140">
          <cell r="O140" t="str">
            <v>1964-D</v>
          </cell>
        </row>
        <row r="141">
          <cell r="O141" t="str">
            <v>1964-D</v>
          </cell>
        </row>
        <row r="142">
          <cell r="O142" t="str">
            <v>1964-D</v>
          </cell>
        </row>
        <row r="143">
          <cell r="O143" t="str">
            <v>1964-D</v>
          </cell>
        </row>
        <row r="144">
          <cell r="O144" t="str">
            <v>1964-D</v>
          </cell>
        </row>
        <row r="145">
          <cell r="O145" t="str">
            <v>1964-D</v>
          </cell>
        </row>
        <row r="146">
          <cell r="O146" t="str">
            <v>1964-D</v>
          </cell>
        </row>
        <row r="147">
          <cell r="O147" t="str">
            <v>1964-D</v>
          </cell>
        </row>
        <row r="148">
          <cell r="O148" t="str">
            <v>1964-D</v>
          </cell>
        </row>
        <row r="149">
          <cell r="O149" t="str">
            <v>1964-D</v>
          </cell>
        </row>
        <row r="150">
          <cell r="O150" t="str">
            <v>1964-D</v>
          </cell>
        </row>
        <row r="151">
          <cell r="O151">
            <v>1965</v>
          </cell>
        </row>
        <row r="152">
          <cell r="O152">
            <v>1966</v>
          </cell>
        </row>
        <row r="153">
          <cell r="O153">
            <v>1966</v>
          </cell>
        </row>
        <row r="154">
          <cell r="O154">
            <v>1967</v>
          </cell>
        </row>
        <row r="155">
          <cell r="O155">
            <v>1967</v>
          </cell>
        </row>
        <row r="156">
          <cell r="O156" t="str">
            <v>1969-D</v>
          </cell>
        </row>
        <row r="157">
          <cell r="O157" t="str">
            <v>1969-D</v>
          </cell>
        </row>
        <row r="158">
          <cell r="O158" t="str">
            <v>1969-D</v>
          </cell>
        </row>
        <row r="159">
          <cell r="O159" t="str">
            <v>1969-D</v>
          </cell>
        </row>
        <row r="160">
          <cell r="O160" t="str">
            <v>1969-D</v>
          </cell>
        </row>
        <row r="161">
          <cell r="O161" t="str">
            <v>1969-S</v>
          </cell>
        </row>
        <row r="162">
          <cell r="O162" t="str">
            <v>1970-D</v>
          </cell>
        </row>
        <row r="163">
          <cell r="O163" t="str">
            <v>1970-D</v>
          </cell>
        </row>
        <row r="164">
          <cell r="O164" t="str">
            <v>1970-D</v>
          </cell>
        </row>
        <row r="165">
          <cell r="O165" t="str">
            <v>1970-D</v>
          </cell>
        </row>
        <row r="166">
          <cell r="O166" t="str">
            <v>1970-D</v>
          </cell>
        </row>
        <row r="167">
          <cell r="O167" t="str">
            <v>1970-D</v>
          </cell>
        </row>
        <row r="168">
          <cell r="O168" t="str">
            <v>1971-D</v>
          </cell>
        </row>
        <row r="169">
          <cell r="O169" t="str">
            <v>1971-D</v>
          </cell>
        </row>
        <row r="170">
          <cell r="O170" t="str">
            <v>1972-D</v>
          </cell>
        </row>
        <row r="171">
          <cell r="O171" t="str">
            <v>1972-D</v>
          </cell>
        </row>
        <row r="172">
          <cell r="O172" t="str">
            <v>1972-D</v>
          </cell>
        </row>
        <row r="173">
          <cell r="O173">
            <v>1972</v>
          </cell>
        </row>
        <row r="174">
          <cell r="O174">
            <v>1973</v>
          </cell>
        </row>
        <row r="175">
          <cell r="O175">
            <v>1973</v>
          </cell>
        </row>
        <row r="176">
          <cell r="O176">
            <v>1973</v>
          </cell>
        </row>
        <row r="177">
          <cell r="O177">
            <v>1973</v>
          </cell>
        </row>
        <row r="178">
          <cell r="O178">
            <v>1973</v>
          </cell>
        </row>
        <row r="179">
          <cell r="O179">
            <v>1973</v>
          </cell>
        </row>
        <row r="180">
          <cell r="O180">
            <v>1974</v>
          </cell>
        </row>
        <row r="181">
          <cell r="O181">
            <v>1974</v>
          </cell>
        </row>
        <row r="182">
          <cell r="O182">
            <v>1974</v>
          </cell>
        </row>
        <row r="183">
          <cell r="O183">
            <v>1974</v>
          </cell>
        </row>
        <row r="184">
          <cell r="O184" t="str">
            <v>1974-D</v>
          </cell>
        </row>
        <row r="185">
          <cell r="O185" t="str">
            <v>1974-D</v>
          </cell>
        </row>
        <row r="186">
          <cell r="O186">
            <v>1975</v>
          </cell>
        </row>
        <row r="187">
          <cell r="O187">
            <v>1975</v>
          </cell>
        </row>
        <row r="188">
          <cell r="O188" t="str">
            <v>1975-D</v>
          </cell>
        </row>
        <row r="189">
          <cell r="O189">
            <v>1975</v>
          </cell>
        </row>
        <row r="190">
          <cell r="O190">
            <v>1976</v>
          </cell>
        </row>
        <row r="191">
          <cell r="O191">
            <v>1976</v>
          </cell>
        </row>
        <row r="192">
          <cell r="O192">
            <v>1976</v>
          </cell>
        </row>
        <row r="193">
          <cell r="O193">
            <v>1976</v>
          </cell>
        </row>
        <row r="194">
          <cell r="O194">
            <v>1976</v>
          </cell>
        </row>
        <row r="195">
          <cell r="O195" t="str">
            <v>1976-D</v>
          </cell>
        </row>
        <row r="196">
          <cell r="O196" t="str">
            <v>1976-D</v>
          </cell>
        </row>
        <row r="197">
          <cell r="O197">
            <v>1977</v>
          </cell>
        </row>
        <row r="198">
          <cell r="O198">
            <v>1977</v>
          </cell>
        </row>
        <row r="199">
          <cell r="O199">
            <v>1977</v>
          </cell>
        </row>
        <row r="200">
          <cell r="O200">
            <v>1977</v>
          </cell>
        </row>
        <row r="201">
          <cell r="O201">
            <v>1977</v>
          </cell>
        </row>
        <row r="202">
          <cell r="O202">
            <v>1978</v>
          </cell>
        </row>
        <row r="203">
          <cell r="O203">
            <v>1978</v>
          </cell>
        </row>
        <row r="204">
          <cell r="O204">
            <v>1978</v>
          </cell>
        </row>
        <row r="205">
          <cell r="O205">
            <v>1978</v>
          </cell>
        </row>
        <row r="206">
          <cell r="O206">
            <v>1978</v>
          </cell>
        </row>
        <row r="207">
          <cell r="O207">
            <v>1979</v>
          </cell>
        </row>
        <row r="208">
          <cell r="O208">
            <v>1979</v>
          </cell>
        </row>
        <row r="209">
          <cell r="O209" t="str">
            <v>1980-P</v>
          </cell>
        </row>
        <row r="210">
          <cell r="O210" t="str">
            <v>1980-P</v>
          </cell>
        </row>
        <row r="211">
          <cell r="O211" t="str">
            <v>1980-P</v>
          </cell>
        </row>
        <row r="212">
          <cell r="O212" t="str">
            <v>1980-P</v>
          </cell>
        </row>
        <row r="213">
          <cell r="O213" t="str">
            <v>1980-P</v>
          </cell>
        </row>
        <row r="214">
          <cell r="O214" t="str">
            <v>1981-P</v>
          </cell>
        </row>
        <row r="215">
          <cell r="O215" t="str">
            <v>1981-P</v>
          </cell>
        </row>
        <row r="216">
          <cell r="O216" t="str">
            <v>1981-P</v>
          </cell>
        </row>
        <row r="217">
          <cell r="O217" t="str">
            <v>1981-P</v>
          </cell>
        </row>
        <row r="218">
          <cell r="O218" t="str">
            <v>1981-P</v>
          </cell>
        </row>
        <row r="219">
          <cell r="O219" t="str">
            <v>1981-P</v>
          </cell>
        </row>
        <row r="220">
          <cell r="O220" t="str">
            <v>1981-P</v>
          </cell>
        </row>
        <row r="221">
          <cell r="O221" t="str">
            <v>1981-P</v>
          </cell>
        </row>
        <row r="222">
          <cell r="O222" t="str">
            <v>1981-P</v>
          </cell>
        </row>
        <row r="223">
          <cell r="O223" t="str">
            <v>1981-D</v>
          </cell>
        </row>
        <row r="224">
          <cell r="O224" t="str">
            <v>1982-D</v>
          </cell>
        </row>
        <row r="225">
          <cell r="O225" t="str">
            <v>1982-P</v>
          </cell>
        </row>
        <row r="226">
          <cell r="O226" t="str">
            <v>1982-P</v>
          </cell>
        </row>
        <row r="227">
          <cell r="O227" t="str">
            <v>1982-P</v>
          </cell>
        </row>
        <row r="228">
          <cell r="O228" t="str">
            <v>1982-P</v>
          </cell>
        </row>
        <row r="229">
          <cell r="O229" t="str">
            <v>1982-P</v>
          </cell>
        </row>
        <row r="230">
          <cell r="O230" t="str">
            <v>1982-P</v>
          </cell>
        </row>
        <row r="231">
          <cell r="O231" t="str">
            <v>1983-P</v>
          </cell>
        </row>
        <row r="232">
          <cell r="O232" t="str">
            <v>1983-P</v>
          </cell>
        </row>
        <row r="233">
          <cell r="O233" t="str">
            <v>1983-D</v>
          </cell>
        </row>
        <row r="234">
          <cell r="O234" t="str">
            <v>1983-P</v>
          </cell>
        </row>
        <row r="235">
          <cell r="O235" t="str">
            <v>1983-D</v>
          </cell>
        </row>
        <row r="236">
          <cell r="O236" t="str">
            <v>1983-D</v>
          </cell>
        </row>
        <row r="237">
          <cell r="O237" t="str">
            <v>1983-P</v>
          </cell>
        </row>
        <row r="238">
          <cell r="O238" t="str">
            <v>1984-D</v>
          </cell>
        </row>
        <row r="239">
          <cell r="O239" t="str">
            <v>1984-D</v>
          </cell>
        </row>
        <row r="240">
          <cell r="O240" t="str">
            <v>1985-P</v>
          </cell>
        </row>
        <row r="241">
          <cell r="O241" t="str">
            <v>1985-P</v>
          </cell>
        </row>
        <row r="242">
          <cell r="O242" t="str">
            <v>1986-P</v>
          </cell>
        </row>
        <row r="243">
          <cell r="O243" t="str">
            <v>1986-P</v>
          </cell>
        </row>
        <row r="244">
          <cell r="O244" t="str">
            <v>1987-D</v>
          </cell>
        </row>
        <row r="245">
          <cell r="O245" t="str">
            <v>1987-D</v>
          </cell>
        </row>
        <row r="246">
          <cell r="O246" t="str">
            <v>1988-D</v>
          </cell>
        </row>
        <row r="247">
          <cell r="O247" t="str">
            <v>1988-D</v>
          </cell>
        </row>
        <row r="248">
          <cell r="O248" t="str">
            <v>1989-D</v>
          </cell>
        </row>
        <row r="249">
          <cell r="O249" t="str">
            <v>1989-D</v>
          </cell>
        </row>
        <row r="250">
          <cell r="O250" t="str">
            <v>1989-P</v>
          </cell>
        </row>
        <row r="251">
          <cell r="O251" t="str">
            <v>1989-P</v>
          </cell>
        </row>
        <row r="252">
          <cell r="O252" t="str">
            <v>1989-P</v>
          </cell>
        </row>
        <row r="253">
          <cell r="O253" t="str">
            <v>1990-D</v>
          </cell>
        </row>
        <row r="254">
          <cell r="O254" t="str">
            <v>1990-P</v>
          </cell>
        </row>
        <row r="255">
          <cell r="O255" t="str">
            <v>1991-P</v>
          </cell>
        </row>
        <row r="256">
          <cell r="O256" t="str">
            <v>1991-D</v>
          </cell>
        </row>
        <row r="257">
          <cell r="O257" t="str">
            <v>1992-P</v>
          </cell>
        </row>
        <row r="258">
          <cell r="O258" t="str">
            <v>1992-P</v>
          </cell>
        </row>
        <row r="259">
          <cell r="O259" t="str">
            <v>1992-D</v>
          </cell>
        </row>
        <row r="260">
          <cell r="O260" t="str">
            <v>1992-D</v>
          </cell>
        </row>
        <row r="261">
          <cell r="O261" t="str">
            <v>1993-D</v>
          </cell>
        </row>
        <row r="262">
          <cell r="O262" t="str">
            <v>1993-D</v>
          </cell>
        </row>
        <row r="263">
          <cell r="O263" t="str">
            <v>1994-P</v>
          </cell>
        </row>
        <row r="264">
          <cell r="O264" t="str">
            <v>1994-P</v>
          </cell>
        </row>
        <row r="265">
          <cell r="O265" t="str">
            <v>1994-P</v>
          </cell>
        </row>
        <row r="266">
          <cell r="O266" t="str">
            <v>1994-P</v>
          </cell>
        </row>
        <row r="267">
          <cell r="O267" t="str">
            <v>1995-P</v>
          </cell>
        </row>
        <row r="268">
          <cell r="O268" t="str">
            <v>1995-P</v>
          </cell>
        </row>
        <row r="269">
          <cell r="O269" t="str">
            <v>1995-P</v>
          </cell>
        </row>
        <row r="270">
          <cell r="O270" t="str">
            <v>1995-P</v>
          </cell>
        </row>
        <row r="271">
          <cell r="O271" t="str">
            <v>1995-D</v>
          </cell>
        </row>
        <row r="272">
          <cell r="O272" t="str">
            <v>1996-P</v>
          </cell>
        </row>
        <row r="273">
          <cell r="O273" t="str">
            <v>1996-P</v>
          </cell>
        </row>
        <row r="274">
          <cell r="O274" t="str">
            <v>1996-P</v>
          </cell>
        </row>
        <row r="275">
          <cell r="O275" t="str">
            <v>1996-P</v>
          </cell>
        </row>
        <row r="276">
          <cell r="O276" t="str">
            <v>1997-P</v>
          </cell>
        </row>
        <row r="277">
          <cell r="O277" t="str">
            <v>1997-P</v>
          </cell>
        </row>
        <row r="278">
          <cell r="O278" t="str">
            <v>1997-D</v>
          </cell>
        </row>
        <row r="279">
          <cell r="O279" t="str">
            <v>1997-P</v>
          </cell>
        </row>
        <row r="280">
          <cell r="O280" t="str">
            <v>1998-P</v>
          </cell>
        </row>
        <row r="281">
          <cell r="O281" t="str">
            <v>1998-P</v>
          </cell>
        </row>
        <row r="282">
          <cell r="O282" t="str">
            <v>1998-P</v>
          </cell>
        </row>
        <row r="283">
          <cell r="O283" t="str">
            <v>1998-D</v>
          </cell>
        </row>
        <row r="284">
          <cell r="O284" t="str">
            <v>1999-P</v>
          </cell>
        </row>
        <row r="285">
          <cell r="O285" t="str">
            <v>1999-P</v>
          </cell>
        </row>
        <row r="286">
          <cell r="O286" t="str">
            <v>1999-P</v>
          </cell>
        </row>
        <row r="287">
          <cell r="O287" t="str">
            <v>2000-D</v>
          </cell>
        </row>
        <row r="288">
          <cell r="O288" t="str">
            <v>2000-P</v>
          </cell>
        </row>
        <row r="289">
          <cell r="O289" t="str">
            <v>2001-P</v>
          </cell>
        </row>
        <row r="290">
          <cell r="O290" t="str">
            <v>2001-P</v>
          </cell>
        </row>
        <row r="291">
          <cell r="O291" t="str">
            <v>2001-D</v>
          </cell>
        </row>
        <row r="292">
          <cell r="O292" t="str">
            <v>2002-P</v>
          </cell>
        </row>
        <row r="293">
          <cell r="O293" t="str">
            <v>2002-P</v>
          </cell>
        </row>
        <row r="294">
          <cell r="O294" t="str">
            <v>2004-P</v>
          </cell>
        </row>
        <row r="295">
          <cell r="O295" t="str">
            <v>2004-P</v>
          </cell>
        </row>
        <row r="296">
          <cell r="O296">
            <v>2004</v>
          </cell>
        </row>
        <row r="297">
          <cell r="O297">
            <v>2005</v>
          </cell>
        </row>
        <row r="298">
          <cell r="O298">
            <v>2005</v>
          </cell>
        </row>
        <row r="299">
          <cell r="O299">
            <v>2005</v>
          </cell>
        </row>
        <row r="300">
          <cell r="O300" t="str">
            <v>2005-D</v>
          </cell>
        </row>
        <row r="301">
          <cell r="O301" t="str">
            <v>2005-D</v>
          </cell>
        </row>
        <row r="302">
          <cell r="O302" t="str">
            <v>2005-P</v>
          </cell>
        </row>
        <row r="303">
          <cell r="O303" t="str">
            <v>2005-P</v>
          </cell>
        </row>
        <row r="304">
          <cell r="O304" t="str">
            <v>2012-P</v>
          </cell>
        </row>
        <row r="305">
          <cell r="O305" t="str">
            <v>2012-P</v>
          </cell>
        </row>
        <row r="306">
          <cell r="O306" t="str">
            <v>2012-P</v>
          </cell>
        </row>
        <row r="307">
          <cell r="O307" t="str">
            <v>2012-P</v>
          </cell>
        </row>
        <row r="308">
          <cell r="O308" t="str">
            <v>2013-P</v>
          </cell>
        </row>
        <row r="309">
          <cell r="O309" t="str">
            <v>2013-P</v>
          </cell>
        </row>
        <row r="310">
          <cell r="O310" t="str">
            <v>2013-P</v>
          </cell>
        </row>
        <row r="311">
          <cell r="O311" t="str">
            <v>2014-P</v>
          </cell>
        </row>
        <row r="312">
          <cell r="O312" t="str">
            <v>2015-P</v>
          </cell>
        </row>
        <row r="313">
          <cell r="O313" t="str">
            <v>2015-P</v>
          </cell>
        </row>
        <row r="314">
          <cell r="O314" t="str">
            <v>2015-D</v>
          </cell>
        </row>
        <row r="315">
          <cell r="O315" t="str">
            <v>2015-P</v>
          </cell>
        </row>
        <row r="316">
          <cell r="O316" t="str">
            <v>2016-P</v>
          </cell>
        </row>
        <row r="317">
          <cell r="O317" t="str">
            <v>2016-P</v>
          </cell>
        </row>
        <row r="318">
          <cell r="O318" t="str">
            <v>2016-P</v>
          </cell>
        </row>
        <row r="319">
          <cell r="O319" t="str">
            <v>2016-P</v>
          </cell>
        </row>
        <row r="320">
          <cell r="O320" t="str">
            <v>2016-P</v>
          </cell>
        </row>
        <row r="321">
          <cell r="O321" t="str">
            <v>2017-P</v>
          </cell>
        </row>
        <row r="322">
          <cell r="O322" t="str">
            <v>2017-P</v>
          </cell>
        </row>
        <row r="323">
          <cell r="O323" t="str">
            <v>2018-P</v>
          </cell>
        </row>
        <row r="324">
          <cell r="O324" t="str">
            <v>2018-P</v>
          </cell>
        </row>
        <row r="325">
          <cell r="O325" t="str">
            <v>2018-P</v>
          </cell>
        </row>
        <row r="326">
          <cell r="O326" t="str">
            <v>2019-P</v>
          </cell>
        </row>
        <row r="327">
          <cell r="O327" t="str">
            <v>2019-P</v>
          </cell>
        </row>
        <row r="328">
          <cell r="O328" t="str">
            <v>2020-P</v>
          </cell>
        </row>
        <row r="329">
          <cell r="O329" t="str">
            <v>2021-P</v>
          </cell>
        </row>
        <row r="330">
          <cell r="O330" t="str">
            <v>2021-S</v>
          </cell>
        </row>
        <row r="331">
          <cell r="O331" t="str">
            <v>2022-P</v>
          </cell>
        </row>
        <row r="332">
          <cell r="O332" t="str">
            <v>2022-D</v>
          </cell>
        </row>
        <row r="333">
          <cell r="O333" t="str">
            <v>2022-S</v>
          </cell>
        </row>
        <row r="334">
          <cell r="O334" t="str">
            <v>2023-P</v>
          </cell>
        </row>
        <row r="335">
          <cell r="O335" t="str">
            <v>2023-D</v>
          </cell>
        </row>
        <row r="336">
          <cell r="O336" t="str">
            <v>2023-S</v>
          </cell>
        </row>
        <row r="337">
          <cell r="O337"/>
        </row>
        <row r="338">
          <cell r="O338"/>
        </row>
      </sheetData>
      <sheetData sheetId="7"/>
      <sheetData sheetId="8"/>
      <sheetData sheetId="9"/>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9B0A875F-AFDA-4A10-AC1C-0EDD0899BD9F}" sourceName="Date">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t2" xr10:uid="{432B1171-1E37-45B6-8F04-56CA3413E42A}" sourceName="Mint">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al2" xr10:uid="{44BB7D7E-44DD-47F1-A17B-D36834B65661}" sourceName="Serial">
  <extLst>
    <x:ext xmlns:x15="http://schemas.microsoft.com/office/spreadsheetml/2010/11/main" uri="{2F2917AC-EB37-4324-AD4E-5DD8C200BD13}">
      <x15:tableSlicerCache tableId="3"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1DF6C706-4A35-4928-B867-600C6E2FFF37}" sourceName="Description">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2" xr10:uid="{479BB831-47C6-4B1B-9346-4F80199B3024}" sourceName="Condition">
  <extLst>
    <x:ext xmlns:x15="http://schemas.microsoft.com/office/spreadsheetml/2010/11/main" uri="{2F2917AC-EB37-4324-AD4E-5DD8C200BD13}">
      <x15:tableSlicerCache tableId="3"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3" xr10:uid="{80116E47-708D-48A5-8329-58E5535F027D}" sourceName="Date">
  <extLst>
    <x:ext xmlns:x15="http://schemas.microsoft.com/office/spreadsheetml/2010/11/main" uri="{2F2917AC-EB37-4324-AD4E-5DD8C200BD13}">
      <x15:tableSlicerCache tableId="4" column="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t3" xr10:uid="{1B8E3316-C8DD-4277-A704-D9DCA3B989D7}" sourceName="Mint">
  <extLst>
    <x:ext xmlns:x15="http://schemas.microsoft.com/office/spreadsheetml/2010/11/main" uri="{2F2917AC-EB37-4324-AD4E-5DD8C200BD13}">
      <x15:tableSlicerCache tableId="4" column="1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ber" xr10:uid="{FA2DDBB8-1E1C-4523-8159-887C26F0CE1F}" sourceName="Number">
  <extLst>
    <x:ext xmlns:x15="http://schemas.microsoft.com/office/spreadsheetml/2010/11/main" uri="{2F2917AC-EB37-4324-AD4E-5DD8C200BD13}">
      <x15:tableSlicerCache tableId="4" column="11"/>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1" xr10:uid="{B4E5EF2A-E5C3-4917-9CC9-B603229A31FE}" sourceName="Description">
  <extLst>
    <x:ext xmlns:x15="http://schemas.microsoft.com/office/spreadsheetml/2010/11/main" uri="{2F2917AC-EB37-4324-AD4E-5DD8C200BD13}">
      <x15:tableSlicerCache tableId="4" column="1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3" xr10:uid="{1C320086-344E-424C-8069-CA92FA5E6193}" sourceName="Condition">
  <extLst>
    <x:ext xmlns:x15="http://schemas.microsoft.com/office/spreadsheetml/2010/11/main" uri="{2F2917AC-EB37-4324-AD4E-5DD8C200BD13}">
      <x15:tableSlicerCache tableId="4" column="1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4" xr10:uid="{22FC75DA-1E4D-4081-AEE2-C504233A1AAF}" sourceName="Date">
  <extLst>
    <x:ext xmlns:x15="http://schemas.microsoft.com/office/spreadsheetml/2010/11/main" uri="{2F2917AC-EB37-4324-AD4E-5DD8C200BD13}">
      <x15:tableSlicerCache tableId="8" column="1"/>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t4" xr10:uid="{0886F0FE-0F9D-449D-B3E2-AAF292F0DE90}" sourceName="Mint">
  <extLst>
    <x:ext xmlns:x15="http://schemas.microsoft.com/office/spreadsheetml/2010/11/main" uri="{2F2917AC-EB37-4324-AD4E-5DD8C200BD13}">
      <x15:tableSlicerCache tableId="8" column="2"/>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al3" xr10:uid="{74520234-2A12-438B-9C5A-1BFF11339433}" sourceName="Serial#">
  <extLst>
    <x:ext xmlns:x15="http://schemas.microsoft.com/office/spreadsheetml/2010/11/main" uri="{2F2917AC-EB37-4324-AD4E-5DD8C200BD13}">
      <x15:tableSlicerCache tableId="8" column="3"/>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2" xr10:uid="{4EAE3457-6CCE-4AE3-AF1C-E24300AF90EC}" sourceName="Description">
  <extLst>
    <x:ext xmlns:x15="http://schemas.microsoft.com/office/spreadsheetml/2010/11/main" uri="{2F2917AC-EB37-4324-AD4E-5DD8C200BD13}">
      <x15:tableSlicerCache tableId="8" column="4"/>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4" xr10:uid="{3E788FD9-EEE8-40D9-9042-852104FAC7EF}" sourceName="Condition">
  <extLst>
    <x:ext xmlns:x15="http://schemas.microsoft.com/office/spreadsheetml/2010/11/main" uri="{2F2917AC-EB37-4324-AD4E-5DD8C200BD13}">
      <x15:tableSlicerCache tableId="8" column="5"/>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5" xr10:uid="{BC4BAB3C-D201-4890-B646-A3DE72A8388C}" sourceName="DATE">
  <extLst>
    <x:ext xmlns:x15="http://schemas.microsoft.com/office/spreadsheetml/2010/11/main" uri="{2F2917AC-EB37-4324-AD4E-5DD8C200BD13}">
      <x15:tableSlicerCache tableId="5" column="1"/>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T5" xr10:uid="{1E1EB06C-060E-4460-AC45-A43944A029D3}" sourceName="MINT">
  <extLst>
    <x:ext xmlns:x15="http://schemas.microsoft.com/office/spreadsheetml/2010/11/main" uri="{2F2917AC-EB37-4324-AD4E-5DD8C200BD13}">
      <x15:tableSlicerCache tableId="5" column="2"/>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 xr10:uid="{0ADC6D6F-3004-474A-BB9A-A64600C2ADC3}" sourceName="ID#">
  <extLst>
    <x:ext xmlns:x15="http://schemas.microsoft.com/office/spreadsheetml/2010/11/main" uri="{2F2917AC-EB37-4324-AD4E-5DD8C200BD13}">
      <x15:tableSlicerCache tableId="5" column="3"/>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2" xr10:uid="{BDED6CAF-9179-445A-BEBE-F72E7A6750F0}" sourceName="DESC">
  <extLst>
    <x:ext xmlns:x15="http://schemas.microsoft.com/office/spreadsheetml/2010/11/main" uri="{2F2917AC-EB37-4324-AD4E-5DD8C200BD13}">
      <x15:tableSlicerCache tableId="5" column="4"/>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5" xr10:uid="{6035A2B6-E165-4E45-9534-512E3A8738F6}" sourceName="CONDITION">
  <extLst>
    <x:ext xmlns:x15="http://schemas.microsoft.com/office/spreadsheetml/2010/11/main" uri="{2F2917AC-EB37-4324-AD4E-5DD8C200BD13}">
      <x15:tableSlicerCache tableId="5" column="5"/>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id1" xr10:uid="{DA7E724A-B75A-4537-AE64-0A7CA2437920}" sourceName="Paid">
  <extLst>
    <x:ext xmlns:x15="http://schemas.microsoft.com/office/spreadsheetml/2010/11/main" uri="{2F2917AC-EB37-4324-AD4E-5DD8C200BD13}">
      <x15:tableSlicerCache tableId="5" column="6"/>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1" xr10:uid="{C404AC83-38D1-4BC4-B741-1EF9624B21D9}" sourceName="Book">
  <extLst>
    <x:ext xmlns:x15="http://schemas.microsoft.com/office/spreadsheetml/2010/11/main" uri="{2F2917AC-EB37-4324-AD4E-5DD8C200BD13}">
      <x15:tableSlicerCache tableId="5" column="7"/>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6" xr10:uid="{D5F575E4-1920-49DD-866C-A4426DD6FFF3}" sourceName="Date">
  <extLst>
    <x:ext xmlns:x15="http://schemas.microsoft.com/office/spreadsheetml/2010/11/main" uri="{2F2917AC-EB37-4324-AD4E-5DD8C200BD13}">
      <x15:tableSlicerCache tableId="2" column="1"/>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t6" xr10:uid="{31EB393C-6FA9-4CEA-9F2F-A982E186204A}" sourceName="Mint">
  <extLst>
    <x:ext xmlns:x15="http://schemas.microsoft.com/office/spreadsheetml/2010/11/main" uri="{2F2917AC-EB37-4324-AD4E-5DD8C200BD13}">
      <x15:tableSlicerCache tableId="2" column="2"/>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al4" xr10:uid="{569B8ED7-C407-4C91-ACA9-B721B45DCF4C}" sourceName="Serial">
  <extLst>
    <x:ext xmlns:x15="http://schemas.microsoft.com/office/spreadsheetml/2010/11/main" uri="{2F2917AC-EB37-4324-AD4E-5DD8C200BD13}">
      <x15:tableSlicerCache tableId="2" column="3"/>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3" xr10:uid="{4B6CEDD1-2D36-4FD7-8E90-454E838D4FBF}" sourceName="Description">
  <extLst>
    <x:ext xmlns:x15="http://schemas.microsoft.com/office/spreadsheetml/2010/11/main" uri="{2F2917AC-EB37-4324-AD4E-5DD8C200BD13}">
      <x15:tableSlicerCache tableId="2" column="4"/>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6" xr10:uid="{1533A3C7-C32D-4B2F-8AF5-9239E46A42DA}" sourceName="Condition">
  <extLst>
    <x:ext xmlns:x15="http://schemas.microsoft.com/office/spreadsheetml/2010/11/main" uri="{2F2917AC-EB37-4324-AD4E-5DD8C200BD13}">
      <x15:tableSlicerCache tableId="2" column="5"/>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s2" xr10:uid="{40F6E532-4C0E-4002-947B-74168219BAEE}" sourceName="Comments1">
  <extLst>
    <x:ext xmlns:x15="http://schemas.microsoft.com/office/spreadsheetml/2010/11/main" uri="{2F2917AC-EB37-4324-AD4E-5DD8C200BD13}">
      <x15:tableSlicerCache tableId="2" column="9"/>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oto_Front" xr10:uid="{A4E59F90-5E92-4387-B4FA-21977475108E}" sourceName="Photo Front ">
  <extLst>
    <x:ext xmlns:x15="http://schemas.microsoft.com/office/spreadsheetml/2010/11/main" uri="{2F2917AC-EB37-4324-AD4E-5DD8C200BD13}">
      <x15:tableSlicerCache tableId="2" column="10"/>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oto_Bacl" xr10:uid="{88C87969-5B35-40AA-919F-7AEB7844AEA3}" sourceName="Photo Bacl">
  <extLst>
    <x:ext xmlns:x15="http://schemas.microsoft.com/office/spreadsheetml/2010/11/main" uri="{2F2917AC-EB37-4324-AD4E-5DD8C200BD13}">
      <x15:tableSlicerCache tableId="2"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5" xr10:uid="{0F66058B-F51B-4CBB-BEC6-CA15F40B096D}" cache="Slicer_Date6" caption="Date" rowHeight="225425"/>
  <slicer name="Mint 5" xr10:uid="{CB10C025-5CFB-48D5-A629-02A3F528A5EC}" cache="Slicer_Mint6" caption="Mint" rowHeight="225425"/>
  <slicer name="Serial 3" xr10:uid="{D7BBCEE1-0DA1-4554-B6D1-D28AC2C50278}" cache="Slicer_Serial4" caption="Serial" rowHeight="225425"/>
  <slicer name="Description 3" xr10:uid="{DD6AE9E4-B0F7-407C-B4AD-A3F4FEDDA238}" cache="Slicer_Description3" caption="Description" rowHeight="225425"/>
  <slicer name="Condition 5" xr10:uid="{31EEA7A5-91A6-4041-BC33-5B43BA72A441}" cache="Slicer_Condition6" caption="Condition" rowHeight="225425"/>
  <slicer name="Comments 1" xr10:uid="{FE5FE6EA-2EE1-446D-939E-DF921DE5D9A1}" cache="Slicer_Comments2" caption="Comments1" rowHeight="225425"/>
  <slicer name="Photo Front " xr10:uid="{883D4F44-D8D3-4257-A4E5-7F2F21A68EFE}" cache="Slicer_Photo_Front" caption="Photo Front " rowHeight="225425"/>
  <slicer name="Photo Bacl" xr10:uid="{0B94E536-161F-490F-B097-FAB914C7772C}" cache="Slicer_Photo_Bacl" caption="Photo Bac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3C50DDC3-A6C8-4F21-93D5-4918A6C35AE7}" cache="Slicer_Date2" caption="Date" startItem="50" rowHeight="241300"/>
  <slicer name="Mint 1" xr10:uid="{D8E36AD8-610F-45FB-9FE7-F65E3D719A9B}" cache="Slicer_Mint2" caption="Mint" rowHeight="241300"/>
  <slicer name="Serial 1" xr10:uid="{6BEBEFF0-36C0-4351-8D4E-112A835D7C3C}" cache="Slicer_Serial2" caption="Serial" rowHeight="241300"/>
  <slicer name="Description" xr10:uid="{0488DD5D-4123-4EEB-84AC-1EF245AF2BBA}" cache="Slicer_Description" caption="Description" rowHeight="241300"/>
  <slicer name="Condition 1" xr10:uid="{C50A5C4A-FEE2-42F9-A0F2-E0D7ED70E51A}" cache="Slicer_Condition2" caption="Condition"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2" xr10:uid="{883AAD8E-8821-4BB0-8A67-029F59A62C73}" cache="Slicer_Date3" caption="Date" startItem="34" rowHeight="225425"/>
  <slicer name="Mint 2" xr10:uid="{837BABFF-29EF-4E64-BBFD-DD79ED69295A}" cache="Slicer_Mint3" caption="Mint" rowHeight="225425"/>
  <slicer name="Number" xr10:uid="{9A24DA6E-3CA8-40EC-9DA8-D25CBE94B71F}" cache="Slicer_Number" caption="Number" rowHeight="225425"/>
  <slicer name="Description 1" xr10:uid="{A9F00D6D-D9AF-49BA-955A-337605F76981}" cache="Slicer_Description1" caption="Description" rowHeight="225425"/>
  <slicer name="Condition 2" xr10:uid="{DFD2A307-B334-4A81-A11E-17098332CA90}" cache="Slicer_Condition3" caption="Condition"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4" xr10:uid="{2BFD8384-7987-47F6-B894-B57A0A1A948A}" cache="Slicer_DATE5" caption="DATE" rowHeight="225425"/>
  <slicer name="MINT 4" xr10:uid="{6F99CE6A-64E8-4A04-9E3B-4E91BC9FE12C}" cache="Slicer_MINT5" caption="MINT" rowHeight="225425"/>
  <slicer name="ID#" xr10:uid="{88F99EDC-6DAB-46D3-ACF7-BF2670C49A53}" cache="Slicer_ID" caption="ID#" rowHeight="225425"/>
  <slicer name="DESC 1" xr10:uid="{3BD5D1F8-CE0A-4E74-86B4-115F017C2249}" cache="Slicer_DESC2" caption="DESC" rowHeight="225425"/>
  <slicer name="CONDITION 4" xr10:uid="{39288291-45A7-4FAD-9875-2C67C9A4C2C1}" cache="Slicer_CONDITION5" caption="CONDITION" rowHeight="225425"/>
  <slicer name="Paid 1" xr10:uid="{8629DE31-D4A1-42CC-A62B-239B10EEE5A5}" cache="Slicer_Paid1" caption="Paid" startItem="3" rowHeight="225425"/>
  <slicer name="Book 1" xr10:uid="{2ABAC384-F54C-4257-A513-FD463293813D}" cache="Slicer_Book1" caption="Book" rowHeight="22542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746D0CB1-2F5A-4730-A54C-2BDC20E4A90B}" cache="Slicer_Date4" caption="Date" startItem="21" rowHeight="225425"/>
  <slicer name="Mint 3" xr10:uid="{6560C863-D894-4A90-B5D8-05774AD4515D}" cache="Slicer_Mint4" caption="Mint" rowHeight="225425"/>
  <slicer name="Serial 2" xr10:uid="{739220B5-2636-4D3B-8B55-69260DBC7CA8}" cache="Slicer_Serial3" caption="Serial#" startItem="15" rowHeight="225425"/>
  <slicer name="Description 2" xr10:uid="{D7C59FB8-6DF5-4B3B-8AFE-ABFF5090713A}" cache="Slicer_Description2" caption="Description" startItem="6" rowHeight="225425"/>
  <slicer name="Condition 3" xr10:uid="{469ED179-BBAC-44A3-BE7A-6D77D97D825B}" cache="Slicer_Condition4" caption="Conditio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04D139-BD87-43B0-8467-36A47146D8F5}" name="NickelTable" displayName="NickelTable" ref="A1:N372" totalsRowShown="0" tableBorderDxfId="63">
  <autoFilter ref="A1:N372" xr:uid="{920A4D3C-4F3B-4C8D-9953-A9AA5DDF9B54}"/>
  <sortState xmlns:xlrd2="http://schemas.microsoft.com/office/spreadsheetml/2017/richdata2" ref="A2:N372">
    <sortCondition ref="A2:A372"/>
    <sortCondition ref="D2:D372"/>
  </sortState>
  <tableColumns count="14">
    <tableColumn id="1" xr3:uid="{E7FFB51E-0558-4008-BD6D-972A31BCCA78}" name="Date" dataDxfId="62"/>
    <tableColumn id="2" xr3:uid="{6AB17A18-2F26-4160-97B8-F3CA40B57643}" name="Mint" dataDxfId="61"/>
    <tableColumn id="15" xr3:uid="{FACEECDF-9231-452B-90FC-4F03AC8BD85F}" name="Type" dataDxfId="60" dataCellStyle="Normal 2"/>
    <tableColumn id="3" xr3:uid="{29A2D86F-D1DD-4E73-AABB-E5F0CAD0BB7D}" name="Serial" dataDxfId="59"/>
    <tableColumn id="4" xr3:uid="{5E5BF455-3BB0-4F7B-8C1B-45AD1908D433}" name="Description" dataDxfId="58"/>
    <tableColumn id="5" xr3:uid="{B088F232-C14A-44E9-B14F-E4E177B0FD4A}" name="Condition" dataDxfId="57"/>
    <tableColumn id="6" xr3:uid="{DE29557D-14A7-4120-96A3-32BFA613D39C}" name="Paid " dataDxfId="56"/>
    <tableColumn id="7" xr3:uid="{469874E8-28BB-4987-9663-74926236E837}" name="Book" dataDxfId="55"/>
    <tableColumn id="8" xr3:uid="{2A2A236B-93F8-472B-B36A-6750723B46B7}" name="Qty" dataDxfId="54"/>
    <tableColumn id="12" xr3:uid="{4F847C21-3EEE-4B10-A881-855676E0C5DA}" name="Ext Val" dataDxfId="53" dataCellStyle="Normal 2"/>
    <tableColumn id="9" xr3:uid="{B217A256-182D-49F9-9611-7CA25942E7A4}" name="Comments1" dataDxfId="52"/>
    <tableColumn id="13" xr3:uid="{2CC0E406-7224-4F63-94D2-87ACBEC46D3F}" name="Column12" dataDxfId="51" dataCellStyle="Normal 2"/>
    <tableColumn id="10" xr3:uid="{28D67F6C-48EC-4250-80E6-42800083176A}" name="Photo Front " dataDxfId="50"/>
    <tableColumn id="11" xr3:uid="{967AAC39-1C29-455D-9D8C-599061B67273}" name="Photo Bacl" dataDxfId="4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D0F8E6C-1BC4-4FCD-B16E-C576D9B8A31D}" name="Dimes" displayName="Dimes" ref="A1:L155" totalsRowShown="0" headerRowDxfId="48">
  <autoFilter ref="A1:L155" xr:uid="{1B407288-D070-4C0C-938F-48283A565E0D}"/>
  <sortState xmlns:xlrd2="http://schemas.microsoft.com/office/spreadsheetml/2017/richdata2" ref="A2:L155">
    <sortCondition ref="A2:A155"/>
    <sortCondition ref="D2:D155"/>
  </sortState>
  <tableColumns count="12">
    <tableColumn id="1" xr3:uid="{A61E9A75-6DBA-4F3F-9368-01EA41003312}" name="Date" dataDxfId="47"/>
    <tableColumn id="2" xr3:uid="{E6DC4AD3-EA55-4575-AB4D-AA2A67ACBFE7}" name="Mint" dataDxfId="46"/>
    <tableColumn id="10" xr3:uid="{67A5092A-0E68-4E83-B682-615809C7F661}" name="Type" dataDxfId="45" dataCellStyle="Normal 3"/>
    <tableColumn id="3" xr3:uid="{FA90D9FB-AA29-4874-8F27-AEE6E63C4773}" name="Serial"/>
    <tableColumn id="4" xr3:uid="{72C4A378-0DB0-4513-9A58-E084E1042E27}" name="Description"/>
    <tableColumn id="5" xr3:uid="{DD41C2E8-F0DE-4F72-B037-77A6CEAD01C6}" name="Condition"/>
    <tableColumn id="6" xr3:uid="{81CEE156-EB44-40D0-BEE5-0141A1AAC0E1}" name="Paid" dataDxfId="44"/>
    <tableColumn id="7" xr3:uid="{2CCE7F88-77F3-4BBC-9AC2-360EEBF601E6}" name="Book" dataDxfId="43"/>
    <tableColumn id="8" xr3:uid="{4560CD60-DD46-45F7-92FD-C61B6E871B74}" name="Qty" dataDxfId="42"/>
    <tableColumn id="12" xr3:uid="{60996D32-8FD0-47D9-AE6D-B188410597D6}" name="Ext Val" dataDxfId="41" dataCellStyle="Normal 3"/>
    <tableColumn id="11" xr3:uid="{5C6C45CE-4FE9-4C2E-AD90-F45081D7C3AA}" name="Column1" dataDxfId="40" dataCellStyle="Normal 3"/>
    <tableColumn id="9" xr3:uid="{B05E53A4-D6FA-425C-BC87-63060EC4791B}" name="Comment2" dataDxfId="39"/>
  </tableColumns>
  <tableStyleInfo name="TableStyleLight2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23CEED-E62B-4955-B19F-B8E218169894}" name="Quarters" displayName="Quarters" ref="A1:L150" totalsRowShown="0" headerRowDxfId="38" dataDxfId="37">
  <autoFilter ref="A1:L150"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sortState xmlns:xlrd2="http://schemas.microsoft.com/office/spreadsheetml/2017/richdata2" ref="A2:K150">
    <sortCondition ref="A2:A150"/>
    <sortCondition ref="D2:D150"/>
  </sortState>
  <tableColumns count="12">
    <tableColumn id="9" xr3:uid="{079F6356-2A9F-457D-9D97-2644F7AB0154}" name="Date" dataDxfId="36"/>
    <tableColumn id="10" xr3:uid="{68BD4664-5A8D-4CB5-887D-0F0E7DB45B51}" name="Mint" dataDxfId="35"/>
    <tableColumn id="2" xr3:uid="{F5E87A67-46B5-44BB-B88D-FC8A546967EF}" name="Type" dataDxfId="34" dataCellStyle="Normal 2"/>
    <tableColumn id="11" xr3:uid="{3F9C52B6-C725-4380-B298-9E069CFA40DF}" name="Number" dataDxfId="33"/>
    <tableColumn id="12" xr3:uid="{E622874F-D2F2-4E8B-868E-81981326F3A2}" name="Description" dataDxfId="32"/>
    <tableColumn id="13" xr3:uid="{DF944035-EE4D-4EE7-9817-91567789B4CC}" name="Condition" dataDxfId="31"/>
    <tableColumn id="6" xr3:uid="{ADA1F71F-48AC-4726-9298-91B03D886C88}" name="Paid" dataDxfId="30"/>
    <tableColumn id="7" xr3:uid="{C85A7A28-5FF9-4EC0-A15D-43CC32ED4D03}" name="Book" dataDxfId="29"/>
    <tableColumn id="14" xr3:uid="{2DFC5786-AC1E-4621-A4FB-A2BF6C459EE8}" name="Qty" dataDxfId="28"/>
    <tableColumn id="3" xr3:uid="{54D7F860-F4B1-4740-834B-0508073D17B2}" name="Ext Val" dataDxfId="27" dataCellStyle="Normal 2"/>
    <tableColumn id="1" xr3:uid="{AA0B0196-408D-4568-ACA5-F19987583171}" name="Comments" dataDxfId="26"/>
    <tableColumn id="4" xr3:uid="{FAAFA224-12F4-4546-B055-1815901B39F1}" name="Comment2" dataDxfId="25"/>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BEA4B9-8D89-4CEF-BE86-5D69FF3F792A}" name="Halves" displayName="Halves" ref="A1:L185" totalsRowShown="0" headerRowDxfId="24">
  <autoFilter ref="A1:L185" xr:uid="{8507A7CF-87F3-4F33-94A4-D4F4E822F69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6229237D-E475-4BC6-AF9D-2B469F2647BA}" name="DATE" dataDxfId="23"/>
    <tableColumn id="2" xr3:uid="{9C458C89-DFC8-4118-B0F5-9150D35B5CC0}" name="MINT" dataDxfId="22"/>
    <tableColumn id="10" xr3:uid="{B2ED0DBB-26BD-4B03-AB37-48594DEBF468}" name="Type" dataDxfId="21"/>
    <tableColumn id="3" xr3:uid="{B35260DF-610D-4BC2-B9D5-8F40006C4263}" name="ID#" dataDxfId="20"/>
    <tableColumn id="4" xr3:uid="{4189B623-56EF-4002-B15D-30DB2D516774}" name="DESC" dataDxfId="19"/>
    <tableColumn id="5" xr3:uid="{8875A3E1-DF86-4F58-B73F-A24B660F3415}" name="CONDITION" dataDxfId="18"/>
    <tableColumn id="6" xr3:uid="{3BF331C5-8DE1-4848-8A15-B25CFC6D62DC}" name="Paid" dataDxfId="17"/>
    <tableColumn id="7" xr3:uid="{806D9104-119B-4495-849F-C2E445B8CAFB}" name="Book" dataDxfId="16"/>
    <tableColumn id="8" xr3:uid="{245D319F-CC68-446C-B41D-2F6626DF2224}" name="Qty" dataDxfId="15"/>
    <tableColumn id="12" xr3:uid="{203E74F1-141E-418E-99AE-6063E675994E}" name="Ext Val" dataDxfId="14" dataCellStyle="Normal 4"/>
    <tableColumn id="9" xr3:uid="{FD92A294-49B4-47F4-81CD-BCDFE0A256FB}" name="Comments" dataDxfId="13">
      <calculatedColumnFormula>VLOOKUP(C2,[4]!Table_0__2[#Data],2,0)</calculatedColumnFormula>
    </tableColumn>
    <tableColumn id="11" xr3:uid="{749049D5-97C1-4F3D-8BCB-BE8D7BDF8507}" name="Commemt2" dataDxfId="12"/>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1B6DF0B-685C-4B24-BEB6-3BA79CF6211D}" name="Dollars" displayName="Dollars" ref="A1:L94" totalsRowShown="0" headerRowDxfId="11">
  <autoFilter ref="A1:L94" xr:uid="{00000000-0009-0000-0100-000001000000}"/>
  <tableColumns count="12">
    <tableColumn id="1" xr3:uid="{75D0670C-13EC-4E60-8174-FF928BAA8429}" name="Date" dataDxfId="10"/>
    <tableColumn id="2" xr3:uid="{3D93611B-83B6-4A14-B6A7-C68300BB2531}" name="Mint" dataDxfId="9"/>
    <tableColumn id="11" xr3:uid="{B83DE7B4-CC6B-42D0-B86E-39D8619D551B}" name="Type" dataDxfId="8" dataCellStyle="Normal 2"/>
    <tableColumn id="3" xr3:uid="{794B7333-CE23-463A-8A1D-82C1BC023997}" name="Serial#" dataDxfId="7"/>
    <tableColumn id="4" xr3:uid="{40875E9B-3374-4CD4-8DB9-668C4149DC58}" name="Description" dataDxfId="6"/>
    <tableColumn id="5" xr3:uid="{2B28CA4A-6C7D-4FAC-9910-64F7397DFE22}" name="Condition"/>
    <tableColumn id="6" xr3:uid="{C824F77E-6DF1-4EF0-9D54-B6E1101E32CB}" name="Paid" dataDxfId="5"/>
    <tableColumn id="7" xr3:uid="{C2D8993E-4F19-453D-A7BA-6D672B8E9882}" name="Book" dataDxfId="4" dataCellStyle="Currency"/>
    <tableColumn id="8" xr3:uid="{FC44E027-B771-4A5F-8432-AAFD75FD0BB8}" name="Qty" dataDxfId="3"/>
    <tableColumn id="9" xr3:uid="{4D698129-166F-4B9D-9186-45400CA28968}" name="BOOK VALUE LOOKUP " dataDxfId="2" dataCellStyle="Currency"/>
    <tableColumn id="10" xr3:uid="{67714CE7-5EAC-457E-8085-9198E934C0CF}" name="Comments" dataDxfId="1" dataCellStyle="Currency"/>
    <tableColumn id="12" xr3:uid="{C3801783-FA93-4E9F-A8DA-FC3045D10078}" name="Comment2" dataDxfId="0" dataCellStyle="Currency"/>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n.wikipedia.org/wiki/Penny_(United_States_coin)" TargetMode="External"/><Relationship Id="rId18" Type="http://schemas.openxmlformats.org/officeDocument/2006/relationships/hyperlink" Target="https://en.wikipedia.org/wiki/Eisenhower_dollar" TargetMode="External"/><Relationship Id="rId26" Type="http://schemas.openxmlformats.org/officeDocument/2006/relationships/hyperlink" Target="https://en.wikipedia.org/wiki/Westward_Journey_Nickel_Series" TargetMode="External"/><Relationship Id="rId39" Type="http://schemas.openxmlformats.org/officeDocument/2006/relationships/hyperlink" Target="https://en.wikipedia.org/wiki/Jefferson_nickel" TargetMode="External"/><Relationship Id="rId21" Type="http://schemas.openxmlformats.org/officeDocument/2006/relationships/hyperlink" Target="https://en.wikipedia.org/wiki/50_State_Quarters" TargetMode="External"/><Relationship Id="rId34" Type="http://schemas.openxmlformats.org/officeDocument/2006/relationships/hyperlink" Target="https://en.wikipedia.org/wiki/Sacagawea_dollar" TargetMode="External"/><Relationship Id="rId42" Type="http://schemas.openxmlformats.org/officeDocument/2006/relationships/hyperlink" Target="https://en.wikipedia.org/wiki/Kennedy_half_dollar" TargetMode="External"/><Relationship Id="rId47" Type="http://schemas.openxmlformats.org/officeDocument/2006/relationships/hyperlink" Target="https://en.wikipedia.org/wiki/Kennedy_half_dollar" TargetMode="External"/><Relationship Id="rId7" Type="http://schemas.openxmlformats.org/officeDocument/2006/relationships/hyperlink" Target="https://en.wikipedia.org/wiki/Penny_(United_States_coin)" TargetMode="External"/><Relationship Id="rId2" Type="http://schemas.openxmlformats.org/officeDocument/2006/relationships/hyperlink" Target="https://en.wikipedia.org/wiki/Jefferson_nickel" TargetMode="External"/><Relationship Id="rId16" Type="http://schemas.openxmlformats.org/officeDocument/2006/relationships/hyperlink" Target="https://en.wikipedia.org/wiki/Washington_quarter" TargetMode="External"/><Relationship Id="rId29" Type="http://schemas.openxmlformats.org/officeDocument/2006/relationships/hyperlink" Target="https://en.wikipedia.org/wiki/Kennedy_half_dollar" TargetMode="External"/><Relationship Id="rId11" Type="http://schemas.openxmlformats.org/officeDocument/2006/relationships/hyperlink" Target="https://en.wikipedia.org/wiki/Kennedy_half_dollar" TargetMode="External"/><Relationship Id="rId24" Type="http://schemas.openxmlformats.org/officeDocument/2006/relationships/hyperlink" Target="https://en.wikipedia.org/wiki/File:2010_cent_obverse.png" TargetMode="External"/><Relationship Id="rId32" Type="http://schemas.openxmlformats.org/officeDocument/2006/relationships/hyperlink" Target="https://en.wikipedia.org/wiki/Penny_(United_States_coin)" TargetMode="External"/><Relationship Id="rId37" Type="http://schemas.openxmlformats.org/officeDocument/2006/relationships/hyperlink" Target="https://en.wikipedia.org/wiki/United_States_Mint_Set" TargetMode="External"/><Relationship Id="rId40" Type="http://schemas.openxmlformats.org/officeDocument/2006/relationships/hyperlink" Target="https://en.wikipedia.org/wiki/Roosevelt_dime" TargetMode="External"/><Relationship Id="rId45" Type="http://schemas.openxmlformats.org/officeDocument/2006/relationships/hyperlink" Target="https://en.wikipedia.org/wiki/United_States_Bicentennial_coinage" TargetMode="External"/><Relationship Id="rId5" Type="http://schemas.openxmlformats.org/officeDocument/2006/relationships/hyperlink" Target="https://en.wikipedia.org/wiki/Franklin_half_dollar" TargetMode="External"/><Relationship Id="rId15" Type="http://schemas.openxmlformats.org/officeDocument/2006/relationships/hyperlink" Target="https://en.wikipedia.org/wiki/Roosevelt_dime" TargetMode="External"/><Relationship Id="rId23" Type="http://schemas.openxmlformats.org/officeDocument/2006/relationships/hyperlink" Target="https://en.wikipedia.org/wiki/Westward_Journey_Nickel_Series" TargetMode="External"/><Relationship Id="rId28" Type="http://schemas.openxmlformats.org/officeDocument/2006/relationships/hyperlink" Target="https://en.wikipedia.org/wiki/50_State_Quarters" TargetMode="External"/><Relationship Id="rId36" Type="http://schemas.openxmlformats.org/officeDocument/2006/relationships/hyperlink" Target="https://en.wikipedia.org/wiki/America_the_Beautiful_Quarters" TargetMode="External"/><Relationship Id="rId49" Type="http://schemas.openxmlformats.org/officeDocument/2006/relationships/drawing" Target="../drawings/drawing1.xml"/><Relationship Id="rId10" Type="http://schemas.openxmlformats.org/officeDocument/2006/relationships/hyperlink" Target="https://en.wikipedia.org/wiki/Washington_quarter" TargetMode="External"/><Relationship Id="rId19" Type="http://schemas.openxmlformats.org/officeDocument/2006/relationships/hyperlink" Target="https://en.wikipedia.org/wiki/Susan_B._Anthony_dollar" TargetMode="External"/><Relationship Id="rId31" Type="http://schemas.openxmlformats.org/officeDocument/2006/relationships/hyperlink" Target="https://en.wikipedia.org/wiki/Presidential_$1_Coin_Program" TargetMode="External"/><Relationship Id="rId44" Type="http://schemas.openxmlformats.org/officeDocument/2006/relationships/hyperlink" Target="https://en.wikipedia.org/wiki/Presidential_$1_Coin_Program" TargetMode="External"/><Relationship Id="rId4" Type="http://schemas.openxmlformats.org/officeDocument/2006/relationships/hyperlink" Target="https://en.wikipedia.org/wiki/Washington_quarter" TargetMode="External"/><Relationship Id="rId9" Type="http://schemas.openxmlformats.org/officeDocument/2006/relationships/hyperlink" Target="https://en.wikipedia.org/wiki/Roosevelt_dime" TargetMode="External"/><Relationship Id="rId14" Type="http://schemas.openxmlformats.org/officeDocument/2006/relationships/hyperlink" Target="https://en.wikipedia.org/wiki/Jefferson_nickel" TargetMode="External"/><Relationship Id="rId22" Type="http://schemas.openxmlformats.org/officeDocument/2006/relationships/hyperlink" Target="https://en.wikipedia.org/wiki/Sacagawea_dollar" TargetMode="External"/><Relationship Id="rId27" Type="http://schemas.openxmlformats.org/officeDocument/2006/relationships/hyperlink" Target="https://en.wikipedia.org/wiki/Roosevelt_dime" TargetMode="External"/><Relationship Id="rId30" Type="http://schemas.openxmlformats.org/officeDocument/2006/relationships/hyperlink" Target="https://en.wikipedia.org/wiki/Sacagawea_dollar" TargetMode="External"/><Relationship Id="rId35" Type="http://schemas.openxmlformats.org/officeDocument/2006/relationships/hyperlink" Target="https://en.wikipedia.org/wiki/Lincoln_cent" TargetMode="External"/><Relationship Id="rId43" Type="http://schemas.openxmlformats.org/officeDocument/2006/relationships/hyperlink" Target="https://en.wikipedia.org/wiki/Sacagawea_dollar" TargetMode="External"/><Relationship Id="rId48" Type="http://schemas.openxmlformats.org/officeDocument/2006/relationships/hyperlink" Target="https://en.wikipedia.org/wiki/Eisenhower_dollar" TargetMode="External"/><Relationship Id="rId8" Type="http://schemas.openxmlformats.org/officeDocument/2006/relationships/hyperlink" Target="https://en.wikipedia.org/wiki/Jefferson_nickel" TargetMode="External"/><Relationship Id="rId3" Type="http://schemas.openxmlformats.org/officeDocument/2006/relationships/hyperlink" Target="https://en.wikipedia.org/wiki/Roosevelt_dime" TargetMode="External"/><Relationship Id="rId12" Type="http://schemas.openxmlformats.org/officeDocument/2006/relationships/hyperlink" Target="https://en.wikipedia.org/wiki/Token_coin" TargetMode="External"/><Relationship Id="rId17" Type="http://schemas.openxmlformats.org/officeDocument/2006/relationships/hyperlink" Target="https://en.wikipedia.org/wiki/Kennedy_half_dollar" TargetMode="External"/><Relationship Id="rId25" Type="http://schemas.openxmlformats.org/officeDocument/2006/relationships/hyperlink" Target="https://en.wikipedia.org/wiki/Penny_(United_States_coin)" TargetMode="External"/><Relationship Id="rId33" Type="http://schemas.openxmlformats.org/officeDocument/2006/relationships/hyperlink" Target="https://en.wikipedia.org/wiki/District_of_Columbia_and_United_States_Territories_Quarters" TargetMode="External"/><Relationship Id="rId38" Type="http://schemas.openxmlformats.org/officeDocument/2006/relationships/hyperlink" Target="https://en.wikipedia.org/wiki/Lincoln_cent" TargetMode="External"/><Relationship Id="rId46" Type="http://schemas.openxmlformats.org/officeDocument/2006/relationships/hyperlink" Target="https://en.wikipedia.org/wiki/Washington_quarter" TargetMode="External"/><Relationship Id="rId20" Type="http://schemas.openxmlformats.org/officeDocument/2006/relationships/hyperlink" Target="https://en.wikipedia.org/wiki/Token_coin" TargetMode="External"/><Relationship Id="rId41" Type="http://schemas.openxmlformats.org/officeDocument/2006/relationships/hyperlink" Target="https://en.wikipedia.org/wiki/America_the_Beautiful_Quarters" TargetMode="External"/><Relationship Id="rId1" Type="http://schemas.openxmlformats.org/officeDocument/2006/relationships/hyperlink" Target="https://en.wikipedia.org/wiki/Penny_(United_States_coin)" TargetMode="External"/><Relationship Id="rId6" Type="http://schemas.openxmlformats.org/officeDocument/2006/relationships/hyperlink" Target="https://en.wikipedia.org/wiki/Kennedy_half_dollar"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8" Type="http://schemas.openxmlformats.org/officeDocument/2006/relationships/hyperlink" Target="file:///D:\Valued%20Customer\Documents\coins1\PHOTOS\LIBERTY%20NICKEL%201890%20BACK%20AA.JPG" TargetMode="External"/><Relationship Id="rId13" Type="http://schemas.openxmlformats.org/officeDocument/2006/relationships/hyperlink" Target="file:///D:\Valued%20Customer\Documents\coins1\PHOTOS\LIBERTY%20NICKEL%201903%20FRONT%20AB.JPG" TargetMode="External"/><Relationship Id="rId18" Type="http://schemas.openxmlformats.org/officeDocument/2006/relationships/hyperlink" Target="file:///D:\Valued%20Customer\Documents\coins1\PHOTOS\LIBERTY%20NICKEL%201903%20BACK%20AB.JPG" TargetMode="External"/><Relationship Id="rId26" Type="http://schemas.openxmlformats.org/officeDocument/2006/relationships/hyperlink" Target="file:///D:\Valued%20Customer\Documents\coins1\PHOTOS\Liberty%201907%20Back%20AA.JPG" TargetMode="External"/><Relationship Id="rId3" Type="http://schemas.openxmlformats.org/officeDocument/2006/relationships/hyperlink" Target="file:///D:\Valued%20Customer\Documents\coins1\PHOTOS\LIBERTY%20NICKEL%201883%20FRONT%20AA.JPG" TargetMode="External"/><Relationship Id="rId21" Type="http://schemas.openxmlformats.org/officeDocument/2006/relationships/hyperlink" Target="file:///D:\Valued%20Customer\Documents\coins1\PHOTOS\LIBERTY%20NICKEL%201905%20FRONT%20AB.JPG" TargetMode="External"/><Relationship Id="rId7" Type="http://schemas.openxmlformats.org/officeDocument/2006/relationships/hyperlink" Target="file:///D:\Valued%20Customer\Documents\coins1\PHOTOS\LIBERTY%20NICKEL%201890%20BACK%20AA.JPG" TargetMode="External"/><Relationship Id="rId12" Type="http://schemas.openxmlformats.org/officeDocument/2006/relationships/hyperlink" Target="file:///D:\Valued%20Customer\Documents\coins1\PHOTOS\LIBERTY%20NICKEL%201902%20BACK%20AA.JPG" TargetMode="External"/><Relationship Id="rId17" Type="http://schemas.openxmlformats.org/officeDocument/2006/relationships/hyperlink" Target="file:///D:\Valued%20Customer\Documents\coins1\PHOTOS\LIBERTY%20NICKEL%201903%20FRONT%20AB.JPG" TargetMode="External"/><Relationship Id="rId25" Type="http://schemas.openxmlformats.org/officeDocument/2006/relationships/hyperlink" Target="file:///D:\Valued%20Customer\Documents\coins1\PHOTOS\Liberty%201907%20Front%20AA.JPG" TargetMode="External"/><Relationship Id="rId2" Type="http://schemas.openxmlformats.org/officeDocument/2006/relationships/hyperlink" Target="file:///D:\Valued%20Customer\Documents\coins1\PHOTOS\Sheild%201869%20Back.JPG" TargetMode="External"/><Relationship Id="rId16" Type="http://schemas.openxmlformats.org/officeDocument/2006/relationships/hyperlink" Target="file:///D:\Valued%20Customer\Documents\coins1\PHOTOS\LIBERTY%20NICKEL%201903%20BACK%20AA.JPG" TargetMode="External"/><Relationship Id="rId20" Type="http://schemas.openxmlformats.org/officeDocument/2006/relationships/hyperlink" Target="file:///D:\Valued%20Customer\Documents\coins1\PHOTOS\LIBERTY%20NICKEL%201904%20BACK%20AA.JPG" TargetMode="External"/><Relationship Id="rId29" Type="http://schemas.openxmlformats.org/officeDocument/2006/relationships/table" Target="../tables/table1.xml"/><Relationship Id="rId1" Type="http://schemas.openxmlformats.org/officeDocument/2006/relationships/hyperlink" Target="file:///D:\Valued%20Customer\Documents\coins1\PHOTOS\SHEILD%20NICKEL%201869%20BACK%20AA.JPG" TargetMode="External"/><Relationship Id="rId6" Type="http://schemas.openxmlformats.org/officeDocument/2006/relationships/hyperlink" Target="file:///D:\Valued%20Customer\Documents\coins1\PHOTOS\LIBERTY%20NICKEL%201889%20BACK%20AA.JPG" TargetMode="External"/><Relationship Id="rId11" Type="http://schemas.openxmlformats.org/officeDocument/2006/relationships/hyperlink" Target="file:///D:\Valued%20Customer\Documents\coins1\PHOTOS\LIBERTY%20NICKEL%201902%20FRONT%20AA.JPG" TargetMode="External"/><Relationship Id="rId24" Type="http://schemas.openxmlformats.org/officeDocument/2006/relationships/hyperlink" Target="file:///D:\Valued%20Customer\Documents\coins1\PHOTOS\Liberty%201906%20Back%20AA.JPG" TargetMode="External"/><Relationship Id="rId5" Type="http://schemas.openxmlformats.org/officeDocument/2006/relationships/hyperlink" Target="file:///D:\Valued%20Customer\Documents\coins1\PHOTOS\LIBERTY%20NICKEL%201889%20FRONT%20AA.JPG" TargetMode="External"/><Relationship Id="rId15" Type="http://schemas.openxmlformats.org/officeDocument/2006/relationships/hyperlink" Target="file:///D:\Valued%20Customer\Documents\coins1\PHOTOS\LIBERTY%20NICKEL%201903%20FRONT%20AA.JPG" TargetMode="External"/><Relationship Id="rId23" Type="http://schemas.openxmlformats.org/officeDocument/2006/relationships/hyperlink" Target="file:///D:\Valued%20Customer\Documents\coins1\PHOTOS\Liberty%201906%20Front%20AA.JPG" TargetMode="External"/><Relationship Id="rId28" Type="http://schemas.openxmlformats.org/officeDocument/2006/relationships/drawing" Target="../drawings/drawing3.xml"/><Relationship Id="rId10" Type="http://schemas.openxmlformats.org/officeDocument/2006/relationships/hyperlink" Target="file:///D:\Valued%20Customer\Documents\coins1\PHOTOS\LIBERTY%20NICKEL%201896%20BACK%20AA.JPG" TargetMode="External"/><Relationship Id="rId19" Type="http://schemas.openxmlformats.org/officeDocument/2006/relationships/hyperlink" Target="file:///D:\Valued%20Customer\Documents\coins1\PHOTOS\LIBERTY%20NICKEL%201904%20FRON%20AA.JPG" TargetMode="External"/><Relationship Id="rId4" Type="http://schemas.openxmlformats.org/officeDocument/2006/relationships/hyperlink" Target="file:///D:\Valued%20Customer\Documents\coins1\PHOTOS\LIBERTY%20NICKEL%201883%20BACK%20AA.JPG" TargetMode="External"/><Relationship Id="rId9" Type="http://schemas.openxmlformats.org/officeDocument/2006/relationships/hyperlink" Target="file:///D:\Valued%20Customer\Documents\coins1\PHOTOS\LIBERTY%20NICKEL%201896%20FRONT%20AA.JPG" TargetMode="External"/><Relationship Id="rId14" Type="http://schemas.openxmlformats.org/officeDocument/2006/relationships/hyperlink" Target="file:///D:\Valued%20Customer\Documents\coins1\PHOTOS\LIBERTY%20NICKEL%201902%20BACK%20AB.JPG" TargetMode="External"/><Relationship Id="rId22" Type="http://schemas.openxmlformats.org/officeDocument/2006/relationships/hyperlink" Target="file:///D:\Valued%20Customer\Documents\coins1\PHOTOS\LIBERTY%20NICKEL%201905%20BACK%20AB.JPG" TargetMode="External"/><Relationship Id="rId27" Type="http://schemas.openxmlformats.org/officeDocument/2006/relationships/printerSettings" Target="../printerSettings/printerSettings14.bin"/><Relationship Id="rId30" Type="http://schemas.microsoft.com/office/2007/relationships/slicer" Target="../slicers/slicer1.xml"/></Relationships>
</file>

<file path=xl/worksheets/_rels/sheet3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4.xml"/></Relationships>
</file>

<file path=xl/worksheets/_rels/sheet3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5.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6.xml"/><Relationship Id="rId5" Type="http://schemas.openxmlformats.org/officeDocument/2006/relationships/comments" Target="../comments3.xml"/><Relationship Id="rId4" Type="http://schemas.microsoft.com/office/2007/relationships/slicer" Target="../slicers/slicer4.xml"/></Relationships>
</file>

<file path=xl/worksheets/_rels/sheet40.xml.rels><?xml version="1.0" encoding="UTF-8" standalone="yes"?>
<Relationships xmlns="http://schemas.openxmlformats.org/package/2006/relationships"><Relationship Id="rId8" Type="http://schemas.openxmlformats.org/officeDocument/2006/relationships/hyperlink" Target="file:///D:\kb3om\AppData\Roaming\Microsoft\Excel\PHOTOS\IMG_4227.JPG" TargetMode="External"/><Relationship Id="rId13" Type="http://schemas.openxmlformats.org/officeDocument/2006/relationships/drawing" Target="../drawings/drawing7.xml"/><Relationship Id="rId3" Type="http://schemas.openxmlformats.org/officeDocument/2006/relationships/hyperlink" Target="file:///D:\kb3om\AppData\Roaming\Microsoft\Excel\PHOTOS\Silver%20Dollar%20receipts%20for%202020-2021-2022.zip" TargetMode="External"/><Relationship Id="rId7" Type="http://schemas.openxmlformats.org/officeDocument/2006/relationships/hyperlink" Target="file:///D:\kb3om\AppData\Roaming\Microsoft\Excel\PHOTOS\IMG_4224.JPG" TargetMode="External"/><Relationship Id="rId12" Type="http://schemas.openxmlformats.org/officeDocument/2006/relationships/hyperlink" Target="file:///D:\kb3om\AppData\Roaming\Microsoft\Excel\PHOTOS\IMG_4233%20-1A.jpg" TargetMode="External"/><Relationship Id="rId2" Type="http://schemas.openxmlformats.org/officeDocument/2006/relationships/hyperlink" Target="file:///D:\kb3om\AppData\Roaming\Microsoft\Excel\PHOTOS\Silver%20Dollar%20receipts%20for%202020-2021-2022.zip" TargetMode="External"/><Relationship Id="rId1" Type="http://schemas.openxmlformats.org/officeDocument/2006/relationships/hyperlink" Target="file:///D:\kb3om\AppData\Roaming\Microsoft\Excel\PHOTOS\Silver%20Dollar%20receipts%20for%202020-2021-2022.zip" TargetMode="External"/><Relationship Id="rId6" Type="http://schemas.openxmlformats.org/officeDocument/2006/relationships/hyperlink" Target="file:///D:\kb3om\AppData\Roaming\Microsoft\Excel\PHOTOS\IMG_4221.JPG" TargetMode="External"/><Relationship Id="rId11" Type="http://schemas.openxmlformats.org/officeDocument/2006/relationships/hyperlink" Target="file:///D:\kb3om\AppData\Roaming\Microsoft\Excel\PHOTOS\IMG_4238.JPG" TargetMode="External"/><Relationship Id="rId5" Type="http://schemas.openxmlformats.org/officeDocument/2006/relationships/hyperlink" Target="file:///D:\kb3om\AppData\Roaming\Microsoft\Excel\PHOTOS\IMG_4220.JPG" TargetMode="External"/><Relationship Id="rId15" Type="http://schemas.microsoft.com/office/2007/relationships/slicer" Target="../slicers/slicer5.xml"/><Relationship Id="rId10" Type="http://schemas.openxmlformats.org/officeDocument/2006/relationships/hyperlink" Target="file:///D:\kb3om\AppData\Roaming\Microsoft\Excel\PHOTOS\IMG_4235.JPG" TargetMode="External"/><Relationship Id="rId4" Type="http://schemas.openxmlformats.org/officeDocument/2006/relationships/hyperlink" Target="file:///D:\kb3om\AppData\Roaming\Microsoft\Excel\Recepts\Receipt%20from%20US%20Mint%20fot%202022%20W%20Silver%20Dollar%203-3-2023.jpeg" TargetMode="External"/><Relationship Id="rId9" Type="http://schemas.openxmlformats.org/officeDocument/2006/relationships/hyperlink" Target="file:///D:\kb3om\AppData\Roaming\Microsoft\Excel\PHOTOS\IMG_4231.JPG" TargetMode="External"/><Relationship Id="rId1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4659B-F47A-4BAD-9DAB-790C3CB6DE51}">
  <sheetPr codeName="Sheet25">
    <tabColor theme="9" tint="0.79998168889431442"/>
  </sheetPr>
  <dimension ref="A2:Q364"/>
  <sheetViews>
    <sheetView tabSelected="1" workbookViewId="0">
      <selection activeCell="A8" sqref="A8:A18"/>
    </sheetView>
  </sheetViews>
  <sheetFormatPr defaultRowHeight="12.75"/>
  <cols>
    <col min="1" max="1" width="51.7109375" customWidth="1"/>
    <col min="2" max="2" width="17.42578125" bestFit="1" customWidth="1"/>
    <col min="3" max="3" width="20.85546875" bestFit="1" customWidth="1"/>
    <col min="4" max="4" width="21" customWidth="1"/>
    <col min="5" max="5" width="15.42578125" bestFit="1" customWidth="1"/>
    <col min="6" max="6" width="23" bestFit="1" customWidth="1"/>
    <col min="8" max="8" width="11.85546875" customWidth="1"/>
    <col min="9" max="9" width="19.28515625" bestFit="1" customWidth="1"/>
    <col min="10" max="10" width="12.28515625" customWidth="1"/>
    <col min="11" max="11" width="15.42578125" bestFit="1" customWidth="1"/>
    <col min="13" max="13" width="43.140625" bestFit="1" customWidth="1"/>
    <col min="14" max="14" width="9.7109375" bestFit="1" customWidth="1"/>
    <col min="15" max="15" width="10.5703125" bestFit="1" customWidth="1"/>
  </cols>
  <sheetData>
    <row r="2" spans="1:16" ht="15.75">
      <c r="A2" s="327">
        <f>COUNTIF(CoinCollection!B2:B5002,"&gt;0")</f>
        <v>2444</v>
      </c>
      <c r="B2" s="135" t="s">
        <v>4643</v>
      </c>
      <c r="C2" s="328" t="s">
        <v>3964</v>
      </c>
      <c r="D2" s="134">
        <f>SUMIF(CoinCollection!D:D,"=Nickel",CoinCollection!J:J)</f>
        <v>939</v>
      </c>
      <c r="M2" s="197" t="s">
        <v>4252</v>
      </c>
    </row>
    <row r="3" spans="1:16">
      <c r="A3" s="135">
        <f>SUM(CoinCollection!J:J)</f>
        <v>4907</v>
      </c>
      <c r="B3" s="135" t="s">
        <v>1969</v>
      </c>
      <c r="C3" s="135"/>
      <c r="E3" s="135"/>
      <c r="F3" s="135"/>
      <c r="G3" s="135"/>
      <c r="H3" s="135"/>
      <c r="I3" s="135"/>
      <c r="M3" s="186" t="s">
        <v>2048</v>
      </c>
      <c r="N3" s="135" t="s">
        <v>2042</v>
      </c>
      <c r="O3" s="135"/>
      <c r="P3" s="135"/>
    </row>
    <row r="4" spans="1:16">
      <c r="A4" s="329" t="str">
        <f>DOLLAR(SUM(CoinCollection!H:H))</f>
        <v>$3,608.14</v>
      </c>
      <c r="B4" s="135" t="s">
        <v>1970</v>
      </c>
      <c r="C4" s="135"/>
      <c r="E4" s="135"/>
      <c r="F4" s="135"/>
      <c r="G4" s="135"/>
      <c r="H4" s="135"/>
      <c r="I4" s="135"/>
      <c r="M4" s="186" t="s">
        <v>2049</v>
      </c>
      <c r="N4" s="135" t="s">
        <v>2043</v>
      </c>
      <c r="O4" s="135"/>
      <c r="P4" s="135"/>
    </row>
    <row r="5" spans="1:16">
      <c r="A5" s="329" t="str">
        <f>DOLLAR(SUM(CoinCollection!I:I))</f>
        <v>$8,324.31</v>
      </c>
      <c r="B5" s="135" t="s">
        <v>1971</v>
      </c>
      <c r="C5" s="135" t="s">
        <v>4238</v>
      </c>
      <c r="D5">
        <f>PenneyWantList!I17</f>
        <v>25</v>
      </c>
      <c r="F5" s="135"/>
      <c r="G5" s="135"/>
      <c r="H5" s="135"/>
      <c r="I5" s="135"/>
      <c r="M5" s="186" t="s">
        <v>2051</v>
      </c>
      <c r="N5" s="135" t="s">
        <v>2044</v>
      </c>
      <c r="O5" s="135"/>
      <c r="P5" s="135"/>
    </row>
    <row r="6" spans="1:16">
      <c r="A6" s="235"/>
      <c r="B6" s="135"/>
      <c r="C6" s="135" t="s">
        <v>4239</v>
      </c>
      <c r="D6" s="34">
        <v>45</v>
      </c>
      <c r="F6" s="135"/>
      <c r="G6" s="135"/>
      <c r="H6" s="135"/>
      <c r="I6" s="135"/>
      <c r="M6" s="186" t="s">
        <v>2050</v>
      </c>
      <c r="N6" s="135" t="s">
        <v>2045</v>
      </c>
      <c r="O6" s="135"/>
      <c r="P6" s="135"/>
    </row>
    <row r="7" spans="1:16">
      <c r="A7" s="135"/>
      <c r="C7" s="135" t="s">
        <v>4240</v>
      </c>
      <c r="D7">
        <f>DimeMintage!F344</f>
        <v>266</v>
      </c>
      <c r="F7" s="135"/>
      <c r="G7" s="135"/>
      <c r="H7" s="135"/>
      <c r="I7" s="135"/>
      <c r="M7" s="186">
        <v>2009</v>
      </c>
      <c r="N7" s="135" t="s">
        <v>2046</v>
      </c>
      <c r="O7" s="135"/>
      <c r="P7" s="135"/>
    </row>
    <row r="8" spans="1:16">
      <c r="A8" s="135" t="s">
        <v>4920</v>
      </c>
      <c r="B8" s="136">
        <v>1</v>
      </c>
      <c r="C8" s="135" t="s">
        <v>4241</v>
      </c>
      <c r="D8">
        <f>QuarterMintage!C347</f>
        <v>273</v>
      </c>
      <c r="M8" s="186" t="s">
        <v>2052</v>
      </c>
      <c r="N8" s="135" t="s">
        <v>2047</v>
      </c>
      <c r="O8" s="135"/>
      <c r="P8" s="135"/>
    </row>
    <row r="9" spans="1:16">
      <c r="A9" s="135" t="s">
        <v>1962</v>
      </c>
      <c r="B9" s="136">
        <v>2</v>
      </c>
      <c r="C9" s="135" t="s">
        <v>4242</v>
      </c>
      <c r="D9">
        <v>52</v>
      </c>
      <c r="E9" s="290" t="s">
        <v>4243</v>
      </c>
      <c r="N9" s="135"/>
      <c r="O9" s="135"/>
      <c r="P9" s="135"/>
    </row>
    <row r="10" spans="1:16">
      <c r="A10" s="135" t="s">
        <v>1963</v>
      </c>
      <c r="B10" s="136">
        <v>3</v>
      </c>
      <c r="C10" s="135"/>
      <c r="D10">
        <v>28</v>
      </c>
      <c r="E10" s="290" t="s">
        <v>3881</v>
      </c>
      <c r="N10" s="135"/>
      <c r="O10" s="135"/>
      <c r="P10" s="135"/>
    </row>
    <row r="11" spans="1:16" ht="15.75">
      <c r="A11" s="135" t="s">
        <v>1965</v>
      </c>
      <c r="B11" s="136">
        <v>4</v>
      </c>
      <c r="C11" s="135"/>
      <c r="E11" s="290" t="s">
        <v>1898</v>
      </c>
      <c r="M11" s="197" t="s">
        <v>1829</v>
      </c>
      <c r="N11" s="135"/>
      <c r="O11" s="135"/>
      <c r="P11" s="135"/>
    </row>
    <row r="12" spans="1:16">
      <c r="A12" s="135" t="s">
        <v>1966</v>
      </c>
      <c r="B12" s="136">
        <v>5</v>
      </c>
      <c r="C12" s="135" t="s">
        <v>4244</v>
      </c>
      <c r="E12" s="290" t="s">
        <v>4245</v>
      </c>
      <c r="M12" s="135" t="s">
        <v>2006</v>
      </c>
      <c r="N12" s="135"/>
      <c r="O12" s="135"/>
      <c r="P12" s="135"/>
    </row>
    <row r="13" spans="1:16">
      <c r="A13" s="135" t="s">
        <v>1968</v>
      </c>
      <c r="B13" s="136">
        <v>6</v>
      </c>
      <c r="D13">
        <v>15</v>
      </c>
      <c r="E13" s="290" t="s">
        <v>3882</v>
      </c>
      <c r="M13" s="135" t="s">
        <v>2008</v>
      </c>
      <c r="N13" s="135" t="s">
        <v>2007</v>
      </c>
      <c r="O13" s="135"/>
      <c r="P13" s="135"/>
    </row>
    <row r="14" spans="1:16">
      <c r="A14" s="135" t="s">
        <v>1972</v>
      </c>
      <c r="B14" s="136">
        <v>7</v>
      </c>
      <c r="D14">
        <v>23</v>
      </c>
      <c r="E14" s="290" t="s">
        <v>2611</v>
      </c>
      <c r="M14" s="135" t="s">
        <v>2010</v>
      </c>
      <c r="N14" s="135" t="s">
        <v>2009</v>
      </c>
      <c r="O14" s="135"/>
      <c r="P14" s="135"/>
    </row>
    <row r="15" spans="1:16">
      <c r="A15" s="135" t="s">
        <v>1973</v>
      </c>
      <c r="B15" s="136">
        <v>8</v>
      </c>
      <c r="D15">
        <v>28</v>
      </c>
      <c r="E15" s="290" t="s">
        <v>1776</v>
      </c>
      <c r="N15" s="135" t="s">
        <v>2011</v>
      </c>
      <c r="O15" s="135"/>
      <c r="P15" s="135"/>
    </row>
    <row r="16" spans="1:16">
      <c r="A16" s="135" t="s">
        <v>1974</v>
      </c>
      <c r="B16" s="136">
        <v>9</v>
      </c>
      <c r="D16">
        <v>26</v>
      </c>
      <c r="E16" s="290" t="s">
        <v>3888</v>
      </c>
      <c r="N16" s="135"/>
      <c r="O16" s="135"/>
      <c r="P16" s="135"/>
    </row>
    <row r="17" spans="1:16" ht="16.5" thickBot="1">
      <c r="A17" s="135" t="s">
        <v>1986</v>
      </c>
      <c r="B17" s="136">
        <v>10</v>
      </c>
      <c r="E17" s="290" t="s">
        <v>3886</v>
      </c>
      <c r="F17" s="523"/>
      <c r="G17" s="523"/>
      <c r="M17" s="197" t="s">
        <v>4251</v>
      </c>
      <c r="N17" s="135"/>
      <c r="O17" s="135"/>
      <c r="P17" s="135"/>
    </row>
    <row r="18" spans="1:16" ht="13.5" thickTop="1">
      <c r="A18" s="135" t="s">
        <v>7</v>
      </c>
      <c r="B18" s="136">
        <v>11</v>
      </c>
      <c r="D18">
        <v>36</v>
      </c>
      <c r="E18" s="290" t="s">
        <v>3893</v>
      </c>
      <c r="F18" s="522" t="s">
        <v>5908</v>
      </c>
      <c r="G18">
        <v>22</v>
      </c>
      <c r="H18" s="524"/>
      <c r="M18" s="135" t="s">
        <v>1920</v>
      </c>
      <c r="N18" s="135" t="s">
        <v>1869</v>
      </c>
      <c r="O18" s="186">
        <v>1796</v>
      </c>
      <c r="P18" s="135" t="s">
        <v>2012</v>
      </c>
    </row>
    <row r="19" spans="1:16" ht="13.5" thickBot="1">
      <c r="A19" s="235"/>
      <c r="E19" s="521"/>
      <c r="F19" s="271" t="s">
        <v>5907</v>
      </c>
      <c r="G19" s="523">
        <v>35</v>
      </c>
      <c r="H19" s="524"/>
      <c r="M19" s="135" t="s">
        <v>1948</v>
      </c>
      <c r="N19" s="135" t="s">
        <v>1949</v>
      </c>
      <c r="O19" s="186" t="s">
        <v>2013</v>
      </c>
      <c r="P19" s="135" t="s">
        <v>2014</v>
      </c>
    </row>
    <row r="20" spans="1:16" ht="14.25" thickTop="1" thickBot="1">
      <c r="A20" s="134" t="s">
        <v>4</v>
      </c>
      <c r="B20" s="284" t="s">
        <v>3894</v>
      </c>
      <c r="C20" s="284" t="s">
        <v>1155</v>
      </c>
      <c r="D20" s="284" t="s">
        <v>3895</v>
      </c>
      <c r="F20" s="520"/>
      <c r="M20" s="135" t="s">
        <v>1950</v>
      </c>
      <c r="N20" s="135" t="s">
        <v>1951</v>
      </c>
      <c r="O20" s="186">
        <v>1946</v>
      </c>
      <c r="P20" s="135" t="s">
        <v>2015</v>
      </c>
    </row>
    <row r="21" spans="1:16" ht="15.75" thickTop="1">
      <c r="A21" s="234" t="s">
        <v>1961</v>
      </c>
      <c r="B21" t="s">
        <v>3863</v>
      </c>
      <c r="C21" t="s">
        <v>3864</v>
      </c>
      <c r="D21" s="3" t="s">
        <v>3896</v>
      </c>
      <c r="E21" s="518">
        <f>COUNTA(E1:E18)</f>
        <v>10</v>
      </c>
      <c r="F21" s="513" t="s">
        <v>3873</v>
      </c>
      <c r="G21" s="514"/>
      <c r="M21" s="135" t="s">
        <v>1952</v>
      </c>
      <c r="N21" s="135" t="s">
        <v>1942</v>
      </c>
      <c r="O21" s="186" t="s">
        <v>2016</v>
      </c>
      <c r="P21" s="135" t="s">
        <v>2017</v>
      </c>
    </row>
    <row r="22" spans="1:16" ht="15">
      <c r="A22" s="234" t="s">
        <v>1961</v>
      </c>
      <c r="B22" t="s">
        <v>3865</v>
      </c>
      <c r="C22" t="s">
        <v>3866</v>
      </c>
      <c r="D22" s="3"/>
      <c r="E22" s="519">
        <v>39</v>
      </c>
      <c r="F22" s="513" t="s">
        <v>3872</v>
      </c>
      <c r="G22" s="514"/>
      <c r="M22" s="135" t="s">
        <v>1953</v>
      </c>
      <c r="N22" s="135" t="s">
        <v>1954</v>
      </c>
      <c r="O22" s="135"/>
      <c r="P22" s="135"/>
    </row>
    <row r="23" spans="1:16" ht="15">
      <c r="A23" s="234" t="s">
        <v>1961</v>
      </c>
      <c r="B23" t="s">
        <v>3867</v>
      </c>
      <c r="C23" t="s">
        <v>2602</v>
      </c>
      <c r="D23" s="512"/>
      <c r="E23" s="378">
        <v>14</v>
      </c>
      <c r="F23" s="513" t="s">
        <v>5896</v>
      </c>
      <c r="G23" s="514"/>
      <c r="M23" s="135" t="s">
        <v>1955</v>
      </c>
      <c r="N23" s="135" t="s">
        <v>1956</v>
      </c>
      <c r="O23" s="135"/>
      <c r="P23" s="135"/>
    </row>
    <row r="24" spans="1:16" ht="15.75">
      <c r="A24" s="234" t="s">
        <v>1961</v>
      </c>
      <c r="B24" t="s">
        <v>3868</v>
      </c>
      <c r="C24" t="s">
        <v>3869</v>
      </c>
      <c r="D24" s="512"/>
      <c r="E24" s="378"/>
      <c r="F24" s="515"/>
      <c r="G24" s="197"/>
      <c r="H24" s="135"/>
    </row>
    <row r="25" spans="1:16" ht="15.75" thickBot="1">
      <c r="A25" s="234"/>
      <c r="D25" s="3"/>
      <c r="E25" s="517">
        <f>SUM(E21:E23)</f>
        <v>63</v>
      </c>
      <c r="F25" s="513" t="s">
        <v>5897</v>
      </c>
      <c r="G25" s="516"/>
      <c r="H25" s="135"/>
    </row>
    <row r="26" spans="1:16" ht="17.25" thickTop="1" thickBot="1">
      <c r="A26" s="234" t="s">
        <v>1962</v>
      </c>
      <c r="B26" t="s">
        <v>1861</v>
      </c>
      <c r="C26" t="s">
        <v>3870</v>
      </c>
      <c r="D26" s="3" t="s">
        <v>3897</v>
      </c>
      <c r="E26" s="525"/>
      <c r="F26" s="525"/>
      <c r="G26" s="135"/>
      <c r="H26" s="135"/>
      <c r="M26" s="197" t="s">
        <v>1919</v>
      </c>
      <c r="N26" s="135"/>
    </row>
    <row r="27" spans="1:16" ht="16.5" thickTop="1" thickBot="1">
      <c r="A27" s="234" t="s">
        <v>1962</v>
      </c>
      <c r="B27" t="s">
        <v>3871</v>
      </c>
      <c r="C27" t="s">
        <v>3872</v>
      </c>
      <c r="D27" s="526"/>
      <c r="E27" s="529">
        <v>77</v>
      </c>
      <c r="F27" s="527" t="s">
        <v>5909</v>
      </c>
      <c r="G27" s="528"/>
      <c r="H27" s="135"/>
      <c r="M27" s="135" t="s">
        <v>1920</v>
      </c>
      <c r="N27" s="135" t="s">
        <v>1869</v>
      </c>
      <c r="P27" s="291" t="s">
        <v>2024</v>
      </c>
    </row>
    <row r="28" spans="1:16" ht="13.5" thickTop="1">
      <c r="A28" s="234" t="s">
        <v>1962</v>
      </c>
      <c r="B28" t="s">
        <v>291</v>
      </c>
      <c r="C28" t="s">
        <v>3873</v>
      </c>
      <c r="D28" s="3"/>
      <c r="G28" s="135"/>
      <c r="H28" s="135"/>
      <c r="M28" s="135" t="s">
        <v>1921</v>
      </c>
      <c r="N28" s="135" t="s">
        <v>1922</v>
      </c>
      <c r="P28" s="291" t="s">
        <v>2022</v>
      </c>
    </row>
    <row r="29" spans="1:16">
      <c r="A29" s="234"/>
      <c r="D29" s="3"/>
      <c r="G29" s="135"/>
      <c r="H29" s="135"/>
      <c r="M29" s="135" t="s">
        <v>1923</v>
      </c>
      <c r="N29" s="135" t="s">
        <v>1924</v>
      </c>
      <c r="P29" s="291" t="s">
        <v>2023</v>
      </c>
    </row>
    <row r="30" spans="1:16">
      <c r="A30" s="234" t="s">
        <v>1963</v>
      </c>
      <c r="B30" t="s">
        <v>3874</v>
      </c>
      <c r="C30" t="s">
        <v>3875</v>
      </c>
      <c r="D30" s="3" t="s">
        <v>984</v>
      </c>
      <c r="G30" s="135"/>
      <c r="H30" s="135"/>
      <c r="M30" s="135" t="s">
        <v>1925</v>
      </c>
      <c r="N30" s="135" t="s">
        <v>1926</v>
      </c>
      <c r="P30" s="291" t="s">
        <v>2025</v>
      </c>
    </row>
    <row r="31" spans="1:16">
      <c r="A31" s="234" t="s">
        <v>1963</v>
      </c>
      <c r="B31" t="s">
        <v>983</v>
      </c>
      <c r="C31" t="s">
        <v>3876</v>
      </c>
      <c r="D31" s="3"/>
      <c r="G31" s="135"/>
      <c r="H31" s="134"/>
      <c r="M31" s="135" t="s">
        <v>1927</v>
      </c>
      <c r="N31" s="135" t="s">
        <v>1926</v>
      </c>
      <c r="P31" s="291" t="s">
        <v>2026</v>
      </c>
    </row>
    <row r="32" spans="1:16">
      <c r="A32" s="234"/>
      <c r="D32" s="3"/>
      <c r="G32" s="135"/>
      <c r="H32" s="186"/>
      <c r="M32" s="135" t="s">
        <v>1928</v>
      </c>
      <c r="N32" s="135" t="s">
        <v>1929</v>
      </c>
      <c r="P32" s="291" t="s">
        <v>2027</v>
      </c>
    </row>
    <row r="33" spans="1:17">
      <c r="A33" s="234" t="s">
        <v>1965</v>
      </c>
      <c r="B33" t="s">
        <v>3878</v>
      </c>
      <c r="C33" t="s">
        <v>3877</v>
      </c>
      <c r="D33" s="3" t="s">
        <v>3898</v>
      </c>
      <c r="G33" s="135"/>
      <c r="H33" s="186"/>
      <c r="M33" s="135" t="s">
        <v>1930</v>
      </c>
      <c r="N33" s="186">
        <v>1853</v>
      </c>
      <c r="P33" s="291" t="s">
        <v>2028</v>
      </c>
    </row>
    <row r="34" spans="1:17">
      <c r="A34" s="234"/>
      <c r="D34" s="3"/>
      <c r="G34" s="135"/>
      <c r="H34" s="186"/>
      <c r="M34" s="135" t="s">
        <v>1931</v>
      </c>
      <c r="N34" s="186" t="s">
        <v>1932</v>
      </c>
      <c r="P34" s="291" t="s">
        <v>2029</v>
      </c>
    </row>
    <row r="35" spans="1:17">
      <c r="A35" s="234" t="s">
        <v>3879</v>
      </c>
      <c r="B35" t="s">
        <v>1861</v>
      </c>
      <c r="C35" t="s">
        <v>3880</v>
      </c>
      <c r="D35" s="3" t="s">
        <v>3899</v>
      </c>
      <c r="G35" s="135"/>
      <c r="H35" s="186"/>
      <c r="M35" s="135" t="s">
        <v>1933</v>
      </c>
      <c r="N35" s="186" t="s">
        <v>1934</v>
      </c>
    </row>
    <row r="36" spans="1:17">
      <c r="A36" s="234" t="s">
        <v>3879</v>
      </c>
      <c r="B36" t="s">
        <v>1866</v>
      </c>
      <c r="C36" t="s">
        <v>3881</v>
      </c>
      <c r="D36" s="3"/>
      <c r="G36" s="135"/>
      <c r="H36" s="186"/>
      <c r="M36" s="135" t="s">
        <v>1935</v>
      </c>
      <c r="N36" s="186" t="s">
        <v>1936</v>
      </c>
    </row>
    <row r="37" spans="1:17">
      <c r="A37" s="234" t="s">
        <v>3879</v>
      </c>
      <c r="B37" t="s">
        <v>1390</v>
      </c>
      <c r="C37" t="s">
        <v>1898</v>
      </c>
      <c r="D37" s="3"/>
      <c r="G37" s="135"/>
      <c r="H37" s="135"/>
      <c r="M37" s="135" t="s">
        <v>1937</v>
      </c>
      <c r="N37" s="186" t="s">
        <v>1938</v>
      </c>
    </row>
    <row r="38" spans="1:17">
      <c r="A38" s="234"/>
      <c r="D38" s="3"/>
      <c r="G38" s="135"/>
      <c r="H38" s="135"/>
      <c r="M38" s="135" t="s">
        <v>1939</v>
      </c>
      <c r="N38" s="186" t="s">
        <v>1940</v>
      </c>
    </row>
    <row r="39" spans="1:17">
      <c r="A39" s="234" t="s">
        <v>3884</v>
      </c>
      <c r="B39" t="s">
        <v>3887</v>
      </c>
      <c r="C39" t="s">
        <v>3888</v>
      </c>
      <c r="D39" s="3" t="s">
        <v>3900</v>
      </c>
      <c r="G39" s="135"/>
      <c r="H39" s="135"/>
      <c r="M39" s="135" t="s">
        <v>1941</v>
      </c>
      <c r="N39" s="135" t="s">
        <v>1942</v>
      </c>
    </row>
    <row r="40" spans="1:17">
      <c r="A40" s="234" t="s">
        <v>3884</v>
      </c>
      <c r="B40" t="s">
        <v>3885</v>
      </c>
      <c r="C40" t="s">
        <v>3886</v>
      </c>
      <c r="D40" s="3"/>
      <c r="M40" s="135" t="s">
        <v>1943</v>
      </c>
      <c r="N40" s="135" t="s">
        <v>1944</v>
      </c>
    </row>
    <row r="41" spans="1:17">
      <c r="A41" s="234" t="s">
        <v>3884</v>
      </c>
      <c r="B41" t="s">
        <v>3889</v>
      </c>
      <c r="C41" t="s">
        <v>1776</v>
      </c>
      <c r="D41" s="3"/>
      <c r="M41" s="135" t="s">
        <v>1945</v>
      </c>
      <c r="N41" s="135" t="s">
        <v>1946</v>
      </c>
    </row>
    <row r="42" spans="1:17">
      <c r="A42" s="234" t="s">
        <v>3884</v>
      </c>
      <c r="B42" t="s">
        <v>322</v>
      </c>
      <c r="C42" t="s">
        <v>1772</v>
      </c>
      <c r="D42" s="3"/>
    </row>
    <row r="43" spans="1:17">
      <c r="A43" s="234" t="s">
        <v>3884</v>
      </c>
      <c r="B43" t="s">
        <v>3890</v>
      </c>
      <c r="C43" t="s">
        <v>3891</v>
      </c>
      <c r="D43" s="3"/>
    </row>
    <row r="44" spans="1:17" ht="15.75">
      <c r="A44" s="234" t="s">
        <v>3884</v>
      </c>
      <c r="B44" t="s">
        <v>3882</v>
      </c>
      <c r="C44" t="s">
        <v>1783</v>
      </c>
      <c r="D44" s="3"/>
      <c r="M44" s="197" t="s">
        <v>4250</v>
      </c>
      <c r="N44" s="103"/>
      <c r="O44" s="105"/>
    </row>
    <row r="45" spans="1:17">
      <c r="A45" s="234" t="s">
        <v>3884</v>
      </c>
      <c r="B45" t="s">
        <v>3883</v>
      </c>
      <c r="C45" t="s">
        <v>2611</v>
      </c>
      <c r="M45" s="103" t="s">
        <v>1864</v>
      </c>
      <c r="N45" s="289" t="s">
        <v>2031</v>
      </c>
      <c r="O45" s="105"/>
      <c r="Q45" s="105" t="s">
        <v>1861</v>
      </c>
    </row>
    <row r="46" spans="1:17">
      <c r="A46" s="234" t="s">
        <v>3884</v>
      </c>
      <c r="B46" t="s">
        <v>3892</v>
      </c>
      <c r="C46" t="s">
        <v>3893</v>
      </c>
      <c r="M46" s="103" t="s">
        <v>1869</v>
      </c>
      <c r="N46" s="289" t="s">
        <v>2032</v>
      </c>
      <c r="O46" s="105"/>
      <c r="Q46" s="105" t="s">
        <v>1866</v>
      </c>
    </row>
    <row r="47" spans="1:17">
      <c r="M47" s="103" t="s">
        <v>1873</v>
      </c>
      <c r="N47" s="289" t="s">
        <v>2034</v>
      </c>
      <c r="O47" s="105"/>
      <c r="P47" s="105"/>
      <c r="Q47" s="105" t="s">
        <v>1390</v>
      </c>
    </row>
    <row r="48" spans="1:17">
      <c r="M48" s="103" t="s">
        <v>1877</v>
      </c>
      <c r="N48" s="289" t="s">
        <v>1878</v>
      </c>
      <c r="O48" s="105"/>
      <c r="P48" s="105"/>
    </row>
    <row r="49" spans="1:16">
      <c r="A49" t="s">
        <v>4257</v>
      </c>
      <c r="M49" s="103" t="s">
        <v>1881</v>
      </c>
      <c r="N49" s="289" t="s">
        <v>2035</v>
      </c>
      <c r="O49" s="105"/>
      <c r="P49" s="105"/>
    </row>
    <row r="50" spans="1:16">
      <c r="A50" t="s">
        <v>4261</v>
      </c>
      <c r="M50" s="103" t="s">
        <v>1885</v>
      </c>
      <c r="N50" s="289" t="s">
        <v>1886</v>
      </c>
      <c r="O50" s="105"/>
      <c r="P50" s="105"/>
    </row>
    <row r="51" spans="1:16">
      <c r="A51" t="s">
        <v>4258</v>
      </c>
      <c r="M51" s="103" t="s">
        <v>1889</v>
      </c>
      <c r="N51" s="289" t="s">
        <v>1890</v>
      </c>
      <c r="O51" s="105"/>
      <c r="P51" s="105"/>
    </row>
    <row r="52" spans="1:16">
      <c r="A52" t="s">
        <v>4259</v>
      </c>
      <c r="M52" s="103" t="s">
        <v>1893</v>
      </c>
      <c r="N52" s="289" t="s">
        <v>2039</v>
      </c>
      <c r="O52" s="105"/>
      <c r="P52" s="105"/>
    </row>
    <row r="53" spans="1:16">
      <c r="A53" t="s">
        <v>4260</v>
      </c>
      <c r="M53" s="103" t="s">
        <v>1897</v>
      </c>
      <c r="N53" s="289" t="s">
        <v>2041</v>
      </c>
      <c r="O53" s="105"/>
      <c r="P53" s="105"/>
    </row>
    <row r="55" spans="1:16">
      <c r="A55" t="s">
        <v>4253</v>
      </c>
    </row>
    <row r="56" spans="1:16" ht="15.75">
      <c r="A56" t="s">
        <v>4254</v>
      </c>
      <c r="M56" s="197" t="s">
        <v>2066</v>
      </c>
    </row>
    <row r="57" spans="1:16">
      <c r="A57" t="s">
        <v>4255</v>
      </c>
      <c r="M57" s="173" t="s">
        <v>1843</v>
      </c>
    </row>
    <row r="58" spans="1:16">
      <c r="A58" t="s">
        <v>4256</v>
      </c>
      <c r="M58" s="173" t="s">
        <v>1844</v>
      </c>
    </row>
    <row r="59" spans="1:16">
      <c r="M59" s="173" t="s">
        <v>1845</v>
      </c>
      <c r="O59" t="s">
        <v>2060</v>
      </c>
      <c r="P59" s="196" t="s">
        <v>2054</v>
      </c>
    </row>
    <row r="60" spans="1:16" ht="13.5" thickBot="1">
      <c r="M60" s="173" t="s">
        <v>1846</v>
      </c>
      <c r="O60" t="s">
        <v>2061</v>
      </c>
      <c r="P60" s="196" t="s">
        <v>2055</v>
      </c>
    </row>
    <row r="61" spans="1:16" ht="16.5" thickBot="1">
      <c r="A61" s="534" t="s">
        <v>4262</v>
      </c>
      <c r="B61" s="535"/>
      <c r="C61" s="535"/>
      <c r="D61" s="535"/>
      <c r="E61" s="535"/>
      <c r="F61" s="535"/>
      <c r="G61" s="535"/>
      <c r="H61" s="536"/>
      <c r="M61" s="173" t="s">
        <v>1847</v>
      </c>
      <c r="O61" t="s">
        <v>2063</v>
      </c>
      <c r="P61" s="196" t="s">
        <v>2056</v>
      </c>
    </row>
    <row r="62" spans="1:16" ht="48" thickBot="1">
      <c r="A62" s="293" t="s">
        <v>84</v>
      </c>
      <c r="B62" s="293" t="s">
        <v>4263</v>
      </c>
      <c r="C62" s="293" t="s">
        <v>4264</v>
      </c>
      <c r="D62" s="293" t="s">
        <v>4265</v>
      </c>
      <c r="E62" s="293" t="s">
        <v>4266</v>
      </c>
      <c r="F62" s="293" t="s">
        <v>4267</v>
      </c>
      <c r="G62" s="293" t="s">
        <v>4268</v>
      </c>
      <c r="H62" s="293" t="s">
        <v>4269</v>
      </c>
      <c r="M62" s="173" t="s">
        <v>1848</v>
      </c>
      <c r="O62" t="s">
        <v>2064</v>
      </c>
      <c r="P62" s="196" t="s">
        <v>2057</v>
      </c>
    </row>
    <row r="63" spans="1:16" ht="25.5">
      <c r="A63" s="537">
        <v>1959</v>
      </c>
      <c r="B63" s="295" t="s">
        <v>4270</v>
      </c>
      <c r="C63" s="295" t="s">
        <v>4272</v>
      </c>
      <c r="D63" s="295" t="s">
        <v>2236</v>
      </c>
      <c r="E63" s="295" t="s">
        <v>3752</v>
      </c>
      <c r="F63" s="295" t="s">
        <v>2039</v>
      </c>
      <c r="G63" s="539">
        <v>1.82</v>
      </c>
      <c r="H63" s="541">
        <v>187000</v>
      </c>
      <c r="M63" s="173" t="s">
        <v>1849</v>
      </c>
      <c r="O63" t="s">
        <v>2062</v>
      </c>
      <c r="P63" s="196" t="s">
        <v>2058</v>
      </c>
    </row>
    <row r="64" spans="1:16" ht="15.75" thickBot="1">
      <c r="A64" s="538"/>
      <c r="B64" s="296" t="s">
        <v>4271</v>
      </c>
      <c r="C64" s="296" t="s">
        <v>4271</v>
      </c>
      <c r="D64" s="296" t="s">
        <v>4271</v>
      </c>
      <c r="E64" s="296" t="s">
        <v>4271</v>
      </c>
      <c r="F64" s="296" t="s">
        <v>4271</v>
      </c>
      <c r="G64" s="540"/>
      <c r="H64" s="542"/>
      <c r="M64" s="173" t="s">
        <v>1850</v>
      </c>
      <c r="O64" t="s">
        <v>2065</v>
      </c>
      <c r="P64" s="196" t="s">
        <v>2059</v>
      </c>
    </row>
    <row r="65" spans="1:13" ht="15.75" thickBot="1">
      <c r="A65" s="297">
        <v>1960</v>
      </c>
      <c r="B65" s="298" t="s">
        <v>4271</v>
      </c>
      <c r="C65" s="298" t="s">
        <v>4271</v>
      </c>
      <c r="D65" s="298" t="s">
        <v>4271</v>
      </c>
      <c r="E65" s="298" t="s">
        <v>4271</v>
      </c>
      <c r="F65" s="298" t="s">
        <v>4271</v>
      </c>
      <c r="G65" s="299">
        <v>1.82</v>
      </c>
      <c r="H65" s="300">
        <v>260485</v>
      </c>
      <c r="M65" s="173" t="s">
        <v>1851</v>
      </c>
    </row>
    <row r="66" spans="1:13" ht="15.75" thickBot="1">
      <c r="A66" s="297">
        <v>1961</v>
      </c>
      <c r="B66" s="298" t="s">
        <v>4271</v>
      </c>
      <c r="C66" s="298" t="s">
        <v>4271</v>
      </c>
      <c r="D66" s="298" t="s">
        <v>4271</v>
      </c>
      <c r="E66" s="298" t="s">
        <v>4271</v>
      </c>
      <c r="F66" s="298" t="s">
        <v>4271</v>
      </c>
      <c r="G66" s="299">
        <v>1.82</v>
      </c>
      <c r="H66" s="300">
        <v>223704</v>
      </c>
      <c r="M66" s="173" t="s">
        <v>1852</v>
      </c>
    </row>
    <row r="67" spans="1:13" ht="15.75" thickBot="1">
      <c r="A67" s="297">
        <v>1962</v>
      </c>
      <c r="B67" s="298" t="s">
        <v>4271</v>
      </c>
      <c r="C67" s="298" t="s">
        <v>4271</v>
      </c>
      <c r="D67" s="298" t="s">
        <v>4271</v>
      </c>
      <c r="E67" s="298" t="s">
        <v>4271</v>
      </c>
      <c r="F67" s="298" t="s">
        <v>4271</v>
      </c>
      <c r="G67" s="299">
        <v>1.82</v>
      </c>
      <c r="H67" s="300">
        <v>385285</v>
      </c>
      <c r="M67" s="173" t="s">
        <v>1853</v>
      </c>
    </row>
    <row r="68" spans="1:13" ht="15.75" thickBot="1">
      <c r="A68" s="297">
        <v>1963</v>
      </c>
      <c r="B68" s="298" t="s">
        <v>4271</v>
      </c>
      <c r="C68" s="298" t="s">
        <v>4271</v>
      </c>
      <c r="D68" s="298" t="s">
        <v>4271</v>
      </c>
      <c r="E68" s="298" t="s">
        <v>4271</v>
      </c>
      <c r="F68" s="298" t="s">
        <v>4271</v>
      </c>
      <c r="G68" s="299">
        <v>1.82</v>
      </c>
      <c r="H68" s="300">
        <v>606612</v>
      </c>
      <c r="M68" s="173" t="s">
        <v>1854</v>
      </c>
    </row>
    <row r="69" spans="1:13">
      <c r="A69" s="537">
        <v>1964</v>
      </c>
      <c r="B69" s="543" t="s">
        <v>4271</v>
      </c>
      <c r="C69" s="543" t="s">
        <v>4271</v>
      </c>
      <c r="D69" s="543" t="s">
        <v>4271</v>
      </c>
      <c r="E69" s="543" t="s">
        <v>4271</v>
      </c>
      <c r="F69" s="295" t="s">
        <v>2041</v>
      </c>
      <c r="G69" s="539">
        <v>1.82</v>
      </c>
      <c r="H69" s="541">
        <v>1008108</v>
      </c>
      <c r="M69" s="173" t="s">
        <v>1855</v>
      </c>
    </row>
    <row r="70" spans="1:13" ht="15.75" thickBot="1">
      <c r="A70" s="538"/>
      <c r="B70" s="544"/>
      <c r="C70" s="544"/>
      <c r="D70" s="544"/>
      <c r="E70" s="544"/>
      <c r="F70" s="296" t="s">
        <v>4271</v>
      </c>
      <c r="G70" s="540"/>
      <c r="H70" s="542"/>
      <c r="M70" s="173" t="s">
        <v>1856</v>
      </c>
    </row>
    <row r="71" spans="1:13" ht="13.5" thickBot="1">
      <c r="M71" s="173" t="s">
        <v>1857</v>
      </c>
    </row>
    <row r="72" spans="1:13" ht="16.5" thickBot="1">
      <c r="A72" s="534" t="s">
        <v>4273</v>
      </c>
      <c r="B72" s="535"/>
      <c r="C72" s="535"/>
      <c r="D72" s="535"/>
      <c r="E72" s="535"/>
      <c r="F72" s="535"/>
      <c r="G72" s="535"/>
      <c r="H72" s="535"/>
      <c r="I72" s="536"/>
      <c r="M72" s="173" t="s">
        <v>1858</v>
      </c>
    </row>
    <row r="73" spans="1:13" ht="32.25" thickBot="1">
      <c r="A73" s="293" t="s">
        <v>84</v>
      </c>
      <c r="B73" s="293" t="s">
        <v>4263</v>
      </c>
      <c r="C73" s="293" t="s">
        <v>4264</v>
      </c>
      <c r="D73" s="293" t="s">
        <v>4265</v>
      </c>
      <c r="E73" s="293" t="s">
        <v>4266</v>
      </c>
      <c r="F73" s="293" t="s">
        <v>4267</v>
      </c>
      <c r="G73" s="293" t="s">
        <v>4274</v>
      </c>
      <c r="H73" s="293" t="s">
        <v>4268</v>
      </c>
      <c r="I73" s="293" t="s">
        <v>4269</v>
      </c>
    </row>
    <row r="74" spans="1:13" ht="25.5">
      <c r="A74" s="537">
        <v>1964</v>
      </c>
      <c r="B74" s="295" t="s">
        <v>4270</v>
      </c>
      <c r="C74" s="295" t="s">
        <v>4272</v>
      </c>
      <c r="D74" s="295" t="s">
        <v>2236</v>
      </c>
      <c r="E74" s="295" t="s">
        <v>3752</v>
      </c>
      <c r="F74" s="295" t="s">
        <v>2041</v>
      </c>
      <c r="G74" s="537" t="s">
        <v>4276</v>
      </c>
      <c r="H74" s="539">
        <v>0.91</v>
      </c>
      <c r="I74" s="537" t="s">
        <v>4277</v>
      </c>
    </row>
    <row r="75" spans="1:13" ht="15.75" thickBot="1">
      <c r="A75" s="538"/>
      <c r="B75" s="296" t="s">
        <v>4275</v>
      </c>
      <c r="C75" s="296" t="s">
        <v>4275</v>
      </c>
      <c r="D75" s="296" t="s">
        <v>4275</v>
      </c>
      <c r="E75" s="296" t="s">
        <v>4275</v>
      </c>
      <c r="F75" s="296" t="s">
        <v>4275</v>
      </c>
      <c r="G75" s="538"/>
      <c r="H75" s="540"/>
      <c r="I75" s="538"/>
    </row>
    <row r="76" spans="1:13" ht="39" thickBot="1">
      <c r="A76" s="297">
        <v>1965</v>
      </c>
      <c r="B76" s="298" t="s">
        <v>4275</v>
      </c>
      <c r="C76" s="298" t="s">
        <v>4275</v>
      </c>
      <c r="D76" s="298" t="s">
        <v>4275</v>
      </c>
      <c r="E76" s="298" t="s">
        <v>4275</v>
      </c>
      <c r="F76" s="298" t="s">
        <v>4275</v>
      </c>
      <c r="G76" s="302" t="s">
        <v>4278</v>
      </c>
      <c r="H76" s="299">
        <v>0.91</v>
      </c>
      <c r="I76" s="300">
        <v>2360000</v>
      </c>
    </row>
    <row r="77" spans="1:13" ht="15.75" thickBot="1">
      <c r="A77" s="297">
        <v>1966</v>
      </c>
      <c r="B77" s="298" t="s">
        <v>4275</v>
      </c>
      <c r="C77" s="298" t="s">
        <v>4275</v>
      </c>
      <c r="D77" s="298" t="s">
        <v>4275</v>
      </c>
      <c r="E77" s="298" t="s">
        <v>4275</v>
      </c>
      <c r="F77" s="298" t="s">
        <v>4275</v>
      </c>
      <c r="G77" s="297" t="s">
        <v>4276</v>
      </c>
      <c r="H77" s="299">
        <v>0.91</v>
      </c>
      <c r="I77" s="300">
        <v>2261583</v>
      </c>
    </row>
    <row r="78" spans="1:13" ht="15.75" thickBot="1">
      <c r="A78" s="297">
        <v>1967</v>
      </c>
      <c r="B78" s="298" t="s">
        <v>4275</v>
      </c>
      <c r="C78" s="298" t="s">
        <v>4275</v>
      </c>
      <c r="D78" s="298" t="s">
        <v>4275</v>
      </c>
      <c r="E78" s="298" t="s">
        <v>4275</v>
      </c>
      <c r="F78" s="298" t="s">
        <v>4275</v>
      </c>
      <c r="G78" s="297" t="s">
        <v>4276</v>
      </c>
      <c r="H78" s="299">
        <v>0.91</v>
      </c>
      <c r="I78" s="300">
        <v>1863344</v>
      </c>
    </row>
    <row r="79" spans="1:13" ht="13.5" thickBot="1"/>
    <row r="80" spans="1:13" ht="16.5" thickBot="1">
      <c r="A80" s="534" t="s">
        <v>4279</v>
      </c>
      <c r="B80" s="535"/>
      <c r="C80" s="535"/>
      <c r="D80" s="535"/>
      <c r="E80" s="535"/>
      <c r="F80" s="535"/>
      <c r="G80" s="535"/>
      <c r="H80" s="535"/>
      <c r="I80" s="535"/>
      <c r="J80" s="535"/>
      <c r="K80" s="536"/>
    </row>
    <row r="81" spans="1:11" ht="32.25" thickBot="1">
      <c r="A81" s="293" t="s">
        <v>84</v>
      </c>
      <c r="B81" s="293" t="s">
        <v>4263</v>
      </c>
      <c r="C81" s="293" t="s">
        <v>4264</v>
      </c>
      <c r="D81" s="293" t="s">
        <v>4265</v>
      </c>
      <c r="E81" s="293" t="s">
        <v>4266</v>
      </c>
      <c r="F81" s="293" t="s">
        <v>4267</v>
      </c>
      <c r="G81" s="303">
        <v>1</v>
      </c>
      <c r="H81" s="293" t="s">
        <v>4274</v>
      </c>
      <c r="I81" s="293" t="s">
        <v>4268</v>
      </c>
      <c r="J81" s="293" t="s">
        <v>4269</v>
      </c>
      <c r="K81" s="293" t="s">
        <v>4280</v>
      </c>
    </row>
    <row r="82" spans="1:11" ht="25.5">
      <c r="A82" s="537">
        <v>1968</v>
      </c>
      <c r="B82" s="295" t="s">
        <v>4270</v>
      </c>
      <c r="C82" s="295" t="s">
        <v>4272</v>
      </c>
      <c r="D82" s="295" t="s">
        <v>2236</v>
      </c>
      <c r="E82" s="295" t="s">
        <v>3752</v>
      </c>
      <c r="F82" s="295" t="s">
        <v>2041</v>
      </c>
      <c r="G82" s="537" t="s">
        <v>4276</v>
      </c>
      <c r="H82" s="537" t="s">
        <v>4276</v>
      </c>
      <c r="I82" s="539">
        <v>1.33</v>
      </c>
      <c r="J82" s="541">
        <v>2105128</v>
      </c>
      <c r="K82" s="537" t="s">
        <v>4276</v>
      </c>
    </row>
    <row r="83" spans="1:11" ht="15.75" thickBot="1">
      <c r="A83" s="538"/>
      <c r="B83" s="296" t="s">
        <v>4281</v>
      </c>
      <c r="C83" s="296" t="s">
        <v>4282</v>
      </c>
      <c r="D83" s="296" t="s">
        <v>4271</v>
      </c>
      <c r="E83" s="296" t="s">
        <v>4271</v>
      </c>
      <c r="F83" s="296" t="s">
        <v>13</v>
      </c>
      <c r="G83" s="538"/>
      <c r="H83" s="538"/>
      <c r="I83" s="540"/>
      <c r="J83" s="542"/>
      <c r="K83" s="538"/>
    </row>
    <row r="84" spans="1:11" ht="15.75" thickBot="1">
      <c r="A84" s="297">
        <v>1969</v>
      </c>
      <c r="B84" s="298" t="s">
        <v>4281</v>
      </c>
      <c r="C84" s="298" t="s">
        <v>4282</v>
      </c>
      <c r="D84" s="298" t="s">
        <v>4271</v>
      </c>
      <c r="E84" s="298" t="s">
        <v>4271</v>
      </c>
      <c r="F84" s="298" t="s">
        <v>13</v>
      </c>
      <c r="G84" s="297" t="s">
        <v>4276</v>
      </c>
      <c r="H84" s="297" t="s">
        <v>4276</v>
      </c>
      <c r="I84" s="299">
        <v>1.33</v>
      </c>
      <c r="J84" s="300">
        <v>1817392</v>
      </c>
      <c r="K84" s="297" t="s">
        <v>4276</v>
      </c>
    </row>
    <row r="85" spans="1:11" ht="15.75" thickBot="1">
      <c r="A85" s="297">
        <v>1970</v>
      </c>
      <c r="B85" s="298" t="s">
        <v>4281</v>
      </c>
      <c r="C85" s="298" t="s">
        <v>4282</v>
      </c>
      <c r="D85" s="298" t="s">
        <v>4271</v>
      </c>
      <c r="E85" s="298" t="s">
        <v>4271</v>
      </c>
      <c r="F85" s="304" t="s">
        <v>13</v>
      </c>
      <c r="G85" s="297" t="s">
        <v>4276</v>
      </c>
      <c r="H85" s="297" t="s">
        <v>4276</v>
      </c>
      <c r="I85" s="299">
        <v>1.33</v>
      </c>
      <c r="J85" s="300">
        <v>2038134</v>
      </c>
      <c r="K85" s="297" t="s">
        <v>4276</v>
      </c>
    </row>
    <row r="86" spans="1:11" ht="30">
      <c r="A86" s="537">
        <v>1971</v>
      </c>
      <c r="B86" s="543" t="s">
        <v>4281</v>
      </c>
      <c r="C86" s="543" t="s">
        <v>4271</v>
      </c>
      <c r="D86" s="543" t="s">
        <v>4271</v>
      </c>
      <c r="E86" s="543" t="s">
        <v>4271</v>
      </c>
      <c r="F86" s="543" t="s">
        <v>4271</v>
      </c>
      <c r="G86" s="537" t="s">
        <v>4276</v>
      </c>
      <c r="H86" s="537" t="s">
        <v>4276</v>
      </c>
      <c r="I86" s="539">
        <v>1.83</v>
      </c>
      <c r="J86" s="541">
        <v>2193396</v>
      </c>
      <c r="K86" s="294" t="s">
        <v>2593</v>
      </c>
    </row>
    <row r="87" spans="1:11" ht="15.75" thickBot="1">
      <c r="A87" s="538"/>
      <c r="B87" s="544"/>
      <c r="C87" s="544"/>
      <c r="D87" s="544"/>
      <c r="E87" s="544"/>
      <c r="F87" s="544"/>
      <c r="G87" s="538"/>
      <c r="H87" s="538"/>
      <c r="I87" s="540"/>
      <c r="J87" s="542"/>
      <c r="K87" s="296" t="s">
        <v>4271</v>
      </c>
    </row>
    <row r="88" spans="1:11" ht="15.75" thickBot="1">
      <c r="A88" s="297">
        <v>1972</v>
      </c>
      <c r="B88" s="298" t="s">
        <v>4281</v>
      </c>
      <c r="C88" s="298" t="s">
        <v>4271</v>
      </c>
      <c r="D88" s="298" t="s">
        <v>4271</v>
      </c>
      <c r="E88" s="298" t="s">
        <v>4271</v>
      </c>
      <c r="F88" s="298" t="s">
        <v>4271</v>
      </c>
      <c r="G88" s="297" t="s">
        <v>4276</v>
      </c>
      <c r="H88" s="297" t="s">
        <v>4276</v>
      </c>
      <c r="I88" s="299">
        <v>1.83</v>
      </c>
      <c r="J88" s="300">
        <v>2750000</v>
      </c>
      <c r="K88" s="298" t="s">
        <v>4271</v>
      </c>
    </row>
    <row r="89" spans="1:11" ht="25.5">
      <c r="A89" s="537">
        <v>1973</v>
      </c>
      <c r="B89" s="543" t="s">
        <v>4281</v>
      </c>
      <c r="C89" s="543" t="s">
        <v>4271</v>
      </c>
      <c r="D89" s="543" t="s">
        <v>4271</v>
      </c>
      <c r="E89" s="543" t="s">
        <v>4271</v>
      </c>
      <c r="F89" s="543" t="s">
        <v>4271</v>
      </c>
      <c r="G89" s="295" t="s">
        <v>2593</v>
      </c>
      <c r="H89" s="537" t="s">
        <v>4276</v>
      </c>
      <c r="I89" s="539">
        <v>3.83</v>
      </c>
      <c r="J89" s="541">
        <v>1767691</v>
      </c>
      <c r="K89" s="537" t="s">
        <v>4276</v>
      </c>
    </row>
    <row r="90" spans="1:11" ht="15.75" thickBot="1">
      <c r="A90" s="538"/>
      <c r="B90" s="544"/>
      <c r="C90" s="544"/>
      <c r="D90" s="544"/>
      <c r="E90" s="544"/>
      <c r="F90" s="544"/>
      <c r="G90" s="296" t="s">
        <v>4283</v>
      </c>
      <c r="H90" s="538"/>
      <c r="I90" s="540"/>
      <c r="J90" s="542"/>
      <c r="K90" s="538"/>
    </row>
    <row r="91" spans="1:11" ht="15.75" thickBot="1">
      <c r="A91" s="297">
        <v>1974</v>
      </c>
      <c r="B91" s="298" t="s">
        <v>4281</v>
      </c>
      <c r="C91" s="298" t="s">
        <v>4271</v>
      </c>
      <c r="D91" s="298" t="s">
        <v>4271</v>
      </c>
      <c r="E91" s="298" t="s">
        <v>4271</v>
      </c>
      <c r="F91" s="298" t="s">
        <v>4271</v>
      </c>
      <c r="G91" s="298" t="s">
        <v>4271</v>
      </c>
      <c r="H91" s="297" t="s">
        <v>4276</v>
      </c>
      <c r="I91" s="299">
        <v>3.83</v>
      </c>
      <c r="J91" s="300">
        <v>1975981</v>
      </c>
      <c r="K91" s="297" t="s">
        <v>4276</v>
      </c>
    </row>
    <row r="92" spans="1:11" ht="15.75" thickBot="1">
      <c r="A92" s="297">
        <v>1975</v>
      </c>
      <c r="B92" s="298" t="s">
        <v>4271</v>
      </c>
      <c r="C92" s="298" t="s">
        <v>4271</v>
      </c>
      <c r="D92" s="298" t="s">
        <v>4271</v>
      </c>
      <c r="E92" s="298" t="s">
        <v>4271</v>
      </c>
      <c r="F92" s="298" t="s">
        <v>4271</v>
      </c>
      <c r="G92" s="298" t="s">
        <v>4271</v>
      </c>
      <c r="H92" s="297" t="s">
        <v>4276</v>
      </c>
      <c r="I92" s="299">
        <v>3.82</v>
      </c>
      <c r="J92" s="300">
        <v>1921488</v>
      </c>
      <c r="K92" s="297" t="s">
        <v>4276</v>
      </c>
    </row>
    <row r="93" spans="1:11" ht="15.75" thickBot="1">
      <c r="A93" s="297">
        <v>1976</v>
      </c>
      <c r="B93" s="298" t="s">
        <v>4271</v>
      </c>
      <c r="C93" s="298" t="s">
        <v>4271</v>
      </c>
      <c r="D93" s="298" t="s">
        <v>4271</v>
      </c>
      <c r="E93" s="298" t="s">
        <v>4271</v>
      </c>
      <c r="F93" s="298" t="s">
        <v>4271</v>
      </c>
      <c r="G93" s="298" t="s">
        <v>4271</v>
      </c>
      <c r="H93" s="297" t="s">
        <v>4276</v>
      </c>
      <c r="I93" s="299">
        <v>3.82</v>
      </c>
      <c r="J93" s="300">
        <v>1892513</v>
      </c>
      <c r="K93" s="297" t="s">
        <v>4276</v>
      </c>
    </row>
    <row r="94" spans="1:11" ht="15.75" thickBot="1">
      <c r="A94" s="297">
        <v>1977</v>
      </c>
      <c r="B94" s="298" t="s">
        <v>4271</v>
      </c>
      <c r="C94" s="298" t="s">
        <v>4271</v>
      </c>
      <c r="D94" s="298" t="s">
        <v>4271</v>
      </c>
      <c r="E94" s="298" t="s">
        <v>4271</v>
      </c>
      <c r="F94" s="298" t="s">
        <v>4271</v>
      </c>
      <c r="G94" s="298" t="s">
        <v>4271</v>
      </c>
      <c r="H94" s="297" t="s">
        <v>4276</v>
      </c>
      <c r="I94" s="299">
        <v>3.82</v>
      </c>
      <c r="J94" s="300">
        <v>2006869</v>
      </c>
      <c r="K94" s="297" t="s">
        <v>4276</v>
      </c>
    </row>
    <row r="95" spans="1:11" ht="15.75" thickBot="1">
      <c r="A95" s="297">
        <v>1978</v>
      </c>
      <c r="B95" s="298" t="s">
        <v>4271</v>
      </c>
      <c r="C95" s="298" t="s">
        <v>4271</v>
      </c>
      <c r="D95" s="298" t="s">
        <v>4271</v>
      </c>
      <c r="E95" s="298" t="s">
        <v>4271</v>
      </c>
      <c r="F95" s="298" t="s">
        <v>4271</v>
      </c>
      <c r="G95" s="298" t="s">
        <v>4271</v>
      </c>
      <c r="H95" s="297" t="s">
        <v>4276</v>
      </c>
      <c r="I95" s="299">
        <v>3.82</v>
      </c>
      <c r="J95" s="300">
        <v>2162609</v>
      </c>
      <c r="K95" s="297" t="s">
        <v>4276</v>
      </c>
    </row>
    <row r="96" spans="1:11" ht="38.25">
      <c r="A96" s="537">
        <v>1979</v>
      </c>
      <c r="B96" s="543" t="s">
        <v>4271</v>
      </c>
      <c r="C96" s="543" t="s">
        <v>4271</v>
      </c>
      <c r="D96" s="543" t="s">
        <v>4271</v>
      </c>
      <c r="E96" s="543" t="s">
        <v>4271</v>
      </c>
      <c r="F96" s="543" t="s">
        <v>4271</v>
      </c>
      <c r="G96" s="295" t="s">
        <v>4284</v>
      </c>
      <c r="H96" s="537" t="s">
        <v>4276</v>
      </c>
      <c r="I96" s="539">
        <v>3.82</v>
      </c>
      <c r="J96" s="541">
        <v>2526000</v>
      </c>
      <c r="K96" s="294" t="s">
        <v>4286</v>
      </c>
    </row>
    <row r="97" spans="1:11" ht="15.75" thickBot="1">
      <c r="A97" s="538"/>
      <c r="B97" s="544"/>
      <c r="C97" s="544"/>
      <c r="D97" s="544"/>
      <c r="E97" s="544"/>
      <c r="F97" s="544"/>
      <c r="G97" s="296" t="s">
        <v>4285</v>
      </c>
      <c r="H97" s="538"/>
      <c r="I97" s="540"/>
      <c r="J97" s="542"/>
      <c r="K97" s="296" t="s">
        <v>12</v>
      </c>
    </row>
    <row r="98" spans="1:11" ht="15.75" thickBot="1">
      <c r="A98" s="297">
        <v>1980</v>
      </c>
      <c r="B98" s="298" t="s">
        <v>4271</v>
      </c>
      <c r="C98" s="298" t="s">
        <v>4285</v>
      </c>
      <c r="D98" s="298" t="s">
        <v>4285</v>
      </c>
      <c r="E98" s="298" t="s">
        <v>4285</v>
      </c>
      <c r="F98" s="298" t="s">
        <v>4285</v>
      </c>
      <c r="G98" s="298" t="s">
        <v>4287</v>
      </c>
      <c r="H98" s="297" t="s">
        <v>4276</v>
      </c>
      <c r="I98" s="299">
        <v>4.82</v>
      </c>
      <c r="J98" s="300">
        <v>2815066</v>
      </c>
      <c r="K98" s="297" t="s">
        <v>4276</v>
      </c>
    </row>
    <row r="99" spans="1:11" ht="15.75" thickBot="1">
      <c r="A99" s="297">
        <v>1981</v>
      </c>
      <c r="B99" s="298" t="s">
        <v>4271</v>
      </c>
      <c r="C99" s="298" t="s">
        <v>4285</v>
      </c>
      <c r="D99" s="298" t="s">
        <v>4285</v>
      </c>
      <c r="E99" s="298" t="s">
        <v>4285</v>
      </c>
      <c r="F99" s="298" t="s">
        <v>4285</v>
      </c>
      <c r="G99" s="304" t="s">
        <v>4287</v>
      </c>
      <c r="H99" s="297" t="s">
        <v>4276</v>
      </c>
      <c r="I99" s="299">
        <v>4.82</v>
      </c>
      <c r="J99" s="300">
        <v>2908145</v>
      </c>
      <c r="K99" s="297" t="s">
        <v>4276</v>
      </c>
    </row>
    <row r="100" spans="1:11" ht="25.5">
      <c r="A100" s="537">
        <v>1984</v>
      </c>
      <c r="B100" s="543" t="s">
        <v>4271</v>
      </c>
      <c r="C100" s="543" t="s">
        <v>4285</v>
      </c>
      <c r="D100" s="543" t="s">
        <v>4285</v>
      </c>
      <c r="E100" s="543" t="s">
        <v>4285</v>
      </c>
      <c r="F100" s="543" t="s">
        <v>4285</v>
      </c>
      <c r="G100" s="537" t="s">
        <v>4276</v>
      </c>
      <c r="H100" s="295" t="s">
        <v>4288</v>
      </c>
      <c r="I100" s="539">
        <v>1.82</v>
      </c>
      <c r="J100" s="541">
        <v>1832857</v>
      </c>
      <c r="K100" s="537" t="s">
        <v>4276</v>
      </c>
    </row>
    <row r="101" spans="1:11" ht="15.75" thickBot="1">
      <c r="A101" s="538"/>
      <c r="B101" s="544"/>
      <c r="C101" s="544"/>
      <c r="D101" s="544"/>
      <c r="E101" s="544"/>
      <c r="F101" s="544"/>
      <c r="G101" s="538"/>
      <c r="H101" s="296" t="s">
        <v>4285</v>
      </c>
      <c r="I101" s="540"/>
      <c r="J101" s="542"/>
      <c r="K101" s="538"/>
    </row>
    <row r="102" spans="1:11" ht="15.75" thickBot="1">
      <c r="A102" s="297">
        <v>1985</v>
      </c>
      <c r="B102" s="298" t="s">
        <v>4271</v>
      </c>
      <c r="C102" s="298" t="s">
        <v>4285</v>
      </c>
      <c r="D102" s="298" t="s">
        <v>4285</v>
      </c>
      <c r="E102" s="298" t="s">
        <v>4285</v>
      </c>
      <c r="F102" s="298" t="s">
        <v>4285</v>
      </c>
      <c r="G102" s="297" t="s">
        <v>4276</v>
      </c>
      <c r="H102" s="298" t="s">
        <v>4285</v>
      </c>
      <c r="I102" s="299">
        <v>1.82</v>
      </c>
      <c r="J102" s="300">
        <v>1710571</v>
      </c>
      <c r="K102" s="297" t="s">
        <v>4276</v>
      </c>
    </row>
    <row r="103" spans="1:11" ht="15.75" thickBot="1">
      <c r="A103" s="297">
        <v>1986</v>
      </c>
      <c r="B103" s="298" t="s">
        <v>4271</v>
      </c>
      <c r="C103" s="298" t="s">
        <v>4285</v>
      </c>
      <c r="D103" s="298" t="s">
        <v>4285</v>
      </c>
      <c r="E103" s="298" t="s">
        <v>4285</v>
      </c>
      <c r="F103" s="298" t="s">
        <v>4285</v>
      </c>
      <c r="G103" s="297" t="s">
        <v>4276</v>
      </c>
      <c r="H103" s="298" t="s">
        <v>4285</v>
      </c>
      <c r="I103" s="299">
        <v>1.82</v>
      </c>
      <c r="J103" s="300">
        <v>1153536</v>
      </c>
      <c r="K103" s="297" t="s">
        <v>4276</v>
      </c>
    </row>
    <row r="104" spans="1:11" ht="15.75" thickBot="1">
      <c r="A104" s="297">
        <v>1987</v>
      </c>
      <c r="B104" s="298" t="s">
        <v>4271</v>
      </c>
      <c r="C104" s="298" t="s">
        <v>4285</v>
      </c>
      <c r="D104" s="298" t="s">
        <v>4285</v>
      </c>
      <c r="E104" s="298" t="s">
        <v>4285</v>
      </c>
      <c r="F104" s="304" t="s">
        <v>4285</v>
      </c>
      <c r="G104" s="297" t="s">
        <v>4276</v>
      </c>
      <c r="H104" s="298" t="s">
        <v>4285</v>
      </c>
      <c r="I104" s="299">
        <v>1.82</v>
      </c>
      <c r="J104" s="300">
        <v>2890758</v>
      </c>
      <c r="K104" s="297" t="s">
        <v>4276</v>
      </c>
    </row>
    <row r="105" spans="1:11" ht="15.75" thickBot="1">
      <c r="A105" s="297">
        <v>1988</v>
      </c>
      <c r="B105" s="298" t="s">
        <v>4271</v>
      </c>
      <c r="C105" s="298" t="s">
        <v>4285</v>
      </c>
      <c r="D105" s="298" t="s">
        <v>4285</v>
      </c>
      <c r="E105" s="298" t="s">
        <v>4285</v>
      </c>
      <c r="F105" s="298" t="s">
        <v>4285</v>
      </c>
      <c r="G105" s="297" t="s">
        <v>4276</v>
      </c>
      <c r="H105" s="298" t="s">
        <v>4285</v>
      </c>
      <c r="I105" s="299">
        <v>1.82</v>
      </c>
      <c r="J105" s="300">
        <v>1646204</v>
      </c>
      <c r="K105" s="297" t="s">
        <v>4276</v>
      </c>
    </row>
    <row r="106" spans="1:11" ht="15.75" thickBot="1">
      <c r="A106" s="297">
        <v>1989</v>
      </c>
      <c r="B106" s="298" t="s">
        <v>4271</v>
      </c>
      <c r="C106" s="298" t="s">
        <v>4285</v>
      </c>
      <c r="D106" s="298" t="s">
        <v>4285</v>
      </c>
      <c r="E106" s="298" t="s">
        <v>4285</v>
      </c>
      <c r="F106" s="298" t="s">
        <v>4285</v>
      </c>
      <c r="G106" s="297" t="s">
        <v>4276</v>
      </c>
      <c r="H106" s="298" t="s">
        <v>4285</v>
      </c>
      <c r="I106" s="299">
        <v>1.82</v>
      </c>
      <c r="J106" s="300">
        <v>1987915</v>
      </c>
      <c r="K106" s="297" t="s">
        <v>4276</v>
      </c>
    </row>
    <row r="107" spans="1:11" ht="15.75" thickBot="1">
      <c r="A107" s="297">
        <v>1990</v>
      </c>
      <c r="B107" s="298" t="s">
        <v>4271</v>
      </c>
      <c r="C107" s="298" t="s">
        <v>4285</v>
      </c>
      <c r="D107" s="298" t="s">
        <v>4285</v>
      </c>
      <c r="E107" s="298" t="s">
        <v>4285</v>
      </c>
      <c r="F107" s="298" t="s">
        <v>4285</v>
      </c>
      <c r="G107" s="297" t="s">
        <v>4276</v>
      </c>
      <c r="H107" s="298" t="s">
        <v>4285</v>
      </c>
      <c r="I107" s="299">
        <v>1.82</v>
      </c>
      <c r="J107" s="300">
        <v>1809184</v>
      </c>
      <c r="K107" s="297" t="s">
        <v>4276</v>
      </c>
    </row>
    <row r="108" spans="1:11" ht="15.75" thickBot="1">
      <c r="A108" s="297">
        <v>1991</v>
      </c>
      <c r="B108" s="298" t="s">
        <v>4271</v>
      </c>
      <c r="C108" s="298" t="s">
        <v>4285</v>
      </c>
      <c r="D108" s="298" t="s">
        <v>4285</v>
      </c>
      <c r="E108" s="298" t="s">
        <v>4285</v>
      </c>
      <c r="F108" s="298" t="s">
        <v>4285</v>
      </c>
      <c r="G108" s="297" t="s">
        <v>4276</v>
      </c>
      <c r="H108" s="298" t="s">
        <v>4285</v>
      </c>
      <c r="I108" s="299">
        <v>1.82</v>
      </c>
      <c r="J108" s="300">
        <v>1352101</v>
      </c>
      <c r="K108" s="297" t="s">
        <v>4276</v>
      </c>
    </row>
    <row r="109" spans="1:11" ht="15.75" thickBot="1">
      <c r="A109" s="297">
        <v>1992</v>
      </c>
      <c r="B109" s="298" t="s">
        <v>4271</v>
      </c>
      <c r="C109" s="298" t="s">
        <v>4285</v>
      </c>
      <c r="D109" s="298" t="s">
        <v>4285</v>
      </c>
      <c r="E109" s="298" t="s">
        <v>4285</v>
      </c>
      <c r="F109" s="298" t="s">
        <v>4285</v>
      </c>
      <c r="G109" s="297" t="s">
        <v>4276</v>
      </c>
      <c r="H109" s="298" t="s">
        <v>4285</v>
      </c>
      <c r="I109" s="299">
        <v>1.82</v>
      </c>
      <c r="J109" s="300">
        <v>1500143</v>
      </c>
      <c r="K109" s="297" t="s">
        <v>4276</v>
      </c>
    </row>
    <row r="110" spans="1:11" ht="15.75" thickBot="1">
      <c r="A110" s="297">
        <v>1993</v>
      </c>
      <c r="B110" s="298" t="s">
        <v>4271</v>
      </c>
      <c r="C110" s="298" t="s">
        <v>4285</v>
      </c>
      <c r="D110" s="298" t="s">
        <v>4285</v>
      </c>
      <c r="E110" s="298" t="s">
        <v>4285</v>
      </c>
      <c r="F110" s="298" t="s">
        <v>4285</v>
      </c>
      <c r="G110" s="297" t="s">
        <v>4276</v>
      </c>
      <c r="H110" s="298" t="s">
        <v>4285</v>
      </c>
      <c r="I110" s="299">
        <v>1.82</v>
      </c>
      <c r="J110" s="300">
        <v>1297431</v>
      </c>
      <c r="K110" s="297" t="s">
        <v>4276</v>
      </c>
    </row>
    <row r="111" spans="1:11" ht="15.75" thickBot="1">
      <c r="A111" s="297">
        <v>1994</v>
      </c>
      <c r="B111" s="298" t="s">
        <v>4271</v>
      </c>
      <c r="C111" s="298" t="s">
        <v>4285</v>
      </c>
      <c r="D111" s="298" t="s">
        <v>4285</v>
      </c>
      <c r="E111" s="298" t="s">
        <v>4285</v>
      </c>
      <c r="F111" s="298" t="s">
        <v>4285</v>
      </c>
      <c r="G111" s="297" t="s">
        <v>4276</v>
      </c>
      <c r="H111" s="298" t="s">
        <v>4285</v>
      </c>
      <c r="I111" s="299">
        <v>1.82</v>
      </c>
      <c r="J111" s="300">
        <v>1234813</v>
      </c>
      <c r="K111" s="297" t="s">
        <v>4276</v>
      </c>
    </row>
    <row r="112" spans="1:11" ht="15.75" thickBot="1">
      <c r="A112" s="297">
        <v>1995</v>
      </c>
      <c r="B112" s="298" t="s">
        <v>4271</v>
      </c>
      <c r="C112" s="298" t="s">
        <v>4285</v>
      </c>
      <c r="D112" s="298" t="s">
        <v>4285</v>
      </c>
      <c r="E112" s="298" t="s">
        <v>4285</v>
      </c>
      <c r="F112" s="298" t="s">
        <v>4285</v>
      </c>
      <c r="G112" s="297" t="s">
        <v>4276</v>
      </c>
      <c r="H112" s="298" t="s">
        <v>4285</v>
      </c>
      <c r="I112" s="299">
        <v>1.82</v>
      </c>
      <c r="J112" s="300">
        <v>1038787</v>
      </c>
      <c r="K112" s="297" t="s">
        <v>4276</v>
      </c>
    </row>
    <row r="113" spans="1:11" ht="15.75" thickBot="1">
      <c r="A113" s="297">
        <v>1996</v>
      </c>
      <c r="B113" s="298" t="s">
        <v>4271</v>
      </c>
      <c r="C113" s="298" t="s">
        <v>4285</v>
      </c>
      <c r="D113" s="298" t="s">
        <v>4289</v>
      </c>
      <c r="E113" s="298" t="s">
        <v>4285</v>
      </c>
      <c r="F113" s="298" t="s">
        <v>4285</v>
      </c>
      <c r="G113" s="297" t="s">
        <v>4276</v>
      </c>
      <c r="H113" s="298" t="s">
        <v>4285</v>
      </c>
      <c r="I113" s="299">
        <v>1.92</v>
      </c>
      <c r="J113" s="300">
        <v>1457949</v>
      </c>
      <c r="K113" s="297" t="s">
        <v>4276</v>
      </c>
    </row>
    <row r="114" spans="1:11" ht="15.75" thickBot="1">
      <c r="A114" s="297">
        <v>1997</v>
      </c>
      <c r="B114" s="298" t="s">
        <v>4271</v>
      </c>
      <c r="C114" s="298" t="s">
        <v>4285</v>
      </c>
      <c r="D114" s="298" t="s">
        <v>4285</v>
      </c>
      <c r="E114" s="298" t="s">
        <v>4285</v>
      </c>
      <c r="F114" s="298" t="s">
        <v>4285</v>
      </c>
      <c r="G114" s="297" t="s">
        <v>4276</v>
      </c>
      <c r="H114" s="298" t="s">
        <v>4285</v>
      </c>
      <c r="I114" s="299">
        <v>1.82</v>
      </c>
      <c r="J114" s="300">
        <v>950473</v>
      </c>
      <c r="K114" s="297" t="s">
        <v>4276</v>
      </c>
    </row>
    <row r="115" spans="1:11" ht="15.75" thickBot="1">
      <c r="A115" s="297">
        <v>1998</v>
      </c>
      <c r="B115" s="298" t="s">
        <v>4271</v>
      </c>
      <c r="C115" s="298" t="s">
        <v>4285</v>
      </c>
      <c r="D115" s="298" t="s">
        <v>4285</v>
      </c>
      <c r="E115" s="298" t="s">
        <v>4285</v>
      </c>
      <c r="F115" s="298" t="s">
        <v>4285</v>
      </c>
      <c r="G115" s="297" t="s">
        <v>4276</v>
      </c>
      <c r="H115" s="298" t="s">
        <v>4285</v>
      </c>
      <c r="I115" s="299">
        <v>1.82</v>
      </c>
      <c r="J115" s="300">
        <v>1187325</v>
      </c>
      <c r="K115" s="297" t="s">
        <v>4276</v>
      </c>
    </row>
    <row r="116" spans="1:11" ht="38.25">
      <c r="A116" s="537">
        <v>1999</v>
      </c>
      <c r="B116" s="543" t="s">
        <v>4271</v>
      </c>
      <c r="C116" s="543" t="s">
        <v>4285</v>
      </c>
      <c r="D116" s="543" t="s">
        <v>4285</v>
      </c>
      <c r="E116" s="295" t="s">
        <v>4290</v>
      </c>
      <c r="F116" s="543" t="s">
        <v>4285</v>
      </c>
      <c r="G116" s="537" t="s">
        <v>4276</v>
      </c>
      <c r="H116" s="543" t="s">
        <v>4285</v>
      </c>
      <c r="I116" s="539">
        <v>3.82</v>
      </c>
      <c r="J116" s="541">
        <v>1243867</v>
      </c>
      <c r="K116" s="294" t="s">
        <v>4286</v>
      </c>
    </row>
    <row r="117" spans="1:11" ht="30">
      <c r="A117" s="545"/>
      <c r="B117" s="546"/>
      <c r="C117" s="546"/>
      <c r="D117" s="546"/>
      <c r="E117" s="305" t="s">
        <v>4291</v>
      </c>
      <c r="F117" s="546"/>
      <c r="G117" s="545"/>
      <c r="H117" s="546"/>
      <c r="I117" s="547"/>
      <c r="J117" s="548"/>
      <c r="K117" s="307" t="s">
        <v>4285</v>
      </c>
    </row>
    <row r="118" spans="1:11">
      <c r="A118" s="545"/>
      <c r="B118" s="546"/>
      <c r="C118" s="546"/>
      <c r="D118" s="546"/>
      <c r="E118" s="306"/>
      <c r="F118" s="546"/>
      <c r="G118" s="545"/>
      <c r="H118" s="546"/>
      <c r="I118" s="547"/>
      <c r="J118" s="548"/>
      <c r="K118" s="306"/>
    </row>
    <row r="119" spans="1:11" ht="30">
      <c r="A119" s="545"/>
      <c r="B119" s="546"/>
      <c r="C119" s="546"/>
      <c r="D119" s="546"/>
      <c r="E119" s="305" t="s">
        <v>4292</v>
      </c>
      <c r="F119" s="546"/>
      <c r="G119" s="545"/>
      <c r="H119" s="546"/>
      <c r="I119" s="547"/>
      <c r="J119" s="548"/>
      <c r="K119" s="306"/>
    </row>
    <row r="120" spans="1:11">
      <c r="A120" s="545"/>
      <c r="B120" s="546"/>
      <c r="C120" s="546"/>
      <c r="D120" s="546"/>
      <c r="E120" s="306"/>
      <c r="F120" s="546"/>
      <c r="G120" s="545"/>
      <c r="H120" s="546"/>
      <c r="I120" s="547"/>
      <c r="J120" s="548"/>
      <c r="K120" s="306"/>
    </row>
    <row r="121" spans="1:11" ht="30">
      <c r="A121" s="545"/>
      <c r="B121" s="546"/>
      <c r="C121" s="546"/>
      <c r="D121" s="546"/>
      <c r="E121" s="305" t="s">
        <v>4293</v>
      </c>
      <c r="F121" s="546"/>
      <c r="G121" s="545"/>
      <c r="H121" s="546"/>
      <c r="I121" s="547"/>
      <c r="J121" s="548"/>
      <c r="K121" s="306"/>
    </row>
    <row r="122" spans="1:11">
      <c r="A122" s="545"/>
      <c r="B122" s="546"/>
      <c r="C122" s="546"/>
      <c r="D122" s="546"/>
      <c r="E122" s="306"/>
      <c r="F122" s="546"/>
      <c r="G122" s="545"/>
      <c r="H122" s="546"/>
      <c r="I122" s="547"/>
      <c r="J122" s="548"/>
      <c r="K122" s="306"/>
    </row>
    <row r="123" spans="1:11" ht="15">
      <c r="A123" s="545"/>
      <c r="B123" s="546"/>
      <c r="C123" s="546"/>
      <c r="D123" s="546"/>
      <c r="E123" s="305" t="s">
        <v>4294</v>
      </c>
      <c r="F123" s="546"/>
      <c r="G123" s="545"/>
      <c r="H123" s="546"/>
      <c r="I123" s="547"/>
      <c r="J123" s="548"/>
      <c r="K123" s="306"/>
    </row>
    <row r="124" spans="1:11">
      <c r="A124" s="545"/>
      <c r="B124" s="546"/>
      <c r="C124" s="546"/>
      <c r="D124" s="546"/>
      <c r="E124" s="306"/>
      <c r="F124" s="546"/>
      <c r="G124" s="545"/>
      <c r="H124" s="546"/>
      <c r="I124" s="547"/>
      <c r="J124" s="548"/>
      <c r="K124" s="306"/>
    </row>
    <row r="125" spans="1:11" ht="30.75" thickBot="1">
      <c r="A125" s="538"/>
      <c r="B125" s="544"/>
      <c r="C125" s="544"/>
      <c r="D125" s="544"/>
      <c r="E125" s="301" t="s">
        <v>4295</v>
      </c>
      <c r="F125" s="544"/>
      <c r="G125" s="538"/>
      <c r="H125" s="544"/>
      <c r="I125" s="540"/>
      <c r="J125" s="542"/>
      <c r="K125" s="308"/>
    </row>
    <row r="126" spans="1:11" ht="51">
      <c r="A126" s="537">
        <v>2000</v>
      </c>
      <c r="B126" s="543" t="s">
        <v>4271</v>
      </c>
      <c r="C126" s="543" t="s">
        <v>4285</v>
      </c>
      <c r="D126" s="543" t="s">
        <v>4285</v>
      </c>
      <c r="E126" s="294" t="s">
        <v>4296</v>
      </c>
      <c r="F126" s="543" t="s">
        <v>4285</v>
      </c>
      <c r="G126" s="295" t="s">
        <v>4301</v>
      </c>
      <c r="H126" s="537" t="s">
        <v>4276</v>
      </c>
      <c r="I126" s="539">
        <v>5.82</v>
      </c>
      <c r="J126" s="541">
        <v>1490160</v>
      </c>
      <c r="K126" s="537" t="s">
        <v>4276</v>
      </c>
    </row>
    <row r="127" spans="1:11" ht="15">
      <c r="A127" s="545"/>
      <c r="B127" s="546"/>
      <c r="C127" s="546"/>
      <c r="D127" s="546"/>
      <c r="E127" s="305" t="s">
        <v>4297</v>
      </c>
      <c r="F127" s="546"/>
      <c r="G127" s="307" t="s">
        <v>4285</v>
      </c>
      <c r="H127" s="545"/>
      <c r="I127" s="547"/>
      <c r="J127" s="548"/>
      <c r="K127" s="545"/>
    </row>
    <row r="128" spans="1:11">
      <c r="A128" s="545"/>
      <c r="B128" s="546"/>
      <c r="C128" s="546"/>
      <c r="D128" s="546"/>
      <c r="E128" s="306"/>
      <c r="F128" s="546"/>
      <c r="G128" s="306"/>
      <c r="H128" s="545"/>
      <c r="I128" s="547"/>
      <c r="J128" s="548"/>
      <c r="K128" s="545"/>
    </row>
    <row r="129" spans="1:11" ht="30">
      <c r="A129" s="545"/>
      <c r="B129" s="546"/>
      <c r="C129" s="546"/>
      <c r="D129" s="546"/>
      <c r="E129" s="305" t="s">
        <v>4298</v>
      </c>
      <c r="F129" s="546"/>
      <c r="G129" s="306"/>
      <c r="H129" s="545"/>
      <c r="I129" s="547"/>
      <c r="J129" s="548"/>
      <c r="K129" s="545"/>
    </row>
    <row r="130" spans="1:11">
      <c r="A130" s="545"/>
      <c r="B130" s="546"/>
      <c r="C130" s="546"/>
      <c r="D130" s="546"/>
      <c r="E130" s="306"/>
      <c r="F130" s="546"/>
      <c r="G130" s="306"/>
      <c r="H130" s="545"/>
      <c r="I130" s="547"/>
      <c r="J130" s="548"/>
      <c r="K130" s="545"/>
    </row>
    <row r="131" spans="1:11" ht="45">
      <c r="A131" s="545"/>
      <c r="B131" s="546"/>
      <c r="C131" s="546"/>
      <c r="D131" s="546"/>
      <c r="E131" s="305" t="s">
        <v>4299</v>
      </c>
      <c r="F131" s="546"/>
      <c r="G131" s="306"/>
      <c r="H131" s="545"/>
      <c r="I131" s="547"/>
      <c r="J131" s="548"/>
      <c r="K131" s="545"/>
    </row>
    <row r="132" spans="1:11">
      <c r="A132" s="545"/>
      <c r="B132" s="546"/>
      <c r="C132" s="546"/>
      <c r="D132" s="546"/>
      <c r="E132" s="306"/>
      <c r="F132" s="546"/>
      <c r="G132" s="306"/>
      <c r="H132" s="545"/>
      <c r="I132" s="547"/>
      <c r="J132" s="548"/>
      <c r="K132" s="545"/>
    </row>
    <row r="133" spans="1:11" ht="15.75" thickBot="1">
      <c r="A133" s="538"/>
      <c r="B133" s="544"/>
      <c r="C133" s="544"/>
      <c r="D133" s="544"/>
      <c r="E133" s="301" t="s">
        <v>4300</v>
      </c>
      <c r="F133" s="544"/>
      <c r="G133" s="308"/>
      <c r="H133" s="538"/>
      <c r="I133" s="540"/>
      <c r="J133" s="542"/>
      <c r="K133" s="538"/>
    </row>
    <row r="134" spans="1:11" ht="30">
      <c r="A134" s="537">
        <v>2001</v>
      </c>
      <c r="B134" s="543" t="s">
        <v>4271</v>
      </c>
      <c r="C134" s="543" t="s">
        <v>4285</v>
      </c>
      <c r="D134" s="543" t="s">
        <v>4285</v>
      </c>
      <c r="E134" s="294" t="s">
        <v>4302</v>
      </c>
      <c r="F134" s="543" t="s">
        <v>4285</v>
      </c>
      <c r="G134" s="543" t="s">
        <v>4285</v>
      </c>
      <c r="H134" s="537" t="s">
        <v>4276</v>
      </c>
      <c r="I134" s="539">
        <v>5.82</v>
      </c>
      <c r="J134" s="541">
        <v>1116915</v>
      </c>
      <c r="K134" s="537" t="s">
        <v>4276</v>
      </c>
    </row>
    <row r="135" spans="1:11" ht="30">
      <c r="A135" s="545"/>
      <c r="B135" s="546"/>
      <c r="C135" s="546"/>
      <c r="D135" s="546"/>
      <c r="E135" s="305" t="s">
        <v>4303</v>
      </c>
      <c r="F135" s="546"/>
      <c r="G135" s="546"/>
      <c r="H135" s="545"/>
      <c r="I135" s="547"/>
      <c r="J135" s="548"/>
      <c r="K135" s="545"/>
    </row>
    <row r="136" spans="1:11">
      <c r="A136" s="545"/>
      <c r="B136" s="546"/>
      <c r="C136" s="546"/>
      <c r="D136" s="546"/>
      <c r="E136" s="306"/>
      <c r="F136" s="546"/>
      <c r="G136" s="546"/>
      <c r="H136" s="545"/>
      <c r="I136" s="547"/>
      <c r="J136" s="548"/>
      <c r="K136" s="545"/>
    </row>
    <row r="137" spans="1:11" ht="30">
      <c r="A137" s="545"/>
      <c r="B137" s="546"/>
      <c r="C137" s="546"/>
      <c r="D137" s="546"/>
      <c r="E137" s="305" t="s">
        <v>4304</v>
      </c>
      <c r="F137" s="546"/>
      <c r="G137" s="546"/>
      <c r="H137" s="545"/>
      <c r="I137" s="547"/>
      <c r="J137" s="548"/>
      <c r="K137" s="545"/>
    </row>
    <row r="138" spans="1:11">
      <c r="A138" s="545"/>
      <c r="B138" s="546"/>
      <c r="C138" s="546"/>
      <c r="D138" s="546"/>
      <c r="E138" s="306"/>
      <c r="F138" s="546"/>
      <c r="G138" s="546"/>
      <c r="H138" s="545"/>
      <c r="I138" s="547"/>
      <c r="J138" s="548"/>
      <c r="K138" s="545"/>
    </row>
    <row r="139" spans="1:11" ht="15">
      <c r="A139" s="545"/>
      <c r="B139" s="546"/>
      <c r="C139" s="546"/>
      <c r="D139" s="546"/>
      <c r="E139" s="305" t="s">
        <v>4305</v>
      </c>
      <c r="F139" s="546"/>
      <c r="G139" s="546"/>
      <c r="H139" s="545"/>
      <c r="I139" s="547"/>
      <c r="J139" s="548"/>
      <c r="K139" s="545"/>
    </row>
    <row r="140" spans="1:11">
      <c r="A140" s="545"/>
      <c r="B140" s="546"/>
      <c r="C140" s="546"/>
      <c r="D140" s="546"/>
      <c r="E140" s="306"/>
      <c r="F140" s="546"/>
      <c r="G140" s="546"/>
      <c r="H140" s="545"/>
      <c r="I140" s="547"/>
      <c r="J140" s="548"/>
      <c r="K140" s="545"/>
    </row>
    <row r="141" spans="1:11" ht="15.75" thickBot="1">
      <c r="A141" s="538"/>
      <c r="B141" s="544"/>
      <c r="C141" s="544"/>
      <c r="D141" s="544"/>
      <c r="E141" s="301" t="s">
        <v>4306</v>
      </c>
      <c r="F141" s="544"/>
      <c r="G141" s="544"/>
      <c r="H141" s="538"/>
      <c r="I141" s="540"/>
      <c r="J141" s="542"/>
      <c r="K141" s="538"/>
    </row>
    <row r="142" spans="1:11" ht="30">
      <c r="A142" s="537">
        <v>2002</v>
      </c>
      <c r="B142" s="543" t="s">
        <v>4271</v>
      </c>
      <c r="C142" s="543" t="s">
        <v>4285</v>
      </c>
      <c r="D142" s="543" t="s">
        <v>4285</v>
      </c>
      <c r="E142" s="294" t="s">
        <v>4307</v>
      </c>
      <c r="F142" s="549" t="s">
        <v>4285</v>
      </c>
      <c r="G142" s="549" t="s">
        <v>4285</v>
      </c>
      <c r="H142" s="537" t="s">
        <v>4276</v>
      </c>
      <c r="I142" s="539">
        <v>5.82</v>
      </c>
      <c r="J142" s="541">
        <v>1139388</v>
      </c>
      <c r="K142" s="537" t="s">
        <v>4276</v>
      </c>
    </row>
    <row r="143" spans="1:11" ht="15">
      <c r="A143" s="545"/>
      <c r="B143" s="546"/>
      <c r="C143" s="546"/>
      <c r="D143" s="546"/>
      <c r="E143" s="305" t="s">
        <v>4308</v>
      </c>
      <c r="F143" s="550"/>
      <c r="G143" s="550"/>
      <c r="H143" s="545"/>
      <c r="I143" s="547"/>
      <c r="J143" s="548"/>
      <c r="K143" s="545"/>
    </row>
    <row r="144" spans="1:11">
      <c r="A144" s="545"/>
      <c r="B144" s="546"/>
      <c r="C144" s="546"/>
      <c r="D144" s="546"/>
      <c r="E144" s="306"/>
      <c r="F144" s="550"/>
      <c r="G144" s="550"/>
      <c r="H144" s="545"/>
      <c r="I144" s="547"/>
      <c r="J144" s="548"/>
      <c r="K144" s="545"/>
    </row>
    <row r="145" spans="1:11" ht="30">
      <c r="A145" s="545"/>
      <c r="B145" s="546"/>
      <c r="C145" s="546"/>
      <c r="D145" s="546"/>
      <c r="E145" s="305" t="s">
        <v>4309</v>
      </c>
      <c r="F145" s="550"/>
      <c r="G145" s="550"/>
      <c r="H145" s="545"/>
      <c r="I145" s="547"/>
      <c r="J145" s="548"/>
      <c r="K145" s="545"/>
    </row>
    <row r="146" spans="1:11">
      <c r="A146" s="545"/>
      <c r="B146" s="546"/>
      <c r="C146" s="546"/>
      <c r="D146" s="546"/>
      <c r="E146" s="306"/>
      <c r="F146" s="550"/>
      <c r="G146" s="550"/>
      <c r="H146" s="545"/>
      <c r="I146" s="547"/>
      <c r="J146" s="548"/>
      <c r="K146" s="545"/>
    </row>
    <row r="147" spans="1:11" ht="15">
      <c r="A147" s="545"/>
      <c r="B147" s="546"/>
      <c r="C147" s="546"/>
      <c r="D147" s="546"/>
      <c r="E147" s="305" t="s">
        <v>4310</v>
      </c>
      <c r="F147" s="550"/>
      <c r="G147" s="550"/>
      <c r="H147" s="545"/>
      <c r="I147" s="547"/>
      <c r="J147" s="548"/>
      <c r="K147" s="545"/>
    </row>
    <row r="148" spans="1:11">
      <c r="A148" s="545"/>
      <c r="B148" s="546"/>
      <c r="C148" s="546"/>
      <c r="D148" s="546"/>
      <c r="E148" s="306"/>
      <c r="F148" s="550"/>
      <c r="G148" s="550"/>
      <c r="H148" s="545"/>
      <c r="I148" s="547"/>
      <c r="J148" s="548"/>
      <c r="K148" s="545"/>
    </row>
    <row r="149" spans="1:11" ht="30.75" thickBot="1">
      <c r="A149" s="538"/>
      <c r="B149" s="544"/>
      <c r="C149" s="544"/>
      <c r="D149" s="544"/>
      <c r="E149" s="301" t="s">
        <v>4311</v>
      </c>
      <c r="F149" s="551"/>
      <c r="G149" s="551"/>
      <c r="H149" s="538"/>
      <c r="I149" s="540"/>
      <c r="J149" s="542"/>
      <c r="K149" s="538"/>
    </row>
    <row r="150" spans="1:11" ht="15">
      <c r="A150" s="537">
        <v>2003</v>
      </c>
      <c r="B150" s="543" t="s">
        <v>4271</v>
      </c>
      <c r="C150" s="543" t="s">
        <v>4285</v>
      </c>
      <c r="D150" s="543" t="s">
        <v>4285</v>
      </c>
      <c r="E150" s="294" t="s">
        <v>4312</v>
      </c>
      <c r="F150" s="549" t="s">
        <v>4285</v>
      </c>
      <c r="G150" s="549" t="s">
        <v>4285</v>
      </c>
      <c r="H150" s="537" t="s">
        <v>4276</v>
      </c>
      <c r="I150" s="539">
        <v>5.82</v>
      </c>
      <c r="J150" s="541">
        <v>1001532</v>
      </c>
      <c r="K150" s="537" t="s">
        <v>4276</v>
      </c>
    </row>
    <row r="151" spans="1:11" ht="15">
      <c r="A151" s="545"/>
      <c r="B151" s="546"/>
      <c r="C151" s="546"/>
      <c r="D151" s="546"/>
      <c r="E151" s="305" t="s">
        <v>4313</v>
      </c>
      <c r="F151" s="550"/>
      <c r="G151" s="550"/>
      <c r="H151" s="545"/>
      <c r="I151" s="547"/>
      <c r="J151" s="548"/>
      <c r="K151" s="545"/>
    </row>
    <row r="152" spans="1:11">
      <c r="A152" s="545"/>
      <c r="B152" s="546"/>
      <c r="C152" s="546"/>
      <c r="D152" s="546"/>
      <c r="E152" s="306"/>
      <c r="F152" s="550"/>
      <c r="G152" s="550"/>
      <c r="H152" s="545"/>
      <c r="I152" s="547"/>
      <c r="J152" s="548"/>
      <c r="K152" s="545"/>
    </row>
    <row r="153" spans="1:11" ht="15">
      <c r="A153" s="545"/>
      <c r="B153" s="546"/>
      <c r="C153" s="546"/>
      <c r="D153" s="546"/>
      <c r="E153" s="305" t="s">
        <v>4314</v>
      </c>
      <c r="F153" s="550"/>
      <c r="G153" s="550"/>
      <c r="H153" s="545"/>
      <c r="I153" s="547"/>
      <c r="J153" s="548"/>
      <c r="K153" s="545"/>
    </row>
    <row r="154" spans="1:11">
      <c r="A154" s="545"/>
      <c r="B154" s="546"/>
      <c r="C154" s="546"/>
      <c r="D154" s="546"/>
      <c r="E154" s="306"/>
      <c r="F154" s="550"/>
      <c r="G154" s="550"/>
      <c r="H154" s="545"/>
      <c r="I154" s="547"/>
      <c r="J154" s="548"/>
      <c r="K154" s="545"/>
    </row>
    <row r="155" spans="1:11" ht="15">
      <c r="A155" s="545"/>
      <c r="B155" s="546"/>
      <c r="C155" s="546"/>
      <c r="D155" s="546"/>
      <c r="E155" s="305" t="s">
        <v>4315</v>
      </c>
      <c r="F155" s="550"/>
      <c r="G155" s="550"/>
      <c r="H155" s="545"/>
      <c r="I155" s="547"/>
      <c r="J155" s="548"/>
      <c r="K155" s="545"/>
    </row>
    <row r="156" spans="1:11">
      <c r="A156" s="545"/>
      <c r="B156" s="546"/>
      <c r="C156" s="546"/>
      <c r="D156" s="546"/>
      <c r="E156" s="306"/>
      <c r="F156" s="550"/>
      <c r="G156" s="550"/>
      <c r="H156" s="545"/>
      <c r="I156" s="547"/>
      <c r="J156" s="548"/>
      <c r="K156" s="545"/>
    </row>
    <row r="157" spans="1:11" ht="30.75" thickBot="1">
      <c r="A157" s="538"/>
      <c r="B157" s="544"/>
      <c r="C157" s="544"/>
      <c r="D157" s="544"/>
      <c r="E157" s="301" t="s">
        <v>4316</v>
      </c>
      <c r="F157" s="551"/>
      <c r="G157" s="551"/>
      <c r="H157" s="538"/>
      <c r="I157" s="540"/>
      <c r="J157" s="542"/>
      <c r="K157" s="538"/>
    </row>
    <row r="158" spans="1:11" ht="25.5">
      <c r="A158" s="537">
        <v>2004</v>
      </c>
      <c r="B158" s="543" t="s">
        <v>4271</v>
      </c>
      <c r="C158" s="295" t="s">
        <v>4317</v>
      </c>
      <c r="D158" s="543" t="s">
        <v>4285</v>
      </c>
      <c r="E158" s="294" t="s">
        <v>4320</v>
      </c>
      <c r="F158" s="549" t="s">
        <v>4285</v>
      </c>
      <c r="G158" s="549" t="s">
        <v>4285</v>
      </c>
      <c r="H158" s="537" t="s">
        <v>4276</v>
      </c>
      <c r="I158" s="539">
        <v>5.92</v>
      </c>
      <c r="J158" s="541">
        <v>842507</v>
      </c>
      <c r="K158" s="537" t="s">
        <v>4276</v>
      </c>
    </row>
    <row r="159" spans="1:11" ht="15">
      <c r="A159" s="545"/>
      <c r="B159" s="546"/>
      <c r="C159" s="305" t="s">
        <v>4318</v>
      </c>
      <c r="D159" s="546"/>
      <c r="E159" s="305" t="s">
        <v>4321</v>
      </c>
      <c r="F159" s="550"/>
      <c r="G159" s="550"/>
      <c r="H159" s="545"/>
      <c r="I159" s="547"/>
      <c r="J159" s="548"/>
      <c r="K159" s="545"/>
    </row>
    <row r="160" spans="1:11" ht="15">
      <c r="A160" s="545"/>
      <c r="B160" s="546"/>
      <c r="C160" s="305" t="s">
        <v>4319</v>
      </c>
      <c r="D160" s="546"/>
      <c r="E160" s="306"/>
      <c r="F160" s="550"/>
      <c r="G160" s="550"/>
      <c r="H160" s="545"/>
      <c r="I160" s="547"/>
      <c r="J160" s="548"/>
      <c r="K160" s="545"/>
    </row>
    <row r="161" spans="1:11" ht="15">
      <c r="A161" s="545"/>
      <c r="B161" s="546"/>
      <c r="C161" s="306"/>
      <c r="D161" s="546"/>
      <c r="E161" s="305" t="s">
        <v>4322</v>
      </c>
      <c r="F161" s="550"/>
      <c r="G161" s="550"/>
      <c r="H161" s="545"/>
      <c r="I161" s="547"/>
      <c r="J161" s="548"/>
      <c r="K161" s="545"/>
    </row>
    <row r="162" spans="1:11">
      <c r="A162" s="545"/>
      <c r="B162" s="546"/>
      <c r="C162" s="306"/>
      <c r="D162" s="546"/>
      <c r="E162" s="306"/>
      <c r="F162" s="550"/>
      <c r="G162" s="550"/>
      <c r="H162" s="545"/>
      <c r="I162" s="547"/>
      <c r="J162" s="548"/>
      <c r="K162" s="545"/>
    </row>
    <row r="163" spans="1:11" ht="15">
      <c r="A163" s="545"/>
      <c r="B163" s="546"/>
      <c r="C163" s="306"/>
      <c r="D163" s="546"/>
      <c r="E163" s="305" t="s">
        <v>4323</v>
      </c>
      <c r="F163" s="550"/>
      <c r="G163" s="550"/>
      <c r="H163" s="545"/>
      <c r="I163" s="547"/>
      <c r="J163" s="548"/>
      <c r="K163" s="545"/>
    </row>
    <row r="164" spans="1:11">
      <c r="A164" s="545"/>
      <c r="B164" s="546"/>
      <c r="C164" s="306"/>
      <c r="D164" s="546"/>
      <c r="E164" s="306"/>
      <c r="F164" s="550"/>
      <c r="G164" s="550"/>
      <c r="H164" s="545"/>
      <c r="I164" s="547"/>
      <c r="J164" s="548"/>
      <c r="K164" s="545"/>
    </row>
    <row r="165" spans="1:11" ht="30.75" thickBot="1">
      <c r="A165" s="538"/>
      <c r="B165" s="544"/>
      <c r="C165" s="308"/>
      <c r="D165" s="544"/>
      <c r="E165" s="301" t="s">
        <v>4324</v>
      </c>
      <c r="F165" s="551"/>
      <c r="G165" s="551"/>
      <c r="H165" s="538"/>
      <c r="I165" s="540"/>
      <c r="J165" s="542"/>
      <c r="K165" s="538"/>
    </row>
    <row r="166" spans="1:11" ht="16.5" thickBot="1">
      <c r="A166" s="552" t="s">
        <v>4325</v>
      </c>
      <c r="B166" s="553"/>
      <c r="C166" s="553"/>
      <c r="D166" s="553"/>
      <c r="E166" s="553"/>
      <c r="F166" s="553"/>
      <c r="G166" s="553"/>
      <c r="H166" s="553"/>
      <c r="I166" s="553"/>
      <c r="J166" s="553"/>
      <c r="K166" s="554"/>
    </row>
    <row r="168" spans="1:11">
      <c r="A168" t="s">
        <v>4326</v>
      </c>
    </row>
    <row r="169" spans="1:11">
      <c r="A169" t="s">
        <v>4327</v>
      </c>
    </row>
    <row r="182" spans="1:9">
      <c r="A182" t="s">
        <v>4329</v>
      </c>
    </row>
    <row r="183" spans="1:9">
      <c r="A183" t="s">
        <v>4330</v>
      </c>
    </row>
    <row r="184" spans="1:9">
      <c r="A184" t="s">
        <v>4331</v>
      </c>
    </row>
    <row r="185" spans="1:9">
      <c r="A185" t="s">
        <v>4328</v>
      </c>
    </row>
    <row r="186" spans="1:9" ht="13.5" thickBot="1"/>
    <row r="187" spans="1:9" ht="16.5" customHeight="1" thickBot="1">
      <c r="A187" s="534" t="s">
        <v>4328</v>
      </c>
      <c r="B187" s="535"/>
      <c r="C187" s="535"/>
      <c r="D187" s="535"/>
      <c r="E187" s="535"/>
      <c r="F187" s="535"/>
      <c r="G187" s="535"/>
      <c r="H187" s="535"/>
      <c r="I187" s="536"/>
    </row>
    <row r="188" spans="1:9" ht="32.25" thickBot="1">
      <c r="A188" s="293" t="s">
        <v>84</v>
      </c>
      <c r="B188" s="293" t="s">
        <v>4263</v>
      </c>
      <c r="C188" s="293" t="s">
        <v>4264</v>
      </c>
      <c r="D188" s="293" t="s">
        <v>4265</v>
      </c>
      <c r="E188" s="293" t="s">
        <v>4266</v>
      </c>
      <c r="F188" s="293" t="s">
        <v>4267</v>
      </c>
      <c r="G188" s="303">
        <v>1</v>
      </c>
      <c r="H188" s="293" t="s">
        <v>4268</v>
      </c>
      <c r="I188" s="293" t="s">
        <v>4269</v>
      </c>
    </row>
    <row r="189" spans="1:9" ht="51">
      <c r="A189" s="537">
        <v>2005</v>
      </c>
      <c r="B189" s="295" t="s">
        <v>4270</v>
      </c>
      <c r="C189" s="295" t="s">
        <v>4317</v>
      </c>
      <c r="D189" s="295" t="s">
        <v>2236</v>
      </c>
      <c r="E189" s="295" t="s">
        <v>4290</v>
      </c>
      <c r="F189" s="295" t="s">
        <v>2041</v>
      </c>
      <c r="G189" s="295" t="s">
        <v>4301</v>
      </c>
      <c r="H189" s="539">
        <v>5.92</v>
      </c>
      <c r="I189" s="541">
        <v>1160000</v>
      </c>
    </row>
    <row r="190" spans="1:9" ht="30">
      <c r="A190" s="545"/>
      <c r="B190" s="307" t="s">
        <v>4271</v>
      </c>
      <c r="C190" s="305" t="s">
        <v>4332</v>
      </c>
      <c r="D190" s="307" t="s">
        <v>4285</v>
      </c>
      <c r="E190" s="305" t="s">
        <v>4334</v>
      </c>
      <c r="F190" s="309" t="s">
        <v>4285</v>
      </c>
      <c r="G190" s="309" t="s">
        <v>4285</v>
      </c>
      <c r="H190" s="547"/>
      <c r="I190" s="548"/>
    </row>
    <row r="191" spans="1:9">
      <c r="A191" s="545"/>
      <c r="B191" s="306"/>
      <c r="C191" s="306"/>
      <c r="D191" s="306"/>
      <c r="E191" s="306"/>
      <c r="F191" s="306"/>
      <c r="G191" s="306"/>
      <c r="H191" s="547"/>
      <c r="I191" s="548"/>
    </row>
    <row r="192" spans="1:9" ht="30">
      <c r="A192" s="545"/>
      <c r="B192" s="306"/>
      <c r="C192" s="305" t="s">
        <v>4333</v>
      </c>
      <c r="D192" s="306"/>
      <c r="E192" s="305" t="s">
        <v>4335</v>
      </c>
      <c r="F192" s="306"/>
      <c r="G192" s="306"/>
      <c r="H192" s="547"/>
      <c r="I192" s="548"/>
    </row>
    <row r="193" spans="1:9">
      <c r="A193" s="545"/>
      <c r="B193" s="306"/>
      <c r="C193" s="306"/>
      <c r="D193" s="306"/>
      <c r="E193" s="306"/>
      <c r="F193" s="306"/>
      <c r="G193" s="306"/>
      <c r="H193" s="547"/>
      <c r="I193" s="548"/>
    </row>
    <row r="194" spans="1:9" ht="15">
      <c r="A194" s="545"/>
      <c r="B194" s="306"/>
      <c r="C194" s="306"/>
      <c r="D194" s="306"/>
      <c r="E194" s="305" t="s">
        <v>4336</v>
      </c>
      <c r="F194" s="306"/>
      <c r="G194" s="306"/>
      <c r="H194" s="547"/>
      <c r="I194" s="548"/>
    </row>
    <row r="195" spans="1:9">
      <c r="A195" s="545"/>
      <c r="B195" s="306"/>
      <c r="C195" s="306"/>
      <c r="D195" s="306"/>
      <c r="E195" s="306"/>
      <c r="F195" s="306"/>
      <c r="G195" s="306"/>
      <c r="H195" s="547"/>
      <c r="I195" s="548"/>
    </row>
    <row r="196" spans="1:9" ht="15">
      <c r="A196" s="545"/>
      <c r="B196" s="306"/>
      <c r="C196" s="306"/>
      <c r="D196" s="306"/>
      <c r="E196" s="305" t="s">
        <v>4337</v>
      </c>
      <c r="F196" s="306"/>
      <c r="G196" s="306"/>
      <c r="H196" s="547"/>
      <c r="I196" s="548"/>
    </row>
    <row r="197" spans="1:9">
      <c r="A197" s="545"/>
      <c r="B197" s="306"/>
      <c r="C197" s="306"/>
      <c r="D197" s="306"/>
      <c r="E197" s="306"/>
      <c r="F197" s="306"/>
      <c r="G197" s="306"/>
      <c r="H197" s="547"/>
      <c r="I197" s="548"/>
    </row>
    <row r="198" spans="1:9" ht="30.75" thickBot="1">
      <c r="A198" s="538"/>
      <c r="B198" s="308"/>
      <c r="C198" s="308"/>
      <c r="D198" s="308"/>
      <c r="E198" s="301" t="s">
        <v>4338</v>
      </c>
      <c r="F198" s="308"/>
      <c r="G198" s="308"/>
      <c r="H198" s="540"/>
      <c r="I198" s="542"/>
    </row>
    <row r="199" spans="1:9" ht="15">
      <c r="A199" s="537">
        <v>2006</v>
      </c>
      <c r="B199" s="543" t="s">
        <v>4271</v>
      </c>
      <c r="C199" s="537" t="s">
        <v>4339</v>
      </c>
      <c r="D199" s="543" t="s">
        <v>4285</v>
      </c>
      <c r="E199" s="294" t="s">
        <v>4340</v>
      </c>
      <c r="F199" s="549" t="s">
        <v>4285</v>
      </c>
      <c r="G199" s="549" t="s">
        <v>4285</v>
      </c>
      <c r="H199" s="539">
        <v>5.82</v>
      </c>
      <c r="I199" s="541">
        <v>847361</v>
      </c>
    </row>
    <row r="200" spans="1:9" ht="30">
      <c r="A200" s="545"/>
      <c r="B200" s="546"/>
      <c r="C200" s="545"/>
      <c r="D200" s="546"/>
      <c r="E200" s="305" t="s">
        <v>4341</v>
      </c>
      <c r="F200" s="550"/>
      <c r="G200" s="550"/>
      <c r="H200" s="547"/>
      <c r="I200" s="548"/>
    </row>
    <row r="201" spans="1:9">
      <c r="A201" s="545"/>
      <c r="B201" s="546"/>
      <c r="C201" s="545"/>
      <c r="D201" s="546"/>
      <c r="E201" s="306"/>
      <c r="F201" s="550"/>
      <c r="G201" s="550"/>
      <c r="H201" s="547"/>
      <c r="I201" s="548"/>
    </row>
    <row r="202" spans="1:9" ht="30">
      <c r="A202" s="545"/>
      <c r="B202" s="546"/>
      <c r="C202" s="545"/>
      <c r="D202" s="546"/>
      <c r="E202" s="305" t="s">
        <v>4342</v>
      </c>
      <c r="F202" s="550"/>
      <c r="G202" s="550"/>
      <c r="H202" s="547"/>
      <c r="I202" s="548"/>
    </row>
    <row r="203" spans="1:9">
      <c r="A203" s="545"/>
      <c r="B203" s="546"/>
      <c r="C203" s="545"/>
      <c r="D203" s="546"/>
      <c r="E203" s="306"/>
      <c r="F203" s="550"/>
      <c r="G203" s="550"/>
      <c r="H203" s="547"/>
      <c r="I203" s="548"/>
    </row>
    <row r="204" spans="1:9" ht="30">
      <c r="A204" s="545"/>
      <c r="B204" s="546"/>
      <c r="C204" s="545"/>
      <c r="D204" s="546"/>
      <c r="E204" s="305" t="s">
        <v>4343</v>
      </c>
      <c r="F204" s="550"/>
      <c r="G204" s="550"/>
      <c r="H204" s="547"/>
      <c r="I204" s="548"/>
    </row>
    <row r="205" spans="1:9">
      <c r="A205" s="545"/>
      <c r="B205" s="546"/>
      <c r="C205" s="545"/>
      <c r="D205" s="546"/>
      <c r="E205" s="306"/>
      <c r="F205" s="550"/>
      <c r="G205" s="550"/>
      <c r="H205" s="547"/>
      <c r="I205" s="548"/>
    </row>
    <row r="206" spans="1:9" ht="30.75" thickBot="1">
      <c r="A206" s="538"/>
      <c r="B206" s="544"/>
      <c r="C206" s="538"/>
      <c r="D206" s="544"/>
      <c r="E206" s="301" t="s">
        <v>4344</v>
      </c>
      <c r="F206" s="551"/>
      <c r="G206" s="551"/>
      <c r="H206" s="540"/>
      <c r="I206" s="542"/>
    </row>
    <row r="207" spans="1:9" ht="45">
      <c r="A207" s="537">
        <v>2007</v>
      </c>
      <c r="B207" s="543" t="s">
        <v>4271</v>
      </c>
      <c r="C207" s="543" t="s">
        <v>4285</v>
      </c>
      <c r="D207" s="543" t="s">
        <v>4285</v>
      </c>
      <c r="E207" s="294" t="s">
        <v>4345</v>
      </c>
      <c r="F207" s="549" t="s">
        <v>4285</v>
      </c>
      <c r="G207" s="294" t="s">
        <v>4350</v>
      </c>
      <c r="H207" s="539">
        <v>13.82</v>
      </c>
      <c r="I207" s="541">
        <v>895628</v>
      </c>
    </row>
    <row r="208" spans="1:9" ht="51">
      <c r="A208" s="545"/>
      <c r="B208" s="546"/>
      <c r="C208" s="546"/>
      <c r="D208" s="546"/>
      <c r="E208" s="305" t="s">
        <v>4346</v>
      </c>
      <c r="F208" s="550"/>
      <c r="G208" s="314" t="s">
        <v>4351</v>
      </c>
      <c r="H208" s="547"/>
      <c r="I208" s="548"/>
    </row>
    <row r="209" spans="1:9">
      <c r="A209" s="545"/>
      <c r="B209" s="546"/>
      <c r="C209" s="546"/>
      <c r="D209" s="546"/>
      <c r="E209" s="306"/>
      <c r="F209" s="550"/>
      <c r="G209" s="306"/>
      <c r="H209" s="547"/>
      <c r="I209" s="548"/>
    </row>
    <row r="210" spans="1:9" ht="60">
      <c r="A210" s="545"/>
      <c r="B210" s="546"/>
      <c r="C210" s="546"/>
      <c r="D210" s="546"/>
      <c r="E210" s="305" t="s">
        <v>4347</v>
      </c>
      <c r="F210" s="550"/>
      <c r="G210" s="305" t="s">
        <v>4352</v>
      </c>
      <c r="H210" s="547"/>
      <c r="I210" s="548"/>
    </row>
    <row r="211" spans="1:9">
      <c r="A211" s="545"/>
      <c r="B211" s="546"/>
      <c r="C211" s="546"/>
      <c r="D211" s="546"/>
      <c r="E211" s="306"/>
      <c r="F211" s="550"/>
      <c r="G211" s="306"/>
      <c r="H211" s="547"/>
      <c r="I211" s="548"/>
    </row>
    <row r="212" spans="1:9" ht="45">
      <c r="A212" s="545"/>
      <c r="B212" s="546"/>
      <c r="C212" s="546"/>
      <c r="D212" s="546"/>
      <c r="E212" s="305" t="s">
        <v>4348</v>
      </c>
      <c r="F212" s="550"/>
      <c r="G212" s="305" t="s">
        <v>4353</v>
      </c>
      <c r="H212" s="547"/>
      <c r="I212" s="548"/>
    </row>
    <row r="213" spans="1:9">
      <c r="A213" s="545"/>
      <c r="B213" s="546"/>
      <c r="C213" s="546"/>
      <c r="D213" s="546"/>
      <c r="E213" s="306"/>
      <c r="F213" s="550"/>
      <c r="G213" s="306"/>
      <c r="H213" s="547"/>
      <c r="I213" s="548"/>
    </row>
    <row r="214" spans="1:9" ht="60">
      <c r="A214" s="545"/>
      <c r="B214" s="546"/>
      <c r="C214" s="546"/>
      <c r="D214" s="546"/>
      <c r="E214" s="305" t="s">
        <v>4349</v>
      </c>
      <c r="F214" s="550"/>
      <c r="G214" s="305" t="s">
        <v>4354</v>
      </c>
      <c r="H214" s="547"/>
      <c r="I214" s="548"/>
    </row>
    <row r="215" spans="1:9">
      <c r="A215" s="545"/>
      <c r="B215" s="546"/>
      <c r="C215" s="546"/>
      <c r="D215" s="546"/>
      <c r="E215" s="306"/>
      <c r="F215" s="550"/>
      <c r="G215" s="306"/>
      <c r="H215" s="547"/>
      <c r="I215" s="548"/>
    </row>
    <row r="216" spans="1:9" ht="45.75" thickBot="1">
      <c r="A216" s="538"/>
      <c r="B216" s="544"/>
      <c r="C216" s="544"/>
      <c r="D216" s="544"/>
      <c r="E216" s="308"/>
      <c r="F216" s="551"/>
      <c r="G216" s="301" t="s">
        <v>4355</v>
      </c>
      <c r="H216" s="540"/>
      <c r="I216" s="542"/>
    </row>
    <row r="217" spans="1:9" ht="45">
      <c r="A217" s="537">
        <v>2008</v>
      </c>
      <c r="B217" s="543" t="s">
        <v>4271</v>
      </c>
      <c r="C217" s="543" t="s">
        <v>4285</v>
      </c>
      <c r="D217" s="543" t="s">
        <v>4285</v>
      </c>
      <c r="E217" s="294" t="s">
        <v>4356</v>
      </c>
      <c r="F217" s="549" t="s">
        <v>4285</v>
      </c>
      <c r="G217" s="294" t="s">
        <v>4350</v>
      </c>
      <c r="H217" s="539">
        <v>13.82</v>
      </c>
      <c r="I217" s="541">
        <v>745464</v>
      </c>
    </row>
    <row r="218" spans="1:9" ht="45">
      <c r="A218" s="545"/>
      <c r="B218" s="546"/>
      <c r="C218" s="546"/>
      <c r="D218" s="546"/>
      <c r="E218" s="305" t="s">
        <v>4357</v>
      </c>
      <c r="F218" s="550"/>
      <c r="G218" s="305" t="s">
        <v>4361</v>
      </c>
      <c r="H218" s="547"/>
      <c r="I218" s="548"/>
    </row>
    <row r="219" spans="1:9">
      <c r="A219" s="545"/>
      <c r="B219" s="546"/>
      <c r="C219" s="546"/>
      <c r="D219" s="546"/>
      <c r="E219" s="306"/>
      <c r="F219" s="550"/>
      <c r="G219" s="306"/>
      <c r="H219" s="547"/>
      <c r="I219" s="548"/>
    </row>
    <row r="220" spans="1:9" ht="60">
      <c r="A220" s="545"/>
      <c r="B220" s="546"/>
      <c r="C220" s="546"/>
      <c r="D220" s="546"/>
      <c r="E220" s="305" t="s">
        <v>4358</v>
      </c>
      <c r="F220" s="550"/>
      <c r="G220" s="305" t="s">
        <v>4362</v>
      </c>
      <c r="H220" s="547"/>
      <c r="I220" s="548"/>
    </row>
    <row r="221" spans="1:9">
      <c r="A221" s="545"/>
      <c r="B221" s="546"/>
      <c r="C221" s="546"/>
      <c r="D221" s="546"/>
      <c r="E221" s="306"/>
      <c r="F221" s="550"/>
      <c r="G221" s="306"/>
      <c r="H221" s="547"/>
      <c r="I221" s="548"/>
    </row>
    <row r="222" spans="1:9" ht="45">
      <c r="A222" s="545"/>
      <c r="B222" s="546"/>
      <c r="C222" s="546"/>
      <c r="D222" s="546"/>
      <c r="E222" s="305" t="s">
        <v>4359</v>
      </c>
      <c r="F222" s="550"/>
      <c r="G222" s="305" t="s">
        <v>4363</v>
      </c>
      <c r="H222" s="547"/>
      <c r="I222" s="548"/>
    </row>
    <row r="223" spans="1:9">
      <c r="A223" s="545"/>
      <c r="B223" s="546"/>
      <c r="C223" s="546"/>
      <c r="D223" s="546"/>
      <c r="E223" s="306"/>
      <c r="F223" s="550"/>
      <c r="G223" s="306"/>
      <c r="H223" s="547"/>
      <c r="I223" s="548"/>
    </row>
    <row r="224" spans="1:9" ht="60.75" thickBot="1">
      <c r="A224" s="538"/>
      <c r="B224" s="544"/>
      <c r="C224" s="544"/>
      <c r="D224" s="544"/>
      <c r="E224" s="301" t="s">
        <v>4360</v>
      </c>
      <c r="F224" s="551"/>
      <c r="G224" s="301" t="s">
        <v>4364</v>
      </c>
      <c r="H224" s="540"/>
      <c r="I224" s="542"/>
    </row>
    <row r="225" spans="1:9" ht="51">
      <c r="A225" s="537">
        <v>2009</v>
      </c>
      <c r="B225" s="295" t="s">
        <v>4365</v>
      </c>
      <c r="C225" s="543" t="s">
        <v>4285</v>
      </c>
      <c r="D225" s="543" t="s">
        <v>4285</v>
      </c>
      <c r="E225" s="295" t="s">
        <v>4370</v>
      </c>
      <c r="F225" s="549" t="s">
        <v>4285</v>
      </c>
      <c r="G225" s="295" t="s">
        <v>4377</v>
      </c>
      <c r="H225" s="539">
        <v>14.38</v>
      </c>
      <c r="I225" s="541">
        <v>784614</v>
      </c>
    </row>
    <row r="226" spans="1:9" ht="75">
      <c r="A226" s="545"/>
      <c r="B226" s="305" t="s">
        <v>4366</v>
      </c>
      <c r="C226" s="546"/>
      <c r="D226" s="546"/>
      <c r="E226" s="305" t="s">
        <v>4371</v>
      </c>
      <c r="F226" s="550"/>
      <c r="G226" s="305" t="s">
        <v>4378</v>
      </c>
      <c r="H226" s="547"/>
      <c r="I226" s="548"/>
    </row>
    <row r="227" spans="1:9" ht="30">
      <c r="A227" s="545"/>
      <c r="B227" s="305" t="s">
        <v>4367</v>
      </c>
      <c r="C227" s="546"/>
      <c r="D227" s="546"/>
      <c r="E227" s="306"/>
      <c r="F227" s="550"/>
      <c r="G227" s="306"/>
      <c r="H227" s="547"/>
      <c r="I227" s="548"/>
    </row>
    <row r="228" spans="1:9" ht="60">
      <c r="A228" s="545"/>
      <c r="B228" s="305" t="s">
        <v>4368</v>
      </c>
      <c r="C228" s="546"/>
      <c r="D228" s="546"/>
      <c r="E228" s="305" t="s">
        <v>4372</v>
      </c>
      <c r="F228" s="550"/>
      <c r="G228" s="305" t="s">
        <v>4379</v>
      </c>
      <c r="H228" s="547"/>
      <c r="I228" s="548"/>
    </row>
    <row r="229" spans="1:9" ht="15">
      <c r="A229" s="545"/>
      <c r="B229" s="305" t="s">
        <v>4369</v>
      </c>
      <c r="C229" s="546"/>
      <c r="D229" s="546"/>
      <c r="E229" s="306"/>
      <c r="F229" s="550"/>
      <c r="G229" s="306"/>
      <c r="H229" s="547"/>
      <c r="I229" s="548"/>
    </row>
    <row r="230" spans="1:9" ht="45">
      <c r="A230" s="545"/>
      <c r="B230" s="306"/>
      <c r="C230" s="546"/>
      <c r="D230" s="546"/>
      <c r="E230" s="305" t="s">
        <v>4373</v>
      </c>
      <c r="F230" s="550"/>
      <c r="G230" s="305" t="s">
        <v>4380</v>
      </c>
      <c r="H230" s="547"/>
      <c r="I230" s="548"/>
    </row>
    <row r="231" spans="1:9">
      <c r="A231" s="545"/>
      <c r="B231" s="306"/>
      <c r="C231" s="546"/>
      <c r="D231" s="546"/>
      <c r="E231" s="306"/>
      <c r="F231" s="550"/>
      <c r="G231" s="306"/>
      <c r="H231" s="547"/>
      <c r="I231" s="548"/>
    </row>
    <row r="232" spans="1:9" ht="60">
      <c r="A232" s="545"/>
      <c r="B232" s="306"/>
      <c r="C232" s="546"/>
      <c r="D232" s="546"/>
      <c r="E232" s="305" t="s">
        <v>4374</v>
      </c>
      <c r="F232" s="550"/>
      <c r="G232" s="305" t="s">
        <v>4381</v>
      </c>
      <c r="H232" s="547"/>
      <c r="I232" s="548"/>
    </row>
    <row r="233" spans="1:9">
      <c r="A233" s="545"/>
      <c r="B233" s="306"/>
      <c r="C233" s="546"/>
      <c r="D233" s="546"/>
      <c r="E233" s="306"/>
      <c r="F233" s="550"/>
      <c r="G233" s="306"/>
      <c r="H233" s="547"/>
      <c r="I233" s="548"/>
    </row>
    <row r="234" spans="1:9" ht="45">
      <c r="A234" s="545"/>
      <c r="B234" s="306"/>
      <c r="C234" s="546"/>
      <c r="D234" s="546"/>
      <c r="E234" s="305" t="s">
        <v>4375</v>
      </c>
      <c r="F234" s="550"/>
      <c r="G234" s="305" t="s">
        <v>4382</v>
      </c>
      <c r="H234" s="547"/>
      <c r="I234" s="548"/>
    </row>
    <row r="235" spans="1:9">
      <c r="A235" s="545"/>
      <c r="B235" s="306"/>
      <c r="C235" s="546"/>
      <c r="D235" s="546"/>
      <c r="E235" s="306"/>
      <c r="F235" s="550"/>
      <c r="G235" s="306"/>
      <c r="H235" s="547"/>
      <c r="I235" s="548"/>
    </row>
    <row r="236" spans="1:9" ht="45.75" thickBot="1">
      <c r="A236" s="538"/>
      <c r="B236" s="308"/>
      <c r="C236" s="544"/>
      <c r="D236" s="544"/>
      <c r="E236" s="301" t="s">
        <v>4376</v>
      </c>
      <c r="F236" s="551"/>
      <c r="G236" s="308"/>
      <c r="H236" s="540"/>
      <c r="I236" s="542"/>
    </row>
    <row r="237" spans="1:9" ht="90">
      <c r="A237" s="537">
        <v>2010</v>
      </c>
      <c r="B237" s="295" t="s">
        <v>4383</v>
      </c>
      <c r="C237" s="543" t="s">
        <v>4285</v>
      </c>
      <c r="D237" s="543" t="s">
        <v>4285</v>
      </c>
      <c r="E237" s="295" t="s">
        <v>4384</v>
      </c>
      <c r="F237" s="549" t="s">
        <v>4285</v>
      </c>
      <c r="G237" s="294" t="s">
        <v>4390</v>
      </c>
      <c r="H237" s="539">
        <v>13.82</v>
      </c>
      <c r="I237" s="555" t="s">
        <v>4395</v>
      </c>
    </row>
    <row r="238" spans="1:9" ht="60">
      <c r="A238" s="545"/>
      <c r="B238" s="307" t="s">
        <v>4271</v>
      </c>
      <c r="C238" s="546"/>
      <c r="D238" s="546"/>
      <c r="E238" s="305" t="s">
        <v>4385</v>
      </c>
      <c r="F238" s="550"/>
      <c r="G238" s="307" t="s">
        <v>4391</v>
      </c>
      <c r="H238" s="547"/>
      <c r="I238" s="556"/>
    </row>
    <row r="239" spans="1:9" ht="15">
      <c r="A239" s="545"/>
      <c r="B239" s="307"/>
      <c r="C239" s="546"/>
      <c r="D239" s="546"/>
      <c r="E239" s="306"/>
      <c r="F239" s="550"/>
      <c r="G239" s="306"/>
      <c r="H239" s="547"/>
      <c r="I239" s="556"/>
    </row>
    <row r="240" spans="1:9" ht="45">
      <c r="A240" s="545"/>
      <c r="B240" s="307"/>
      <c r="C240" s="546"/>
      <c r="D240" s="546"/>
      <c r="E240" s="305" t="s">
        <v>4386</v>
      </c>
      <c r="F240" s="550"/>
      <c r="G240" s="305" t="s">
        <v>4392</v>
      </c>
      <c r="H240" s="547"/>
      <c r="I240" s="556"/>
    </row>
    <row r="241" spans="1:9" ht="15">
      <c r="A241" s="545"/>
      <c r="B241" s="307"/>
      <c r="C241" s="546"/>
      <c r="D241" s="546"/>
      <c r="E241" s="306"/>
      <c r="F241" s="550"/>
      <c r="G241" s="306"/>
      <c r="H241" s="547"/>
      <c r="I241" s="556"/>
    </row>
    <row r="242" spans="1:9" ht="45">
      <c r="A242" s="545"/>
      <c r="B242" s="307"/>
      <c r="C242" s="546"/>
      <c r="D242" s="546"/>
      <c r="E242" s="305" t="s">
        <v>4387</v>
      </c>
      <c r="F242" s="550"/>
      <c r="G242" s="305" t="s">
        <v>4393</v>
      </c>
      <c r="H242" s="547"/>
      <c r="I242" s="556"/>
    </row>
    <row r="243" spans="1:9" ht="15">
      <c r="A243" s="545"/>
      <c r="B243" s="307"/>
      <c r="C243" s="546"/>
      <c r="D243" s="546"/>
      <c r="E243" s="306"/>
      <c r="F243" s="550"/>
      <c r="G243" s="306"/>
      <c r="H243" s="547"/>
      <c r="I243" s="556"/>
    </row>
    <row r="244" spans="1:9" ht="60">
      <c r="A244" s="545"/>
      <c r="B244" s="307"/>
      <c r="C244" s="546"/>
      <c r="D244" s="546"/>
      <c r="E244" s="305" t="s">
        <v>4388</v>
      </c>
      <c r="F244" s="550"/>
      <c r="G244" s="305" t="s">
        <v>4394</v>
      </c>
      <c r="H244" s="547"/>
      <c r="I244" s="556"/>
    </row>
    <row r="245" spans="1:9" ht="15">
      <c r="A245" s="545"/>
      <c r="B245" s="307"/>
      <c r="C245" s="546"/>
      <c r="D245" s="546"/>
      <c r="E245" s="306"/>
      <c r="F245" s="550"/>
      <c r="G245" s="306"/>
      <c r="H245" s="547"/>
      <c r="I245" s="556"/>
    </row>
    <row r="246" spans="1:9" ht="45.75" thickBot="1">
      <c r="A246" s="538"/>
      <c r="B246" s="296"/>
      <c r="C246" s="544"/>
      <c r="D246" s="544"/>
      <c r="E246" s="301" t="s">
        <v>4389</v>
      </c>
      <c r="F246" s="551"/>
      <c r="G246" s="308"/>
      <c r="H246" s="540"/>
      <c r="I246" s="557"/>
    </row>
    <row r="247" spans="1:9" ht="16.5" thickBot="1">
      <c r="A247" s="552" t="s">
        <v>4325</v>
      </c>
      <c r="B247" s="553"/>
      <c r="C247" s="553"/>
      <c r="D247" s="553"/>
      <c r="E247" s="553"/>
      <c r="F247" s="553"/>
      <c r="G247" s="553"/>
      <c r="H247" s="553"/>
      <c r="I247" s="554"/>
    </row>
    <row r="249" spans="1:9">
      <c r="A249" t="s">
        <v>4396</v>
      </c>
    </row>
    <row r="250" spans="1:9" ht="114.75">
      <c r="A250" s="313" t="s">
        <v>4398</v>
      </c>
    </row>
    <row r="252" spans="1:9" ht="15">
      <c r="A252" t="s">
        <v>4397</v>
      </c>
    </row>
    <row r="253" spans="1:9" ht="13.5" thickBot="1"/>
    <row r="254" spans="1:9" ht="16.5" thickBot="1">
      <c r="A254" s="534" t="s">
        <v>4399</v>
      </c>
      <c r="B254" s="535"/>
      <c r="C254" s="535"/>
      <c r="D254" s="535"/>
      <c r="E254" s="535"/>
      <c r="F254" s="535"/>
      <c r="G254" s="535"/>
      <c r="H254" s="535"/>
      <c r="I254" s="536"/>
    </row>
    <row r="255" spans="1:9" ht="32.25" thickBot="1">
      <c r="A255" s="293" t="s">
        <v>84</v>
      </c>
      <c r="B255" s="293" t="s">
        <v>4263</v>
      </c>
      <c r="C255" s="293" t="s">
        <v>4264</v>
      </c>
      <c r="D255" s="293" t="s">
        <v>4265</v>
      </c>
      <c r="E255" s="293" t="s">
        <v>4266</v>
      </c>
      <c r="F255" s="293" t="s">
        <v>4267</v>
      </c>
      <c r="G255" s="303">
        <v>1</v>
      </c>
      <c r="H255" s="293" t="s">
        <v>4268</v>
      </c>
      <c r="I255" s="293" t="s">
        <v>4269</v>
      </c>
    </row>
    <row r="256" spans="1:9" ht="51">
      <c r="A256" s="537">
        <v>2011</v>
      </c>
      <c r="B256" s="295" t="s">
        <v>4400</v>
      </c>
      <c r="C256" s="295" t="s">
        <v>4272</v>
      </c>
      <c r="D256" s="295" t="s">
        <v>2236</v>
      </c>
      <c r="E256" s="295" t="s">
        <v>4384</v>
      </c>
      <c r="F256" s="295" t="s">
        <v>2041</v>
      </c>
      <c r="G256" s="295" t="s">
        <v>4377</v>
      </c>
      <c r="H256" s="539">
        <v>13.82</v>
      </c>
      <c r="I256" s="541">
        <v>533529</v>
      </c>
    </row>
    <row r="257" spans="1:9" ht="90">
      <c r="A257" s="545"/>
      <c r="B257" s="307" t="s">
        <v>4271</v>
      </c>
      <c r="C257" s="307" t="s">
        <v>4285</v>
      </c>
      <c r="D257" s="307" t="s">
        <v>4285</v>
      </c>
      <c r="E257" s="305" t="s">
        <v>4401</v>
      </c>
      <c r="F257" s="309" t="s">
        <v>4285</v>
      </c>
      <c r="G257" s="305" t="s">
        <v>4406</v>
      </c>
      <c r="H257" s="547"/>
      <c r="I257" s="548"/>
    </row>
    <row r="258" spans="1:9">
      <c r="A258" s="545"/>
      <c r="B258" s="306"/>
      <c r="C258" s="306"/>
      <c r="D258" s="306"/>
      <c r="E258" s="306"/>
      <c r="F258" s="306"/>
      <c r="G258" s="306"/>
      <c r="H258" s="547"/>
      <c r="I258" s="548"/>
    </row>
    <row r="259" spans="1:9" ht="51">
      <c r="A259" s="545"/>
      <c r="B259" s="306"/>
      <c r="C259" s="306"/>
      <c r="D259" s="306"/>
      <c r="E259" s="305" t="s">
        <v>4402</v>
      </c>
      <c r="F259" s="306"/>
      <c r="G259" s="314" t="s">
        <v>4351</v>
      </c>
      <c r="H259" s="547"/>
      <c r="I259" s="548"/>
    </row>
    <row r="260" spans="1:9">
      <c r="A260" s="545"/>
      <c r="B260" s="306"/>
      <c r="C260" s="306"/>
      <c r="D260" s="306"/>
      <c r="E260" s="306"/>
      <c r="F260" s="306"/>
      <c r="G260" s="306"/>
      <c r="H260" s="547"/>
      <c r="I260" s="548"/>
    </row>
    <row r="261" spans="1:9" ht="45">
      <c r="A261" s="545"/>
      <c r="B261" s="306"/>
      <c r="C261" s="306"/>
      <c r="D261" s="306"/>
      <c r="E261" s="305" t="s">
        <v>4403</v>
      </c>
      <c r="F261" s="306"/>
      <c r="G261" s="305" t="s">
        <v>4407</v>
      </c>
      <c r="H261" s="547"/>
      <c r="I261" s="548"/>
    </row>
    <row r="262" spans="1:9">
      <c r="A262" s="545"/>
      <c r="B262" s="306"/>
      <c r="C262" s="306"/>
      <c r="D262" s="306"/>
      <c r="E262" s="306"/>
      <c r="F262" s="306"/>
      <c r="G262" s="306"/>
      <c r="H262" s="547"/>
      <c r="I262" s="548"/>
    </row>
    <row r="263" spans="1:9" ht="60">
      <c r="A263" s="545"/>
      <c r="B263" s="306"/>
      <c r="C263" s="306"/>
      <c r="D263" s="306"/>
      <c r="E263" s="305" t="s">
        <v>4404</v>
      </c>
      <c r="F263" s="306"/>
      <c r="G263" s="305" t="s">
        <v>4408</v>
      </c>
      <c r="H263" s="547"/>
      <c r="I263" s="548"/>
    </row>
    <row r="264" spans="1:9">
      <c r="A264" s="545"/>
      <c r="B264" s="306"/>
      <c r="C264" s="306"/>
      <c r="D264" s="306"/>
      <c r="E264" s="306"/>
      <c r="F264" s="306"/>
      <c r="G264" s="306"/>
      <c r="H264" s="547"/>
      <c r="I264" s="548"/>
    </row>
    <row r="265" spans="1:9" ht="60">
      <c r="A265" s="545"/>
      <c r="B265" s="306"/>
      <c r="C265" s="306"/>
      <c r="D265" s="306"/>
      <c r="E265" s="305" t="s">
        <v>4405</v>
      </c>
      <c r="F265" s="306"/>
      <c r="G265" s="305" t="s">
        <v>4409</v>
      </c>
      <c r="H265" s="547"/>
      <c r="I265" s="548"/>
    </row>
    <row r="266" spans="1:9">
      <c r="A266" s="545"/>
      <c r="B266" s="306"/>
      <c r="C266" s="306"/>
      <c r="D266" s="306"/>
      <c r="E266" s="306"/>
      <c r="F266" s="306"/>
      <c r="G266" s="306"/>
      <c r="H266" s="547"/>
      <c r="I266" s="548"/>
    </row>
    <row r="267" spans="1:9" ht="60.75" thickBot="1">
      <c r="A267" s="538"/>
      <c r="B267" s="308"/>
      <c r="C267" s="308"/>
      <c r="D267" s="308"/>
      <c r="E267" s="308"/>
      <c r="F267" s="308"/>
      <c r="G267" s="301" t="s">
        <v>4410</v>
      </c>
      <c r="H267" s="540"/>
      <c r="I267" s="542"/>
    </row>
    <row r="268" spans="1:9" ht="75">
      <c r="A268" s="537">
        <v>2012</v>
      </c>
      <c r="B268" s="543" t="s">
        <v>4271</v>
      </c>
      <c r="C268" s="543" t="s">
        <v>4285</v>
      </c>
      <c r="D268" s="543" t="s">
        <v>4285</v>
      </c>
      <c r="E268" s="294" t="s">
        <v>4411</v>
      </c>
      <c r="F268" s="549" t="s">
        <v>4285</v>
      </c>
      <c r="G268" s="294" t="s">
        <v>4416</v>
      </c>
      <c r="H268" s="539">
        <v>13.82</v>
      </c>
      <c r="I268" s="541">
        <v>392224</v>
      </c>
    </row>
    <row r="269" spans="1:9" ht="75">
      <c r="A269" s="545"/>
      <c r="B269" s="546"/>
      <c r="C269" s="546"/>
      <c r="D269" s="546"/>
      <c r="E269" s="305" t="s">
        <v>4412</v>
      </c>
      <c r="F269" s="550"/>
      <c r="G269" s="305" t="s">
        <v>4417</v>
      </c>
      <c r="H269" s="547"/>
      <c r="I269" s="548"/>
    </row>
    <row r="270" spans="1:9">
      <c r="A270" s="545"/>
      <c r="B270" s="546"/>
      <c r="C270" s="546"/>
      <c r="D270" s="546"/>
      <c r="E270" s="306"/>
      <c r="F270" s="550"/>
      <c r="G270" s="306"/>
      <c r="H270" s="547"/>
      <c r="I270" s="548"/>
    </row>
    <row r="271" spans="1:9" ht="60">
      <c r="A271" s="545"/>
      <c r="B271" s="546"/>
      <c r="C271" s="546"/>
      <c r="D271" s="546"/>
      <c r="E271" s="305" t="s">
        <v>4413</v>
      </c>
      <c r="F271" s="550"/>
      <c r="G271" s="305" t="s">
        <v>4418</v>
      </c>
      <c r="H271" s="547"/>
      <c r="I271" s="548"/>
    </row>
    <row r="272" spans="1:9">
      <c r="A272" s="545"/>
      <c r="B272" s="546"/>
      <c r="C272" s="546"/>
      <c r="D272" s="546"/>
      <c r="E272" s="306"/>
      <c r="F272" s="550"/>
      <c r="G272" s="306"/>
      <c r="H272" s="547"/>
      <c r="I272" s="548"/>
    </row>
    <row r="273" spans="1:9" ht="60">
      <c r="A273" s="545"/>
      <c r="B273" s="546"/>
      <c r="C273" s="546"/>
      <c r="D273" s="546"/>
      <c r="E273" s="305" t="s">
        <v>4414</v>
      </c>
      <c r="F273" s="550"/>
      <c r="G273" s="309" t="s">
        <v>4285</v>
      </c>
      <c r="H273" s="547"/>
      <c r="I273" s="548"/>
    </row>
    <row r="274" spans="1:9">
      <c r="A274" s="545"/>
      <c r="B274" s="546"/>
      <c r="C274" s="546"/>
      <c r="D274" s="546"/>
      <c r="E274" s="306"/>
      <c r="F274" s="550"/>
      <c r="G274" s="306"/>
      <c r="H274" s="547"/>
      <c r="I274" s="548"/>
    </row>
    <row r="275" spans="1:9" ht="60">
      <c r="A275" s="545"/>
      <c r="B275" s="546"/>
      <c r="C275" s="546"/>
      <c r="D275" s="546"/>
      <c r="E275" s="305" t="s">
        <v>4415</v>
      </c>
      <c r="F275" s="550"/>
      <c r="G275" s="305" t="s">
        <v>4419</v>
      </c>
      <c r="H275" s="547"/>
      <c r="I275" s="548"/>
    </row>
    <row r="276" spans="1:9">
      <c r="A276" s="545"/>
      <c r="B276" s="546"/>
      <c r="C276" s="546"/>
      <c r="D276" s="546"/>
      <c r="E276" s="306"/>
      <c r="F276" s="550"/>
      <c r="G276" s="306"/>
      <c r="H276" s="547"/>
      <c r="I276" s="548"/>
    </row>
    <row r="277" spans="1:9" ht="15">
      <c r="A277" s="545"/>
      <c r="B277" s="546"/>
      <c r="C277" s="546"/>
      <c r="D277" s="546"/>
      <c r="E277" s="306"/>
      <c r="F277" s="550"/>
      <c r="G277" s="309" t="s">
        <v>4285</v>
      </c>
      <c r="H277" s="547"/>
      <c r="I277" s="548"/>
    </row>
    <row r="278" spans="1:9">
      <c r="A278" s="545"/>
      <c r="B278" s="546"/>
      <c r="C278" s="546"/>
      <c r="D278" s="546"/>
      <c r="E278" s="306"/>
      <c r="F278" s="550"/>
      <c r="G278" s="306"/>
      <c r="H278" s="547"/>
      <c r="I278" s="548"/>
    </row>
    <row r="279" spans="1:9" ht="60">
      <c r="A279" s="545"/>
      <c r="B279" s="546"/>
      <c r="C279" s="546"/>
      <c r="D279" s="546"/>
      <c r="E279" s="306"/>
      <c r="F279" s="550"/>
      <c r="G279" s="305" t="s">
        <v>4420</v>
      </c>
      <c r="H279" s="547"/>
      <c r="I279" s="548"/>
    </row>
    <row r="280" spans="1:9">
      <c r="A280" s="545"/>
      <c r="B280" s="546"/>
      <c r="C280" s="546"/>
      <c r="D280" s="546"/>
      <c r="E280" s="306"/>
      <c r="F280" s="550"/>
      <c r="G280" s="306"/>
      <c r="H280" s="547"/>
      <c r="I280" s="548"/>
    </row>
    <row r="281" spans="1:9" ht="15.75" thickBot="1">
      <c r="A281" s="538"/>
      <c r="B281" s="544"/>
      <c r="C281" s="544"/>
      <c r="D281" s="544"/>
      <c r="E281" s="308"/>
      <c r="F281" s="551"/>
      <c r="G281" s="310" t="s">
        <v>4285</v>
      </c>
      <c r="H281" s="540"/>
      <c r="I281" s="542"/>
    </row>
    <row r="282" spans="1:9" ht="90">
      <c r="A282" s="537">
        <v>2013</v>
      </c>
      <c r="B282" s="543" t="s">
        <v>4271</v>
      </c>
      <c r="C282" s="543" t="s">
        <v>4285</v>
      </c>
      <c r="D282" s="543" t="s">
        <v>4285</v>
      </c>
      <c r="E282" s="294" t="s">
        <v>4421</v>
      </c>
      <c r="F282" s="549" t="s">
        <v>4285</v>
      </c>
      <c r="G282" s="294" t="s">
        <v>4426</v>
      </c>
      <c r="H282" s="539">
        <v>13.82</v>
      </c>
      <c r="I282" s="541">
        <v>376844</v>
      </c>
    </row>
    <row r="283" spans="1:9" ht="90">
      <c r="A283" s="545"/>
      <c r="B283" s="546"/>
      <c r="C283" s="546"/>
      <c r="D283" s="546"/>
      <c r="E283" s="305" t="s">
        <v>4422</v>
      </c>
      <c r="F283" s="550"/>
      <c r="G283" s="305" t="s">
        <v>4427</v>
      </c>
      <c r="H283" s="547"/>
      <c r="I283" s="548"/>
    </row>
    <row r="284" spans="1:9">
      <c r="A284" s="545"/>
      <c r="B284" s="546"/>
      <c r="C284" s="546"/>
      <c r="D284" s="546"/>
      <c r="E284" s="306"/>
      <c r="F284" s="550"/>
      <c r="G284" s="306"/>
      <c r="H284" s="547"/>
      <c r="I284" s="548"/>
    </row>
    <row r="285" spans="1:9" ht="60">
      <c r="A285" s="545"/>
      <c r="B285" s="546"/>
      <c r="C285" s="546"/>
      <c r="D285" s="546"/>
      <c r="E285" s="305" t="s">
        <v>4423</v>
      </c>
      <c r="F285" s="550"/>
      <c r="G285" s="305" t="s">
        <v>4428</v>
      </c>
      <c r="H285" s="547"/>
      <c r="I285" s="548"/>
    </row>
    <row r="286" spans="1:9">
      <c r="A286" s="545"/>
      <c r="B286" s="546"/>
      <c r="C286" s="546"/>
      <c r="D286" s="546"/>
      <c r="E286" s="306"/>
      <c r="F286" s="550"/>
      <c r="G286" s="306"/>
      <c r="H286" s="547"/>
      <c r="I286" s="548"/>
    </row>
    <row r="287" spans="1:9" ht="60">
      <c r="A287" s="545"/>
      <c r="B287" s="546"/>
      <c r="C287" s="546"/>
      <c r="D287" s="546"/>
      <c r="E287" s="305" t="s">
        <v>4424</v>
      </c>
      <c r="F287" s="550"/>
      <c r="G287" s="305" t="s">
        <v>4429</v>
      </c>
      <c r="H287" s="547"/>
      <c r="I287" s="548"/>
    </row>
    <row r="288" spans="1:9">
      <c r="A288" s="545"/>
      <c r="B288" s="546"/>
      <c r="C288" s="546"/>
      <c r="D288" s="546"/>
      <c r="E288" s="306"/>
      <c r="F288" s="550"/>
      <c r="G288" s="306"/>
      <c r="H288" s="547"/>
      <c r="I288" s="548"/>
    </row>
    <row r="289" spans="1:9" ht="75.75" thickBot="1">
      <c r="A289" s="538"/>
      <c r="B289" s="544"/>
      <c r="C289" s="544"/>
      <c r="D289" s="544"/>
      <c r="E289" s="301" t="s">
        <v>4425</v>
      </c>
      <c r="F289" s="551"/>
      <c r="G289" s="301" t="s">
        <v>4430</v>
      </c>
      <c r="H289" s="540"/>
      <c r="I289" s="542"/>
    </row>
    <row r="290" spans="1:9" ht="75">
      <c r="A290" s="537">
        <v>2014</v>
      </c>
      <c r="B290" s="543" t="s">
        <v>4271</v>
      </c>
      <c r="C290" s="543" t="s">
        <v>4285</v>
      </c>
      <c r="D290" s="543" t="s">
        <v>4285</v>
      </c>
      <c r="E290" s="294" t="s">
        <v>4431</v>
      </c>
      <c r="F290" s="549" t="s">
        <v>4285</v>
      </c>
      <c r="G290" s="294" t="s">
        <v>4436</v>
      </c>
      <c r="H290" s="539">
        <v>13.82</v>
      </c>
      <c r="I290" s="541">
        <v>345813</v>
      </c>
    </row>
    <row r="291" spans="1:9" ht="60">
      <c r="A291" s="545"/>
      <c r="B291" s="546"/>
      <c r="C291" s="546"/>
      <c r="D291" s="546"/>
      <c r="E291" s="305" t="s">
        <v>4432</v>
      </c>
      <c r="F291" s="550"/>
      <c r="G291" s="305" t="s">
        <v>4437</v>
      </c>
      <c r="H291" s="547"/>
      <c r="I291" s="548"/>
    </row>
    <row r="292" spans="1:9">
      <c r="A292" s="545"/>
      <c r="B292" s="546"/>
      <c r="C292" s="546"/>
      <c r="D292" s="546"/>
      <c r="E292" s="306"/>
      <c r="F292" s="550"/>
      <c r="G292" s="306"/>
      <c r="H292" s="547"/>
      <c r="I292" s="548"/>
    </row>
    <row r="293" spans="1:9" ht="45">
      <c r="A293" s="545"/>
      <c r="B293" s="546"/>
      <c r="C293" s="546"/>
      <c r="D293" s="546"/>
      <c r="E293" s="305" t="s">
        <v>4433</v>
      </c>
      <c r="F293" s="550"/>
      <c r="G293" s="305" t="s">
        <v>4438</v>
      </c>
      <c r="H293" s="547"/>
      <c r="I293" s="548"/>
    </row>
    <row r="294" spans="1:9">
      <c r="A294" s="545"/>
      <c r="B294" s="546"/>
      <c r="C294" s="546"/>
      <c r="D294" s="546"/>
      <c r="E294" s="306"/>
      <c r="F294" s="550"/>
      <c r="G294" s="306"/>
      <c r="H294" s="547"/>
      <c r="I294" s="548"/>
    </row>
    <row r="295" spans="1:9" ht="60">
      <c r="A295" s="545"/>
      <c r="B295" s="546"/>
      <c r="C295" s="546"/>
      <c r="D295" s="546"/>
      <c r="E295" s="305" t="s">
        <v>4434</v>
      </c>
      <c r="F295" s="550"/>
      <c r="G295" s="305" t="s">
        <v>4439</v>
      </c>
      <c r="H295" s="547"/>
      <c r="I295" s="548"/>
    </row>
    <row r="296" spans="1:9">
      <c r="A296" s="545"/>
      <c r="B296" s="546"/>
      <c r="C296" s="546"/>
      <c r="D296" s="546"/>
      <c r="E296" s="306"/>
      <c r="F296" s="550"/>
      <c r="G296" s="306"/>
      <c r="H296" s="547"/>
      <c r="I296" s="548"/>
    </row>
    <row r="297" spans="1:9" ht="60.75" thickBot="1">
      <c r="A297" s="538"/>
      <c r="B297" s="544"/>
      <c r="C297" s="544"/>
      <c r="D297" s="544"/>
      <c r="E297" s="301" t="s">
        <v>4435</v>
      </c>
      <c r="F297" s="551"/>
      <c r="G297" s="301" t="s">
        <v>4440</v>
      </c>
      <c r="H297" s="540"/>
      <c r="I297" s="542"/>
    </row>
    <row r="298" spans="1:9" ht="105">
      <c r="A298" s="537">
        <v>2015</v>
      </c>
      <c r="B298" s="543" t="s">
        <v>4271</v>
      </c>
      <c r="C298" s="543" t="s">
        <v>4285</v>
      </c>
      <c r="D298" s="543" t="s">
        <v>4285</v>
      </c>
      <c r="E298" s="294" t="s">
        <v>4441</v>
      </c>
      <c r="F298" s="549" t="s">
        <v>4285</v>
      </c>
      <c r="G298" s="294" t="s">
        <v>4446</v>
      </c>
      <c r="H298" s="539">
        <v>13.82</v>
      </c>
      <c r="I298" s="541">
        <v>314032</v>
      </c>
    </row>
    <row r="299" spans="1:9" ht="60">
      <c r="A299" s="545"/>
      <c r="B299" s="546"/>
      <c r="C299" s="546"/>
      <c r="D299" s="546"/>
      <c r="E299" s="305" t="s">
        <v>4442</v>
      </c>
      <c r="F299" s="550"/>
      <c r="G299" s="305" t="s">
        <v>4447</v>
      </c>
      <c r="H299" s="547"/>
      <c r="I299" s="548"/>
    </row>
    <row r="300" spans="1:9">
      <c r="A300" s="545"/>
      <c r="B300" s="546"/>
      <c r="C300" s="546"/>
      <c r="D300" s="546"/>
      <c r="E300" s="306"/>
      <c r="F300" s="550"/>
      <c r="G300" s="306"/>
      <c r="H300" s="547"/>
      <c r="I300" s="548"/>
    </row>
    <row r="301" spans="1:9" ht="75">
      <c r="A301" s="545"/>
      <c r="B301" s="546"/>
      <c r="C301" s="546"/>
      <c r="D301" s="546"/>
      <c r="E301" s="305" t="s">
        <v>4443</v>
      </c>
      <c r="F301" s="550"/>
      <c r="G301" s="305" t="s">
        <v>4448</v>
      </c>
      <c r="H301" s="547"/>
      <c r="I301" s="548"/>
    </row>
    <row r="302" spans="1:9">
      <c r="A302" s="545"/>
      <c r="B302" s="546"/>
      <c r="C302" s="546"/>
      <c r="D302" s="546"/>
      <c r="E302" s="306"/>
      <c r="F302" s="550"/>
      <c r="G302" s="306"/>
      <c r="H302" s="547"/>
      <c r="I302" s="548"/>
    </row>
    <row r="303" spans="1:9" ht="60">
      <c r="A303" s="545"/>
      <c r="B303" s="546"/>
      <c r="C303" s="546"/>
      <c r="D303" s="546"/>
      <c r="E303" s="305" t="s">
        <v>4444</v>
      </c>
      <c r="F303" s="550"/>
      <c r="G303" s="305" t="s">
        <v>4449</v>
      </c>
      <c r="H303" s="547"/>
      <c r="I303" s="548"/>
    </row>
    <row r="304" spans="1:9">
      <c r="A304" s="545"/>
      <c r="B304" s="546"/>
      <c r="C304" s="546"/>
      <c r="D304" s="546"/>
      <c r="E304" s="306"/>
      <c r="F304" s="550"/>
      <c r="G304" s="306"/>
      <c r="H304" s="547"/>
      <c r="I304" s="548"/>
    </row>
    <row r="305" spans="1:9" ht="60.75" thickBot="1">
      <c r="A305" s="538"/>
      <c r="B305" s="544"/>
      <c r="C305" s="544"/>
      <c r="D305" s="544"/>
      <c r="E305" s="301" t="s">
        <v>4445</v>
      </c>
      <c r="F305" s="551"/>
      <c r="G305" s="301" t="s">
        <v>4450</v>
      </c>
      <c r="H305" s="540"/>
      <c r="I305" s="542"/>
    </row>
    <row r="306" spans="1:9" ht="75">
      <c r="A306" s="537">
        <v>2016</v>
      </c>
      <c r="B306" s="543" t="s">
        <v>4271</v>
      </c>
      <c r="C306" s="543" t="s">
        <v>4285</v>
      </c>
      <c r="D306" s="543" t="s">
        <v>4285</v>
      </c>
      <c r="E306" s="294" t="s">
        <v>4451</v>
      </c>
      <c r="F306" s="549" t="s">
        <v>4285</v>
      </c>
      <c r="G306" s="294" t="s">
        <v>4456</v>
      </c>
      <c r="H306" s="539">
        <v>11.82</v>
      </c>
      <c r="I306" s="541">
        <v>296582</v>
      </c>
    </row>
    <row r="307" spans="1:9" ht="60">
      <c r="A307" s="545"/>
      <c r="B307" s="546"/>
      <c r="C307" s="546"/>
      <c r="D307" s="546"/>
      <c r="E307" s="305" t="s">
        <v>4452</v>
      </c>
      <c r="F307" s="550"/>
      <c r="G307" s="305" t="s">
        <v>4457</v>
      </c>
      <c r="H307" s="547"/>
      <c r="I307" s="548"/>
    </row>
    <row r="308" spans="1:9">
      <c r="A308" s="545"/>
      <c r="B308" s="546"/>
      <c r="C308" s="546"/>
      <c r="D308" s="546"/>
      <c r="E308" s="306"/>
      <c r="F308" s="550"/>
      <c r="G308" s="306"/>
      <c r="H308" s="547"/>
      <c r="I308" s="548"/>
    </row>
    <row r="309" spans="1:9" ht="60">
      <c r="A309" s="545"/>
      <c r="B309" s="546"/>
      <c r="C309" s="546"/>
      <c r="D309" s="546"/>
      <c r="E309" s="305" t="s">
        <v>4453</v>
      </c>
      <c r="F309" s="550"/>
      <c r="G309" s="305" t="s">
        <v>4458</v>
      </c>
      <c r="H309" s="547"/>
      <c r="I309" s="548"/>
    </row>
    <row r="310" spans="1:9">
      <c r="A310" s="545"/>
      <c r="B310" s="546"/>
      <c r="C310" s="546"/>
      <c r="D310" s="546"/>
      <c r="E310" s="306"/>
      <c r="F310" s="550"/>
      <c r="G310" s="306"/>
      <c r="H310" s="547"/>
      <c r="I310" s="548"/>
    </row>
    <row r="311" spans="1:9" ht="60">
      <c r="A311" s="545"/>
      <c r="B311" s="546"/>
      <c r="C311" s="546"/>
      <c r="D311" s="546"/>
      <c r="E311" s="305" t="s">
        <v>4454</v>
      </c>
      <c r="F311" s="550"/>
      <c r="G311" s="305" t="s">
        <v>4459</v>
      </c>
      <c r="H311" s="547"/>
      <c r="I311" s="548"/>
    </row>
    <row r="312" spans="1:9">
      <c r="A312" s="545"/>
      <c r="B312" s="546"/>
      <c r="C312" s="546"/>
      <c r="D312" s="546"/>
      <c r="E312" s="306"/>
      <c r="F312" s="550"/>
      <c r="G312" s="306"/>
      <c r="H312" s="547"/>
      <c r="I312" s="548"/>
    </row>
    <row r="313" spans="1:9" ht="30.75" thickBot="1">
      <c r="A313" s="538"/>
      <c r="B313" s="544"/>
      <c r="C313" s="544"/>
      <c r="D313" s="544"/>
      <c r="E313" s="301" t="s">
        <v>4455</v>
      </c>
      <c r="F313" s="551"/>
      <c r="G313" s="308"/>
      <c r="H313" s="540"/>
      <c r="I313" s="542"/>
    </row>
    <row r="314" spans="1:9" ht="60">
      <c r="A314" s="537">
        <v>2017</v>
      </c>
      <c r="B314" s="543" t="s">
        <v>4285</v>
      </c>
      <c r="C314" s="543" t="s">
        <v>4285</v>
      </c>
      <c r="D314" s="543" t="s">
        <v>4285</v>
      </c>
      <c r="E314" s="294" t="s">
        <v>4460</v>
      </c>
      <c r="F314" s="549" t="s">
        <v>4285</v>
      </c>
      <c r="G314" s="537" t="s">
        <v>4465</v>
      </c>
      <c r="H314" s="539">
        <v>5.82</v>
      </c>
      <c r="I314" s="541">
        <v>286813</v>
      </c>
    </row>
    <row r="315" spans="1:9" ht="75">
      <c r="A315" s="545"/>
      <c r="B315" s="546"/>
      <c r="C315" s="546"/>
      <c r="D315" s="546"/>
      <c r="E315" s="305" t="s">
        <v>4461</v>
      </c>
      <c r="F315" s="550"/>
      <c r="G315" s="545"/>
      <c r="H315" s="547"/>
      <c r="I315" s="548"/>
    </row>
    <row r="316" spans="1:9">
      <c r="A316" s="545"/>
      <c r="B316" s="546"/>
      <c r="C316" s="546"/>
      <c r="D316" s="546"/>
      <c r="E316" s="306"/>
      <c r="F316" s="550"/>
      <c r="G316" s="545"/>
      <c r="H316" s="547"/>
      <c r="I316" s="548"/>
    </row>
    <row r="317" spans="1:9" ht="75">
      <c r="A317" s="545"/>
      <c r="B317" s="546"/>
      <c r="C317" s="546"/>
      <c r="D317" s="546"/>
      <c r="E317" s="305" t="s">
        <v>4462</v>
      </c>
      <c r="F317" s="550"/>
      <c r="G317" s="545"/>
      <c r="H317" s="547"/>
      <c r="I317" s="548"/>
    </row>
    <row r="318" spans="1:9">
      <c r="A318" s="545"/>
      <c r="B318" s="546"/>
      <c r="C318" s="546"/>
      <c r="D318" s="546"/>
      <c r="E318" s="306"/>
      <c r="F318" s="550"/>
      <c r="G318" s="545"/>
      <c r="H318" s="547"/>
      <c r="I318" s="548"/>
    </row>
    <row r="319" spans="1:9" ht="30">
      <c r="A319" s="545"/>
      <c r="B319" s="546"/>
      <c r="C319" s="546"/>
      <c r="D319" s="546"/>
      <c r="E319" s="305" t="s">
        <v>4463</v>
      </c>
      <c r="F319" s="550"/>
      <c r="G319" s="545"/>
      <c r="H319" s="547"/>
      <c r="I319" s="548"/>
    </row>
    <row r="320" spans="1:9">
      <c r="A320" s="545"/>
      <c r="B320" s="546"/>
      <c r="C320" s="546"/>
      <c r="D320" s="546"/>
      <c r="E320" s="306"/>
      <c r="F320" s="550"/>
      <c r="G320" s="545"/>
      <c r="H320" s="547"/>
      <c r="I320" s="548"/>
    </row>
    <row r="321" spans="1:9" ht="75.75" thickBot="1">
      <c r="A321" s="538"/>
      <c r="B321" s="544"/>
      <c r="C321" s="544"/>
      <c r="D321" s="544"/>
      <c r="E321" s="301" t="s">
        <v>4464</v>
      </c>
      <c r="F321" s="551"/>
      <c r="G321" s="538"/>
      <c r="H321" s="540"/>
      <c r="I321" s="542"/>
    </row>
    <row r="322" spans="1:9" ht="75">
      <c r="A322" s="537">
        <v>2018</v>
      </c>
      <c r="B322" s="543" t="s">
        <v>4271</v>
      </c>
      <c r="C322" s="543" t="s">
        <v>4285</v>
      </c>
      <c r="D322" s="543" t="s">
        <v>4285</v>
      </c>
      <c r="E322" s="294" t="s">
        <v>4466</v>
      </c>
      <c r="F322" s="549" t="s">
        <v>4285</v>
      </c>
      <c r="G322" s="537" t="s">
        <v>4471</v>
      </c>
      <c r="H322" s="539">
        <v>5.82</v>
      </c>
      <c r="I322" s="541">
        <v>257531</v>
      </c>
    </row>
    <row r="323" spans="1:9" ht="75">
      <c r="A323" s="545"/>
      <c r="B323" s="546"/>
      <c r="C323" s="546"/>
      <c r="D323" s="546"/>
      <c r="E323" s="305" t="s">
        <v>4467</v>
      </c>
      <c r="F323" s="550"/>
      <c r="G323" s="545"/>
      <c r="H323" s="547"/>
      <c r="I323" s="548"/>
    </row>
    <row r="324" spans="1:9">
      <c r="A324" s="545"/>
      <c r="B324" s="546"/>
      <c r="C324" s="546"/>
      <c r="D324" s="546"/>
      <c r="E324" s="306"/>
      <c r="F324" s="550"/>
      <c r="G324" s="545"/>
      <c r="H324" s="547"/>
      <c r="I324" s="548"/>
    </row>
    <row r="325" spans="1:9" ht="45">
      <c r="A325" s="545"/>
      <c r="B325" s="546"/>
      <c r="C325" s="546"/>
      <c r="D325" s="546"/>
      <c r="E325" s="305" t="s">
        <v>4468</v>
      </c>
      <c r="F325" s="550"/>
      <c r="G325" s="545"/>
      <c r="H325" s="547"/>
      <c r="I325" s="548"/>
    </row>
    <row r="326" spans="1:9">
      <c r="A326" s="545"/>
      <c r="B326" s="546"/>
      <c r="C326" s="546"/>
      <c r="D326" s="546"/>
      <c r="E326" s="306"/>
      <c r="F326" s="550"/>
      <c r="G326" s="545"/>
      <c r="H326" s="547"/>
      <c r="I326" s="548"/>
    </row>
    <row r="327" spans="1:9" ht="75">
      <c r="A327" s="545"/>
      <c r="B327" s="546"/>
      <c r="C327" s="546"/>
      <c r="D327" s="546"/>
      <c r="E327" s="305" t="s">
        <v>4469</v>
      </c>
      <c r="F327" s="550"/>
      <c r="G327" s="545"/>
      <c r="H327" s="547"/>
      <c r="I327" s="548"/>
    </row>
    <row r="328" spans="1:9">
      <c r="A328" s="545"/>
      <c r="B328" s="546"/>
      <c r="C328" s="546"/>
      <c r="D328" s="546"/>
      <c r="E328" s="306"/>
      <c r="F328" s="550"/>
      <c r="G328" s="545"/>
      <c r="H328" s="547"/>
      <c r="I328" s="548"/>
    </row>
    <row r="329" spans="1:9" ht="60.75" thickBot="1">
      <c r="A329" s="538"/>
      <c r="B329" s="544"/>
      <c r="C329" s="544"/>
      <c r="D329" s="544"/>
      <c r="E329" s="301" t="s">
        <v>4470</v>
      </c>
      <c r="F329" s="551"/>
      <c r="G329" s="538"/>
      <c r="H329" s="540"/>
      <c r="I329" s="542"/>
    </row>
    <row r="330" spans="1:9" ht="60">
      <c r="A330" s="537">
        <v>2019</v>
      </c>
      <c r="B330" s="543" t="s">
        <v>4472</v>
      </c>
      <c r="C330" s="543" t="s">
        <v>4285</v>
      </c>
      <c r="D330" s="543" t="s">
        <v>4285</v>
      </c>
      <c r="E330" s="294" t="s">
        <v>4473</v>
      </c>
      <c r="F330" s="549" t="s">
        <v>4285</v>
      </c>
      <c r="G330" s="537" t="s">
        <v>4478</v>
      </c>
      <c r="H330" s="539">
        <v>5.83</v>
      </c>
      <c r="I330" s="541">
        <v>346117</v>
      </c>
    </row>
    <row r="331" spans="1:9" ht="45">
      <c r="A331" s="545"/>
      <c r="B331" s="546"/>
      <c r="C331" s="546"/>
      <c r="D331" s="546"/>
      <c r="E331" s="305" t="s">
        <v>4474</v>
      </c>
      <c r="F331" s="550"/>
      <c r="G331" s="545"/>
      <c r="H331" s="547"/>
      <c r="I331" s="548"/>
    </row>
    <row r="332" spans="1:9">
      <c r="A332" s="545"/>
      <c r="B332" s="546"/>
      <c r="C332" s="546"/>
      <c r="D332" s="546"/>
      <c r="E332" s="306"/>
      <c r="F332" s="550"/>
      <c r="G332" s="545"/>
      <c r="H332" s="547"/>
      <c r="I332" s="548"/>
    </row>
    <row r="333" spans="1:9" ht="75">
      <c r="A333" s="545"/>
      <c r="B333" s="546"/>
      <c r="C333" s="546"/>
      <c r="D333" s="546"/>
      <c r="E333" s="305" t="s">
        <v>4475</v>
      </c>
      <c r="F333" s="550"/>
      <c r="G333" s="545"/>
      <c r="H333" s="547"/>
      <c r="I333" s="548"/>
    </row>
    <row r="334" spans="1:9">
      <c r="A334" s="545"/>
      <c r="B334" s="546"/>
      <c r="C334" s="546"/>
      <c r="D334" s="546"/>
      <c r="E334" s="306"/>
      <c r="F334" s="550"/>
      <c r="G334" s="545"/>
      <c r="H334" s="547"/>
      <c r="I334" s="548"/>
    </row>
    <row r="335" spans="1:9" ht="75">
      <c r="A335" s="545"/>
      <c r="B335" s="546"/>
      <c r="C335" s="546"/>
      <c r="D335" s="546"/>
      <c r="E335" s="305" t="s">
        <v>4476</v>
      </c>
      <c r="F335" s="550"/>
      <c r="G335" s="545"/>
      <c r="H335" s="547"/>
      <c r="I335" s="548"/>
    </row>
    <row r="336" spans="1:9">
      <c r="A336" s="545"/>
      <c r="B336" s="546"/>
      <c r="C336" s="546"/>
      <c r="D336" s="546"/>
      <c r="E336" s="306"/>
      <c r="F336" s="550"/>
      <c r="G336" s="545"/>
      <c r="H336" s="547"/>
      <c r="I336" s="548"/>
    </row>
    <row r="337" spans="1:9" ht="75.75" thickBot="1">
      <c r="A337" s="538"/>
      <c r="B337" s="544"/>
      <c r="C337" s="544"/>
      <c r="D337" s="544"/>
      <c r="E337" s="301" t="s">
        <v>4477</v>
      </c>
      <c r="F337" s="551"/>
      <c r="G337" s="538"/>
      <c r="H337" s="540"/>
      <c r="I337" s="542"/>
    </row>
    <row r="338" spans="1:9" ht="30">
      <c r="A338" s="537">
        <v>2020</v>
      </c>
      <c r="B338" s="543" t="s">
        <v>4271</v>
      </c>
      <c r="C338" s="543" t="s">
        <v>4479</v>
      </c>
      <c r="D338" s="543" t="s">
        <v>4285</v>
      </c>
      <c r="E338" s="294" t="s">
        <v>4480</v>
      </c>
      <c r="F338" s="549" t="s">
        <v>4285</v>
      </c>
      <c r="G338" s="549" t="s">
        <v>4285</v>
      </c>
      <c r="H338" s="539">
        <v>5.87</v>
      </c>
      <c r="I338" s="541">
        <v>211787</v>
      </c>
    </row>
    <row r="339" spans="1:9" ht="30">
      <c r="A339" s="545"/>
      <c r="B339" s="546"/>
      <c r="C339" s="546"/>
      <c r="D339" s="546"/>
      <c r="E339" s="305" t="s">
        <v>4481</v>
      </c>
      <c r="F339" s="550"/>
      <c r="G339" s="550"/>
      <c r="H339" s="547"/>
      <c r="I339" s="548"/>
    </row>
    <row r="340" spans="1:9">
      <c r="A340" s="545"/>
      <c r="B340" s="546"/>
      <c r="C340" s="546"/>
      <c r="D340" s="546"/>
      <c r="E340" s="306"/>
      <c r="F340" s="550"/>
      <c r="G340" s="550"/>
      <c r="H340" s="547"/>
      <c r="I340" s="548"/>
    </row>
    <row r="341" spans="1:9" ht="30">
      <c r="A341" s="545"/>
      <c r="B341" s="546"/>
      <c r="C341" s="546"/>
      <c r="D341" s="546"/>
      <c r="E341" s="305" t="s">
        <v>4482</v>
      </c>
      <c r="F341" s="550"/>
      <c r="G341" s="550"/>
      <c r="H341" s="547"/>
      <c r="I341" s="548"/>
    </row>
    <row r="342" spans="1:9">
      <c r="A342" s="545"/>
      <c r="B342" s="546"/>
      <c r="C342" s="546"/>
      <c r="D342" s="546"/>
      <c r="E342" s="306"/>
      <c r="F342" s="550"/>
      <c r="G342" s="550"/>
      <c r="H342" s="547"/>
      <c r="I342" s="548"/>
    </row>
    <row r="343" spans="1:9" ht="45">
      <c r="A343" s="545"/>
      <c r="B343" s="546"/>
      <c r="C343" s="546"/>
      <c r="D343" s="546"/>
      <c r="E343" s="305" t="s">
        <v>4483</v>
      </c>
      <c r="F343" s="550"/>
      <c r="G343" s="550"/>
      <c r="H343" s="547"/>
      <c r="I343" s="548"/>
    </row>
    <row r="344" spans="1:9">
      <c r="A344" s="545"/>
      <c r="B344" s="546"/>
      <c r="C344" s="546"/>
      <c r="D344" s="546"/>
      <c r="E344" s="306"/>
      <c r="F344" s="550"/>
      <c r="G344" s="550"/>
      <c r="H344" s="547"/>
      <c r="I344" s="548"/>
    </row>
    <row r="345" spans="1:9" ht="30.75" thickBot="1">
      <c r="A345" s="538"/>
      <c r="B345" s="544"/>
      <c r="C345" s="544"/>
      <c r="D345" s="544"/>
      <c r="E345" s="301" t="s">
        <v>4484</v>
      </c>
      <c r="F345" s="551"/>
      <c r="G345" s="551"/>
      <c r="H345" s="540"/>
      <c r="I345" s="542"/>
    </row>
    <row r="346" spans="1:9" ht="75">
      <c r="A346" s="537">
        <v>2021</v>
      </c>
      <c r="B346" s="543" t="s">
        <v>4271</v>
      </c>
      <c r="C346" s="543" t="s">
        <v>4485</v>
      </c>
      <c r="D346" s="543" t="s">
        <v>4285</v>
      </c>
      <c r="E346" s="294" t="s">
        <v>4486</v>
      </c>
      <c r="F346" s="549" t="s">
        <v>4285</v>
      </c>
      <c r="G346" s="549" t="s">
        <v>4285</v>
      </c>
      <c r="H346" s="539">
        <v>4.32</v>
      </c>
      <c r="I346" s="537" t="s">
        <v>4488</v>
      </c>
    </row>
    <row r="347" spans="1:9" ht="45.75" thickBot="1">
      <c r="A347" s="538"/>
      <c r="B347" s="544"/>
      <c r="C347" s="544"/>
      <c r="D347" s="544"/>
      <c r="E347" s="301" t="s">
        <v>4487</v>
      </c>
      <c r="F347" s="551"/>
      <c r="G347" s="551"/>
      <c r="H347" s="540"/>
      <c r="I347" s="538"/>
    </row>
    <row r="348" spans="1:9" ht="16.5" thickBot="1">
      <c r="A348" s="552" t="s">
        <v>4325</v>
      </c>
      <c r="B348" s="553"/>
      <c r="C348" s="553"/>
      <c r="D348" s="553"/>
      <c r="E348" s="553"/>
      <c r="F348" s="553"/>
      <c r="G348" s="553"/>
      <c r="H348" s="553"/>
      <c r="I348" s="554"/>
    </row>
    <row r="350" spans="1:9" ht="46.5">
      <c r="A350" s="311" t="s">
        <v>4489</v>
      </c>
    </row>
    <row r="351" spans="1:9">
      <c r="A351" s="315" t="s">
        <v>4490</v>
      </c>
    </row>
    <row r="352" spans="1:9" ht="90">
      <c r="A352" s="312" t="s">
        <v>4499</v>
      </c>
    </row>
    <row r="353" spans="1:7" ht="13.5" thickBot="1"/>
    <row r="354" spans="1:7" ht="32.25" thickBot="1">
      <c r="A354" s="293" t="s">
        <v>84</v>
      </c>
      <c r="B354" s="293" t="s">
        <v>4266</v>
      </c>
      <c r="C354" s="293" t="s">
        <v>4267</v>
      </c>
      <c r="D354" s="303">
        <v>1</v>
      </c>
      <c r="E354" s="293" t="s">
        <v>4268</v>
      </c>
      <c r="F354" s="293" t="s">
        <v>4269</v>
      </c>
    </row>
    <row r="355" spans="1:7">
      <c r="A355" s="537">
        <v>1976</v>
      </c>
      <c r="B355" s="295" t="s">
        <v>4491</v>
      </c>
      <c r="C355" s="295" t="s">
        <v>4492</v>
      </c>
      <c r="D355" s="295" t="s">
        <v>4493</v>
      </c>
      <c r="E355" s="539">
        <v>1.75</v>
      </c>
      <c r="F355" s="541">
        <v>4908319</v>
      </c>
    </row>
    <row r="356" spans="1:7" ht="15.75" thickBot="1">
      <c r="A356" s="538"/>
      <c r="B356" s="296" t="s">
        <v>12</v>
      </c>
      <c r="C356" s="296" t="s">
        <v>12</v>
      </c>
      <c r="D356" s="296" t="s">
        <v>12</v>
      </c>
      <c r="E356" s="540"/>
      <c r="F356" s="542"/>
    </row>
    <row r="357" spans="1:7" ht="13.5" thickBot="1">
      <c r="A357" s="316"/>
    </row>
    <row r="358" spans="1:7" ht="23.25">
      <c r="A358" s="311" t="s">
        <v>4494</v>
      </c>
    </row>
    <row r="360" spans="1:7" ht="17.25">
      <c r="A360" s="317" t="s">
        <v>4495</v>
      </c>
    </row>
    <row r="361" spans="1:7" ht="285">
      <c r="A361" s="312" t="s">
        <v>4497</v>
      </c>
      <c r="G361">
        <v>1</v>
      </c>
    </row>
    <row r="362" spans="1:7">
      <c r="A362" s="292"/>
    </row>
    <row r="363" spans="1:7" ht="17.25">
      <c r="A363" s="317" t="s">
        <v>4496</v>
      </c>
    </row>
    <row r="364" spans="1:7" ht="60">
      <c r="A364" s="318" t="s">
        <v>4498</v>
      </c>
    </row>
  </sheetData>
  <mergeCells count="242">
    <mergeCell ref="A348:I348"/>
    <mergeCell ref="A355:A356"/>
    <mergeCell ref="E355:E356"/>
    <mergeCell ref="F355:F356"/>
    <mergeCell ref="H338:H345"/>
    <mergeCell ref="I338:I345"/>
    <mergeCell ref="A346:A347"/>
    <mergeCell ref="B346:B347"/>
    <mergeCell ref="C346:C347"/>
    <mergeCell ref="D346:D347"/>
    <mergeCell ref="F346:F347"/>
    <mergeCell ref="G346:G347"/>
    <mergeCell ref="H346:H347"/>
    <mergeCell ref="I346:I347"/>
    <mergeCell ref="A338:A345"/>
    <mergeCell ref="B338:B345"/>
    <mergeCell ref="C338:C345"/>
    <mergeCell ref="D338:D345"/>
    <mergeCell ref="F338:F345"/>
    <mergeCell ref="G338:G345"/>
    <mergeCell ref="H322:H329"/>
    <mergeCell ref="I322:I329"/>
    <mergeCell ref="A330:A337"/>
    <mergeCell ref="B330:B337"/>
    <mergeCell ref="C330:C337"/>
    <mergeCell ref="D330:D337"/>
    <mergeCell ref="F330:F337"/>
    <mergeCell ref="G330:G337"/>
    <mergeCell ref="H330:H337"/>
    <mergeCell ref="I330:I337"/>
    <mergeCell ref="A322:A329"/>
    <mergeCell ref="B322:B329"/>
    <mergeCell ref="C322:C329"/>
    <mergeCell ref="D322:D329"/>
    <mergeCell ref="F322:F329"/>
    <mergeCell ref="G322:G329"/>
    <mergeCell ref="I306:I313"/>
    <mergeCell ref="A314:A321"/>
    <mergeCell ref="B314:B321"/>
    <mergeCell ref="C314:C321"/>
    <mergeCell ref="D314:D321"/>
    <mergeCell ref="F314:F321"/>
    <mergeCell ref="G314:G321"/>
    <mergeCell ref="H314:H321"/>
    <mergeCell ref="I314:I321"/>
    <mergeCell ref="A306:A313"/>
    <mergeCell ref="B306:B313"/>
    <mergeCell ref="C306:C313"/>
    <mergeCell ref="D306:D313"/>
    <mergeCell ref="F306:F313"/>
    <mergeCell ref="H306:H313"/>
    <mergeCell ref="A282:A289"/>
    <mergeCell ref="B282:B289"/>
    <mergeCell ref="C282:C289"/>
    <mergeCell ref="D282:D289"/>
    <mergeCell ref="F282:F289"/>
    <mergeCell ref="H282:H289"/>
    <mergeCell ref="I282:I289"/>
    <mergeCell ref="I290:I297"/>
    <mergeCell ref="A298:A305"/>
    <mergeCell ref="B298:B305"/>
    <mergeCell ref="C298:C305"/>
    <mergeCell ref="D298:D305"/>
    <mergeCell ref="F298:F305"/>
    <mergeCell ref="H298:H305"/>
    <mergeCell ref="I298:I305"/>
    <mergeCell ref="A290:A297"/>
    <mergeCell ref="B290:B297"/>
    <mergeCell ref="C290:C297"/>
    <mergeCell ref="D290:D297"/>
    <mergeCell ref="F290:F297"/>
    <mergeCell ref="H290:H297"/>
    <mergeCell ref="F217:F224"/>
    <mergeCell ref="H217:H224"/>
    <mergeCell ref="A247:I247"/>
    <mergeCell ref="A254:I254"/>
    <mergeCell ref="A256:A267"/>
    <mergeCell ref="H256:H267"/>
    <mergeCell ref="I256:I267"/>
    <mergeCell ref="A268:A281"/>
    <mergeCell ref="B268:B281"/>
    <mergeCell ref="C268:C281"/>
    <mergeCell ref="D268:D281"/>
    <mergeCell ref="F268:F281"/>
    <mergeCell ref="H268:H281"/>
    <mergeCell ref="I268:I281"/>
    <mergeCell ref="A207:A216"/>
    <mergeCell ref="B207:B216"/>
    <mergeCell ref="C207:C216"/>
    <mergeCell ref="D207:D216"/>
    <mergeCell ref="F207:F216"/>
    <mergeCell ref="H207:H216"/>
    <mergeCell ref="I207:I216"/>
    <mergeCell ref="A237:A246"/>
    <mergeCell ref="C237:C246"/>
    <mergeCell ref="D237:D246"/>
    <mergeCell ref="F237:F246"/>
    <mergeCell ref="H237:H246"/>
    <mergeCell ref="I237:I246"/>
    <mergeCell ref="I217:I224"/>
    <mergeCell ref="A225:A236"/>
    <mergeCell ref="C225:C236"/>
    <mergeCell ref="D225:D236"/>
    <mergeCell ref="F225:F236"/>
    <mergeCell ref="H225:H236"/>
    <mergeCell ref="I225:I236"/>
    <mergeCell ref="A217:A224"/>
    <mergeCell ref="B217:B224"/>
    <mergeCell ref="C217:C224"/>
    <mergeCell ref="D217:D224"/>
    <mergeCell ref="A166:K166"/>
    <mergeCell ref="A187:I187"/>
    <mergeCell ref="A189:A198"/>
    <mergeCell ref="H189:H198"/>
    <mergeCell ref="I189:I198"/>
    <mergeCell ref="A199:A206"/>
    <mergeCell ref="B199:B206"/>
    <mergeCell ref="C199:C206"/>
    <mergeCell ref="D199:D206"/>
    <mergeCell ref="F199:F206"/>
    <mergeCell ref="G199:G206"/>
    <mergeCell ref="H199:H206"/>
    <mergeCell ref="I199:I206"/>
    <mergeCell ref="K150:K157"/>
    <mergeCell ref="A158:A165"/>
    <mergeCell ref="B158:B165"/>
    <mergeCell ref="D158:D165"/>
    <mergeCell ref="F158:F165"/>
    <mergeCell ref="G158:G165"/>
    <mergeCell ref="H158:H165"/>
    <mergeCell ref="I158:I165"/>
    <mergeCell ref="J158:J165"/>
    <mergeCell ref="K158:K165"/>
    <mergeCell ref="A150:A157"/>
    <mergeCell ref="B150:B157"/>
    <mergeCell ref="C150:C157"/>
    <mergeCell ref="D150:D157"/>
    <mergeCell ref="F150:F157"/>
    <mergeCell ref="G150:G157"/>
    <mergeCell ref="H150:H157"/>
    <mergeCell ref="I150:I157"/>
    <mergeCell ref="J150:J157"/>
    <mergeCell ref="K134:K141"/>
    <mergeCell ref="A142:A149"/>
    <mergeCell ref="B142:B149"/>
    <mergeCell ref="C142:C149"/>
    <mergeCell ref="D142:D149"/>
    <mergeCell ref="F142:F149"/>
    <mergeCell ref="G142:G149"/>
    <mergeCell ref="H142:H149"/>
    <mergeCell ref="I142:I149"/>
    <mergeCell ref="J142:J149"/>
    <mergeCell ref="K142:K149"/>
    <mergeCell ref="A134:A141"/>
    <mergeCell ref="B134:B141"/>
    <mergeCell ref="C134:C141"/>
    <mergeCell ref="D134:D141"/>
    <mergeCell ref="F134:F141"/>
    <mergeCell ref="G134:G141"/>
    <mergeCell ref="H134:H141"/>
    <mergeCell ref="I134:I141"/>
    <mergeCell ref="J134:J141"/>
    <mergeCell ref="A126:A133"/>
    <mergeCell ref="B126:B133"/>
    <mergeCell ref="C126:C133"/>
    <mergeCell ref="D126:D133"/>
    <mergeCell ref="F126:F133"/>
    <mergeCell ref="H126:H133"/>
    <mergeCell ref="I126:I133"/>
    <mergeCell ref="J126:J133"/>
    <mergeCell ref="K126:K133"/>
    <mergeCell ref="K100:K101"/>
    <mergeCell ref="A116:A125"/>
    <mergeCell ref="B116:B125"/>
    <mergeCell ref="C116:C125"/>
    <mergeCell ref="D116:D125"/>
    <mergeCell ref="F116:F125"/>
    <mergeCell ref="G116:G125"/>
    <mergeCell ref="H116:H125"/>
    <mergeCell ref="I116:I125"/>
    <mergeCell ref="J116:J125"/>
    <mergeCell ref="A100:A101"/>
    <mergeCell ref="B100:B101"/>
    <mergeCell ref="C100:C101"/>
    <mergeCell ref="D100:D101"/>
    <mergeCell ref="E100:E101"/>
    <mergeCell ref="F100:F101"/>
    <mergeCell ref="G100:G101"/>
    <mergeCell ref="I100:I101"/>
    <mergeCell ref="J100:J101"/>
    <mergeCell ref="K89:K90"/>
    <mergeCell ref="A96:A97"/>
    <mergeCell ref="B96:B97"/>
    <mergeCell ref="C96:C97"/>
    <mergeCell ref="D96:D97"/>
    <mergeCell ref="E96:E97"/>
    <mergeCell ref="F96:F97"/>
    <mergeCell ref="H96:H97"/>
    <mergeCell ref="I96:I97"/>
    <mergeCell ref="J96:J97"/>
    <mergeCell ref="G86:G87"/>
    <mergeCell ref="H86:H87"/>
    <mergeCell ref="I86:I87"/>
    <mergeCell ref="J86:J87"/>
    <mergeCell ref="A89:A90"/>
    <mergeCell ref="B89:B90"/>
    <mergeCell ref="C89:C90"/>
    <mergeCell ref="D89:D90"/>
    <mergeCell ref="E89:E90"/>
    <mergeCell ref="F89:F90"/>
    <mergeCell ref="A86:A87"/>
    <mergeCell ref="B86:B87"/>
    <mergeCell ref="C86:C87"/>
    <mergeCell ref="D86:D87"/>
    <mergeCell ref="E86:E87"/>
    <mergeCell ref="F86:F87"/>
    <mergeCell ref="H89:H90"/>
    <mergeCell ref="I89:I90"/>
    <mergeCell ref="J89:J90"/>
    <mergeCell ref="A80:K80"/>
    <mergeCell ref="A82:A83"/>
    <mergeCell ref="G82:G83"/>
    <mergeCell ref="H82:H83"/>
    <mergeCell ref="I82:I83"/>
    <mergeCell ref="J82:J83"/>
    <mergeCell ref="K82:K83"/>
    <mergeCell ref="H69:H70"/>
    <mergeCell ref="A72:I72"/>
    <mergeCell ref="A74:A75"/>
    <mergeCell ref="G74:G75"/>
    <mergeCell ref="H74:H75"/>
    <mergeCell ref="I74:I75"/>
    <mergeCell ref="A61:H61"/>
    <mergeCell ref="A63:A64"/>
    <mergeCell ref="G63:G64"/>
    <mergeCell ref="H63:H64"/>
    <mergeCell ref="A69:A70"/>
    <mergeCell ref="B69:B70"/>
    <mergeCell ref="C69:C70"/>
    <mergeCell ref="D69:D70"/>
    <mergeCell ref="E69:E70"/>
    <mergeCell ref="G69:G70"/>
  </mergeCells>
  <conditionalFormatting sqref="C2">
    <cfRule type="duplicateValues" dxfId="66" priority="1"/>
  </conditionalFormatting>
  <hyperlinks>
    <hyperlink ref="B63" r:id="rId1" location="Lincoln_Memorial_cent_(1959%E2%80%932008)" tooltip="Penny (United States coin)" display="https://en.wikipedia.org/wiki/Penny_(United_States_coin) - Lincoln_Memorial_cent_(1959%E2%80%932008)" xr:uid="{72807786-0C7D-4CAD-B471-A22C65BEE705}"/>
    <hyperlink ref="C63" r:id="rId2" tooltip="Jefferson nickel" display="https://en.wikipedia.org/wiki/Jefferson_nickel" xr:uid="{60D0296C-B1A0-4040-A74A-51728C762A8C}"/>
    <hyperlink ref="D63" r:id="rId3" tooltip="Roosevelt dime" display="https://en.wikipedia.org/wiki/Roosevelt_dime" xr:uid="{59F58696-BC75-4E45-AC17-7BCAC5880A47}"/>
    <hyperlink ref="E63" r:id="rId4" tooltip="Washington quarter" display="https://en.wikipedia.org/wiki/Washington_quarter" xr:uid="{075A1023-C036-4D0F-9225-DB7B525E5E2B}"/>
    <hyperlink ref="F63" r:id="rId5" tooltip="Franklin half dollar" display="https://en.wikipedia.org/wiki/Franklin_half_dollar" xr:uid="{91F34A78-28F5-46A2-8E85-D559209EA02C}"/>
    <hyperlink ref="F69" r:id="rId6" tooltip="Kennedy half dollar" display="https://en.wikipedia.org/wiki/Kennedy_half_dollar" xr:uid="{3273D7F7-6E7B-4AE7-94DB-A0333B01AA96}"/>
    <hyperlink ref="B74" r:id="rId7" location="Lincoln_Memorial_cent_(1959%E2%80%932008)" tooltip="Penny (United States coin)" display="https://en.wikipedia.org/wiki/Penny_(United_States_coin) - Lincoln_Memorial_cent_(1959%E2%80%932008)" xr:uid="{180A7F23-DCA0-47A8-95AD-9BD3D021B350}"/>
    <hyperlink ref="C74" r:id="rId8" tooltip="Jefferson nickel" display="https://en.wikipedia.org/wiki/Jefferson_nickel" xr:uid="{3EA22C38-264F-4C64-A126-DE84D94970DF}"/>
    <hyperlink ref="D74" r:id="rId9" tooltip="Roosevelt dime" display="https://en.wikipedia.org/wiki/Roosevelt_dime" xr:uid="{B2141C63-3ED6-4251-BB59-CE65B81CF911}"/>
    <hyperlink ref="E74" r:id="rId10" tooltip="Washington quarter" display="https://en.wikipedia.org/wiki/Washington_quarter" xr:uid="{4F786C1C-6FFD-41AF-A0D9-8CE6A8544284}"/>
    <hyperlink ref="F74" r:id="rId11" tooltip="Kennedy half dollar" display="https://en.wikipedia.org/wiki/Kennedy_half_dollar" xr:uid="{55FF2EBF-456E-4C80-8617-3D24C046D711}"/>
    <hyperlink ref="G76" r:id="rId12" tooltip="Token coin" display="https://en.wikipedia.org/wiki/Token_coin" xr:uid="{A6389E9A-6A7E-4406-A59B-DAC6528C85C9}"/>
    <hyperlink ref="B82" r:id="rId13" location="Lincoln_Memorial_cent_(1959%E2%80%932008)" tooltip="Penny (United States coin)" display="https://en.wikipedia.org/wiki/Penny_(United_States_coin) - Lincoln_Memorial_cent_(1959%E2%80%932008)" xr:uid="{0D307D04-15E3-4FD8-B629-21468AD9B019}"/>
    <hyperlink ref="C82" r:id="rId14" tooltip="Jefferson nickel" display="https://en.wikipedia.org/wiki/Jefferson_nickel" xr:uid="{848F4AF6-537B-4063-AAE9-EA91F3F91ECA}"/>
    <hyperlink ref="D82" r:id="rId15" tooltip="Roosevelt dime" display="https://en.wikipedia.org/wiki/Roosevelt_dime" xr:uid="{6E12BB62-CCE3-45CC-A31E-0B820AF9D129}"/>
    <hyperlink ref="E82" r:id="rId16" tooltip="Washington quarter" display="https://en.wikipedia.org/wiki/Washington_quarter" xr:uid="{F7E97249-4E1C-480D-86A7-3B5F1C05F193}"/>
    <hyperlink ref="F82" r:id="rId17" tooltip="Kennedy half dollar" display="https://en.wikipedia.org/wiki/Kennedy_half_dollar" xr:uid="{B46FDAA3-9526-4E7A-BC11-3A512811B2AF}"/>
    <hyperlink ref="G89" r:id="rId18" tooltip="Eisenhower dollar" display="https://en.wikipedia.org/wiki/Eisenhower_dollar" xr:uid="{DFC657C2-D846-40F5-98BD-D17F8C0C0719}"/>
    <hyperlink ref="G96" r:id="rId19" tooltip="Susan B. Anthony dollar" display="https://en.wikipedia.org/wiki/Susan_B._Anthony_dollar" xr:uid="{F984E756-2E39-4052-8552-4CA4A2EDF424}"/>
    <hyperlink ref="H100" r:id="rId20" tooltip="Token coin" display="https://en.wikipedia.org/wiki/Token_coin" xr:uid="{AFCBC933-5681-4BD8-92E4-9FEBDA02F975}"/>
    <hyperlink ref="E116" r:id="rId21" tooltip="50 State Quarters" display="https://en.wikipedia.org/wiki/50_State_Quarters" xr:uid="{2975D267-C9A5-41E5-924D-47D76A8537FD}"/>
    <hyperlink ref="G126" r:id="rId22" tooltip="Sacagawea dollar" display="https://en.wikipedia.org/wiki/Sacagawea_dollar" xr:uid="{20A45E41-A384-47CE-AED9-9B52C64BE441}"/>
    <hyperlink ref="C158" r:id="rId23" tooltip="Westward Journey Nickel Series" display="https://en.wikipedia.org/wiki/Westward_Journey_Nickel_Series" xr:uid="{D48EA159-C657-4D18-BD37-2353E856BFA8}"/>
    <hyperlink ref="A169" r:id="rId24" display="https://en.wikipedia.org/wiki/File:2010_cent_obverse.png" xr:uid="{9C0318CE-68D8-40B9-9237-E08E9DCB39DD}"/>
    <hyperlink ref="B189" r:id="rId25" location="Lincoln_Memorial_cent_(1959%E2%80%932008)" tooltip="Penny (United States coin)" display="https://en.wikipedia.org/wiki/Penny_(United_States_coin) - Lincoln_Memorial_cent_(1959%E2%80%932008)" xr:uid="{100D1165-373B-43DD-BB2E-86E84723E512}"/>
    <hyperlink ref="C189" r:id="rId26" tooltip="Westward Journey Nickel Series" display="https://en.wikipedia.org/wiki/Westward_Journey_Nickel_Series" xr:uid="{5DB7B0B6-998F-45CD-B68A-3F80DE99496E}"/>
    <hyperlink ref="D189" r:id="rId27" tooltip="Roosevelt dime" display="https://en.wikipedia.org/wiki/Roosevelt_dime" xr:uid="{B3A39EA3-002C-4789-B1D2-6CA08DF6FF7F}"/>
    <hyperlink ref="E189" r:id="rId28" tooltip="50 State Quarters" display="https://en.wikipedia.org/wiki/50_State_Quarters" xr:uid="{3AE9F320-8AC1-4CD5-93BC-ED5296F1FE22}"/>
    <hyperlink ref="F189" r:id="rId29" tooltip="Kennedy half dollar" display="https://en.wikipedia.org/wiki/Kennedy_half_dollar" xr:uid="{63904204-929C-464E-8D65-AC6F8F4BD44B}"/>
    <hyperlink ref="G189" r:id="rId30" tooltip="Sacagawea dollar" display="https://en.wikipedia.org/wiki/Sacagawea_dollar" xr:uid="{E2F31C25-8A96-465E-91B2-ECDB21736BC0}"/>
    <hyperlink ref="G208" r:id="rId31" tooltip="Presidential $1 Coin Program" display="https://en.wikipedia.org/wiki/Presidential_$1_Coin_Program" xr:uid="{DDE757B2-CD94-40E7-9890-B645CC674460}"/>
    <hyperlink ref="B225" r:id="rId32" location="Lincoln_Bicentennial_cents_(2009)" tooltip="Penny (United States coin)" display="https://en.wikipedia.org/wiki/Penny_(United_States_coin) - Lincoln_Bicentennial_cents_(2009)" xr:uid="{5285645E-4137-4B13-9B32-89143971100F}"/>
    <hyperlink ref="E225" r:id="rId33" tooltip="District of Columbia and United States Territories Quarters" display="https://en.wikipedia.org/wiki/District_of_Columbia_and_United_States_Territories_Quarters" xr:uid="{02BD515F-43EE-4745-A6F4-5F3E7B185328}"/>
    <hyperlink ref="G225" r:id="rId34" tooltip="Sacagawea dollar" display="https://en.wikipedia.org/wiki/Sacagawea_dollar" xr:uid="{682074F5-A50F-4567-AE0C-E932510DF029}"/>
    <hyperlink ref="B237" r:id="rId35" location="Union_shield_reverse_%22Shield_cent%22_(introduced_2010)" tooltip="Lincoln cent" display="https://en.wikipedia.org/wiki/Lincoln_cent - Union_shield_reverse_%22Shield_cent%22_(introduced_2010)" xr:uid="{A6D06EED-55E1-4438-81C2-DA68CA381C58}"/>
    <hyperlink ref="E237" r:id="rId36" tooltip="America the Beautiful Quarters" display="https://en.wikipedia.org/wiki/America_the_Beautiful_Quarters" xr:uid="{D24E0235-E4D1-4FB6-827E-28516EA21C6C}"/>
    <hyperlink ref="I237" r:id="rId37" location="cite_note-4" display="https://en.wikipedia.org/wiki/United_States_Mint_Set - cite_note-4" xr:uid="{AC74BE77-1B06-49C5-B74F-302BB550CB8D}"/>
    <hyperlink ref="B256" r:id="rId38" location="Union_shield_reverse_%22Shield_cent%22_(introduced_2010)" tooltip="Lincoln cent" display="https://en.wikipedia.org/wiki/Lincoln_cent - Union_shield_reverse_%22Shield_cent%22_(introduced_2010)" xr:uid="{DF6E0777-8E2D-4CD2-83B0-B2439A17F69D}"/>
    <hyperlink ref="C256" r:id="rId39" location="2003%E2%80%93present:_Westward_Journey_nickel_series;_redesign_of_obverse" tooltip="Jefferson nickel" display="https://en.wikipedia.org/wiki/Jefferson_nickel - 2003%E2%80%93present:_Westward_Journey_nickel_series;_redesign_of_obverse" xr:uid="{42391F52-191E-4B30-BBBF-559F9D4286F8}"/>
    <hyperlink ref="D256" r:id="rId40" tooltip="Roosevelt dime" display="https://en.wikipedia.org/wiki/Roosevelt_dime" xr:uid="{B2077F66-6784-4DD7-8094-3B9D3AA594F2}"/>
    <hyperlink ref="E256" r:id="rId41" tooltip="America the Beautiful Quarters" display="https://en.wikipedia.org/wiki/America_the_Beautiful_Quarters" xr:uid="{35021EDB-B51B-4C9F-935B-0E2836B8EF8B}"/>
    <hyperlink ref="F256" r:id="rId42" tooltip="Kennedy half dollar" display="https://en.wikipedia.org/wiki/Kennedy_half_dollar" xr:uid="{BF2F1AC7-9248-460B-8D62-66601D3EEDBA}"/>
    <hyperlink ref="G256" r:id="rId43" tooltip="Sacagawea dollar" display="https://en.wikipedia.org/wiki/Sacagawea_dollar" xr:uid="{F05DA6A0-0419-4913-97B0-68EB68337B89}"/>
    <hyperlink ref="G259" r:id="rId44" tooltip="Presidential $1 Coin Program" display="https://en.wikipedia.org/wiki/Presidential_$1_Coin_Program" xr:uid="{725D7391-723B-42F5-8D38-A075642459A8}"/>
    <hyperlink ref="A351" r:id="rId45" tooltip="United States Bicentennial coinage" display="https://en.wikipedia.org/wiki/United_States_Bicentennial_coinage" xr:uid="{14CE23BD-0F2E-420D-9FA2-015BAE330760}"/>
    <hyperlink ref="B355" r:id="rId46" tooltip="Washington quarter" display="https://en.wikipedia.org/wiki/Washington_quarter" xr:uid="{3C45285F-A20E-4C14-9F12-B334329B3587}"/>
    <hyperlink ref="C355" r:id="rId47" tooltip="Kennedy half dollar" display="https://en.wikipedia.org/wiki/Kennedy_half_dollar" xr:uid="{3AF97DC5-88AB-4B91-A231-7B3E28A7ADD6}"/>
    <hyperlink ref="D355" r:id="rId48" tooltip="Eisenhower dollar" display="https://en.wikipedia.org/wiki/Eisenhower_dollar" xr:uid="{0E1679ED-82D8-4D83-9303-91BC6DC197F5}"/>
  </hyperlinks>
  <pageMargins left="0.7" right="0.7" top="0.75" bottom="0.75" header="0.3" footer="0.3"/>
  <drawing r:id="rId4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776EC-0A3F-4AFD-856A-47C97D14326A}">
  <sheetPr codeName="Sheet2">
    <tabColor theme="9" tint="0.79998168889431442"/>
    <pageSetUpPr fitToPage="1"/>
  </sheetPr>
  <dimension ref="A1:AA3256"/>
  <sheetViews>
    <sheetView workbookViewId="0">
      <pane ySplit="1" topLeftCell="A2406" activePane="bottomLeft" state="frozen"/>
      <selection pane="bottomLeft" activeCell="A2446" sqref="A2446"/>
    </sheetView>
  </sheetViews>
  <sheetFormatPr defaultRowHeight="12.75"/>
  <cols>
    <col min="1" max="1" width="6.7109375" style="136" bestFit="1" customWidth="1"/>
    <col min="2" max="2" width="6" style="270" bestFit="1" customWidth="1"/>
    <col min="3" max="3" width="6" bestFit="1" customWidth="1"/>
    <col min="4" max="4" width="10" bestFit="1" customWidth="1"/>
    <col min="5" max="5" width="20.85546875" bestFit="1" customWidth="1"/>
    <col min="6" max="6" width="34.42578125" bestFit="1" customWidth="1"/>
    <col min="7" max="7" width="23.5703125" style="3" bestFit="1" customWidth="1"/>
    <col min="8" max="8" width="7.5703125" style="271" bestFit="1" customWidth="1"/>
    <col min="9" max="9" width="7.5703125" style="272" bestFit="1" customWidth="1"/>
    <col min="10" max="10" width="7.85546875" customWidth="1"/>
    <col min="11" max="11" width="18.28515625" style="3" customWidth="1"/>
    <col min="12" max="12" width="15.5703125" style="3" bestFit="1" customWidth="1"/>
    <col min="13" max="13" width="15.5703125" style="3" customWidth="1"/>
    <col min="14" max="14" width="6.85546875" style="238" customWidth="1"/>
    <col min="15" max="15" width="40.42578125" bestFit="1" customWidth="1"/>
    <col min="16" max="16" width="6.85546875" style="235" bestFit="1" customWidth="1"/>
    <col min="17" max="17" width="9.28515625" bestFit="1" customWidth="1"/>
    <col min="18" max="21" width="9.140625" customWidth="1"/>
    <col min="22" max="22" width="24.7109375" customWidth="1"/>
    <col min="24" max="24" width="9.28515625" customWidth="1"/>
  </cols>
  <sheetData>
    <row r="1" spans="1:27" ht="21" customHeight="1">
      <c r="A1" t="s">
        <v>1828</v>
      </c>
      <c r="B1" s="239" t="s">
        <v>0</v>
      </c>
      <c r="C1" s="205" t="s">
        <v>1</v>
      </c>
      <c r="D1" s="205" t="s">
        <v>1960</v>
      </c>
      <c r="E1" s="240" t="s">
        <v>2</v>
      </c>
      <c r="F1" s="240" t="s">
        <v>4</v>
      </c>
      <c r="G1" s="240" t="s">
        <v>5</v>
      </c>
      <c r="H1" s="205" t="s">
        <v>6</v>
      </c>
      <c r="I1" s="205" t="s">
        <v>7</v>
      </c>
      <c r="J1" s="205" t="s">
        <v>8</v>
      </c>
      <c r="K1" s="205" t="s">
        <v>1825</v>
      </c>
      <c r="L1" s="241" t="s">
        <v>1964</v>
      </c>
      <c r="M1" s="241" t="s">
        <v>3825</v>
      </c>
      <c r="N1" s="278" t="s">
        <v>2308</v>
      </c>
      <c r="O1" t="s">
        <v>1965</v>
      </c>
    </row>
    <row r="2" spans="1:27">
      <c r="A2" s="136">
        <v>1</v>
      </c>
      <c r="B2" s="233">
        <v>1887</v>
      </c>
      <c r="C2" s="234"/>
      <c r="D2" s="234" t="s">
        <v>4920</v>
      </c>
      <c r="E2" s="235" t="s">
        <v>2614</v>
      </c>
      <c r="F2" s="235" t="s">
        <v>2594</v>
      </c>
      <c r="G2" s="235" t="s">
        <v>2582</v>
      </c>
      <c r="H2" s="236">
        <v>1</v>
      </c>
      <c r="I2" s="236">
        <v>1</v>
      </c>
      <c r="J2" s="233">
        <v>1</v>
      </c>
      <c r="K2" s="242"/>
      <c r="L2" s="243"/>
      <c r="M2" s="275" t="str">
        <f t="shared" ref="M2:M24" si="0">HYPERLINK($Y$2&amp;E2&amp;$AA$2,"Photo")</f>
        <v>Photo</v>
      </c>
      <c r="N2" s="279" t="s">
        <v>25</v>
      </c>
      <c r="O2" t="str">
        <f>IF(C3&lt;&gt;"",B3&amp;"-"&amp;C3&amp;" "&amp;F3,B3&amp;" "&amp;F3)</f>
        <v>1887 Indian Head Penny</v>
      </c>
      <c r="S2" t="str" cm="1">
        <f t="array" ref="S2">_xlfn.REGEXEXTRACT(E2, "[0-9]{1,5}")</f>
        <v>1887</v>
      </c>
      <c r="T2" t="s">
        <v>2394</v>
      </c>
      <c r="U2" t="s">
        <v>3896</v>
      </c>
      <c r="V2" t="str" cm="1">
        <f t="array" ref="V2">_xlfn.REGEXEXTRACT(E2, "[0-9]{1,5}")</f>
        <v>1887</v>
      </c>
      <c r="Y2" s="235" t="s">
        <v>3822</v>
      </c>
      <c r="AA2" t="s">
        <v>3823</v>
      </c>
    </row>
    <row r="3" spans="1:27">
      <c r="A3" s="136">
        <v>1</v>
      </c>
      <c r="B3" s="233">
        <v>1887</v>
      </c>
      <c r="C3" s="234"/>
      <c r="D3" s="234" t="s">
        <v>4920</v>
      </c>
      <c r="E3" s="235" t="s">
        <v>2613</v>
      </c>
      <c r="F3" s="235" t="s">
        <v>2594</v>
      </c>
      <c r="G3" s="235" t="s">
        <v>2582</v>
      </c>
      <c r="H3" s="236">
        <v>0.01</v>
      </c>
      <c r="I3" s="236">
        <v>3</v>
      </c>
      <c r="J3" s="233">
        <v>1</v>
      </c>
      <c r="K3" s="242"/>
      <c r="L3" s="235"/>
      <c r="M3" s="275" t="str">
        <f t="shared" si="0"/>
        <v>Photo</v>
      </c>
      <c r="N3" s="280" t="s">
        <v>25</v>
      </c>
      <c r="O3" t="str">
        <f>IF(C4&lt;&gt;"",B4&amp;"-"&amp;C4&amp;" "&amp;F4,B4&amp;" "&amp;F4)</f>
        <v>1888 Indian Head Penny</v>
      </c>
      <c r="S3" t="str" cm="1">
        <f t="array" ref="S3">_xlfn.REGEXEXTRACT(E3, "[0-9]{1,5}")</f>
        <v>1887</v>
      </c>
      <c r="T3" t="s">
        <v>2394</v>
      </c>
      <c r="U3" t="s">
        <v>3896</v>
      </c>
      <c r="Y3" t="s">
        <v>3824</v>
      </c>
    </row>
    <row r="4" spans="1:27">
      <c r="A4" s="136">
        <v>1</v>
      </c>
      <c r="B4" s="233">
        <v>1888</v>
      </c>
      <c r="C4" s="234"/>
      <c r="D4" s="234" t="s">
        <v>4920</v>
      </c>
      <c r="E4" s="235" t="s">
        <v>2615</v>
      </c>
      <c r="F4" s="235" t="s">
        <v>2594</v>
      </c>
      <c r="G4" s="235" t="s">
        <v>2582</v>
      </c>
      <c r="H4" s="236">
        <v>1</v>
      </c>
      <c r="I4" s="236">
        <v>1</v>
      </c>
      <c r="J4" s="233">
        <v>1</v>
      </c>
      <c r="K4" s="242"/>
      <c r="L4" s="235"/>
      <c r="M4" s="275" t="str">
        <f t="shared" si="0"/>
        <v>Photo</v>
      </c>
      <c r="N4" s="279" t="s">
        <v>25</v>
      </c>
      <c r="O4" t="str">
        <f t="shared" ref="O4:O67" si="1">IF(C4&lt;&gt;"",B4&amp;"-"&amp;C4&amp;" "&amp;F4,B4&amp;" "&amp;F4)</f>
        <v>1888 Indian Head Penny</v>
      </c>
      <c r="S4" t="str" cm="1">
        <f t="array" ref="S4">_xlfn.REGEXEXTRACT(E4, "[0-9]{1,5}")</f>
        <v>1888</v>
      </c>
      <c r="T4" t="s">
        <v>2395</v>
      </c>
      <c r="U4" t="s">
        <v>3896</v>
      </c>
    </row>
    <row r="5" spans="1:27">
      <c r="A5" s="136">
        <v>1</v>
      </c>
      <c r="B5" s="233">
        <v>1889</v>
      </c>
      <c r="C5" s="234"/>
      <c r="D5" s="234" t="s">
        <v>4920</v>
      </c>
      <c r="E5" s="235" t="s">
        <v>2616</v>
      </c>
      <c r="F5" s="235" t="s">
        <v>2594</v>
      </c>
      <c r="G5" s="235" t="s">
        <v>2582</v>
      </c>
      <c r="H5" s="236">
        <v>1</v>
      </c>
      <c r="I5" s="236">
        <v>1</v>
      </c>
      <c r="J5" s="233">
        <v>1</v>
      </c>
      <c r="K5" s="242"/>
      <c r="L5" s="235"/>
      <c r="M5" s="275" t="str">
        <f t="shared" si="0"/>
        <v>Photo</v>
      </c>
      <c r="N5" s="279" t="s">
        <v>25</v>
      </c>
      <c r="O5" t="str">
        <f t="shared" si="1"/>
        <v>1889 Indian Head Penny</v>
      </c>
      <c r="S5" t="str" cm="1">
        <f t="array" ref="S5">_xlfn.REGEXEXTRACT(E5, "[0-9]{1,5}")</f>
        <v>1889</v>
      </c>
      <c r="T5" t="s">
        <v>2396</v>
      </c>
      <c r="U5" t="s">
        <v>3896</v>
      </c>
    </row>
    <row r="6" spans="1:27">
      <c r="A6" s="136">
        <v>1</v>
      </c>
      <c r="B6" s="233">
        <v>1889</v>
      </c>
      <c r="C6" s="234"/>
      <c r="D6" s="234" t="s">
        <v>4920</v>
      </c>
      <c r="E6" s="235" t="s">
        <v>2617</v>
      </c>
      <c r="F6" s="235" t="s">
        <v>2594</v>
      </c>
      <c r="G6" s="235" t="s">
        <v>2582</v>
      </c>
      <c r="H6" s="236">
        <v>6</v>
      </c>
      <c r="I6" s="236">
        <v>3</v>
      </c>
      <c r="J6" s="233">
        <v>1</v>
      </c>
      <c r="K6" s="242"/>
      <c r="L6" s="235"/>
      <c r="M6" s="275" t="str">
        <f t="shared" si="0"/>
        <v>Photo</v>
      </c>
      <c r="N6" s="279" t="s">
        <v>25</v>
      </c>
      <c r="O6" t="str">
        <f t="shared" si="1"/>
        <v>1889 Indian Head Penny</v>
      </c>
      <c r="S6" t="str" cm="1">
        <f t="array" ref="S6">_xlfn.REGEXEXTRACT(E6, "[0-9]{1,5}")</f>
        <v>1889</v>
      </c>
      <c r="T6" t="s">
        <v>2396</v>
      </c>
      <c r="U6" t="s">
        <v>3896</v>
      </c>
    </row>
    <row r="7" spans="1:27">
      <c r="A7" s="136">
        <v>1</v>
      </c>
      <c r="B7" s="233">
        <v>1889</v>
      </c>
      <c r="C7" s="234"/>
      <c r="D7" s="234" t="s">
        <v>4920</v>
      </c>
      <c r="E7" s="235" t="s">
        <v>2618</v>
      </c>
      <c r="F7" s="235" t="s">
        <v>2594</v>
      </c>
      <c r="G7" s="235" t="s">
        <v>2582</v>
      </c>
      <c r="H7" s="236"/>
      <c r="I7" s="236">
        <v>3</v>
      </c>
      <c r="J7" s="233">
        <v>1</v>
      </c>
      <c r="K7" s="242"/>
      <c r="L7" s="235"/>
      <c r="M7" s="275" t="str">
        <f t="shared" si="0"/>
        <v>Photo</v>
      </c>
      <c r="N7" s="279" t="s">
        <v>25</v>
      </c>
      <c r="O7" t="str">
        <f t="shared" si="1"/>
        <v>1889 Indian Head Penny</v>
      </c>
      <c r="S7" t="str" cm="1">
        <f t="array" ref="S7">_xlfn.REGEXEXTRACT(E7, "[0-9]{1,5}")</f>
        <v>1889</v>
      </c>
      <c r="T7" t="s">
        <v>2396</v>
      </c>
      <c r="U7" t="s">
        <v>3896</v>
      </c>
    </row>
    <row r="8" spans="1:27">
      <c r="A8" s="136">
        <v>1</v>
      </c>
      <c r="B8" s="233">
        <v>1890</v>
      </c>
      <c r="C8" s="234"/>
      <c r="D8" s="234" t="s">
        <v>4920</v>
      </c>
      <c r="E8" s="235" t="s">
        <v>2619</v>
      </c>
      <c r="F8" s="235" t="s">
        <v>2594</v>
      </c>
      <c r="G8" s="235" t="s">
        <v>2582</v>
      </c>
      <c r="H8" s="236">
        <v>1</v>
      </c>
      <c r="I8" s="236">
        <v>1</v>
      </c>
      <c r="J8" s="233">
        <v>1</v>
      </c>
      <c r="K8" s="242"/>
      <c r="L8" s="235"/>
      <c r="M8" s="275" t="str">
        <f t="shared" si="0"/>
        <v>Photo</v>
      </c>
      <c r="N8" s="279" t="s">
        <v>25</v>
      </c>
      <c r="O8" t="str">
        <f t="shared" si="1"/>
        <v>1890 Indian Head Penny</v>
      </c>
      <c r="S8" t="str" cm="1">
        <f t="array" ref="S8">_xlfn.REGEXEXTRACT(E8, "[0-9]{1,5}")</f>
        <v>1890</v>
      </c>
      <c r="T8" t="s">
        <v>2397</v>
      </c>
      <c r="U8" t="s">
        <v>3896</v>
      </c>
    </row>
    <row r="9" spans="1:27">
      <c r="A9" s="136">
        <v>1</v>
      </c>
      <c r="B9" s="233">
        <v>1890</v>
      </c>
      <c r="C9" s="234"/>
      <c r="D9" s="234" t="s">
        <v>4920</v>
      </c>
      <c r="E9" s="235" t="s">
        <v>2620</v>
      </c>
      <c r="F9" s="235" t="s">
        <v>2594</v>
      </c>
      <c r="G9" s="235" t="s">
        <v>2582</v>
      </c>
      <c r="H9" s="236">
        <v>1</v>
      </c>
      <c r="I9" s="236">
        <v>3</v>
      </c>
      <c r="J9" s="233">
        <v>1</v>
      </c>
      <c r="K9" s="242"/>
      <c r="L9" s="235"/>
      <c r="M9" s="275" t="str">
        <f t="shared" si="0"/>
        <v>Photo</v>
      </c>
      <c r="N9" s="279" t="s">
        <v>25</v>
      </c>
      <c r="O9" t="str">
        <f t="shared" si="1"/>
        <v>1890 Indian Head Penny</v>
      </c>
      <c r="S9" t="str" cm="1">
        <f t="array" ref="S9">_xlfn.REGEXEXTRACT(E9, "[0-9]{1,5}")</f>
        <v>1890</v>
      </c>
      <c r="T9" t="s">
        <v>2397</v>
      </c>
      <c r="U9" t="s">
        <v>3896</v>
      </c>
    </row>
    <row r="10" spans="1:27">
      <c r="A10" s="136">
        <v>1</v>
      </c>
      <c r="B10" s="233">
        <v>1891</v>
      </c>
      <c r="C10" s="234"/>
      <c r="D10" s="234" t="s">
        <v>4920</v>
      </c>
      <c r="E10" s="235" t="s">
        <v>2621</v>
      </c>
      <c r="F10" s="235" t="s">
        <v>2594</v>
      </c>
      <c r="G10" s="235" t="s">
        <v>2582</v>
      </c>
      <c r="H10" s="236">
        <v>1</v>
      </c>
      <c r="I10" s="236">
        <v>3</v>
      </c>
      <c r="J10" s="233">
        <v>1</v>
      </c>
      <c r="K10" s="242"/>
      <c r="L10" s="235"/>
      <c r="M10" s="275" t="str">
        <f t="shared" si="0"/>
        <v>Photo</v>
      </c>
      <c r="N10" s="279" t="s">
        <v>25</v>
      </c>
      <c r="O10" t="str">
        <f t="shared" si="1"/>
        <v>1891 Indian Head Penny</v>
      </c>
      <c r="S10" t="str" cm="1">
        <f t="array" ref="S10">_xlfn.REGEXEXTRACT(E10, "[0-9]{1,5}")</f>
        <v>1891</v>
      </c>
      <c r="T10" t="s">
        <v>2398</v>
      </c>
      <c r="U10" t="s">
        <v>3896</v>
      </c>
    </row>
    <row r="11" spans="1:27">
      <c r="A11" s="136">
        <v>1</v>
      </c>
      <c r="B11" s="233">
        <v>1896</v>
      </c>
      <c r="C11" s="234"/>
      <c r="D11" s="234" t="s">
        <v>4920</v>
      </c>
      <c r="E11" s="235" t="s">
        <v>2622</v>
      </c>
      <c r="F11" s="235" t="s">
        <v>2594</v>
      </c>
      <c r="G11" s="235" t="s">
        <v>2582</v>
      </c>
      <c r="H11" s="236">
        <v>1</v>
      </c>
      <c r="I11" s="236">
        <v>3</v>
      </c>
      <c r="J11" s="233">
        <v>1</v>
      </c>
      <c r="K11" s="242"/>
      <c r="L11" s="235"/>
      <c r="M11" s="275" t="str">
        <f t="shared" si="0"/>
        <v>Photo</v>
      </c>
      <c r="N11" s="279" t="s">
        <v>25</v>
      </c>
      <c r="O11" t="str">
        <f t="shared" si="1"/>
        <v>1896 Indian Head Penny</v>
      </c>
      <c r="S11" t="str" cm="1">
        <f t="array" ref="S11">_xlfn.REGEXEXTRACT(E11, "[0-9]{1,5}")</f>
        <v>1896</v>
      </c>
      <c r="T11" t="s">
        <v>4170</v>
      </c>
      <c r="U11" t="s">
        <v>3896</v>
      </c>
    </row>
    <row r="12" spans="1:27">
      <c r="A12" s="136">
        <v>1</v>
      </c>
      <c r="B12" s="233">
        <v>1899</v>
      </c>
      <c r="C12" s="234"/>
      <c r="D12" s="234" t="s">
        <v>4920</v>
      </c>
      <c r="E12" s="235" t="s">
        <v>2623</v>
      </c>
      <c r="F12" s="235" t="s">
        <v>2594</v>
      </c>
      <c r="G12" s="235" t="s">
        <v>2582</v>
      </c>
      <c r="H12" s="236">
        <v>0.75</v>
      </c>
      <c r="I12" s="236">
        <v>3</v>
      </c>
      <c r="J12" s="233">
        <v>1</v>
      </c>
      <c r="K12" s="242"/>
      <c r="L12" s="235"/>
      <c r="M12" s="275" t="str">
        <f t="shared" si="0"/>
        <v>Photo</v>
      </c>
      <c r="N12" s="279" t="s">
        <v>25</v>
      </c>
      <c r="O12" t="str">
        <f t="shared" si="1"/>
        <v>1899 Indian Head Penny</v>
      </c>
      <c r="S12" t="str" cm="1">
        <f t="array" ref="S12">_xlfn.REGEXEXTRACT(E12, "[0-9]{1,5}")</f>
        <v>1899</v>
      </c>
      <c r="T12" t="s">
        <v>4171</v>
      </c>
      <c r="U12" t="s">
        <v>3896</v>
      </c>
    </row>
    <row r="13" spans="1:27">
      <c r="A13" s="136">
        <v>1</v>
      </c>
      <c r="B13" s="233">
        <v>1900</v>
      </c>
      <c r="C13" s="234"/>
      <c r="D13" s="234" t="s">
        <v>4920</v>
      </c>
      <c r="E13" s="235" t="s">
        <v>2624</v>
      </c>
      <c r="F13" s="235" t="s">
        <v>2594</v>
      </c>
      <c r="G13" s="235" t="s">
        <v>2582</v>
      </c>
      <c r="H13" s="236"/>
      <c r="I13" s="236">
        <v>2</v>
      </c>
      <c r="J13" s="233">
        <v>1</v>
      </c>
      <c r="K13" s="242"/>
      <c r="L13" s="235"/>
      <c r="M13" s="275" t="str">
        <f t="shared" si="0"/>
        <v>Photo</v>
      </c>
      <c r="N13" s="279" t="s">
        <v>25</v>
      </c>
      <c r="O13" t="str">
        <f t="shared" si="1"/>
        <v>1900 Indian Head Penny</v>
      </c>
      <c r="S13" t="str" cm="1">
        <f t="array" ref="S13">_xlfn.REGEXEXTRACT(E13, "[0-9]{1,5}")</f>
        <v>1900</v>
      </c>
      <c r="T13" t="s">
        <v>4172</v>
      </c>
      <c r="U13" t="s">
        <v>3896</v>
      </c>
    </row>
    <row r="14" spans="1:27">
      <c r="A14" s="136">
        <v>1</v>
      </c>
      <c r="B14" s="233">
        <v>1901</v>
      </c>
      <c r="C14" s="234"/>
      <c r="D14" s="234" t="s">
        <v>4920</v>
      </c>
      <c r="E14" s="235" t="s">
        <v>2625</v>
      </c>
      <c r="F14" s="235" t="s">
        <v>2594</v>
      </c>
      <c r="G14" s="235" t="s">
        <v>2582</v>
      </c>
      <c r="H14" s="236">
        <v>0.75</v>
      </c>
      <c r="I14" s="236">
        <v>0.75</v>
      </c>
      <c r="J14" s="233">
        <v>1</v>
      </c>
      <c r="K14" s="242"/>
      <c r="L14" s="235"/>
      <c r="M14" s="275" t="str">
        <f t="shared" si="0"/>
        <v>Photo</v>
      </c>
      <c r="N14" s="279" t="s">
        <v>25</v>
      </c>
      <c r="O14" t="str">
        <f t="shared" si="1"/>
        <v>1901 Indian Head Penny</v>
      </c>
      <c r="S14" t="str" cm="1">
        <f t="array" ref="S14">_xlfn.REGEXEXTRACT(E14, "[0-9]{1,5}")</f>
        <v>1901</v>
      </c>
      <c r="T14" t="s">
        <v>4173</v>
      </c>
      <c r="U14" t="s">
        <v>3896</v>
      </c>
    </row>
    <row r="15" spans="1:27">
      <c r="A15" s="136">
        <v>1</v>
      </c>
      <c r="B15" s="233">
        <v>1901</v>
      </c>
      <c r="C15" s="234"/>
      <c r="D15" s="234" t="s">
        <v>4920</v>
      </c>
      <c r="E15" s="244" t="s">
        <v>2626</v>
      </c>
      <c r="F15" s="244" t="s">
        <v>2594</v>
      </c>
      <c r="G15" s="235" t="s">
        <v>2582</v>
      </c>
      <c r="H15" s="236"/>
      <c r="I15" s="236">
        <v>4.5</v>
      </c>
      <c r="J15" s="233">
        <v>1</v>
      </c>
      <c r="K15" s="242"/>
      <c r="L15" s="235"/>
      <c r="M15" s="275" t="str">
        <f t="shared" si="0"/>
        <v>Photo</v>
      </c>
      <c r="N15" s="279" t="s">
        <v>25</v>
      </c>
      <c r="O15" t="str">
        <f t="shared" si="1"/>
        <v>1901 Indian Head Penny</v>
      </c>
      <c r="S15" t="str" cm="1">
        <f t="array" ref="S15">_xlfn.REGEXEXTRACT(E15, "[0-9]{1,5}")</f>
        <v>1901</v>
      </c>
      <c r="T15" t="s">
        <v>4173</v>
      </c>
      <c r="U15" t="s">
        <v>3896</v>
      </c>
    </row>
    <row r="16" spans="1:27">
      <c r="A16" s="136">
        <v>1</v>
      </c>
      <c r="B16" s="233">
        <v>1901</v>
      </c>
      <c r="C16" s="234"/>
      <c r="D16" s="234" t="s">
        <v>4920</v>
      </c>
      <c r="E16" s="244" t="s">
        <v>2627</v>
      </c>
      <c r="F16" s="244" t="s">
        <v>2594</v>
      </c>
      <c r="G16" s="235" t="s">
        <v>2582</v>
      </c>
      <c r="H16" s="236"/>
      <c r="I16" s="236">
        <v>2</v>
      </c>
      <c r="J16" s="233">
        <v>1</v>
      </c>
      <c r="K16" s="242"/>
      <c r="L16" s="235"/>
      <c r="M16" s="275" t="str">
        <f t="shared" si="0"/>
        <v>Photo</v>
      </c>
      <c r="N16" s="279" t="s">
        <v>25</v>
      </c>
      <c r="O16" t="str">
        <f t="shared" si="1"/>
        <v>1901 Indian Head Penny</v>
      </c>
      <c r="S16" t="str" cm="1">
        <f t="array" ref="S16">_xlfn.REGEXEXTRACT(E16, "[0-9]{1,5}")</f>
        <v>1901</v>
      </c>
      <c r="T16" t="s">
        <v>4173</v>
      </c>
      <c r="U16" t="s">
        <v>3896</v>
      </c>
    </row>
    <row r="17" spans="1:21">
      <c r="A17" s="136">
        <v>1</v>
      </c>
      <c r="B17" s="233">
        <v>1902</v>
      </c>
      <c r="C17" s="234"/>
      <c r="D17" s="234" t="s">
        <v>4920</v>
      </c>
      <c r="E17" s="244" t="s">
        <v>2628</v>
      </c>
      <c r="F17" s="244" t="s">
        <v>2594</v>
      </c>
      <c r="G17" s="235" t="s">
        <v>2582</v>
      </c>
      <c r="H17" s="236">
        <v>2.2999999999999998</v>
      </c>
      <c r="I17" s="236">
        <v>2.2999999999999998</v>
      </c>
      <c r="J17" s="233">
        <v>1</v>
      </c>
      <c r="K17" s="242"/>
      <c r="L17" s="235"/>
      <c r="M17" s="275" t="str">
        <f t="shared" si="0"/>
        <v>Photo</v>
      </c>
      <c r="N17" s="279" t="s">
        <v>25</v>
      </c>
      <c r="O17" t="str">
        <f t="shared" si="1"/>
        <v>1902 Indian Head Penny</v>
      </c>
      <c r="S17" t="str" cm="1">
        <f t="array" ref="S17">_xlfn.REGEXEXTRACT(E17, "[0-9]{1,5}")</f>
        <v>1902</v>
      </c>
      <c r="T17" t="s">
        <v>4174</v>
      </c>
      <c r="U17" t="s">
        <v>3896</v>
      </c>
    </row>
    <row r="18" spans="1:21">
      <c r="A18" s="136">
        <v>1</v>
      </c>
      <c r="B18" s="233">
        <v>1902</v>
      </c>
      <c r="C18" s="234"/>
      <c r="D18" s="234" t="s">
        <v>4920</v>
      </c>
      <c r="E18" s="244" t="s">
        <v>2629</v>
      </c>
      <c r="F18" s="244" t="s">
        <v>2594</v>
      </c>
      <c r="G18" s="235" t="s">
        <v>2582</v>
      </c>
      <c r="H18" s="236">
        <v>2.5</v>
      </c>
      <c r="I18" s="236">
        <v>2</v>
      </c>
      <c r="J18" s="233">
        <v>1</v>
      </c>
      <c r="K18" s="242"/>
      <c r="L18" s="235"/>
      <c r="M18" s="275" t="str">
        <f t="shared" si="0"/>
        <v>Photo</v>
      </c>
      <c r="N18" s="279" t="s">
        <v>25</v>
      </c>
      <c r="O18" t="str">
        <f t="shared" si="1"/>
        <v>1902 Indian Head Penny</v>
      </c>
      <c r="S18" t="str" cm="1">
        <f t="array" ref="S18">_xlfn.REGEXEXTRACT(E18, "[0-9]{1,5}")</f>
        <v>1902</v>
      </c>
      <c r="T18" t="s">
        <v>4174</v>
      </c>
      <c r="U18" t="s">
        <v>3896</v>
      </c>
    </row>
    <row r="19" spans="1:21">
      <c r="A19" s="136">
        <v>1</v>
      </c>
      <c r="B19" s="233">
        <v>1902</v>
      </c>
      <c r="C19" s="234"/>
      <c r="D19" s="234" t="s">
        <v>4920</v>
      </c>
      <c r="E19" s="244" t="s">
        <v>2630</v>
      </c>
      <c r="F19" s="244" t="s">
        <v>2594</v>
      </c>
      <c r="G19" s="235" t="s">
        <v>2582</v>
      </c>
      <c r="H19" s="236"/>
      <c r="I19" s="236">
        <v>4.5</v>
      </c>
      <c r="J19" s="233">
        <v>1</v>
      </c>
      <c r="K19" s="242"/>
      <c r="L19" s="235"/>
      <c r="M19" s="275" t="str">
        <f t="shared" si="0"/>
        <v>Photo</v>
      </c>
      <c r="N19" s="279" t="s">
        <v>25</v>
      </c>
      <c r="O19" t="str">
        <f t="shared" si="1"/>
        <v>1902 Indian Head Penny</v>
      </c>
      <c r="S19" t="str" cm="1">
        <f t="array" ref="S19">_xlfn.REGEXEXTRACT(E19, "[0-9]{1,5}")</f>
        <v>1902</v>
      </c>
      <c r="T19" t="s">
        <v>4174</v>
      </c>
      <c r="U19" t="s">
        <v>3896</v>
      </c>
    </row>
    <row r="20" spans="1:21">
      <c r="A20" s="136">
        <v>1</v>
      </c>
      <c r="B20" s="233">
        <v>1903</v>
      </c>
      <c r="C20" s="234"/>
      <c r="D20" s="234" t="s">
        <v>4920</v>
      </c>
      <c r="E20" s="244" t="s">
        <v>2631</v>
      </c>
      <c r="F20" s="244" t="s">
        <v>2594</v>
      </c>
      <c r="G20" s="235" t="s">
        <v>2582</v>
      </c>
      <c r="H20" s="236">
        <v>2.2999999999999998</v>
      </c>
      <c r="I20" s="236">
        <v>2.2999999999999998</v>
      </c>
      <c r="J20" s="233">
        <v>1</v>
      </c>
      <c r="K20" s="242"/>
      <c r="L20" s="235"/>
      <c r="M20" s="275" t="str">
        <f t="shared" si="0"/>
        <v>Photo</v>
      </c>
      <c r="N20" s="279" t="s">
        <v>25</v>
      </c>
      <c r="O20" t="str">
        <f t="shared" si="1"/>
        <v>1903 Indian Head Penny</v>
      </c>
      <c r="S20" t="str" cm="1">
        <f t="array" ref="S20">_xlfn.REGEXEXTRACT(E20, "[0-9]{1,5}")</f>
        <v>1903</v>
      </c>
      <c r="T20" t="s">
        <v>4175</v>
      </c>
      <c r="U20" t="s">
        <v>3896</v>
      </c>
    </row>
    <row r="21" spans="1:21">
      <c r="A21" s="136">
        <v>1</v>
      </c>
      <c r="B21" s="233">
        <v>1903</v>
      </c>
      <c r="C21" s="234"/>
      <c r="D21" s="234" t="s">
        <v>4920</v>
      </c>
      <c r="E21" s="244" t="s">
        <v>2632</v>
      </c>
      <c r="F21" s="244" t="s">
        <v>2594</v>
      </c>
      <c r="G21" s="235" t="s">
        <v>2582</v>
      </c>
      <c r="H21" s="236">
        <v>0.75</v>
      </c>
      <c r="I21" s="236">
        <v>0.75</v>
      </c>
      <c r="J21" s="233">
        <v>1</v>
      </c>
      <c r="K21" s="242"/>
      <c r="L21" s="235"/>
      <c r="M21" s="275" t="str">
        <f t="shared" si="0"/>
        <v>Photo</v>
      </c>
      <c r="N21" s="279" t="s">
        <v>25</v>
      </c>
      <c r="O21" t="str">
        <f t="shared" si="1"/>
        <v>1903 Indian Head Penny</v>
      </c>
      <c r="S21" t="str" cm="1">
        <f t="array" ref="S21">_xlfn.REGEXEXTRACT(E21, "[0-9]{1,5}")</f>
        <v>1903</v>
      </c>
      <c r="T21" t="s">
        <v>4175</v>
      </c>
      <c r="U21" t="s">
        <v>3896</v>
      </c>
    </row>
    <row r="22" spans="1:21">
      <c r="A22" s="136">
        <v>1</v>
      </c>
      <c r="B22" s="233">
        <v>1903</v>
      </c>
      <c r="C22" s="234"/>
      <c r="D22" s="234" t="s">
        <v>4920</v>
      </c>
      <c r="E22" s="244" t="s">
        <v>2633</v>
      </c>
      <c r="F22" s="244" t="s">
        <v>2594</v>
      </c>
      <c r="G22" s="235" t="s">
        <v>2582</v>
      </c>
      <c r="H22" s="236">
        <v>1.3</v>
      </c>
      <c r="I22" s="236">
        <v>1</v>
      </c>
      <c r="J22" s="233">
        <v>1</v>
      </c>
      <c r="K22" s="242"/>
      <c r="L22" s="235"/>
      <c r="M22" s="275" t="str">
        <f t="shared" si="0"/>
        <v>Photo</v>
      </c>
      <c r="N22" s="279" t="s">
        <v>25</v>
      </c>
      <c r="O22" t="str">
        <f t="shared" si="1"/>
        <v>1903 Indian Head Penny</v>
      </c>
      <c r="S22" t="str" cm="1">
        <f t="array" ref="S22">_xlfn.REGEXEXTRACT(E22, "[0-9]{1,5}")</f>
        <v>1903</v>
      </c>
      <c r="T22" t="s">
        <v>4175</v>
      </c>
      <c r="U22" t="s">
        <v>3896</v>
      </c>
    </row>
    <row r="23" spans="1:21">
      <c r="A23" s="136">
        <v>1</v>
      </c>
      <c r="B23" s="233">
        <v>1903</v>
      </c>
      <c r="C23" s="234"/>
      <c r="D23" s="234" t="s">
        <v>4920</v>
      </c>
      <c r="E23" s="244" t="s">
        <v>2634</v>
      </c>
      <c r="F23" s="244" t="s">
        <v>2594</v>
      </c>
      <c r="G23" s="235" t="s">
        <v>2582</v>
      </c>
      <c r="H23" s="236"/>
      <c r="I23" s="236">
        <v>2</v>
      </c>
      <c r="J23" s="233">
        <v>1</v>
      </c>
      <c r="K23" s="242"/>
      <c r="L23" s="235"/>
      <c r="M23" s="275" t="str">
        <f t="shared" si="0"/>
        <v>Photo</v>
      </c>
      <c r="N23" s="279" t="s">
        <v>25</v>
      </c>
      <c r="O23" t="str">
        <f t="shared" si="1"/>
        <v>1903 Indian Head Penny</v>
      </c>
      <c r="S23" t="str" cm="1">
        <f t="array" ref="S23">_xlfn.REGEXEXTRACT(E23, "[0-9]{1,5}")</f>
        <v>1903</v>
      </c>
      <c r="T23" t="s">
        <v>4175</v>
      </c>
      <c r="U23" t="s">
        <v>3896</v>
      </c>
    </row>
    <row r="24" spans="1:21">
      <c r="A24" s="136">
        <v>1</v>
      </c>
      <c r="B24" s="233">
        <v>1904</v>
      </c>
      <c r="C24" s="234"/>
      <c r="D24" s="234" t="s">
        <v>4920</v>
      </c>
      <c r="E24" s="244" t="s">
        <v>2635</v>
      </c>
      <c r="F24" s="244" t="s">
        <v>2594</v>
      </c>
      <c r="G24" s="235" t="s">
        <v>2582</v>
      </c>
      <c r="H24" s="236">
        <v>0.75</v>
      </c>
      <c r="I24" s="236">
        <v>0.75</v>
      </c>
      <c r="J24" s="233">
        <v>1</v>
      </c>
      <c r="K24" s="242"/>
      <c r="L24" s="235"/>
      <c r="M24" s="275" t="str">
        <f t="shared" si="0"/>
        <v>Photo</v>
      </c>
      <c r="N24" s="279" t="s">
        <v>25</v>
      </c>
      <c r="O24" t="str">
        <f t="shared" si="1"/>
        <v>1904 Indian Head Penny</v>
      </c>
      <c r="S24" t="str" cm="1">
        <f t="array" ref="S24">_xlfn.REGEXEXTRACT(E24, "[0-9]{1,5}")</f>
        <v>1904</v>
      </c>
      <c r="T24" t="s">
        <v>4176</v>
      </c>
      <c r="U24" t="s">
        <v>3896</v>
      </c>
    </row>
    <row r="25" spans="1:21">
      <c r="A25" s="136">
        <v>1</v>
      </c>
      <c r="B25" s="233">
        <v>1904</v>
      </c>
      <c r="C25" s="234"/>
      <c r="D25" s="234" t="s">
        <v>4920</v>
      </c>
      <c r="E25" s="244" t="s">
        <v>2636</v>
      </c>
      <c r="F25" s="244" t="s">
        <v>2594</v>
      </c>
      <c r="G25" s="235" t="s">
        <v>2582</v>
      </c>
      <c r="H25" s="236">
        <v>0.75</v>
      </c>
      <c r="I25" s="236">
        <v>0.75</v>
      </c>
      <c r="J25" s="233">
        <v>1</v>
      </c>
      <c r="K25" s="242"/>
      <c r="L25" s="235"/>
      <c r="M25" s="276"/>
      <c r="N25" s="279" t="s">
        <v>25</v>
      </c>
      <c r="O25" t="str">
        <f t="shared" si="1"/>
        <v>1904 Indian Head Penny</v>
      </c>
      <c r="S25" t="str" cm="1">
        <f t="array" ref="S25">_xlfn.REGEXEXTRACT(E25, "[0-9]{1,5}")</f>
        <v>1904</v>
      </c>
      <c r="T25" t="s">
        <v>4176</v>
      </c>
      <c r="U25" t="s">
        <v>3896</v>
      </c>
    </row>
    <row r="26" spans="1:21">
      <c r="A26" s="136">
        <v>1</v>
      </c>
      <c r="B26" s="233">
        <v>1905</v>
      </c>
      <c r="C26" s="234"/>
      <c r="D26" s="234" t="s">
        <v>4920</v>
      </c>
      <c r="E26" s="244" t="s">
        <v>2637</v>
      </c>
      <c r="F26" s="244" t="s">
        <v>2594</v>
      </c>
      <c r="G26" s="235" t="s">
        <v>2582</v>
      </c>
      <c r="H26" s="236">
        <v>0.75</v>
      </c>
      <c r="I26" s="236">
        <v>0.75</v>
      </c>
      <c r="J26" s="233">
        <v>1</v>
      </c>
      <c r="K26" s="242"/>
      <c r="L26" s="235"/>
      <c r="M26" s="276"/>
      <c r="N26" s="279" t="s">
        <v>25</v>
      </c>
      <c r="O26" t="str">
        <f t="shared" si="1"/>
        <v>1905 Indian Head Penny</v>
      </c>
      <c r="S26" t="str" cm="1">
        <f t="array" ref="S26">_xlfn.REGEXEXTRACT(E26, "[0-9]{1,5}")</f>
        <v>1905</v>
      </c>
      <c r="T26" t="s">
        <v>2400</v>
      </c>
      <c r="U26" t="s">
        <v>3896</v>
      </c>
    </row>
    <row r="27" spans="1:21">
      <c r="A27" s="136">
        <v>1</v>
      </c>
      <c r="B27" s="233">
        <v>1905</v>
      </c>
      <c r="C27" s="234"/>
      <c r="D27" s="234" t="s">
        <v>4920</v>
      </c>
      <c r="E27" s="244" t="s">
        <v>2638</v>
      </c>
      <c r="F27" s="244" t="s">
        <v>2594</v>
      </c>
      <c r="G27" s="235" t="s">
        <v>2582</v>
      </c>
      <c r="H27" s="236"/>
      <c r="I27" s="236">
        <v>2</v>
      </c>
      <c r="J27" s="233">
        <v>1</v>
      </c>
      <c r="K27" s="242"/>
      <c r="L27" s="235"/>
      <c r="M27" s="276"/>
      <c r="N27" s="279" t="s">
        <v>25</v>
      </c>
      <c r="O27" t="str">
        <f t="shared" si="1"/>
        <v>1905 Indian Head Penny</v>
      </c>
      <c r="S27" t="str" cm="1">
        <f t="array" ref="S27">_xlfn.REGEXEXTRACT(E27, "[0-9]{1,5}")</f>
        <v>1905</v>
      </c>
      <c r="T27" t="s">
        <v>2400</v>
      </c>
      <c r="U27" t="s">
        <v>3896</v>
      </c>
    </row>
    <row r="28" spans="1:21">
      <c r="A28" s="136">
        <v>1</v>
      </c>
      <c r="B28" s="233">
        <v>1905</v>
      </c>
      <c r="C28" s="234"/>
      <c r="D28" s="234" t="s">
        <v>4920</v>
      </c>
      <c r="E28" s="244" t="s">
        <v>2639</v>
      </c>
      <c r="F28" s="244" t="s">
        <v>2594</v>
      </c>
      <c r="G28" s="235" t="s">
        <v>2582</v>
      </c>
      <c r="H28" s="236"/>
      <c r="I28" s="236">
        <v>4.5</v>
      </c>
      <c r="J28" s="233">
        <v>1</v>
      </c>
      <c r="K28" s="242"/>
      <c r="L28" s="235"/>
      <c r="M28" s="276"/>
      <c r="N28" s="279" t="s">
        <v>25</v>
      </c>
      <c r="O28" t="str">
        <f t="shared" si="1"/>
        <v>1905 Indian Head Penny</v>
      </c>
      <c r="S28" t="str" cm="1">
        <f t="array" ref="S28">_xlfn.REGEXEXTRACT(E28, "[0-9]{1,5}")</f>
        <v>1905</v>
      </c>
      <c r="T28" t="s">
        <v>2400</v>
      </c>
      <c r="U28" t="s">
        <v>3896</v>
      </c>
    </row>
    <row r="29" spans="1:21">
      <c r="A29" s="136">
        <v>1</v>
      </c>
      <c r="B29" s="233">
        <v>1906</v>
      </c>
      <c r="C29" s="234"/>
      <c r="D29" s="234" t="s">
        <v>4920</v>
      </c>
      <c r="E29" s="244" t="s">
        <v>2640</v>
      </c>
      <c r="F29" s="244" t="s">
        <v>2594</v>
      </c>
      <c r="G29" s="235" t="s">
        <v>2582</v>
      </c>
      <c r="H29" s="236">
        <v>0.75</v>
      </c>
      <c r="I29" s="236">
        <v>0.75</v>
      </c>
      <c r="J29" s="233">
        <v>1</v>
      </c>
      <c r="K29" s="242"/>
      <c r="L29" s="235"/>
      <c r="M29" s="276"/>
      <c r="N29" s="279" t="s">
        <v>25</v>
      </c>
      <c r="O29" t="str">
        <f t="shared" si="1"/>
        <v>1906 Indian Head Penny</v>
      </c>
      <c r="S29" t="str" cm="1">
        <f t="array" ref="S29">_xlfn.REGEXEXTRACT(E29, "[0-9]{1,5}")</f>
        <v>1906</v>
      </c>
      <c r="T29" t="s">
        <v>2401</v>
      </c>
      <c r="U29" t="s">
        <v>3896</v>
      </c>
    </row>
    <row r="30" spans="1:21">
      <c r="A30" s="136">
        <v>1</v>
      </c>
      <c r="B30" s="233">
        <v>1906</v>
      </c>
      <c r="C30" s="234"/>
      <c r="D30" s="234" t="s">
        <v>4920</v>
      </c>
      <c r="E30" s="244" t="s">
        <v>2641</v>
      </c>
      <c r="F30" s="244" t="s">
        <v>2594</v>
      </c>
      <c r="G30" s="235" t="s">
        <v>2582</v>
      </c>
      <c r="H30" s="236">
        <v>0.75</v>
      </c>
      <c r="I30" s="236">
        <v>0.75</v>
      </c>
      <c r="J30" s="233">
        <v>1</v>
      </c>
      <c r="K30" s="242"/>
      <c r="L30" s="235"/>
      <c r="M30" s="276"/>
      <c r="N30" s="279" t="s">
        <v>25</v>
      </c>
      <c r="O30" t="str">
        <f t="shared" si="1"/>
        <v>1906 Indian Head Penny</v>
      </c>
      <c r="S30" t="str" cm="1">
        <f t="array" ref="S30">_xlfn.REGEXEXTRACT(E30, "[0-9]{1,5}")</f>
        <v>1906</v>
      </c>
      <c r="T30" t="s">
        <v>2401</v>
      </c>
      <c r="U30" t="s">
        <v>3896</v>
      </c>
    </row>
    <row r="31" spans="1:21">
      <c r="A31" s="136">
        <v>1</v>
      </c>
      <c r="B31" s="233">
        <v>1906</v>
      </c>
      <c r="C31" s="234"/>
      <c r="D31" s="234" t="s">
        <v>4920</v>
      </c>
      <c r="E31" s="244" t="s">
        <v>2642</v>
      </c>
      <c r="F31" s="244" t="s">
        <v>2594</v>
      </c>
      <c r="G31" s="235" t="s">
        <v>2582</v>
      </c>
      <c r="H31" s="236">
        <v>0.75</v>
      </c>
      <c r="I31" s="236">
        <v>0.75</v>
      </c>
      <c r="J31" s="233">
        <v>1</v>
      </c>
      <c r="K31" s="242"/>
      <c r="L31" s="235"/>
      <c r="M31" s="276"/>
      <c r="N31" s="279" t="s">
        <v>25</v>
      </c>
      <c r="O31" t="str">
        <f t="shared" si="1"/>
        <v>1906 Indian Head Penny</v>
      </c>
      <c r="S31" t="str" cm="1">
        <f t="array" ref="S31">_xlfn.REGEXEXTRACT(E31, "[0-9]{1,5}")</f>
        <v>1906</v>
      </c>
      <c r="T31" t="s">
        <v>2401</v>
      </c>
      <c r="U31" t="s">
        <v>3896</v>
      </c>
    </row>
    <row r="32" spans="1:21">
      <c r="A32" s="136">
        <v>1</v>
      </c>
      <c r="B32" s="233">
        <v>1906</v>
      </c>
      <c r="C32" s="234"/>
      <c r="D32" s="234" t="s">
        <v>4920</v>
      </c>
      <c r="E32" s="244" t="s">
        <v>2643</v>
      </c>
      <c r="F32" s="244" t="s">
        <v>2594</v>
      </c>
      <c r="G32" s="235" t="s">
        <v>2581</v>
      </c>
      <c r="H32" s="236">
        <v>1.3</v>
      </c>
      <c r="I32" s="236">
        <v>1</v>
      </c>
      <c r="J32" s="233">
        <v>1</v>
      </c>
      <c r="K32" s="242"/>
      <c r="L32" s="235"/>
      <c r="M32" s="276"/>
      <c r="N32" s="279" t="s">
        <v>25</v>
      </c>
      <c r="O32" t="str">
        <f t="shared" si="1"/>
        <v>1906 Indian Head Penny</v>
      </c>
      <c r="S32" t="str" cm="1">
        <f t="array" ref="S32">_xlfn.REGEXEXTRACT(E32, "[0-9]{1,5}")</f>
        <v>1906</v>
      </c>
      <c r="T32" t="s">
        <v>2401</v>
      </c>
      <c r="U32" t="s">
        <v>3896</v>
      </c>
    </row>
    <row r="33" spans="1:21">
      <c r="A33" s="136">
        <v>1</v>
      </c>
      <c r="B33" s="233">
        <v>1906</v>
      </c>
      <c r="C33" s="234"/>
      <c r="D33" s="234" t="s">
        <v>4920</v>
      </c>
      <c r="E33" s="244" t="s">
        <v>2644</v>
      </c>
      <c r="F33" s="244" t="s">
        <v>2594</v>
      </c>
      <c r="G33" s="235" t="s">
        <v>2581</v>
      </c>
      <c r="H33" s="236"/>
      <c r="I33" s="236">
        <v>2</v>
      </c>
      <c r="J33" s="233">
        <v>1</v>
      </c>
      <c r="K33" s="242"/>
      <c r="L33" s="235"/>
      <c r="M33" s="276"/>
      <c r="N33" s="279" t="s">
        <v>25</v>
      </c>
      <c r="O33" t="str">
        <f t="shared" si="1"/>
        <v>1906 Indian Head Penny</v>
      </c>
      <c r="S33" t="str" cm="1">
        <f t="array" ref="S33">_xlfn.REGEXEXTRACT(E33, "[0-9]{1,5}")</f>
        <v>1906</v>
      </c>
      <c r="T33" t="s">
        <v>2401</v>
      </c>
      <c r="U33" t="s">
        <v>3896</v>
      </c>
    </row>
    <row r="34" spans="1:21">
      <c r="A34" s="136">
        <v>1</v>
      </c>
      <c r="B34" s="233">
        <v>1907</v>
      </c>
      <c r="C34" s="234"/>
      <c r="D34" s="234" t="s">
        <v>4920</v>
      </c>
      <c r="E34" s="244" t="s">
        <v>2645</v>
      </c>
      <c r="F34" s="244" t="s">
        <v>2594</v>
      </c>
      <c r="G34" s="235" t="s">
        <v>2581</v>
      </c>
      <c r="H34" s="236">
        <v>0.75</v>
      </c>
      <c r="I34" s="236">
        <v>0.75</v>
      </c>
      <c r="J34" s="233">
        <v>1</v>
      </c>
      <c r="K34" s="242"/>
      <c r="L34" s="235"/>
      <c r="M34" s="276"/>
      <c r="N34" s="279" t="s">
        <v>25</v>
      </c>
      <c r="O34" t="str">
        <f t="shared" si="1"/>
        <v>1907 Indian Head Penny</v>
      </c>
      <c r="S34" t="str" cm="1">
        <f t="array" ref="S34">_xlfn.REGEXEXTRACT(E34, "[0-9]{1,5}")</f>
        <v>1907</v>
      </c>
      <c r="T34" t="s">
        <v>2402</v>
      </c>
      <c r="U34" t="s">
        <v>3896</v>
      </c>
    </row>
    <row r="35" spans="1:21">
      <c r="A35" s="136">
        <v>1</v>
      </c>
      <c r="B35" s="233">
        <v>1907</v>
      </c>
      <c r="C35" s="234"/>
      <c r="D35" s="234" t="s">
        <v>4920</v>
      </c>
      <c r="E35" s="244" t="s">
        <v>2646</v>
      </c>
      <c r="F35" s="244" t="s">
        <v>2594</v>
      </c>
      <c r="G35" s="235" t="s">
        <v>2581</v>
      </c>
      <c r="H35" s="236">
        <v>0.75</v>
      </c>
      <c r="I35" s="236">
        <v>0.75</v>
      </c>
      <c r="J35" s="233">
        <v>1</v>
      </c>
      <c r="K35" s="242"/>
      <c r="L35" s="235"/>
      <c r="M35" s="276"/>
      <c r="N35" s="279" t="s">
        <v>25</v>
      </c>
      <c r="O35" t="str">
        <f t="shared" si="1"/>
        <v>1907 Indian Head Penny</v>
      </c>
      <c r="S35" t="str" cm="1">
        <f t="array" ref="S35">_xlfn.REGEXEXTRACT(E35, "[0-9]{1,5}")</f>
        <v>1907</v>
      </c>
      <c r="T35" t="s">
        <v>2402</v>
      </c>
      <c r="U35" t="s">
        <v>3896</v>
      </c>
    </row>
    <row r="36" spans="1:21">
      <c r="A36" s="136">
        <v>1</v>
      </c>
      <c r="B36" s="233">
        <v>1907</v>
      </c>
      <c r="C36" s="234"/>
      <c r="D36" s="234" t="s">
        <v>4920</v>
      </c>
      <c r="E36" s="244" t="s">
        <v>2647</v>
      </c>
      <c r="F36" s="244" t="s">
        <v>2594</v>
      </c>
      <c r="G36" s="235" t="s">
        <v>2581</v>
      </c>
      <c r="H36" s="236">
        <v>7</v>
      </c>
      <c r="I36" s="236">
        <v>7</v>
      </c>
      <c r="J36" s="233">
        <v>1</v>
      </c>
      <c r="K36" s="242"/>
      <c r="L36" s="235"/>
      <c r="M36" s="276"/>
      <c r="N36" s="279" t="s">
        <v>25</v>
      </c>
      <c r="O36" t="str">
        <f t="shared" si="1"/>
        <v>1907 Indian Head Penny</v>
      </c>
      <c r="S36" t="str" cm="1">
        <f t="array" ref="S36">_xlfn.REGEXEXTRACT(E36, "[0-9]{1,5}")</f>
        <v>1907</v>
      </c>
      <c r="T36" t="s">
        <v>2402</v>
      </c>
      <c r="U36" t="s">
        <v>3896</v>
      </c>
    </row>
    <row r="37" spans="1:21">
      <c r="A37" s="136">
        <v>1</v>
      </c>
      <c r="B37" s="233">
        <v>1908</v>
      </c>
      <c r="C37" s="234"/>
      <c r="D37" s="234" t="s">
        <v>4920</v>
      </c>
      <c r="E37" s="244" t="s">
        <v>2648</v>
      </c>
      <c r="F37" s="244" t="s">
        <v>2594</v>
      </c>
      <c r="G37" s="235" t="s">
        <v>2581</v>
      </c>
      <c r="H37" s="236">
        <v>2.2999999999999998</v>
      </c>
      <c r="I37" s="236">
        <v>2.2999999999999998</v>
      </c>
      <c r="J37" s="233">
        <v>1</v>
      </c>
      <c r="K37" s="242"/>
      <c r="L37" s="235"/>
      <c r="M37" s="276"/>
      <c r="N37" s="279" t="s">
        <v>25</v>
      </c>
      <c r="O37" t="str">
        <f t="shared" si="1"/>
        <v>1908 Indian Head Penny</v>
      </c>
      <c r="S37" t="str" cm="1">
        <f t="array" ref="S37">_xlfn.REGEXEXTRACT(E37, "[0-9]{1,5}")</f>
        <v>1908</v>
      </c>
      <c r="T37" t="s">
        <v>2403</v>
      </c>
      <c r="U37" t="s">
        <v>3896</v>
      </c>
    </row>
    <row r="38" spans="1:21">
      <c r="A38" s="136">
        <v>1</v>
      </c>
      <c r="B38" s="233">
        <v>1908</v>
      </c>
      <c r="C38" s="234"/>
      <c r="D38" s="234" t="s">
        <v>4920</v>
      </c>
      <c r="E38" s="244" t="s">
        <v>2649</v>
      </c>
      <c r="F38" s="244" t="s">
        <v>2594</v>
      </c>
      <c r="G38" s="235" t="s">
        <v>2581</v>
      </c>
      <c r="H38" s="236">
        <v>1.3</v>
      </c>
      <c r="I38" s="236">
        <v>1</v>
      </c>
      <c r="J38" s="233">
        <v>1</v>
      </c>
      <c r="K38" s="242"/>
      <c r="L38" s="235"/>
      <c r="M38" s="276"/>
      <c r="N38" s="279" t="s">
        <v>25</v>
      </c>
      <c r="O38" t="str">
        <f t="shared" si="1"/>
        <v>1908 Indian Head Penny</v>
      </c>
      <c r="S38" t="str" cm="1">
        <f t="array" ref="S38">_xlfn.REGEXEXTRACT(E38, "[0-9]{1,5}")</f>
        <v>1908</v>
      </c>
      <c r="T38" t="s">
        <v>2403</v>
      </c>
      <c r="U38" t="s">
        <v>3896</v>
      </c>
    </row>
    <row r="39" spans="1:21">
      <c r="A39" s="136">
        <v>1</v>
      </c>
      <c r="B39" s="233">
        <v>1908</v>
      </c>
      <c r="C39" s="234" t="s">
        <v>53</v>
      </c>
      <c r="D39" s="234" t="s">
        <v>4920</v>
      </c>
      <c r="E39" s="244" t="s">
        <v>2650</v>
      </c>
      <c r="F39" s="244" t="s">
        <v>2594</v>
      </c>
      <c r="G39" s="235" t="s">
        <v>2580</v>
      </c>
      <c r="H39" s="236">
        <v>1</v>
      </c>
      <c r="I39" s="236">
        <v>10</v>
      </c>
      <c r="J39" s="233">
        <v>1</v>
      </c>
      <c r="K39" s="242"/>
      <c r="L39" s="235"/>
      <c r="M39" s="276"/>
      <c r="N39" s="279" t="s">
        <v>25</v>
      </c>
      <c r="O39" t="str">
        <f t="shared" si="1"/>
        <v>1908-  Indian Head Penny</v>
      </c>
      <c r="S39" t="str" cm="1">
        <f t="array" ref="S39">_xlfn.REGEXEXTRACT(E39, "[0-9]{1,5}")</f>
        <v>1908</v>
      </c>
      <c r="T39" t="s">
        <v>2403</v>
      </c>
      <c r="U39" t="s">
        <v>3896</v>
      </c>
    </row>
    <row r="40" spans="1:21">
      <c r="A40" s="136">
        <v>1</v>
      </c>
      <c r="B40" s="233">
        <v>1909</v>
      </c>
      <c r="C40" s="234" t="s">
        <v>11</v>
      </c>
      <c r="D40" s="234" t="s">
        <v>4920</v>
      </c>
      <c r="E40" s="244" t="s">
        <v>2651</v>
      </c>
      <c r="F40" s="244" t="s">
        <v>3753</v>
      </c>
      <c r="G40" s="235" t="s">
        <v>2580</v>
      </c>
      <c r="H40" s="236">
        <v>2.65</v>
      </c>
      <c r="I40" s="236">
        <v>2.65</v>
      </c>
      <c r="J40" s="233">
        <v>1</v>
      </c>
      <c r="K40" s="242"/>
      <c r="L40" s="235"/>
      <c r="M40" s="276"/>
      <c r="N40" s="279" t="s">
        <v>25</v>
      </c>
      <c r="O40" t="str">
        <f t="shared" si="1"/>
        <v>1909-VDB Wheat Penny</v>
      </c>
      <c r="S40" t="str" cm="1">
        <f t="array" ref="S40">_xlfn.REGEXEXTRACT(E40, "[0-9]{1,5}")</f>
        <v>1909</v>
      </c>
      <c r="T40" t="s">
        <v>2404</v>
      </c>
      <c r="U40" t="s">
        <v>3896</v>
      </c>
    </row>
    <row r="41" spans="1:21">
      <c r="A41" s="136">
        <v>1</v>
      </c>
      <c r="B41" s="233">
        <v>1909</v>
      </c>
      <c r="C41" s="234"/>
      <c r="D41" s="234" t="s">
        <v>4920</v>
      </c>
      <c r="E41" s="244" t="s">
        <v>2652</v>
      </c>
      <c r="F41" s="244" t="s">
        <v>3753</v>
      </c>
      <c r="G41" s="235" t="s">
        <v>2580</v>
      </c>
      <c r="H41" s="236">
        <v>1</v>
      </c>
      <c r="I41" s="236">
        <v>12</v>
      </c>
      <c r="J41" s="233">
        <v>1</v>
      </c>
      <c r="K41" s="242"/>
      <c r="L41" s="235"/>
      <c r="M41" s="276"/>
      <c r="N41" s="279" t="s">
        <v>25</v>
      </c>
      <c r="O41" t="str">
        <f t="shared" si="1"/>
        <v>1909 Wheat Penny</v>
      </c>
      <c r="S41" t="str" cm="1">
        <f t="array" ref="S41">_xlfn.REGEXEXTRACT(E41, "[0-9]{1,5}")</f>
        <v>1909</v>
      </c>
      <c r="T41" t="s">
        <v>2404</v>
      </c>
      <c r="U41" t="s">
        <v>3896</v>
      </c>
    </row>
    <row r="42" spans="1:21">
      <c r="A42" s="136">
        <v>1</v>
      </c>
      <c r="B42" s="233">
        <v>1909</v>
      </c>
      <c r="C42" s="234"/>
      <c r="D42" s="234" t="s">
        <v>4920</v>
      </c>
      <c r="E42" s="244" t="s">
        <v>2653</v>
      </c>
      <c r="F42" s="244" t="s">
        <v>3753</v>
      </c>
      <c r="G42" s="235" t="s">
        <v>2580</v>
      </c>
      <c r="H42" s="236">
        <v>1</v>
      </c>
      <c r="I42" s="236">
        <v>12</v>
      </c>
      <c r="J42" s="233">
        <v>1</v>
      </c>
      <c r="K42" s="242"/>
      <c r="L42" s="235"/>
      <c r="M42" s="276"/>
      <c r="N42" s="279" t="s">
        <v>25</v>
      </c>
      <c r="O42" t="str">
        <f t="shared" si="1"/>
        <v>1909 Wheat Penny</v>
      </c>
      <c r="S42" t="str" cm="1">
        <f t="array" ref="S42">_xlfn.REGEXEXTRACT(E42, "[0-9]{1,5}")</f>
        <v>1909</v>
      </c>
      <c r="T42" t="s">
        <v>2404</v>
      </c>
      <c r="U42" t="s">
        <v>3896</v>
      </c>
    </row>
    <row r="43" spans="1:21">
      <c r="A43" s="136">
        <v>1</v>
      </c>
      <c r="B43" s="233">
        <v>1909</v>
      </c>
      <c r="C43" s="234"/>
      <c r="D43" s="234" t="s">
        <v>4920</v>
      </c>
      <c r="E43" s="244" t="s">
        <v>2654</v>
      </c>
      <c r="F43" s="244" t="s">
        <v>3753</v>
      </c>
      <c r="G43" s="235" t="s">
        <v>2580</v>
      </c>
      <c r="H43" s="236">
        <v>1</v>
      </c>
      <c r="I43" s="236">
        <v>12</v>
      </c>
      <c r="J43" s="233">
        <v>1</v>
      </c>
      <c r="K43" s="242"/>
      <c r="L43" s="235"/>
      <c r="M43" s="276"/>
      <c r="N43" s="279" t="s">
        <v>25</v>
      </c>
      <c r="O43" t="str">
        <f t="shared" si="1"/>
        <v>1909 Wheat Penny</v>
      </c>
      <c r="S43" t="str" cm="1">
        <f t="array" ref="S43">_xlfn.REGEXEXTRACT(E43, "[0-9]{1,5}")</f>
        <v>1909</v>
      </c>
      <c r="T43" t="s">
        <v>2404</v>
      </c>
      <c r="U43" t="s">
        <v>3896</v>
      </c>
    </row>
    <row r="44" spans="1:21">
      <c r="A44" s="136">
        <v>1</v>
      </c>
      <c r="B44" s="233">
        <v>1910</v>
      </c>
      <c r="C44" s="234"/>
      <c r="D44" s="234" t="s">
        <v>4920</v>
      </c>
      <c r="E44" s="244" t="s">
        <v>2655</v>
      </c>
      <c r="F44" s="244" t="s">
        <v>3753</v>
      </c>
      <c r="G44" s="235" t="s">
        <v>2580</v>
      </c>
      <c r="H44" s="236">
        <v>0.01</v>
      </c>
      <c r="I44" s="236">
        <v>3</v>
      </c>
      <c r="J44" s="233">
        <v>1</v>
      </c>
      <c r="K44" s="242"/>
      <c r="L44" s="235"/>
      <c r="M44" s="276"/>
      <c r="N44" s="279" t="s">
        <v>25</v>
      </c>
      <c r="O44" t="str">
        <f t="shared" si="1"/>
        <v>1910 Wheat Penny</v>
      </c>
      <c r="S44" t="str" cm="1">
        <f t="array" ref="S44">_xlfn.REGEXEXTRACT(E44, "[0-9]{1,5}")</f>
        <v>1910</v>
      </c>
      <c r="T44" t="s">
        <v>2405</v>
      </c>
      <c r="U44" t="s">
        <v>3896</v>
      </c>
    </row>
    <row r="45" spans="1:21">
      <c r="A45" s="136">
        <v>1</v>
      </c>
      <c r="B45" s="233">
        <v>1910</v>
      </c>
      <c r="C45" s="234" t="s">
        <v>12</v>
      </c>
      <c r="D45" s="234" t="s">
        <v>4920</v>
      </c>
      <c r="E45" s="244" t="s">
        <v>2656</v>
      </c>
      <c r="F45" s="244" t="s">
        <v>3753</v>
      </c>
      <c r="G45" s="235" t="s">
        <v>2580</v>
      </c>
      <c r="H45" s="236">
        <v>22</v>
      </c>
      <c r="I45" s="236">
        <v>25</v>
      </c>
      <c r="J45" s="233">
        <v>1</v>
      </c>
      <c r="K45" s="242"/>
      <c r="L45" s="235"/>
      <c r="M45" s="276"/>
      <c r="N45" s="279" t="s">
        <v>25</v>
      </c>
      <c r="O45" t="str">
        <f t="shared" si="1"/>
        <v>1910-S Wheat Penny</v>
      </c>
      <c r="S45" t="str" cm="1">
        <f t="array" ref="S45">_xlfn.REGEXEXTRACT(E45, "[0-9]{1,5}")</f>
        <v>1910</v>
      </c>
      <c r="T45" t="s">
        <v>2405</v>
      </c>
      <c r="U45" t="s">
        <v>3896</v>
      </c>
    </row>
    <row r="46" spans="1:21">
      <c r="A46" s="136">
        <v>1</v>
      </c>
      <c r="B46" s="233">
        <v>1911</v>
      </c>
      <c r="C46" s="234"/>
      <c r="D46" s="234" t="s">
        <v>4920</v>
      </c>
      <c r="E46" s="244" t="s">
        <v>2657</v>
      </c>
      <c r="F46" s="244" t="s">
        <v>3753</v>
      </c>
      <c r="G46" s="235" t="s">
        <v>2580</v>
      </c>
      <c r="H46" s="236">
        <v>0.2</v>
      </c>
      <c r="I46" s="236">
        <v>0.45</v>
      </c>
      <c r="J46" s="233">
        <v>1</v>
      </c>
      <c r="K46" s="242"/>
      <c r="L46" s="235"/>
      <c r="M46" s="276"/>
      <c r="N46" s="279" t="s">
        <v>25</v>
      </c>
      <c r="O46" t="str">
        <f t="shared" si="1"/>
        <v>1911 Wheat Penny</v>
      </c>
      <c r="S46" t="str" cm="1">
        <f t="array" ref="S46">_xlfn.REGEXEXTRACT(E46, "[0-9]{1,5}")</f>
        <v>1911</v>
      </c>
      <c r="T46" t="s">
        <v>2406</v>
      </c>
      <c r="U46" t="s">
        <v>3896</v>
      </c>
    </row>
    <row r="47" spans="1:21">
      <c r="A47" s="136">
        <v>1</v>
      </c>
      <c r="B47" s="233">
        <v>1911</v>
      </c>
      <c r="C47" s="234" t="s">
        <v>13</v>
      </c>
      <c r="D47" s="234" t="s">
        <v>4920</v>
      </c>
      <c r="E47" s="244" t="s">
        <v>2658</v>
      </c>
      <c r="F47" s="244" t="s">
        <v>3753</v>
      </c>
      <c r="G47" s="235" t="s">
        <v>2580</v>
      </c>
      <c r="H47" s="236">
        <v>3.5</v>
      </c>
      <c r="I47" s="236">
        <v>6</v>
      </c>
      <c r="J47" s="233">
        <v>1</v>
      </c>
      <c r="K47" s="242"/>
      <c r="L47" s="235"/>
      <c r="M47" s="276"/>
      <c r="N47" s="279" t="s">
        <v>25</v>
      </c>
      <c r="O47" t="str">
        <f t="shared" si="1"/>
        <v>1911-D Wheat Penny</v>
      </c>
      <c r="S47" t="str" cm="1">
        <f t="array" ref="S47">_xlfn.REGEXEXTRACT(E47, "[0-9]{1,5}")</f>
        <v>1911</v>
      </c>
      <c r="T47" t="s">
        <v>2406</v>
      </c>
      <c r="U47" t="s">
        <v>3896</v>
      </c>
    </row>
    <row r="48" spans="1:21">
      <c r="A48" s="136">
        <v>1</v>
      </c>
      <c r="B48" s="233">
        <v>1911</v>
      </c>
      <c r="C48" s="234" t="s">
        <v>13</v>
      </c>
      <c r="D48" s="234" t="s">
        <v>4920</v>
      </c>
      <c r="E48" s="244" t="s">
        <v>2659</v>
      </c>
      <c r="F48" s="244" t="s">
        <v>3753</v>
      </c>
      <c r="G48" s="235" t="s">
        <v>2580</v>
      </c>
      <c r="H48" s="236">
        <v>3.5</v>
      </c>
      <c r="I48" s="236">
        <v>3.5</v>
      </c>
      <c r="J48" s="233">
        <v>1</v>
      </c>
      <c r="K48" s="242"/>
      <c r="L48" s="235"/>
      <c r="M48" s="276"/>
      <c r="N48" s="279" t="s">
        <v>25</v>
      </c>
      <c r="O48" t="str">
        <f t="shared" si="1"/>
        <v>1911-D Wheat Penny</v>
      </c>
      <c r="S48" t="str" cm="1">
        <f t="array" ref="S48">_xlfn.REGEXEXTRACT(E48, "[0-9]{1,5}")</f>
        <v>1911</v>
      </c>
      <c r="T48" t="s">
        <v>2406</v>
      </c>
      <c r="U48" t="s">
        <v>3896</v>
      </c>
    </row>
    <row r="49" spans="1:21">
      <c r="A49" s="136">
        <v>1</v>
      </c>
      <c r="B49" s="233">
        <v>1911</v>
      </c>
      <c r="C49" s="234" t="s">
        <v>12</v>
      </c>
      <c r="D49" s="234" t="s">
        <v>4920</v>
      </c>
      <c r="E49" s="244" t="s">
        <v>2660</v>
      </c>
      <c r="F49" s="244" t="s">
        <v>3753</v>
      </c>
      <c r="G49" s="235" t="s">
        <v>2580</v>
      </c>
      <c r="H49" s="236">
        <v>32</v>
      </c>
      <c r="I49" s="236">
        <v>50</v>
      </c>
      <c r="J49" s="233">
        <v>1</v>
      </c>
      <c r="K49" s="242"/>
      <c r="L49" s="235"/>
      <c r="M49" s="276"/>
      <c r="N49" s="279" t="s">
        <v>25</v>
      </c>
      <c r="O49" t="str">
        <f t="shared" si="1"/>
        <v>1911-S Wheat Penny</v>
      </c>
      <c r="S49" t="str" cm="1">
        <f t="array" ref="S49">_xlfn.REGEXEXTRACT(E49, "[0-9]{1,5}")</f>
        <v>1911</v>
      </c>
      <c r="T49" t="s">
        <v>2406</v>
      </c>
      <c r="U49" t="s">
        <v>3896</v>
      </c>
    </row>
    <row r="50" spans="1:21">
      <c r="A50" s="136">
        <v>1</v>
      </c>
      <c r="B50" s="233">
        <v>1912</v>
      </c>
      <c r="C50" s="234"/>
      <c r="D50" s="234" t="s">
        <v>4920</v>
      </c>
      <c r="E50" s="244" t="s">
        <v>2661</v>
      </c>
      <c r="F50" s="244" t="s">
        <v>3753</v>
      </c>
      <c r="G50" s="235" t="s">
        <v>2580</v>
      </c>
      <c r="H50" s="236">
        <v>0.25</v>
      </c>
      <c r="I50" s="236">
        <v>0.25</v>
      </c>
      <c r="J50" s="233">
        <v>1</v>
      </c>
      <c r="K50" s="242"/>
      <c r="L50" s="235"/>
      <c r="M50" s="276"/>
      <c r="N50" s="279" t="s">
        <v>25</v>
      </c>
      <c r="O50" t="str">
        <f t="shared" si="1"/>
        <v>1912 Wheat Penny</v>
      </c>
      <c r="S50" t="str" cm="1">
        <f t="array" ref="S50">_xlfn.REGEXEXTRACT(E50, "[0-9]{1,5}")</f>
        <v>1912</v>
      </c>
      <c r="T50" t="s">
        <v>2407</v>
      </c>
      <c r="U50" t="s">
        <v>3896</v>
      </c>
    </row>
    <row r="51" spans="1:21">
      <c r="A51" s="136">
        <v>1</v>
      </c>
      <c r="B51" s="233">
        <v>1912</v>
      </c>
      <c r="C51" s="234" t="s">
        <v>13</v>
      </c>
      <c r="D51" s="234" t="s">
        <v>4920</v>
      </c>
      <c r="E51" s="244" t="s">
        <v>2662</v>
      </c>
      <c r="F51" s="244" t="s">
        <v>3753</v>
      </c>
      <c r="G51" s="235" t="s">
        <v>2580</v>
      </c>
      <c r="H51" s="236">
        <v>8</v>
      </c>
      <c r="I51" s="236">
        <v>17</v>
      </c>
      <c r="J51" s="233">
        <v>1</v>
      </c>
      <c r="K51" s="242"/>
      <c r="L51" s="235"/>
      <c r="M51" s="276"/>
      <c r="N51" s="279" t="s">
        <v>25</v>
      </c>
      <c r="O51" t="str">
        <f t="shared" si="1"/>
        <v>1912-D Wheat Penny</v>
      </c>
      <c r="S51" t="str" cm="1">
        <f t="array" ref="S51">_xlfn.REGEXEXTRACT(E51, "[0-9]{1,5}")</f>
        <v>1912</v>
      </c>
      <c r="T51" t="s">
        <v>2407</v>
      </c>
      <c r="U51" t="s">
        <v>3896</v>
      </c>
    </row>
    <row r="52" spans="1:21">
      <c r="A52" s="136">
        <v>1</v>
      </c>
      <c r="B52" s="233">
        <v>1913</v>
      </c>
      <c r="C52" s="234"/>
      <c r="D52" s="234" t="s">
        <v>4920</v>
      </c>
      <c r="E52" s="244" t="s">
        <v>2663</v>
      </c>
      <c r="F52" s="244" t="s">
        <v>3753</v>
      </c>
      <c r="G52" s="235" t="s">
        <v>2580</v>
      </c>
      <c r="H52" s="236">
        <v>1</v>
      </c>
      <c r="I52" s="236">
        <v>1</v>
      </c>
      <c r="J52" s="233">
        <v>1</v>
      </c>
      <c r="K52" s="242"/>
      <c r="L52" s="235"/>
      <c r="M52" s="276"/>
      <c r="N52" s="279" t="s">
        <v>25</v>
      </c>
      <c r="O52" t="str">
        <f t="shared" si="1"/>
        <v>1913 Wheat Penny</v>
      </c>
      <c r="S52" t="str" cm="1">
        <f t="array" ref="S52">_xlfn.REGEXEXTRACT(E52, "[0-9]{1,5}")</f>
        <v>1913</v>
      </c>
      <c r="T52" t="s">
        <v>2409</v>
      </c>
      <c r="U52" t="s">
        <v>3896</v>
      </c>
    </row>
    <row r="53" spans="1:21">
      <c r="A53" s="136">
        <v>1</v>
      </c>
      <c r="B53" s="233">
        <v>1913</v>
      </c>
      <c r="C53" s="234" t="s">
        <v>13</v>
      </c>
      <c r="D53" s="234" t="s">
        <v>4920</v>
      </c>
      <c r="E53" s="244" t="s">
        <v>2664</v>
      </c>
      <c r="F53" s="244" t="s">
        <v>3753</v>
      </c>
      <c r="G53" s="235" t="s">
        <v>2580</v>
      </c>
      <c r="H53" s="236">
        <v>1</v>
      </c>
      <c r="I53" s="236">
        <v>4.12</v>
      </c>
      <c r="J53" s="233">
        <v>1</v>
      </c>
      <c r="K53" s="242"/>
      <c r="L53" s="235"/>
      <c r="M53" s="276"/>
      <c r="N53" s="279" t="s">
        <v>25</v>
      </c>
      <c r="O53" t="str">
        <f t="shared" si="1"/>
        <v>1913-D Wheat Penny</v>
      </c>
      <c r="S53" t="str" cm="1">
        <f t="array" ref="S53">_xlfn.REGEXEXTRACT(E53, "[0-9]{1,5}")</f>
        <v>1913</v>
      </c>
      <c r="T53" t="s">
        <v>2409</v>
      </c>
      <c r="U53" t="s">
        <v>3896</v>
      </c>
    </row>
    <row r="54" spans="1:21">
      <c r="A54" s="136">
        <v>1</v>
      </c>
      <c r="B54" s="233">
        <v>1913</v>
      </c>
      <c r="C54" s="234" t="s">
        <v>12</v>
      </c>
      <c r="D54" s="234" t="s">
        <v>4920</v>
      </c>
      <c r="E54" s="244" t="s">
        <v>2665</v>
      </c>
      <c r="F54" s="244" t="s">
        <v>3753</v>
      </c>
      <c r="G54" s="235" t="s">
        <v>2580</v>
      </c>
      <c r="H54" s="236">
        <v>17</v>
      </c>
      <c r="I54" s="236">
        <v>21</v>
      </c>
      <c r="J54" s="233">
        <v>1</v>
      </c>
      <c r="K54" s="242"/>
      <c r="L54" s="235"/>
      <c r="M54" s="276"/>
      <c r="N54" s="279" t="s">
        <v>25</v>
      </c>
      <c r="O54" t="str">
        <f t="shared" si="1"/>
        <v>1913-S Wheat Penny</v>
      </c>
      <c r="S54" t="str" cm="1">
        <f t="array" ref="S54">_xlfn.REGEXEXTRACT(E54, "[0-9]{1,5}")</f>
        <v>1913</v>
      </c>
      <c r="T54" t="s">
        <v>2409</v>
      </c>
      <c r="U54" t="s">
        <v>3896</v>
      </c>
    </row>
    <row r="55" spans="1:21">
      <c r="A55" s="136">
        <v>1</v>
      </c>
      <c r="B55" s="233">
        <v>1913</v>
      </c>
      <c r="C55" s="234"/>
      <c r="D55" s="234" t="s">
        <v>4920</v>
      </c>
      <c r="E55" s="235" t="s">
        <v>2666</v>
      </c>
      <c r="F55" s="235" t="s">
        <v>3753</v>
      </c>
      <c r="G55" s="235" t="s">
        <v>2580</v>
      </c>
      <c r="H55" s="236">
        <v>0.01</v>
      </c>
      <c r="I55" s="236">
        <v>0.01</v>
      </c>
      <c r="J55" s="233">
        <v>1</v>
      </c>
      <c r="K55" s="237"/>
      <c r="L55" s="235"/>
      <c r="M55" s="276"/>
      <c r="N55" s="279" t="s">
        <v>25</v>
      </c>
      <c r="O55" t="str">
        <f t="shared" si="1"/>
        <v>1913 Wheat Penny</v>
      </c>
      <c r="S55" t="str" cm="1">
        <f t="array" ref="S55">_xlfn.REGEXEXTRACT(E55, "[0-9]{1,5}")</f>
        <v>1913</v>
      </c>
      <c r="T55" t="s">
        <v>2409</v>
      </c>
      <c r="U55" t="s">
        <v>3896</v>
      </c>
    </row>
    <row r="56" spans="1:21">
      <c r="A56" s="136">
        <v>1</v>
      </c>
      <c r="B56" s="233">
        <v>1914</v>
      </c>
      <c r="C56" s="234"/>
      <c r="D56" s="234" t="s">
        <v>4920</v>
      </c>
      <c r="E56" s="244" t="s">
        <v>2667</v>
      </c>
      <c r="F56" s="244" t="s">
        <v>3753</v>
      </c>
      <c r="G56" s="235" t="s">
        <v>2580</v>
      </c>
      <c r="H56" s="236">
        <v>0.4</v>
      </c>
      <c r="I56" s="236">
        <v>0.4</v>
      </c>
      <c r="J56" s="233">
        <v>1</v>
      </c>
      <c r="K56" s="242"/>
      <c r="L56" s="235"/>
      <c r="M56" s="276"/>
      <c r="N56" s="279" t="s">
        <v>25</v>
      </c>
      <c r="O56" t="str">
        <f t="shared" si="1"/>
        <v>1914 Wheat Penny</v>
      </c>
      <c r="S56" t="str" cm="1">
        <f t="array" ref="S56">_xlfn.REGEXEXTRACT(E56, "[0-9]{1,5}")</f>
        <v>1914</v>
      </c>
      <c r="T56" t="s">
        <v>2412</v>
      </c>
      <c r="U56" t="s">
        <v>3896</v>
      </c>
    </row>
    <row r="57" spans="1:21">
      <c r="A57" s="136">
        <v>1</v>
      </c>
      <c r="B57" s="233">
        <v>1914</v>
      </c>
      <c r="C57" s="234"/>
      <c r="D57" s="234" t="s">
        <v>4920</v>
      </c>
      <c r="E57" s="244" t="s">
        <v>2668</v>
      </c>
      <c r="F57" s="244" t="s">
        <v>3753</v>
      </c>
      <c r="G57" s="235" t="s">
        <v>2580</v>
      </c>
      <c r="H57" s="236">
        <v>0.01</v>
      </c>
      <c r="I57" s="236">
        <v>2.5</v>
      </c>
      <c r="J57" s="233">
        <v>1</v>
      </c>
      <c r="K57" s="242"/>
      <c r="L57" s="235"/>
      <c r="M57" s="276"/>
      <c r="N57" s="279" t="s">
        <v>25</v>
      </c>
      <c r="O57" t="str">
        <f t="shared" si="1"/>
        <v>1914 Wheat Penny</v>
      </c>
      <c r="S57" t="str" cm="1">
        <f t="array" ref="S57">_xlfn.REGEXEXTRACT(E57, "[0-9]{1,5}")</f>
        <v>1914</v>
      </c>
      <c r="T57" t="s">
        <v>2412</v>
      </c>
      <c r="U57" t="s">
        <v>3896</v>
      </c>
    </row>
    <row r="58" spans="1:21">
      <c r="A58" s="136">
        <v>1</v>
      </c>
      <c r="B58" s="233">
        <v>1914</v>
      </c>
      <c r="C58" s="234" t="s">
        <v>12</v>
      </c>
      <c r="D58" s="234" t="s">
        <v>4920</v>
      </c>
      <c r="E58" s="244" t="s">
        <v>2669</v>
      </c>
      <c r="F58" s="244" t="s">
        <v>3753</v>
      </c>
      <c r="G58" s="235" t="s">
        <v>2580</v>
      </c>
      <c r="H58" s="236">
        <v>23</v>
      </c>
      <c r="I58" s="236">
        <v>46</v>
      </c>
      <c r="J58" s="233">
        <v>1</v>
      </c>
      <c r="K58" s="242"/>
      <c r="L58" s="235"/>
      <c r="M58" s="276"/>
      <c r="N58" s="279" t="s">
        <v>25</v>
      </c>
      <c r="O58" t="str">
        <f t="shared" si="1"/>
        <v>1914-S Wheat Penny</v>
      </c>
      <c r="S58" t="str" cm="1">
        <f t="array" ref="S58">_xlfn.REGEXEXTRACT(E58, "[0-9]{1,5}")</f>
        <v>1914</v>
      </c>
      <c r="T58" t="s">
        <v>2412</v>
      </c>
      <c r="U58" t="s">
        <v>3896</v>
      </c>
    </row>
    <row r="59" spans="1:21">
      <c r="A59" s="136">
        <v>1</v>
      </c>
      <c r="B59" s="233">
        <v>1915</v>
      </c>
      <c r="C59" s="234" t="s">
        <v>13</v>
      </c>
      <c r="D59" s="234" t="s">
        <v>4920</v>
      </c>
      <c r="E59" s="244" t="s">
        <v>2670</v>
      </c>
      <c r="F59" s="244" t="s">
        <v>3753</v>
      </c>
      <c r="G59" s="235" t="s">
        <v>2580</v>
      </c>
      <c r="H59" s="236">
        <v>1</v>
      </c>
      <c r="I59" s="236">
        <v>3</v>
      </c>
      <c r="J59" s="233">
        <v>1</v>
      </c>
      <c r="K59" s="242"/>
      <c r="L59" s="235"/>
      <c r="M59" s="276"/>
      <c r="N59" s="279" t="s">
        <v>25</v>
      </c>
      <c r="O59" t="str">
        <f t="shared" si="1"/>
        <v>1915-D Wheat Penny</v>
      </c>
      <c r="S59" t="str" cm="1">
        <f t="array" ref="S59">_xlfn.REGEXEXTRACT(E59, "[0-9]{1,5}")</f>
        <v>1915</v>
      </c>
      <c r="T59" t="s">
        <v>2415</v>
      </c>
      <c r="U59" t="s">
        <v>3896</v>
      </c>
    </row>
    <row r="60" spans="1:21">
      <c r="A60" s="136">
        <v>1</v>
      </c>
      <c r="B60" s="233">
        <v>1915</v>
      </c>
      <c r="C60" s="234" t="s">
        <v>12</v>
      </c>
      <c r="D60" s="234" t="s">
        <v>4920</v>
      </c>
      <c r="E60" s="244" t="s">
        <v>2671</v>
      </c>
      <c r="F60" s="244" t="s">
        <v>3753</v>
      </c>
      <c r="G60" s="235" t="s">
        <v>2580</v>
      </c>
      <c r="H60" s="236">
        <v>14</v>
      </c>
      <c r="I60" s="236">
        <v>35</v>
      </c>
      <c r="J60" s="233">
        <v>1</v>
      </c>
      <c r="K60" s="242"/>
      <c r="L60" s="235"/>
      <c r="M60" s="276"/>
      <c r="N60" s="279" t="s">
        <v>25</v>
      </c>
      <c r="O60" t="str">
        <f t="shared" si="1"/>
        <v>1915-S Wheat Penny</v>
      </c>
      <c r="S60" t="str" cm="1">
        <f t="array" ref="S60">_xlfn.REGEXEXTRACT(E60, "[0-9]{1,5}")</f>
        <v>1915</v>
      </c>
      <c r="T60" t="s">
        <v>2415</v>
      </c>
      <c r="U60" t="s">
        <v>3896</v>
      </c>
    </row>
    <row r="61" spans="1:21">
      <c r="A61" s="136">
        <v>1</v>
      </c>
      <c r="B61" s="233">
        <v>1915</v>
      </c>
      <c r="C61" s="234"/>
      <c r="D61" s="234" t="s">
        <v>4920</v>
      </c>
      <c r="E61" s="244" t="s">
        <v>2672</v>
      </c>
      <c r="F61" s="244" t="s">
        <v>3753</v>
      </c>
      <c r="G61" s="235" t="s">
        <v>2580</v>
      </c>
      <c r="H61" s="236">
        <v>1.5</v>
      </c>
      <c r="I61" s="236">
        <v>5</v>
      </c>
      <c r="J61" s="233">
        <v>1</v>
      </c>
      <c r="K61" s="242"/>
      <c r="L61" s="235"/>
      <c r="M61" s="276"/>
      <c r="N61" s="279" t="s">
        <v>25</v>
      </c>
      <c r="O61" t="str">
        <f t="shared" si="1"/>
        <v>1915 Wheat Penny</v>
      </c>
      <c r="S61" t="str" cm="1">
        <f t="array" ref="S61">_xlfn.REGEXEXTRACT(E61, "[0-9]{1,5}")</f>
        <v>1915</v>
      </c>
      <c r="T61" t="s">
        <v>2415</v>
      </c>
      <c r="U61" t="s">
        <v>3896</v>
      </c>
    </row>
    <row r="62" spans="1:21">
      <c r="A62" s="136">
        <v>1</v>
      </c>
      <c r="B62" s="233">
        <v>1915</v>
      </c>
      <c r="C62" s="234"/>
      <c r="D62" s="234" t="s">
        <v>4920</v>
      </c>
      <c r="E62" s="235" t="s">
        <v>2673</v>
      </c>
      <c r="F62" s="235" t="s">
        <v>3753</v>
      </c>
      <c r="G62" s="235" t="s">
        <v>2580</v>
      </c>
      <c r="H62" s="236">
        <v>0.01</v>
      </c>
      <c r="I62" s="236">
        <v>0.01</v>
      </c>
      <c r="J62" s="233">
        <v>1</v>
      </c>
      <c r="K62" s="237"/>
      <c r="L62" s="235"/>
      <c r="M62" s="276"/>
      <c r="N62" s="279" t="s">
        <v>25</v>
      </c>
      <c r="O62" t="str">
        <f t="shared" si="1"/>
        <v>1915 Wheat Penny</v>
      </c>
      <c r="S62" t="str" cm="1">
        <f t="array" ref="S62">_xlfn.REGEXEXTRACT(E62, "[0-9]{1,5}")</f>
        <v>1915</v>
      </c>
      <c r="T62" t="s">
        <v>2415</v>
      </c>
      <c r="U62" t="s">
        <v>3896</v>
      </c>
    </row>
    <row r="63" spans="1:21">
      <c r="A63" s="136">
        <v>1</v>
      </c>
      <c r="B63" s="233">
        <v>1916</v>
      </c>
      <c r="C63" s="234"/>
      <c r="D63" s="234" t="s">
        <v>4920</v>
      </c>
      <c r="E63" s="244" t="s">
        <v>2674</v>
      </c>
      <c r="F63" s="244" t="s">
        <v>3753</v>
      </c>
      <c r="G63" s="235" t="s">
        <v>2580</v>
      </c>
      <c r="H63" s="236">
        <v>0.2</v>
      </c>
      <c r="I63" s="236">
        <v>0.3</v>
      </c>
      <c r="J63" s="233">
        <v>1</v>
      </c>
      <c r="K63" s="242"/>
      <c r="L63" s="235"/>
      <c r="M63" s="276"/>
      <c r="N63" s="279" t="s">
        <v>25</v>
      </c>
      <c r="O63" t="str">
        <f t="shared" si="1"/>
        <v>1916 Wheat Penny</v>
      </c>
      <c r="S63" t="str" cm="1">
        <f t="array" ref="S63">_xlfn.REGEXEXTRACT(E63, "[0-9]{1,5}")</f>
        <v>1916</v>
      </c>
      <c r="T63" t="s">
        <v>2418</v>
      </c>
      <c r="U63" t="s">
        <v>3896</v>
      </c>
    </row>
    <row r="64" spans="1:21">
      <c r="A64" s="136">
        <v>1</v>
      </c>
      <c r="B64" s="233">
        <v>1916</v>
      </c>
      <c r="C64" s="234"/>
      <c r="D64" s="234" t="s">
        <v>4920</v>
      </c>
      <c r="E64" s="244" t="s">
        <v>2675</v>
      </c>
      <c r="F64" s="244" t="s">
        <v>3753</v>
      </c>
      <c r="G64" s="235" t="s">
        <v>2580</v>
      </c>
      <c r="H64" s="236">
        <v>0.2</v>
      </c>
      <c r="I64" s="236">
        <v>0.3</v>
      </c>
      <c r="J64" s="233">
        <v>1</v>
      </c>
      <c r="K64" s="242"/>
      <c r="L64" s="235"/>
      <c r="M64" s="276"/>
      <c r="N64" s="279" t="s">
        <v>25</v>
      </c>
      <c r="O64" t="str">
        <f t="shared" si="1"/>
        <v>1916 Wheat Penny</v>
      </c>
      <c r="S64" t="str" cm="1">
        <f t="array" ref="S64">_xlfn.REGEXEXTRACT(E64, "[0-9]{1,5}")</f>
        <v>1916</v>
      </c>
      <c r="T64" t="s">
        <v>2418</v>
      </c>
      <c r="U64" t="s">
        <v>3896</v>
      </c>
    </row>
    <row r="65" spans="1:21">
      <c r="A65" s="136">
        <v>1</v>
      </c>
      <c r="B65" s="233">
        <v>1916</v>
      </c>
      <c r="C65" s="234" t="s">
        <v>12</v>
      </c>
      <c r="D65" s="234" t="s">
        <v>4920</v>
      </c>
      <c r="E65" s="244" t="s">
        <v>2676</v>
      </c>
      <c r="F65" s="244" t="s">
        <v>3753</v>
      </c>
      <c r="G65" s="235" t="s">
        <v>2580</v>
      </c>
      <c r="H65" s="236">
        <v>1.75</v>
      </c>
      <c r="I65" s="236">
        <v>1.75</v>
      </c>
      <c r="J65" s="233">
        <v>1</v>
      </c>
      <c r="K65" s="242"/>
      <c r="L65" s="235"/>
      <c r="M65" s="276"/>
      <c r="N65" s="279" t="s">
        <v>25</v>
      </c>
      <c r="O65" t="str">
        <f t="shared" si="1"/>
        <v>1916-S Wheat Penny</v>
      </c>
      <c r="S65" t="str" cm="1">
        <f t="array" ref="S65">_xlfn.REGEXEXTRACT(E65, "[0-9]{1,5}")</f>
        <v>1916</v>
      </c>
      <c r="T65" t="s">
        <v>2418</v>
      </c>
      <c r="U65" t="s">
        <v>3896</v>
      </c>
    </row>
    <row r="66" spans="1:21">
      <c r="A66" s="136">
        <v>1</v>
      </c>
      <c r="B66" s="233">
        <v>1916</v>
      </c>
      <c r="C66" s="234" t="s">
        <v>12</v>
      </c>
      <c r="D66" s="234" t="s">
        <v>4920</v>
      </c>
      <c r="E66" s="244" t="s">
        <v>2677</v>
      </c>
      <c r="F66" s="244" t="s">
        <v>3753</v>
      </c>
      <c r="G66" s="235" t="s">
        <v>2580</v>
      </c>
      <c r="H66" s="236">
        <v>1.75</v>
      </c>
      <c r="I66" s="236">
        <v>1.75</v>
      </c>
      <c r="J66" s="233">
        <v>1</v>
      </c>
      <c r="K66" s="242"/>
      <c r="L66" s="235"/>
      <c r="M66" s="276"/>
      <c r="N66" s="279" t="s">
        <v>25</v>
      </c>
      <c r="O66" t="str">
        <f t="shared" si="1"/>
        <v>1916-S Wheat Penny</v>
      </c>
      <c r="S66" t="str" cm="1">
        <f t="array" ref="S66">_xlfn.REGEXEXTRACT(E66, "[0-9]{1,5}")</f>
        <v>1916</v>
      </c>
      <c r="T66" t="s">
        <v>2418</v>
      </c>
      <c r="U66" t="s">
        <v>3896</v>
      </c>
    </row>
    <row r="67" spans="1:21">
      <c r="A67" s="136">
        <v>1</v>
      </c>
      <c r="B67" s="233">
        <v>1916</v>
      </c>
      <c r="C67" s="234" t="s">
        <v>13</v>
      </c>
      <c r="D67" s="234" t="s">
        <v>4920</v>
      </c>
      <c r="E67" s="244" t="s">
        <v>2678</v>
      </c>
      <c r="F67" s="244" t="s">
        <v>3753</v>
      </c>
      <c r="G67" s="235" t="s">
        <v>2580</v>
      </c>
      <c r="H67" s="236">
        <v>0.75</v>
      </c>
      <c r="I67" s="236">
        <v>3</v>
      </c>
      <c r="J67" s="233">
        <v>1</v>
      </c>
      <c r="K67" s="242"/>
      <c r="L67" s="235"/>
      <c r="M67" s="276"/>
      <c r="N67" s="279" t="s">
        <v>25</v>
      </c>
      <c r="O67" t="str">
        <f t="shared" si="1"/>
        <v>1916-D Wheat Penny</v>
      </c>
      <c r="S67" t="str" cm="1">
        <f t="array" ref="S67">_xlfn.REGEXEXTRACT(E67, "[0-9]{1,5}")</f>
        <v>1916</v>
      </c>
      <c r="T67" t="s">
        <v>2418</v>
      </c>
      <c r="U67" t="s">
        <v>3896</v>
      </c>
    </row>
    <row r="68" spans="1:21">
      <c r="A68" s="136">
        <v>1</v>
      </c>
      <c r="B68" s="233">
        <v>1917</v>
      </c>
      <c r="C68" s="234"/>
      <c r="D68" s="234" t="s">
        <v>4920</v>
      </c>
      <c r="E68" s="244" t="s">
        <v>2679</v>
      </c>
      <c r="F68" s="244" t="s">
        <v>3753</v>
      </c>
      <c r="G68" s="235" t="s">
        <v>2580</v>
      </c>
      <c r="H68" s="236">
        <v>0.2</v>
      </c>
      <c r="I68" s="236">
        <v>0.2</v>
      </c>
      <c r="J68" s="233">
        <v>1</v>
      </c>
      <c r="K68" s="242"/>
      <c r="L68" s="235"/>
      <c r="M68" s="276"/>
      <c r="N68" s="279" t="s">
        <v>25</v>
      </c>
      <c r="O68" t="str">
        <f t="shared" ref="O68:O131" si="2">IF(C68&lt;&gt;"",B68&amp;"-"&amp;C68&amp;" "&amp;F68,B68&amp;" "&amp;F68)</f>
        <v>1917 Wheat Penny</v>
      </c>
      <c r="S68" t="str" cm="1">
        <f t="array" ref="S68">_xlfn.REGEXEXTRACT(E68, "[0-9]{1,5}")</f>
        <v>1917</v>
      </c>
      <c r="T68" t="s">
        <v>2421</v>
      </c>
      <c r="U68" t="s">
        <v>3896</v>
      </c>
    </row>
    <row r="69" spans="1:21">
      <c r="A69" s="136">
        <v>1</v>
      </c>
      <c r="B69" s="233">
        <v>1917</v>
      </c>
      <c r="C69" s="234"/>
      <c r="D69" s="234" t="s">
        <v>4920</v>
      </c>
      <c r="E69" s="244" t="s">
        <v>2680</v>
      </c>
      <c r="F69" s="244" t="s">
        <v>3753</v>
      </c>
      <c r="G69" s="235" t="s">
        <v>2580</v>
      </c>
      <c r="H69" s="236">
        <v>0.2</v>
      </c>
      <c r="I69" s="236">
        <v>0.2</v>
      </c>
      <c r="J69" s="233">
        <v>1</v>
      </c>
      <c r="K69" s="242"/>
      <c r="L69" s="235"/>
      <c r="M69" s="276"/>
      <c r="N69" s="279" t="s">
        <v>25</v>
      </c>
      <c r="O69" t="str">
        <f t="shared" si="2"/>
        <v>1917 Wheat Penny</v>
      </c>
      <c r="S69" t="str" cm="1">
        <f t="array" ref="S69">_xlfn.REGEXEXTRACT(E69, "[0-9]{1,5}")</f>
        <v>1917</v>
      </c>
      <c r="T69" t="s">
        <v>2421</v>
      </c>
      <c r="U69" t="s">
        <v>3896</v>
      </c>
    </row>
    <row r="70" spans="1:21">
      <c r="A70" s="136">
        <v>1</v>
      </c>
      <c r="B70" s="233">
        <v>1917</v>
      </c>
      <c r="C70" s="234"/>
      <c r="D70" s="234" t="s">
        <v>4920</v>
      </c>
      <c r="E70" s="244" t="s">
        <v>2681</v>
      </c>
      <c r="F70" s="244" t="s">
        <v>3753</v>
      </c>
      <c r="G70" s="235" t="s">
        <v>2580</v>
      </c>
      <c r="H70" s="236">
        <v>0.25</v>
      </c>
      <c r="I70" s="236">
        <v>0.25</v>
      </c>
      <c r="J70" s="233">
        <v>1</v>
      </c>
      <c r="K70" s="242"/>
      <c r="L70" s="235"/>
      <c r="M70" s="276"/>
      <c r="N70" s="279" t="s">
        <v>25</v>
      </c>
      <c r="O70" t="str">
        <f t="shared" si="2"/>
        <v>1917 Wheat Penny</v>
      </c>
      <c r="S70" t="str" cm="1">
        <f t="array" ref="S70">_xlfn.REGEXEXTRACT(E70, "[0-9]{1,5}")</f>
        <v>1917</v>
      </c>
      <c r="T70" t="s">
        <v>2421</v>
      </c>
      <c r="U70" t="s">
        <v>3896</v>
      </c>
    </row>
    <row r="71" spans="1:21">
      <c r="A71" s="136">
        <v>1</v>
      </c>
      <c r="B71" s="233">
        <v>1917</v>
      </c>
      <c r="C71" s="234"/>
      <c r="D71" s="234" t="s">
        <v>4920</v>
      </c>
      <c r="E71" s="244" t="s">
        <v>2682</v>
      </c>
      <c r="F71" s="244" t="s">
        <v>3753</v>
      </c>
      <c r="G71" s="235" t="s">
        <v>2580</v>
      </c>
      <c r="H71" s="236">
        <v>0.2</v>
      </c>
      <c r="I71" s="236">
        <v>0.2</v>
      </c>
      <c r="J71" s="233">
        <v>1</v>
      </c>
      <c r="K71" s="242"/>
      <c r="L71" s="235"/>
      <c r="M71" s="276"/>
      <c r="N71" s="279" t="s">
        <v>25</v>
      </c>
      <c r="O71" t="str">
        <f t="shared" si="2"/>
        <v>1917 Wheat Penny</v>
      </c>
      <c r="S71" t="str" cm="1">
        <f t="array" ref="S71">_xlfn.REGEXEXTRACT(E71, "[0-9]{1,5}")</f>
        <v>1917</v>
      </c>
      <c r="T71" t="s">
        <v>2421</v>
      </c>
      <c r="U71" t="s">
        <v>3896</v>
      </c>
    </row>
    <row r="72" spans="1:21">
      <c r="A72" s="136">
        <v>1</v>
      </c>
      <c r="B72" s="233">
        <v>1917</v>
      </c>
      <c r="C72" s="234" t="s">
        <v>12</v>
      </c>
      <c r="D72" s="234" t="s">
        <v>4920</v>
      </c>
      <c r="E72" s="244" t="s">
        <v>2683</v>
      </c>
      <c r="F72" s="244" t="s">
        <v>3753</v>
      </c>
      <c r="G72" s="235" t="s">
        <v>2580</v>
      </c>
      <c r="H72" s="236">
        <v>0.25</v>
      </c>
      <c r="I72" s="236">
        <v>0.25</v>
      </c>
      <c r="J72" s="233">
        <v>1</v>
      </c>
      <c r="K72" s="242"/>
      <c r="L72" s="235"/>
      <c r="M72" s="276"/>
      <c r="N72" s="279" t="s">
        <v>25</v>
      </c>
      <c r="O72" t="str">
        <f t="shared" si="2"/>
        <v>1917-S Wheat Penny</v>
      </c>
      <c r="S72" t="str" cm="1">
        <f t="array" ref="S72">_xlfn.REGEXEXTRACT(E72, "[0-9]{1,5}")</f>
        <v>1917</v>
      </c>
      <c r="T72" t="s">
        <v>2421</v>
      </c>
      <c r="U72" t="s">
        <v>3896</v>
      </c>
    </row>
    <row r="73" spans="1:21">
      <c r="A73" s="136">
        <v>1</v>
      </c>
      <c r="B73" s="233">
        <v>1917</v>
      </c>
      <c r="C73" s="234" t="s">
        <v>12</v>
      </c>
      <c r="D73" s="234" t="s">
        <v>4920</v>
      </c>
      <c r="E73" s="244" t="s">
        <v>2684</v>
      </c>
      <c r="F73" s="244" t="s">
        <v>3753</v>
      </c>
      <c r="G73" s="235" t="s">
        <v>2580</v>
      </c>
      <c r="H73" s="236">
        <v>1.5</v>
      </c>
      <c r="I73" s="236">
        <v>1.5</v>
      </c>
      <c r="J73" s="233">
        <v>1</v>
      </c>
      <c r="K73" s="242"/>
      <c r="L73" s="235"/>
      <c r="M73" s="276"/>
      <c r="N73" s="279" t="s">
        <v>25</v>
      </c>
      <c r="O73" t="str">
        <f t="shared" si="2"/>
        <v>1917-S Wheat Penny</v>
      </c>
      <c r="S73" t="str" cm="1">
        <f t="array" ref="S73">_xlfn.REGEXEXTRACT(E73, "[0-9]{1,5}")</f>
        <v>1917</v>
      </c>
      <c r="T73" t="s">
        <v>2421</v>
      </c>
      <c r="U73" t="s">
        <v>3896</v>
      </c>
    </row>
    <row r="74" spans="1:21">
      <c r="A74" s="136">
        <v>1</v>
      </c>
      <c r="B74" s="233">
        <v>1917</v>
      </c>
      <c r="C74" s="234" t="s">
        <v>13</v>
      </c>
      <c r="D74" s="234" t="s">
        <v>4920</v>
      </c>
      <c r="E74" s="244" t="s">
        <v>2685</v>
      </c>
      <c r="F74" s="244" t="s">
        <v>3753</v>
      </c>
      <c r="G74" s="235" t="s">
        <v>2580</v>
      </c>
      <c r="H74" s="236">
        <v>1.5</v>
      </c>
      <c r="I74" s="236">
        <v>3.98</v>
      </c>
      <c r="J74" s="233">
        <v>1</v>
      </c>
      <c r="K74" s="242"/>
      <c r="L74" s="235"/>
      <c r="M74" s="276"/>
      <c r="N74" s="279" t="s">
        <v>25</v>
      </c>
      <c r="O74" t="str">
        <f t="shared" si="2"/>
        <v>1917-D Wheat Penny</v>
      </c>
      <c r="S74" t="str" cm="1">
        <f t="array" ref="S74">_xlfn.REGEXEXTRACT(E74, "[0-9]{1,5}")</f>
        <v>1917</v>
      </c>
      <c r="T74" t="s">
        <v>2421</v>
      </c>
      <c r="U74" t="s">
        <v>3896</v>
      </c>
    </row>
    <row r="75" spans="1:21">
      <c r="A75" s="136">
        <v>1</v>
      </c>
      <c r="B75" s="233">
        <v>1918</v>
      </c>
      <c r="C75" s="234"/>
      <c r="D75" s="234" t="s">
        <v>4920</v>
      </c>
      <c r="E75" s="244" t="s">
        <v>2686</v>
      </c>
      <c r="F75" s="244" t="s">
        <v>3753</v>
      </c>
      <c r="G75" s="235" t="s">
        <v>2580</v>
      </c>
      <c r="H75" s="236">
        <v>0.2</v>
      </c>
      <c r="I75" s="236">
        <v>0.2</v>
      </c>
      <c r="J75" s="233">
        <v>1</v>
      </c>
      <c r="K75" s="242"/>
      <c r="L75" s="235"/>
      <c r="M75" s="276"/>
      <c r="N75" s="279" t="s">
        <v>25</v>
      </c>
      <c r="O75" t="str">
        <f t="shared" si="2"/>
        <v>1918 Wheat Penny</v>
      </c>
      <c r="S75" t="str" cm="1">
        <f t="array" ref="S75">_xlfn.REGEXEXTRACT(E75, "[0-9]{1,5}")</f>
        <v>1918</v>
      </c>
      <c r="T75" t="s">
        <v>2424</v>
      </c>
      <c r="U75" t="s">
        <v>3896</v>
      </c>
    </row>
    <row r="76" spans="1:21">
      <c r="A76" s="136">
        <v>1</v>
      </c>
      <c r="B76" s="233">
        <v>1918</v>
      </c>
      <c r="C76" s="234"/>
      <c r="D76" s="234" t="s">
        <v>4920</v>
      </c>
      <c r="E76" s="244" t="s">
        <v>2687</v>
      </c>
      <c r="F76" s="244" t="s">
        <v>3753</v>
      </c>
      <c r="G76" s="235" t="s">
        <v>2580</v>
      </c>
      <c r="H76" s="236">
        <v>0.2</v>
      </c>
      <c r="I76" s="236">
        <v>0.2</v>
      </c>
      <c r="J76" s="233">
        <v>1</v>
      </c>
      <c r="K76" s="242"/>
      <c r="L76" s="235"/>
      <c r="M76" s="276"/>
      <c r="N76" s="279" t="s">
        <v>25</v>
      </c>
      <c r="O76" t="str">
        <f t="shared" si="2"/>
        <v>1918 Wheat Penny</v>
      </c>
      <c r="S76" t="str" cm="1">
        <f t="array" ref="S76">_xlfn.REGEXEXTRACT(E76, "[0-9]{1,5}")</f>
        <v>1918</v>
      </c>
      <c r="T76" t="s">
        <v>2424</v>
      </c>
      <c r="U76" t="s">
        <v>3896</v>
      </c>
    </row>
    <row r="77" spans="1:21">
      <c r="A77" s="136">
        <v>1</v>
      </c>
      <c r="B77" s="233">
        <v>1918</v>
      </c>
      <c r="C77" s="234"/>
      <c r="D77" s="234" t="s">
        <v>4920</v>
      </c>
      <c r="E77" s="244" t="s">
        <v>2688</v>
      </c>
      <c r="F77" s="244" t="s">
        <v>3753</v>
      </c>
      <c r="G77" s="235" t="s">
        <v>2580</v>
      </c>
      <c r="H77" s="236">
        <v>0.2</v>
      </c>
      <c r="I77" s="236">
        <v>0.2</v>
      </c>
      <c r="J77" s="233">
        <v>1</v>
      </c>
      <c r="K77" s="242"/>
      <c r="L77" s="235"/>
      <c r="M77" s="276"/>
      <c r="N77" s="279" t="s">
        <v>25</v>
      </c>
      <c r="O77" t="str">
        <f t="shared" si="2"/>
        <v>1918 Wheat Penny</v>
      </c>
      <c r="S77" t="str" cm="1">
        <f t="array" ref="S77">_xlfn.REGEXEXTRACT(E77, "[0-9]{1,5}")</f>
        <v>1918</v>
      </c>
      <c r="T77" t="s">
        <v>2424</v>
      </c>
      <c r="U77" t="s">
        <v>3896</v>
      </c>
    </row>
    <row r="78" spans="1:21">
      <c r="A78" s="136">
        <v>1</v>
      </c>
      <c r="B78" s="233">
        <v>1918</v>
      </c>
      <c r="C78" s="234"/>
      <c r="D78" s="234" t="s">
        <v>4920</v>
      </c>
      <c r="E78" s="244" t="s">
        <v>2689</v>
      </c>
      <c r="F78" s="244" t="s">
        <v>3753</v>
      </c>
      <c r="G78" s="235" t="s">
        <v>2580</v>
      </c>
      <c r="H78" s="236">
        <v>0.2</v>
      </c>
      <c r="I78" s="236">
        <v>0.2</v>
      </c>
      <c r="J78" s="233">
        <v>1</v>
      </c>
      <c r="K78" s="242"/>
      <c r="L78" s="235"/>
      <c r="M78" s="276"/>
      <c r="N78" s="279" t="s">
        <v>25</v>
      </c>
      <c r="O78" t="str">
        <f t="shared" si="2"/>
        <v>1918 Wheat Penny</v>
      </c>
      <c r="S78" t="str" cm="1">
        <f t="array" ref="S78">_xlfn.REGEXEXTRACT(E78, "[0-9]{1,5}")</f>
        <v>1918</v>
      </c>
      <c r="T78" t="s">
        <v>2424</v>
      </c>
      <c r="U78" t="s">
        <v>3896</v>
      </c>
    </row>
    <row r="79" spans="1:21">
      <c r="A79" s="136">
        <v>1</v>
      </c>
      <c r="B79" s="233">
        <v>1918</v>
      </c>
      <c r="C79" s="234"/>
      <c r="D79" s="234" t="s">
        <v>4920</v>
      </c>
      <c r="E79" s="244" t="s">
        <v>2690</v>
      </c>
      <c r="F79" s="244" t="s">
        <v>3753</v>
      </c>
      <c r="G79" s="235" t="s">
        <v>2580</v>
      </c>
      <c r="H79" s="236">
        <v>0.25</v>
      </c>
      <c r="I79" s="236">
        <v>0.25</v>
      </c>
      <c r="J79" s="233">
        <v>1</v>
      </c>
      <c r="K79" s="242"/>
      <c r="L79" s="235"/>
      <c r="M79" s="276"/>
      <c r="N79" s="279" t="s">
        <v>25</v>
      </c>
      <c r="O79" t="str">
        <f t="shared" si="2"/>
        <v>1918 Wheat Penny</v>
      </c>
      <c r="S79" t="str" cm="1">
        <f t="array" ref="S79">_xlfn.REGEXEXTRACT(E79, "[0-9]{1,5}")</f>
        <v>1918</v>
      </c>
      <c r="T79" t="s">
        <v>2424</v>
      </c>
      <c r="U79" t="s">
        <v>3896</v>
      </c>
    </row>
    <row r="80" spans="1:21">
      <c r="A80" s="136">
        <v>1</v>
      </c>
      <c r="B80" s="233">
        <v>1918</v>
      </c>
      <c r="C80" s="234" t="s">
        <v>13</v>
      </c>
      <c r="D80" s="234" t="s">
        <v>4920</v>
      </c>
      <c r="E80" s="244" t="s">
        <v>2691</v>
      </c>
      <c r="F80" s="244" t="s">
        <v>3753</v>
      </c>
      <c r="G80" s="235" t="s">
        <v>2580</v>
      </c>
      <c r="H80" s="236">
        <v>0.25</v>
      </c>
      <c r="I80" s="236">
        <v>0.25</v>
      </c>
      <c r="J80" s="233">
        <v>1</v>
      </c>
      <c r="K80" s="242"/>
      <c r="L80" s="235"/>
      <c r="M80" s="276"/>
      <c r="N80" s="279" t="s">
        <v>25</v>
      </c>
      <c r="O80" t="str">
        <f t="shared" si="2"/>
        <v>1918-D Wheat Penny</v>
      </c>
      <c r="S80" t="str" cm="1">
        <f t="array" ref="S80">_xlfn.REGEXEXTRACT(E80, "[0-9]{1,5}")</f>
        <v>1918</v>
      </c>
      <c r="T80" t="s">
        <v>2424</v>
      </c>
      <c r="U80" t="s">
        <v>3896</v>
      </c>
    </row>
    <row r="81" spans="1:21">
      <c r="A81" s="136">
        <v>1</v>
      </c>
      <c r="B81" s="233">
        <v>1919</v>
      </c>
      <c r="C81" s="234"/>
      <c r="D81" s="234" t="s">
        <v>4920</v>
      </c>
      <c r="E81" s="244" t="s">
        <v>2692</v>
      </c>
      <c r="F81" s="244" t="s">
        <v>3753</v>
      </c>
      <c r="G81" s="235" t="s">
        <v>2580</v>
      </c>
      <c r="H81" s="236">
        <v>0.25</v>
      </c>
      <c r="I81" s="236">
        <v>0.25</v>
      </c>
      <c r="J81" s="233">
        <v>1</v>
      </c>
      <c r="K81" s="242"/>
      <c r="L81" s="235"/>
      <c r="M81" s="276"/>
      <c r="N81" s="279" t="s">
        <v>25</v>
      </c>
      <c r="O81" t="str">
        <f t="shared" si="2"/>
        <v>1919 Wheat Penny</v>
      </c>
      <c r="S81" t="str" cm="1">
        <f t="array" ref="S81">_xlfn.REGEXEXTRACT(E81, "[0-9]{1,5}")</f>
        <v>1919</v>
      </c>
      <c r="T81" t="s">
        <v>2429</v>
      </c>
      <c r="U81" t="s">
        <v>3896</v>
      </c>
    </row>
    <row r="82" spans="1:21">
      <c r="A82" s="136">
        <v>1</v>
      </c>
      <c r="B82" s="233">
        <v>1919</v>
      </c>
      <c r="C82" s="234"/>
      <c r="D82" s="234" t="s">
        <v>4920</v>
      </c>
      <c r="E82" s="244" t="s">
        <v>2693</v>
      </c>
      <c r="F82" s="244" t="s">
        <v>3753</v>
      </c>
      <c r="G82" s="235" t="s">
        <v>2580</v>
      </c>
      <c r="H82" s="236">
        <v>0.15</v>
      </c>
      <c r="I82" s="236">
        <v>0.15</v>
      </c>
      <c r="J82" s="233">
        <v>1</v>
      </c>
      <c r="K82" s="242"/>
      <c r="L82" s="235"/>
      <c r="M82" s="276"/>
      <c r="N82" s="279" t="s">
        <v>25</v>
      </c>
      <c r="O82" t="str">
        <f t="shared" si="2"/>
        <v>1919 Wheat Penny</v>
      </c>
      <c r="S82" t="str" cm="1">
        <f t="array" ref="S82">_xlfn.REGEXEXTRACT(E82, "[0-9]{1,5}")</f>
        <v>1919</v>
      </c>
      <c r="T82" t="s">
        <v>2429</v>
      </c>
      <c r="U82" t="s">
        <v>3896</v>
      </c>
    </row>
    <row r="83" spans="1:21">
      <c r="A83" s="136">
        <v>1</v>
      </c>
      <c r="B83" s="233">
        <v>1919</v>
      </c>
      <c r="C83" s="234"/>
      <c r="D83" s="234" t="s">
        <v>4920</v>
      </c>
      <c r="E83" s="244" t="s">
        <v>2694</v>
      </c>
      <c r="F83" s="244" t="s">
        <v>3753</v>
      </c>
      <c r="G83" s="235" t="s">
        <v>2580</v>
      </c>
      <c r="H83" s="236">
        <v>0.15</v>
      </c>
      <c r="I83" s="236">
        <v>0.15</v>
      </c>
      <c r="J83" s="233">
        <v>1</v>
      </c>
      <c r="K83" s="242"/>
      <c r="L83" s="235"/>
      <c r="M83" s="276"/>
      <c r="N83" s="279" t="s">
        <v>25</v>
      </c>
      <c r="O83" t="str">
        <f t="shared" si="2"/>
        <v>1919 Wheat Penny</v>
      </c>
      <c r="S83" t="str" cm="1">
        <f t="array" ref="S83">_xlfn.REGEXEXTRACT(E83, "[0-9]{1,5}")</f>
        <v>1919</v>
      </c>
      <c r="T83" t="s">
        <v>2429</v>
      </c>
      <c r="U83" t="s">
        <v>3896</v>
      </c>
    </row>
    <row r="84" spans="1:21">
      <c r="A84" s="136">
        <v>1</v>
      </c>
      <c r="B84" s="233">
        <v>1919</v>
      </c>
      <c r="C84" s="234"/>
      <c r="D84" s="234" t="s">
        <v>4920</v>
      </c>
      <c r="E84" s="244" t="s">
        <v>2695</v>
      </c>
      <c r="F84" s="244" t="s">
        <v>3753</v>
      </c>
      <c r="G84" s="235" t="s">
        <v>2580</v>
      </c>
      <c r="H84" s="236">
        <v>0.15</v>
      </c>
      <c r="I84" s="236">
        <v>0.15</v>
      </c>
      <c r="J84" s="233">
        <v>1</v>
      </c>
      <c r="K84" s="242"/>
      <c r="L84" s="235"/>
      <c r="M84" s="276"/>
      <c r="N84" s="279" t="s">
        <v>25</v>
      </c>
      <c r="O84" t="str">
        <f t="shared" si="2"/>
        <v>1919 Wheat Penny</v>
      </c>
      <c r="S84" t="str" cm="1">
        <f t="array" ref="S84">_xlfn.REGEXEXTRACT(E84, "[0-9]{1,5}")</f>
        <v>1919</v>
      </c>
      <c r="T84" t="s">
        <v>2429</v>
      </c>
      <c r="U84" t="s">
        <v>3896</v>
      </c>
    </row>
    <row r="85" spans="1:21">
      <c r="A85" s="136">
        <v>1</v>
      </c>
      <c r="B85" s="233">
        <v>1919</v>
      </c>
      <c r="C85" s="234" t="s">
        <v>12</v>
      </c>
      <c r="D85" s="234" t="s">
        <v>4920</v>
      </c>
      <c r="E85" s="244" t="s">
        <v>2696</v>
      </c>
      <c r="F85" s="244" t="s">
        <v>3753</v>
      </c>
      <c r="G85" s="235" t="s">
        <v>2580</v>
      </c>
      <c r="H85" s="236">
        <v>0.15</v>
      </c>
      <c r="I85" s="236">
        <v>0.15</v>
      </c>
      <c r="J85" s="233">
        <v>1</v>
      </c>
      <c r="K85" s="242"/>
      <c r="L85" s="235"/>
      <c r="M85" s="276"/>
      <c r="N85" s="279" t="s">
        <v>25</v>
      </c>
      <c r="O85" t="str">
        <f t="shared" si="2"/>
        <v>1919-S Wheat Penny</v>
      </c>
      <c r="S85" t="str" cm="1">
        <f t="array" ref="S85">_xlfn.REGEXEXTRACT(E85, "[0-9]{1,5}")</f>
        <v>1919</v>
      </c>
      <c r="T85" t="s">
        <v>2429</v>
      </c>
      <c r="U85" t="s">
        <v>3896</v>
      </c>
    </row>
    <row r="86" spans="1:21">
      <c r="A86" s="136">
        <v>1</v>
      </c>
      <c r="B86" s="233">
        <v>1919</v>
      </c>
      <c r="C86" s="234" t="s">
        <v>12</v>
      </c>
      <c r="D86" s="234" t="s">
        <v>4920</v>
      </c>
      <c r="E86" s="244" t="s">
        <v>2697</v>
      </c>
      <c r="F86" s="244" t="s">
        <v>3753</v>
      </c>
      <c r="G86" s="235" t="s">
        <v>2580</v>
      </c>
      <c r="H86" s="236">
        <v>0.01</v>
      </c>
      <c r="I86" s="236">
        <v>0.01</v>
      </c>
      <c r="J86" s="233">
        <v>1</v>
      </c>
      <c r="K86" s="242"/>
      <c r="L86" s="235"/>
      <c r="M86" s="276"/>
      <c r="N86" s="279" t="s">
        <v>25</v>
      </c>
      <c r="O86" t="str">
        <f t="shared" si="2"/>
        <v>1919-S Wheat Penny</v>
      </c>
      <c r="S86" t="str" cm="1">
        <f t="array" ref="S86">_xlfn.REGEXEXTRACT(E86, "[0-9]{1,5}")</f>
        <v>1919</v>
      </c>
      <c r="T86">
        <v>1919</v>
      </c>
      <c r="U86" t="s">
        <v>3896</v>
      </c>
    </row>
    <row r="87" spans="1:21">
      <c r="A87" s="136">
        <v>1</v>
      </c>
      <c r="B87" s="233">
        <v>1920</v>
      </c>
      <c r="C87" s="234"/>
      <c r="D87" s="234" t="s">
        <v>4920</v>
      </c>
      <c r="E87" s="244" t="s">
        <v>2698</v>
      </c>
      <c r="F87" s="244" t="s">
        <v>3753</v>
      </c>
      <c r="G87" s="235" t="s">
        <v>2580</v>
      </c>
      <c r="H87" s="236">
        <v>0.15</v>
      </c>
      <c r="I87" s="236">
        <v>0.15</v>
      </c>
      <c r="J87" s="233">
        <v>1</v>
      </c>
      <c r="K87" s="242"/>
      <c r="L87" s="235"/>
      <c r="M87" s="276"/>
      <c r="N87" s="279" t="s">
        <v>25</v>
      </c>
      <c r="O87" t="str">
        <f t="shared" si="2"/>
        <v>1920 Wheat Penny</v>
      </c>
      <c r="S87" t="str" cm="1">
        <f t="array" ref="S87">_xlfn.REGEXEXTRACT(E87, "[0-9]{1,5}")</f>
        <v>1920</v>
      </c>
      <c r="T87" t="s">
        <v>2432</v>
      </c>
      <c r="U87" t="s">
        <v>3896</v>
      </c>
    </row>
    <row r="88" spans="1:21">
      <c r="A88" s="136">
        <v>1</v>
      </c>
      <c r="B88" s="233">
        <v>1920</v>
      </c>
      <c r="C88" s="234"/>
      <c r="D88" s="234" t="s">
        <v>4920</v>
      </c>
      <c r="E88" s="244" t="s">
        <v>2699</v>
      </c>
      <c r="F88" s="244" t="s">
        <v>3753</v>
      </c>
      <c r="G88" s="235" t="s">
        <v>2580</v>
      </c>
      <c r="H88" s="236">
        <v>0.15</v>
      </c>
      <c r="I88" s="236">
        <v>0.15</v>
      </c>
      <c r="J88" s="233">
        <v>1</v>
      </c>
      <c r="K88" s="242"/>
      <c r="L88" s="235"/>
      <c r="M88" s="276"/>
      <c r="N88" s="279" t="s">
        <v>25</v>
      </c>
      <c r="O88" t="str">
        <f t="shared" si="2"/>
        <v>1920 Wheat Penny</v>
      </c>
      <c r="S88" t="str" cm="1">
        <f t="array" ref="S88">_xlfn.REGEXEXTRACT(E88, "[0-9]{1,5}")</f>
        <v>1920</v>
      </c>
      <c r="T88" t="s">
        <v>2432</v>
      </c>
      <c r="U88" t="s">
        <v>3896</v>
      </c>
    </row>
    <row r="89" spans="1:21">
      <c r="A89" s="136">
        <v>1</v>
      </c>
      <c r="B89" s="233">
        <v>1920</v>
      </c>
      <c r="C89" s="234" t="s">
        <v>13</v>
      </c>
      <c r="D89" s="234" t="s">
        <v>4920</v>
      </c>
      <c r="E89" s="244" t="s">
        <v>2700</v>
      </c>
      <c r="F89" s="244" t="s">
        <v>3753</v>
      </c>
      <c r="G89" s="235" t="s">
        <v>2580</v>
      </c>
      <c r="H89" s="236">
        <v>0.01</v>
      </c>
      <c r="I89" s="236">
        <v>0.01</v>
      </c>
      <c r="J89" s="233">
        <v>1</v>
      </c>
      <c r="K89" s="242"/>
      <c r="L89" s="235"/>
      <c r="M89" s="276"/>
      <c r="N89" s="279" t="s">
        <v>25</v>
      </c>
      <c r="O89" t="str">
        <f t="shared" si="2"/>
        <v>1920-D Wheat Penny</v>
      </c>
      <c r="S89" t="str" cm="1">
        <f t="array" ref="S89">_xlfn.REGEXEXTRACT(E89, "[0-9]{1,5}")</f>
        <v>1920</v>
      </c>
      <c r="T89" t="s">
        <v>2432</v>
      </c>
      <c r="U89" t="s">
        <v>3896</v>
      </c>
    </row>
    <row r="90" spans="1:21">
      <c r="A90" s="136">
        <v>1</v>
      </c>
      <c r="B90" s="233">
        <v>1920</v>
      </c>
      <c r="C90" s="234" t="s">
        <v>13</v>
      </c>
      <c r="D90" s="234" t="s">
        <v>4920</v>
      </c>
      <c r="E90" s="244" t="s">
        <v>2701</v>
      </c>
      <c r="F90" s="244" t="s">
        <v>3753</v>
      </c>
      <c r="G90" s="235" t="s">
        <v>2580</v>
      </c>
      <c r="H90" s="236">
        <v>0.01</v>
      </c>
      <c r="I90" s="236">
        <v>0.01</v>
      </c>
      <c r="J90" s="233">
        <v>1</v>
      </c>
      <c r="K90" s="242"/>
      <c r="L90" s="235"/>
      <c r="M90" s="276"/>
      <c r="N90" s="279" t="s">
        <v>25</v>
      </c>
      <c r="O90" t="str">
        <f t="shared" si="2"/>
        <v>1920-D Wheat Penny</v>
      </c>
      <c r="S90" t="str" cm="1">
        <f t="array" ref="S90">_xlfn.REGEXEXTRACT(E90, "[0-9]{1,5}")</f>
        <v>1920</v>
      </c>
      <c r="T90" t="s">
        <v>2432</v>
      </c>
      <c r="U90" t="s">
        <v>3896</v>
      </c>
    </row>
    <row r="91" spans="1:21">
      <c r="A91" s="136">
        <v>1</v>
      </c>
      <c r="B91" s="233">
        <v>1920</v>
      </c>
      <c r="C91" s="234" t="s">
        <v>12</v>
      </c>
      <c r="D91" s="234" t="s">
        <v>4920</v>
      </c>
      <c r="E91" s="244" t="s">
        <v>2702</v>
      </c>
      <c r="F91" s="244" t="s">
        <v>3753</v>
      </c>
      <c r="G91" s="235" t="s">
        <v>2580</v>
      </c>
      <c r="H91" s="236">
        <v>0</v>
      </c>
      <c r="I91" s="236">
        <v>0</v>
      </c>
      <c r="J91" s="233">
        <v>1</v>
      </c>
      <c r="K91" s="242"/>
      <c r="L91" s="235"/>
      <c r="M91" s="276"/>
      <c r="N91" s="279" t="s">
        <v>25</v>
      </c>
      <c r="O91" t="str">
        <f t="shared" si="2"/>
        <v>1920-S Wheat Penny</v>
      </c>
      <c r="S91" t="str" cm="1">
        <f t="array" ref="S91">_xlfn.REGEXEXTRACT(E91, "[0-9]{1,5}")</f>
        <v>1920</v>
      </c>
      <c r="T91" t="s">
        <v>2432</v>
      </c>
      <c r="U91" t="s">
        <v>3896</v>
      </c>
    </row>
    <row r="92" spans="1:21">
      <c r="A92" s="136">
        <v>1</v>
      </c>
      <c r="B92" s="233">
        <v>1921</v>
      </c>
      <c r="C92" s="234" t="s">
        <v>12</v>
      </c>
      <c r="D92" s="234" t="s">
        <v>4920</v>
      </c>
      <c r="E92" s="244" t="s">
        <v>2703</v>
      </c>
      <c r="F92" s="244" t="s">
        <v>3753</v>
      </c>
      <c r="G92" s="235" t="s">
        <v>2580</v>
      </c>
      <c r="H92" s="236">
        <v>0.85</v>
      </c>
      <c r="I92" s="236">
        <v>0.85</v>
      </c>
      <c r="J92" s="233">
        <v>1</v>
      </c>
      <c r="K92" s="242"/>
      <c r="L92" s="235"/>
      <c r="M92" s="276"/>
      <c r="N92" s="279" t="s">
        <v>25</v>
      </c>
      <c r="O92" t="str">
        <f t="shared" si="2"/>
        <v>1921-S Wheat Penny</v>
      </c>
      <c r="S92" t="str" cm="1">
        <f t="array" ref="S92">_xlfn.REGEXEXTRACT(E92, "[0-9]{1,5}")</f>
        <v>1921</v>
      </c>
      <c r="T92" t="s">
        <v>2435</v>
      </c>
      <c r="U92" t="s">
        <v>3896</v>
      </c>
    </row>
    <row r="93" spans="1:21">
      <c r="A93" s="136">
        <v>1</v>
      </c>
      <c r="B93" s="233">
        <v>1921</v>
      </c>
      <c r="C93" s="234"/>
      <c r="D93" s="234" t="s">
        <v>4920</v>
      </c>
      <c r="E93" s="244" t="s">
        <v>2704</v>
      </c>
      <c r="F93" s="244" t="s">
        <v>3753</v>
      </c>
      <c r="G93" s="235" t="s">
        <v>2580</v>
      </c>
      <c r="H93" s="236">
        <v>0.15</v>
      </c>
      <c r="I93" s="236">
        <v>0.15</v>
      </c>
      <c r="J93" s="233">
        <v>1</v>
      </c>
      <c r="K93" s="242"/>
      <c r="L93" s="235"/>
      <c r="M93" s="276"/>
      <c r="N93" s="279" t="s">
        <v>25</v>
      </c>
      <c r="O93" t="str">
        <f t="shared" si="2"/>
        <v>1921 Wheat Penny</v>
      </c>
      <c r="S93" t="str" cm="1">
        <f t="array" ref="S93">_xlfn.REGEXEXTRACT(E93, "[0-9]{1,5}")</f>
        <v>1921</v>
      </c>
      <c r="T93" t="s">
        <v>2435</v>
      </c>
      <c r="U93" t="s">
        <v>3896</v>
      </c>
    </row>
    <row r="94" spans="1:21">
      <c r="A94" s="136">
        <v>1</v>
      </c>
      <c r="B94" s="233">
        <v>1922</v>
      </c>
      <c r="C94" s="234" t="s">
        <v>13</v>
      </c>
      <c r="D94" s="234" t="s">
        <v>4920</v>
      </c>
      <c r="E94" s="244" t="s">
        <v>2705</v>
      </c>
      <c r="F94" s="244" t="s">
        <v>3753</v>
      </c>
      <c r="G94" s="235" t="s">
        <v>2580</v>
      </c>
      <c r="H94" s="236">
        <v>25</v>
      </c>
      <c r="I94" s="236">
        <v>35</v>
      </c>
      <c r="J94" s="233">
        <v>1</v>
      </c>
      <c r="K94" s="242"/>
      <c r="L94" s="235"/>
      <c r="M94" s="276"/>
      <c r="N94" s="279" t="s">
        <v>25</v>
      </c>
      <c r="O94" t="str">
        <f t="shared" si="2"/>
        <v>1922-D Wheat Penny</v>
      </c>
      <c r="S94" t="str" cm="1">
        <f t="array" ref="S94">_xlfn.REGEXEXTRACT(E94, "[0-9]{1,5}")</f>
        <v>1922</v>
      </c>
      <c r="T94" t="s">
        <v>4177</v>
      </c>
      <c r="U94" t="s">
        <v>3896</v>
      </c>
    </row>
    <row r="95" spans="1:21">
      <c r="A95" s="136">
        <v>1</v>
      </c>
      <c r="B95" s="233">
        <v>1923</v>
      </c>
      <c r="C95" s="234"/>
      <c r="D95" s="234" t="s">
        <v>4920</v>
      </c>
      <c r="E95" s="244" t="s">
        <v>2706</v>
      </c>
      <c r="F95" s="244" t="s">
        <v>3753</v>
      </c>
      <c r="G95" s="235" t="s">
        <v>2580</v>
      </c>
      <c r="H95" s="236">
        <v>0.3</v>
      </c>
      <c r="I95" s="236">
        <v>0.3</v>
      </c>
      <c r="J95" s="233">
        <v>1</v>
      </c>
      <c r="K95" s="242"/>
      <c r="L95" s="235"/>
      <c r="M95" s="276"/>
      <c r="N95" s="279" t="s">
        <v>25</v>
      </c>
      <c r="O95" t="str">
        <f t="shared" si="2"/>
        <v>1923 Wheat Penny</v>
      </c>
      <c r="S95" t="str" cm="1">
        <f t="array" ref="S95">_xlfn.REGEXEXTRACT(E95, "[0-9]{1,5}")</f>
        <v>1923</v>
      </c>
      <c r="T95" t="s">
        <v>2437</v>
      </c>
      <c r="U95" t="s">
        <v>3896</v>
      </c>
    </row>
    <row r="96" spans="1:21">
      <c r="A96" s="136">
        <v>1</v>
      </c>
      <c r="B96" s="233">
        <v>1923</v>
      </c>
      <c r="C96" s="234"/>
      <c r="D96" s="234" t="s">
        <v>4920</v>
      </c>
      <c r="E96" s="244" t="s">
        <v>2707</v>
      </c>
      <c r="F96" s="244" t="s">
        <v>3753</v>
      </c>
      <c r="G96" s="235" t="s">
        <v>2580</v>
      </c>
      <c r="H96" s="236">
        <v>0.3</v>
      </c>
      <c r="I96" s="236">
        <v>0.3</v>
      </c>
      <c r="J96" s="233">
        <v>1</v>
      </c>
      <c r="K96" s="242"/>
      <c r="L96" s="235"/>
      <c r="M96" s="276"/>
      <c r="N96" s="279" t="s">
        <v>25</v>
      </c>
      <c r="O96" t="str">
        <f t="shared" si="2"/>
        <v>1923 Wheat Penny</v>
      </c>
      <c r="S96" t="str" cm="1">
        <f t="array" ref="S96">_xlfn.REGEXEXTRACT(E96, "[0-9]{1,5}")</f>
        <v>1923</v>
      </c>
      <c r="T96" t="s">
        <v>2437</v>
      </c>
      <c r="U96" t="s">
        <v>3896</v>
      </c>
    </row>
    <row r="97" spans="1:21">
      <c r="A97" s="136">
        <v>1</v>
      </c>
      <c r="B97" s="233">
        <v>1924</v>
      </c>
      <c r="C97" s="234"/>
      <c r="D97" s="234" t="s">
        <v>4920</v>
      </c>
      <c r="E97" s="244" t="s">
        <v>2708</v>
      </c>
      <c r="F97" s="244" t="s">
        <v>3753</v>
      </c>
      <c r="G97" s="235" t="s">
        <v>2580</v>
      </c>
      <c r="H97" s="236">
        <v>0.5</v>
      </c>
      <c r="I97" s="236">
        <v>0.5</v>
      </c>
      <c r="J97" s="233">
        <v>1</v>
      </c>
      <c r="K97" s="242"/>
      <c r="L97" s="235"/>
      <c r="M97" s="276"/>
      <c r="N97" s="279" t="s">
        <v>25</v>
      </c>
      <c r="O97" t="str">
        <f t="shared" si="2"/>
        <v>1924 Wheat Penny</v>
      </c>
      <c r="S97" t="str" cm="1">
        <f t="array" ref="S97">_xlfn.REGEXEXTRACT(E97, "[0-9]{1,5}")</f>
        <v>1924</v>
      </c>
      <c r="T97" t="s">
        <v>2439</v>
      </c>
      <c r="U97" t="s">
        <v>3896</v>
      </c>
    </row>
    <row r="98" spans="1:21">
      <c r="A98" s="136">
        <v>1</v>
      </c>
      <c r="B98" s="233">
        <v>1924</v>
      </c>
      <c r="C98" s="234"/>
      <c r="D98" s="234" t="s">
        <v>4920</v>
      </c>
      <c r="E98" s="244" t="s">
        <v>2709</v>
      </c>
      <c r="F98" s="244" t="s">
        <v>3753</v>
      </c>
      <c r="G98" s="235" t="s">
        <v>2580</v>
      </c>
      <c r="H98" s="236">
        <v>0.25</v>
      </c>
      <c r="I98" s="236">
        <v>0.25</v>
      </c>
      <c r="J98" s="233">
        <v>1</v>
      </c>
      <c r="K98" s="242"/>
      <c r="L98" s="235"/>
      <c r="M98" s="276"/>
      <c r="N98" s="279" t="s">
        <v>25</v>
      </c>
      <c r="O98" t="str">
        <f t="shared" si="2"/>
        <v>1924 Wheat Penny</v>
      </c>
      <c r="S98" t="str" cm="1">
        <f t="array" ref="S98">_xlfn.REGEXEXTRACT(E98, "[0-9]{1,5}")</f>
        <v>1924</v>
      </c>
      <c r="T98" t="s">
        <v>2439</v>
      </c>
      <c r="U98" t="s">
        <v>3896</v>
      </c>
    </row>
    <row r="99" spans="1:21">
      <c r="A99" s="136">
        <v>1</v>
      </c>
      <c r="B99" s="233">
        <v>1924</v>
      </c>
      <c r="C99" s="234" t="s">
        <v>12</v>
      </c>
      <c r="D99" s="234" t="s">
        <v>4920</v>
      </c>
      <c r="E99" s="244" t="s">
        <v>2710</v>
      </c>
      <c r="F99" s="244" t="s">
        <v>3753</v>
      </c>
      <c r="G99" s="235" t="s">
        <v>2580</v>
      </c>
      <c r="H99" s="236">
        <v>3.5</v>
      </c>
      <c r="I99" s="236">
        <v>3.5</v>
      </c>
      <c r="J99" s="233">
        <v>1</v>
      </c>
      <c r="K99" s="242"/>
      <c r="L99" s="235"/>
      <c r="M99" s="276"/>
      <c r="N99" s="279" t="s">
        <v>25</v>
      </c>
      <c r="O99" t="str">
        <f t="shared" si="2"/>
        <v>1924-S Wheat Penny</v>
      </c>
      <c r="S99" t="str" cm="1">
        <f t="array" ref="S99">_xlfn.REGEXEXTRACT(E99, "[0-9]{1,5}")</f>
        <v>1924</v>
      </c>
      <c r="T99" t="s">
        <v>2439</v>
      </c>
      <c r="U99" t="s">
        <v>3896</v>
      </c>
    </row>
    <row r="100" spans="1:21">
      <c r="A100" s="136">
        <v>1</v>
      </c>
      <c r="B100" s="233">
        <v>1924</v>
      </c>
      <c r="C100" s="234" t="s">
        <v>12</v>
      </c>
      <c r="D100" s="234" t="s">
        <v>4920</v>
      </c>
      <c r="E100" s="244" t="s">
        <v>2711</v>
      </c>
      <c r="F100" s="244" t="s">
        <v>3753</v>
      </c>
      <c r="G100" s="235" t="s">
        <v>2580</v>
      </c>
      <c r="H100" s="236">
        <v>3.5</v>
      </c>
      <c r="I100" s="236">
        <v>3.5</v>
      </c>
      <c r="J100" s="233">
        <v>1</v>
      </c>
      <c r="K100" s="242"/>
      <c r="L100" s="235"/>
      <c r="M100" s="276"/>
      <c r="N100" s="279" t="s">
        <v>25</v>
      </c>
      <c r="O100" t="str">
        <f t="shared" si="2"/>
        <v>1924-S Wheat Penny</v>
      </c>
      <c r="S100" t="str" cm="1">
        <f t="array" ref="S100">_xlfn.REGEXEXTRACT(E100, "[0-9]{1,5}")</f>
        <v>1924</v>
      </c>
      <c r="T100" t="s">
        <v>2439</v>
      </c>
      <c r="U100" t="s">
        <v>3896</v>
      </c>
    </row>
    <row r="101" spans="1:21">
      <c r="A101" s="136">
        <v>1</v>
      </c>
      <c r="B101" s="233">
        <v>1925</v>
      </c>
      <c r="C101" s="234"/>
      <c r="D101" s="234" t="s">
        <v>4920</v>
      </c>
      <c r="E101" s="244" t="s">
        <v>2712</v>
      </c>
      <c r="F101" s="244" t="s">
        <v>3753</v>
      </c>
      <c r="G101" s="235" t="s">
        <v>2580</v>
      </c>
      <c r="H101" s="236">
        <v>0.15</v>
      </c>
      <c r="I101" s="236">
        <v>0.15</v>
      </c>
      <c r="J101" s="233">
        <v>1</v>
      </c>
      <c r="K101" s="242"/>
      <c r="L101" s="235"/>
      <c r="M101" s="276"/>
      <c r="N101" s="279" t="s">
        <v>25</v>
      </c>
      <c r="O101" t="str">
        <f t="shared" si="2"/>
        <v>1925 Wheat Penny</v>
      </c>
      <c r="S101" t="str" cm="1">
        <f t="array" ref="S101">_xlfn.REGEXEXTRACT(E101, "[0-9]{1,5}")</f>
        <v>1925</v>
      </c>
      <c r="T101" t="s">
        <v>2442</v>
      </c>
      <c r="U101" t="s">
        <v>3896</v>
      </c>
    </row>
    <row r="102" spans="1:21">
      <c r="A102" s="136">
        <v>1</v>
      </c>
      <c r="B102" s="233">
        <v>1925</v>
      </c>
      <c r="C102" s="234"/>
      <c r="D102" s="234" t="s">
        <v>4920</v>
      </c>
      <c r="E102" s="244" t="s">
        <v>2713</v>
      </c>
      <c r="F102" s="244" t="s">
        <v>3753</v>
      </c>
      <c r="G102" s="235" t="s">
        <v>2580</v>
      </c>
      <c r="H102" s="236">
        <v>0.35</v>
      </c>
      <c r="I102" s="236">
        <v>0.35</v>
      </c>
      <c r="J102" s="233">
        <v>1</v>
      </c>
      <c r="K102" s="242"/>
      <c r="L102" s="235"/>
      <c r="M102" s="276"/>
      <c r="N102" s="279" t="s">
        <v>25</v>
      </c>
      <c r="O102" t="str">
        <f t="shared" si="2"/>
        <v>1925 Wheat Penny</v>
      </c>
      <c r="S102" t="str" cm="1">
        <f t="array" ref="S102">_xlfn.REGEXEXTRACT(E102, "[0-9]{1,5}")</f>
        <v>1925</v>
      </c>
      <c r="T102" t="s">
        <v>2442</v>
      </c>
      <c r="U102" t="s">
        <v>3896</v>
      </c>
    </row>
    <row r="103" spans="1:21">
      <c r="A103" s="136">
        <v>1</v>
      </c>
      <c r="B103" s="233">
        <v>1925</v>
      </c>
      <c r="C103" s="234" t="s">
        <v>12</v>
      </c>
      <c r="D103" s="234" t="s">
        <v>4920</v>
      </c>
      <c r="E103" s="244" t="s">
        <v>2714</v>
      </c>
      <c r="F103" s="244" t="s">
        <v>3753</v>
      </c>
      <c r="G103" s="235" t="s">
        <v>2580</v>
      </c>
      <c r="H103" s="236">
        <v>0.01</v>
      </c>
      <c r="I103" s="236">
        <v>1.25</v>
      </c>
      <c r="J103" s="233">
        <v>1</v>
      </c>
      <c r="K103" s="242"/>
      <c r="L103" s="235"/>
      <c r="M103" s="276"/>
      <c r="N103" s="279" t="s">
        <v>25</v>
      </c>
      <c r="O103" t="str">
        <f t="shared" si="2"/>
        <v>1925-S Wheat Penny</v>
      </c>
      <c r="S103" t="str" cm="1">
        <f t="array" ref="S103">_xlfn.REGEXEXTRACT(E103, "[0-9]{1,5}")</f>
        <v>1925</v>
      </c>
      <c r="T103" t="s">
        <v>2442</v>
      </c>
      <c r="U103" t="s">
        <v>3896</v>
      </c>
    </row>
    <row r="104" spans="1:21">
      <c r="A104" s="136">
        <v>1</v>
      </c>
      <c r="B104" s="233">
        <v>1925</v>
      </c>
      <c r="C104" s="234" t="s">
        <v>13</v>
      </c>
      <c r="D104" s="234" t="s">
        <v>4920</v>
      </c>
      <c r="E104" s="244" t="s">
        <v>2715</v>
      </c>
      <c r="F104" s="244" t="s">
        <v>3753</v>
      </c>
      <c r="G104" s="235" t="s">
        <v>2580</v>
      </c>
      <c r="H104" s="236">
        <v>1</v>
      </c>
      <c r="I104" s="236">
        <v>1</v>
      </c>
      <c r="J104" s="233">
        <v>1</v>
      </c>
      <c r="K104" s="242"/>
      <c r="L104" s="235"/>
      <c r="M104" s="276"/>
      <c r="N104" s="279" t="s">
        <v>25</v>
      </c>
      <c r="O104" t="str">
        <f t="shared" si="2"/>
        <v>1925-D Wheat Penny</v>
      </c>
      <c r="S104" t="str" cm="1">
        <f t="array" ref="S104">_xlfn.REGEXEXTRACT(E104, "[0-9]{1,5}")</f>
        <v>1925</v>
      </c>
      <c r="T104" t="s">
        <v>2442</v>
      </c>
      <c r="U104" t="s">
        <v>3896</v>
      </c>
    </row>
    <row r="105" spans="1:21">
      <c r="A105" s="136">
        <v>1</v>
      </c>
      <c r="B105" s="233">
        <v>1925</v>
      </c>
      <c r="C105" s="234" t="s">
        <v>13</v>
      </c>
      <c r="D105" s="234" t="s">
        <v>4920</v>
      </c>
      <c r="E105" s="244" t="s">
        <v>2716</v>
      </c>
      <c r="F105" s="244" t="s">
        <v>3753</v>
      </c>
      <c r="G105" s="235" t="s">
        <v>2580</v>
      </c>
      <c r="H105" s="236">
        <v>1</v>
      </c>
      <c r="I105" s="236">
        <v>1</v>
      </c>
      <c r="J105" s="233">
        <v>1</v>
      </c>
      <c r="K105" s="242"/>
      <c r="L105" s="235"/>
      <c r="M105" s="276"/>
      <c r="N105" s="279" t="s">
        <v>25</v>
      </c>
      <c r="O105" t="str">
        <f t="shared" si="2"/>
        <v>1925-D Wheat Penny</v>
      </c>
      <c r="S105" t="str" cm="1">
        <f t="array" ref="S105">_xlfn.REGEXEXTRACT(E105, "[0-9]{1,5}")</f>
        <v>1925</v>
      </c>
      <c r="T105" t="s">
        <v>2442</v>
      </c>
      <c r="U105" t="s">
        <v>3896</v>
      </c>
    </row>
    <row r="106" spans="1:21">
      <c r="A106" s="136">
        <v>1</v>
      </c>
      <c r="B106" s="233">
        <v>1926</v>
      </c>
      <c r="C106" s="234"/>
      <c r="D106" s="234" t="s">
        <v>4920</v>
      </c>
      <c r="E106" s="244" t="s">
        <v>2717</v>
      </c>
      <c r="F106" s="244" t="s">
        <v>3753</v>
      </c>
      <c r="G106" s="235" t="s">
        <v>2580</v>
      </c>
      <c r="H106" s="236">
        <v>0.3</v>
      </c>
      <c r="I106" s="236">
        <v>0.3</v>
      </c>
      <c r="J106" s="233">
        <v>1</v>
      </c>
      <c r="K106" s="242"/>
      <c r="L106" s="235"/>
      <c r="M106" s="276"/>
      <c r="N106" s="279" t="s">
        <v>25</v>
      </c>
      <c r="O106" t="str">
        <f t="shared" si="2"/>
        <v>1926 Wheat Penny</v>
      </c>
      <c r="S106" t="str" cm="1">
        <f t="array" ref="S106">_xlfn.REGEXEXTRACT(E106, "[0-9]{1,5}")</f>
        <v>1926</v>
      </c>
      <c r="T106" t="s">
        <v>2445</v>
      </c>
      <c r="U106" t="s">
        <v>3896</v>
      </c>
    </row>
    <row r="107" spans="1:21">
      <c r="A107" s="136">
        <v>1</v>
      </c>
      <c r="B107" s="233">
        <v>1926</v>
      </c>
      <c r="C107" s="234"/>
      <c r="D107" s="234" t="s">
        <v>4920</v>
      </c>
      <c r="E107" s="244" t="s">
        <v>2718</v>
      </c>
      <c r="F107" s="244" t="s">
        <v>3753</v>
      </c>
      <c r="G107" s="235" t="s">
        <v>2580</v>
      </c>
      <c r="H107" s="236">
        <v>0.3</v>
      </c>
      <c r="I107" s="236">
        <v>0.3</v>
      </c>
      <c r="J107" s="233">
        <v>1</v>
      </c>
      <c r="K107" s="242"/>
      <c r="L107" s="235"/>
      <c r="M107" s="276"/>
      <c r="N107" s="279" t="s">
        <v>25</v>
      </c>
      <c r="O107" t="str">
        <f t="shared" si="2"/>
        <v>1926 Wheat Penny</v>
      </c>
      <c r="S107" t="str" cm="1">
        <f t="array" ref="S107">_xlfn.REGEXEXTRACT(E107, "[0-9]{1,5}")</f>
        <v>1926</v>
      </c>
      <c r="T107" t="s">
        <v>2445</v>
      </c>
      <c r="U107" t="s">
        <v>3896</v>
      </c>
    </row>
    <row r="108" spans="1:21">
      <c r="A108" s="136">
        <v>1</v>
      </c>
      <c r="B108" s="233">
        <v>1926</v>
      </c>
      <c r="C108" s="234"/>
      <c r="D108" s="234" t="s">
        <v>4920</v>
      </c>
      <c r="E108" s="244" t="s">
        <v>2719</v>
      </c>
      <c r="F108" s="244" t="s">
        <v>3753</v>
      </c>
      <c r="G108" s="235" t="s">
        <v>2580</v>
      </c>
      <c r="H108" s="236">
        <v>0.15</v>
      </c>
      <c r="I108" s="236">
        <v>0.15</v>
      </c>
      <c r="J108" s="233">
        <v>1</v>
      </c>
      <c r="K108" s="242"/>
      <c r="L108" s="235"/>
      <c r="M108" s="276"/>
      <c r="N108" s="279" t="s">
        <v>25</v>
      </c>
      <c r="O108" t="str">
        <f t="shared" si="2"/>
        <v>1926 Wheat Penny</v>
      </c>
      <c r="S108" t="str" cm="1">
        <f t="array" ref="S108">_xlfn.REGEXEXTRACT(E108, "[0-9]{1,5}")</f>
        <v>1926</v>
      </c>
      <c r="T108" t="s">
        <v>2445</v>
      </c>
      <c r="U108" t="s">
        <v>3896</v>
      </c>
    </row>
    <row r="109" spans="1:21">
      <c r="A109" s="136">
        <v>1</v>
      </c>
      <c r="B109" s="233">
        <v>1926</v>
      </c>
      <c r="C109" s="234"/>
      <c r="D109" s="234" t="s">
        <v>4920</v>
      </c>
      <c r="E109" s="244" t="s">
        <v>2720</v>
      </c>
      <c r="F109" s="244" t="s">
        <v>3753</v>
      </c>
      <c r="G109" s="235" t="s">
        <v>2580</v>
      </c>
      <c r="H109" s="236">
        <v>0.2</v>
      </c>
      <c r="I109" s="236">
        <v>0.2</v>
      </c>
      <c r="J109" s="233">
        <v>1</v>
      </c>
      <c r="K109" s="242"/>
      <c r="L109" s="235"/>
      <c r="M109" s="276"/>
      <c r="N109" s="279" t="s">
        <v>25</v>
      </c>
      <c r="O109" t="str">
        <f t="shared" si="2"/>
        <v>1926 Wheat Penny</v>
      </c>
      <c r="S109" t="str" cm="1">
        <f t="array" ref="S109">_xlfn.REGEXEXTRACT(E109, "[0-9]{1,5}")</f>
        <v>1926</v>
      </c>
      <c r="T109" t="s">
        <v>2445</v>
      </c>
      <c r="U109" t="s">
        <v>3896</v>
      </c>
    </row>
    <row r="110" spans="1:21">
      <c r="A110" s="136">
        <v>1</v>
      </c>
      <c r="B110" s="233">
        <v>1926</v>
      </c>
      <c r="C110" s="234" t="s">
        <v>12</v>
      </c>
      <c r="D110" s="234" t="s">
        <v>4920</v>
      </c>
      <c r="E110" s="244" t="s">
        <v>2721</v>
      </c>
      <c r="F110" s="244" t="s">
        <v>3753</v>
      </c>
      <c r="G110" s="235" t="s">
        <v>2580</v>
      </c>
      <c r="H110" s="236">
        <v>0.01</v>
      </c>
      <c r="I110" s="236">
        <v>0</v>
      </c>
      <c r="J110" s="233">
        <v>1</v>
      </c>
      <c r="K110" s="242"/>
      <c r="L110" s="235"/>
      <c r="M110" s="276"/>
      <c r="N110" s="279" t="s">
        <v>25</v>
      </c>
      <c r="O110" t="str">
        <f t="shared" si="2"/>
        <v>1926-S Wheat Penny</v>
      </c>
      <c r="S110" t="str" cm="1">
        <f t="array" ref="S110">_xlfn.REGEXEXTRACT(E110, "[0-9]{1,5}")</f>
        <v>1926</v>
      </c>
      <c r="T110" t="s">
        <v>2445</v>
      </c>
      <c r="U110" t="s">
        <v>3896</v>
      </c>
    </row>
    <row r="111" spans="1:21">
      <c r="A111" s="136">
        <v>1</v>
      </c>
      <c r="B111" s="233">
        <v>1926</v>
      </c>
      <c r="C111" s="234" t="s">
        <v>13</v>
      </c>
      <c r="D111" s="234" t="s">
        <v>4920</v>
      </c>
      <c r="E111" s="244" t="s">
        <v>2722</v>
      </c>
      <c r="F111" s="244" t="s">
        <v>3753</v>
      </c>
      <c r="G111" s="235" t="s">
        <v>2580</v>
      </c>
      <c r="H111" s="236">
        <v>0.01</v>
      </c>
      <c r="I111" s="236">
        <v>0.01</v>
      </c>
      <c r="J111" s="233">
        <v>1</v>
      </c>
      <c r="K111" s="242"/>
      <c r="L111" s="235"/>
      <c r="M111" s="276"/>
      <c r="N111" s="279" t="s">
        <v>25</v>
      </c>
      <c r="O111" t="str">
        <f t="shared" si="2"/>
        <v>1926-D Wheat Penny</v>
      </c>
      <c r="S111" t="str" cm="1">
        <f t="array" ref="S111">_xlfn.REGEXEXTRACT(E111, "[0-9]{1,5}")</f>
        <v>1926</v>
      </c>
      <c r="T111" t="s">
        <v>2445</v>
      </c>
      <c r="U111" t="s">
        <v>3896</v>
      </c>
    </row>
    <row r="112" spans="1:21">
      <c r="A112" s="136">
        <v>1</v>
      </c>
      <c r="B112" s="233">
        <v>1927</v>
      </c>
      <c r="C112" s="234"/>
      <c r="D112" s="234" t="s">
        <v>4920</v>
      </c>
      <c r="E112" s="244" t="s">
        <v>2723</v>
      </c>
      <c r="F112" s="244" t="s">
        <v>3753</v>
      </c>
      <c r="G112" s="235" t="s">
        <v>2580</v>
      </c>
      <c r="H112" s="236">
        <v>0.27</v>
      </c>
      <c r="I112" s="236">
        <v>0.27</v>
      </c>
      <c r="J112" s="233">
        <v>1</v>
      </c>
      <c r="K112" s="242"/>
      <c r="L112" s="235"/>
      <c r="M112" s="276"/>
      <c r="N112" s="279" t="s">
        <v>25</v>
      </c>
      <c r="O112" t="str">
        <f t="shared" si="2"/>
        <v>1927 Wheat Penny</v>
      </c>
      <c r="S112" t="str" cm="1">
        <f t="array" ref="S112">_xlfn.REGEXEXTRACT(E112, "[0-9]{1,5}")</f>
        <v>1927</v>
      </c>
      <c r="T112" t="s">
        <v>2448</v>
      </c>
      <c r="U112" t="s">
        <v>3896</v>
      </c>
    </row>
    <row r="113" spans="1:21">
      <c r="A113" s="136">
        <v>1</v>
      </c>
      <c r="B113" s="233">
        <v>1927</v>
      </c>
      <c r="C113" s="234"/>
      <c r="D113" s="234" t="s">
        <v>4920</v>
      </c>
      <c r="E113" s="244" t="s">
        <v>2724</v>
      </c>
      <c r="F113" s="244" t="s">
        <v>3753</v>
      </c>
      <c r="G113" s="235" t="s">
        <v>2580</v>
      </c>
      <c r="H113" s="236">
        <v>0.3</v>
      </c>
      <c r="I113" s="236">
        <v>0.3</v>
      </c>
      <c r="J113" s="233">
        <v>1</v>
      </c>
      <c r="K113" s="242"/>
      <c r="L113" s="235"/>
      <c r="M113" s="276"/>
      <c r="N113" s="279" t="s">
        <v>25</v>
      </c>
      <c r="O113" t="str">
        <f t="shared" si="2"/>
        <v>1927 Wheat Penny</v>
      </c>
      <c r="S113" t="str" cm="1">
        <f t="array" ref="S113">_xlfn.REGEXEXTRACT(E113, "[0-9]{1,5}")</f>
        <v>1927</v>
      </c>
      <c r="T113" t="s">
        <v>2448</v>
      </c>
      <c r="U113" t="s">
        <v>3896</v>
      </c>
    </row>
    <row r="114" spans="1:21">
      <c r="A114" s="136">
        <v>1</v>
      </c>
      <c r="B114" s="233">
        <v>1927</v>
      </c>
      <c r="C114" s="234"/>
      <c r="D114" s="234" t="s">
        <v>4920</v>
      </c>
      <c r="E114" s="244" t="s">
        <v>2725</v>
      </c>
      <c r="F114" s="244" t="s">
        <v>3753</v>
      </c>
      <c r="G114" s="235" t="s">
        <v>2580</v>
      </c>
      <c r="H114" s="236">
        <v>0.2</v>
      </c>
      <c r="I114" s="236">
        <v>0.2</v>
      </c>
      <c r="J114" s="233">
        <v>1</v>
      </c>
      <c r="K114" s="242"/>
      <c r="L114" s="235"/>
      <c r="M114" s="276"/>
      <c r="N114" s="279" t="s">
        <v>25</v>
      </c>
      <c r="O114" t="str">
        <f t="shared" si="2"/>
        <v>1927 Wheat Penny</v>
      </c>
      <c r="S114" t="str" cm="1">
        <f t="array" ref="S114">_xlfn.REGEXEXTRACT(E114, "[0-9]{1,5}")</f>
        <v>1927</v>
      </c>
      <c r="T114" t="s">
        <v>2448</v>
      </c>
      <c r="U114" t="s">
        <v>3896</v>
      </c>
    </row>
    <row r="115" spans="1:21">
      <c r="A115" s="136">
        <v>1</v>
      </c>
      <c r="B115" s="233">
        <v>1927</v>
      </c>
      <c r="C115" s="234"/>
      <c r="D115" s="234" t="s">
        <v>4920</v>
      </c>
      <c r="E115" s="244" t="s">
        <v>2726</v>
      </c>
      <c r="F115" s="244" t="s">
        <v>3753</v>
      </c>
      <c r="G115" s="235" t="s">
        <v>2580</v>
      </c>
      <c r="H115" s="236">
        <v>0.2</v>
      </c>
      <c r="I115" s="236">
        <v>0.2</v>
      </c>
      <c r="J115" s="233">
        <v>1</v>
      </c>
      <c r="K115" s="242"/>
      <c r="L115" s="235"/>
      <c r="M115" s="276"/>
      <c r="N115" s="279" t="s">
        <v>25</v>
      </c>
      <c r="O115" t="str">
        <f t="shared" si="2"/>
        <v>1927 Wheat Penny</v>
      </c>
      <c r="S115" t="str" cm="1">
        <f t="array" ref="S115">_xlfn.REGEXEXTRACT(E115, "[0-9]{1,5}")</f>
        <v>1927</v>
      </c>
      <c r="T115" t="s">
        <v>2448</v>
      </c>
      <c r="U115" t="s">
        <v>3896</v>
      </c>
    </row>
    <row r="116" spans="1:21">
      <c r="A116" s="136">
        <v>1</v>
      </c>
      <c r="B116" s="233">
        <v>1927</v>
      </c>
      <c r="C116" s="234" t="s">
        <v>13</v>
      </c>
      <c r="D116" s="234" t="s">
        <v>4920</v>
      </c>
      <c r="E116" s="244" t="s">
        <v>2727</v>
      </c>
      <c r="F116" s="244" t="s">
        <v>3753</v>
      </c>
      <c r="G116" s="235" t="s">
        <v>2580</v>
      </c>
      <c r="H116" s="236">
        <v>0.2</v>
      </c>
      <c r="I116" s="236">
        <v>0.2</v>
      </c>
      <c r="J116" s="233">
        <v>1</v>
      </c>
      <c r="K116" s="242"/>
      <c r="L116" s="235"/>
      <c r="M116" s="276"/>
      <c r="N116" s="279" t="s">
        <v>25</v>
      </c>
      <c r="O116" t="str">
        <f t="shared" si="2"/>
        <v>1927-D Wheat Penny</v>
      </c>
      <c r="S116" t="str" cm="1">
        <f t="array" ref="S116">_xlfn.REGEXEXTRACT(E116, "[0-9]{1,5}")</f>
        <v>1927</v>
      </c>
      <c r="T116" t="s">
        <v>2448</v>
      </c>
      <c r="U116" t="s">
        <v>3896</v>
      </c>
    </row>
    <row r="117" spans="1:21">
      <c r="A117" s="136">
        <v>1</v>
      </c>
      <c r="B117" s="233">
        <v>1927</v>
      </c>
      <c r="C117" s="234" t="s">
        <v>12</v>
      </c>
      <c r="D117" s="234" t="s">
        <v>4920</v>
      </c>
      <c r="E117" s="244" t="s">
        <v>2728</v>
      </c>
      <c r="F117" s="244" t="s">
        <v>3753</v>
      </c>
      <c r="G117" s="235" t="s">
        <v>2580</v>
      </c>
      <c r="H117" s="236">
        <v>1</v>
      </c>
      <c r="I117" s="236">
        <v>1</v>
      </c>
      <c r="J117" s="233">
        <v>1</v>
      </c>
      <c r="K117" s="242"/>
      <c r="L117" s="235"/>
      <c r="M117" s="276"/>
      <c r="N117" s="279" t="s">
        <v>25</v>
      </c>
      <c r="O117" t="str">
        <f t="shared" si="2"/>
        <v>1927-S Wheat Penny</v>
      </c>
      <c r="S117" t="str" cm="1">
        <f t="array" ref="S117">_xlfn.REGEXEXTRACT(E117, "[0-9]{1,5}")</f>
        <v>1927</v>
      </c>
      <c r="T117" t="s">
        <v>2448</v>
      </c>
      <c r="U117" t="s">
        <v>3896</v>
      </c>
    </row>
    <row r="118" spans="1:21">
      <c r="A118" s="136">
        <v>1</v>
      </c>
      <c r="B118" s="233">
        <v>1927</v>
      </c>
      <c r="C118" s="234" t="s">
        <v>12</v>
      </c>
      <c r="D118" s="234" t="s">
        <v>4920</v>
      </c>
      <c r="E118" s="244" t="s">
        <v>2729</v>
      </c>
      <c r="F118" s="244" t="s">
        <v>3753</v>
      </c>
      <c r="G118" s="235" t="s">
        <v>2580</v>
      </c>
      <c r="H118" s="236">
        <v>1</v>
      </c>
      <c r="I118" s="236">
        <v>1</v>
      </c>
      <c r="J118" s="233">
        <v>1</v>
      </c>
      <c r="K118" s="242"/>
      <c r="L118" s="235"/>
      <c r="M118" s="276"/>
      <c r="N118" s="279" t="s">
        <v>25</v>
      </c>
      <c r="O118" t="str">
        <f t="shared" si="2"/>
        <v>1927-S Wheat Penny</v>
      </c>
      <c r="S118" t="str" cm="1">
        <f t="array" ref="S118">_xlfn.REGEXEXTRACT(E118, "[0-9]{1,5}")</f>
        <v>1927</v>
      </c>
      <c r="T118" t="s">
        <v>2448</v>
      </c>
      <c r="U118" t="s">
        <v>3896</v>
      </c>
    </row>
    <row r="119" spans="1:21">
      <c r="A119" s="136">
        <v>1</v>
      </c>
      <c r="B119" s="233">
        <v>1928</v>
      </c>
      <c r="C119" s="234" t="s">
        <v>12</v>
      </c>
      <c r="D119" s="234" t="s">
        <v>4920</v>
      </c>
      <c r="E119" s="244" t="s">
        <v>2730</v>
      </c>
      <c r="F119" s="244" t="s">
        <v>3753</v>
      </c>
      <c r="G119" s="235" t="s">
        <v>2580</v>
      </c>
      <c r="H119" s="236">
        <v>0.6</v>
      </c>
      <c r="I119" s="236">
        <v>0.6</v>
      </c>
      <c r="J119" s="233">
        <v>1</v>
      </c>
      <c r="K119" s="242"/>
      <c r="L119" s="235"/>
      <c r="M119" s="276"/>
      <c r="N119" s="279" t="s">
        <v>25</v>
      </c>
      <c r="O119" t="str">
        <f t="shared" si="2"/>
        <v>1928-S Wheat Penny</v>
      </c>
      <c r="S119" t="str" cm="1">
        <f t="array" ref="S119">_xlfn.REGEXEXTRACT(E119, "[0-9]{1,5}")</f>
        <v>1928</v>
      </c>
      <c r="T119" t="s">
        <v>2451</v>
      </c>
      <c r="U119" t="s">
        <v>3896</v>
      </c>
    </row>
    <row r="120" spans="1:21">
      <c r="A120" s="136">
        <v>1</v>
      </c>
      <c r="B120" s="233">
        <v>1928</v>
      </c>
      <c r="C120" s="234" t="s">
        <v>12</v>
      </c>
      <c r="D120" s="234" t="s">
        <v>4920</v>
      </c>
      <c r="E120" s="244" t="s">
        <v>2731</v>
      </c>
      <c r="F120" s="244" t="s">
        <v>3753</v>
      </c>
      <c r="G120" s="235" t="s">
        <v>2580</v>
      </c>
      <c r="H120" s="236">
        <v>0.01</v>
      </c>
      <c r="I120" s="236">
        <v>0.01</v>
      </c>
      <c r="J120" s="233">
        <v>1</v>
      </c>
      <c r="K120" s="242"/>
      <c r="L120" s="235"/>
      <c r="M120" s="276"/>
      <c r="N120" s="279" t="s">
        <v>25</v>
      </c>
      <c r="O120" t="str">
        <f t="shared" si="2"/>
        <v>1928-S Wheat Penny</v>
      </c>
      <c r="S120" t="str" cm="1">
        <f t="array" ref="S120">_xlfn.REGEXEXTRACT(E120, "[0-9]{1,5}")</f>
        <v>1928</v>
      </c>
      <c r="T120" t="s">
        <v>2451</v>
      </c>
      <c r="U120" t="s">
        <v>3896</v>
      </c>
    </row>
    <row r="121" spans="1:21">
      <c r="A121" s="136">
        <v>1</v>
      </c>
      <c r="B121" s="233">
        <v>1928</v>
      </c>
      <c r="C121" s="234" t="s">
        <v>13</v>
      </c>
      <c r="D121" s="234" t="s">
        <v>4920</v>
      </c>
      <c r="E121" s="244" t="s">
        <v>2732</v>
      </c>
      <c r="F121" s="244" t="s">
        <v>3753</v>
      </c>
      <c r="G121" s="235" t="s">
        <v>2580</v>
      </c>
      <c r="H121" s="236">
        <v>0.01</v>
      </c>
      <c r="I121" s="236">
        <v>0.01</v>
      </c>
      <c r="J121" s="233">
        <v>1</v>
      </c>
      <c r="K121" s="242"/>
      <c r="L121" s="235"/>
      <c r="M121" s="276"/>
      <c r="N121" s="279" t="s">
        <v>25</v>
      </c>
      <c r="O121" t="str">
        <f t="shared" si="2"/>
        <v>1928-D Wheat Penny</v>
      </c>
      <c r="S121" t="str" cm="1">
        <f t="array" ref="S121">_xlfn.REGEXEXTRACT(E121, "[0-9]{1,5}")</f>
        <v>1928</v>
      </c>
      <c r="T121" t="s">
        <v>2451</v>
      </c>
      <c r="U121" t="s">
        <v>3896</v>
      </c>
    </row>
    <row r="122" spans="1:21">
      <c r="A122" s="136">
        <v>1</v>
      </c>
      <c r="B122" s="233">
        <v>1928</v>
      </c>
      <c r="C122" s="234" t="s">
        <v>13</v>
      </c>
      <c r="D122" s="234" t="s">
        <v>4920</v>
      </c>
      <c r="E122" s="244" t="s">
        <v>2733</v>
      </c>
      <c r="F122" s="244" t="s">
        <v>3753</v>
      </c>
      <c r="G122" s="235" t="s">
        <v>2580</v>
      </c>
      <c r="H122" s="236">
        <v>0.4</v>
      </c>
      <c r="I122" s="236">
        <v>0.4</v>
      </c>
      <c r="J122" s="233">
        <v>1</v>
      </c>
      <c r="K122" s="242"/>
      <c r="L122" s="235"/>
      <c r="M122" s="276"/>
      <c r="N122" s="279" t="s">
        <v>25</v>
      </c>
      <c r="O122" t="str">
        <f t="shared" si="2"/>
        <v>1928-D Wheat Penny</v>
      </c>
      <c r="S122" t="str" cm="1">
        <f t="array" ref="S122">_xlfn.REGEXEXTRACT(E122, "[0-9]{1,5}")</f>
        <v>1928</v>
      </c>
      <c r="T122" t="s">
        <v>2451</v>
      </c>
      <c r="U122" t="s">
        <v>3896</v>
      </c>
    </row>
    <row r="123" spans="1:21">
      <c r="A123" s="136">
        <v>1</v>
      </c>
      <c r="B123" s="233">
        <v>1928</v>
      </c>
      <c r="C123" s="234"/>
      <c r="D123" s="234" t="s">
        <v>4920</v>
      </c>
      <c r="E123" s="244" t="s">
        <v>2734</v>
      </c>
      <c r="F123" s="244" t="s">
        <v>3753</v>
      </c>
      <c r="G123" s="235" t="s">
        <v>2580</v>
      </c>
      <c r="H123" s="236">
        <v>0.2</v>
      </c>
      <c r="I123" s="236">
        <v>0.2</v>
      </c>
      <c r="J123" s="233">
        <v>1</v>
      </c>
      <c r="K123" s="242"/>
      <c r="L123" s="235"/>
      <c r="M123" s="276"/>
      <c r="N123" s="279" t="s">
        <v>25</v>
      </c>
      <c r="O123" t="str">
        <f t="shared" si="2"/>
        <v>1928 Wheat Penny</v>
      </c>
      <c r="S123" t="str" cm="1">
        <f t="array" ref="S123">_xlfn.REGEXEXTRACT(E123, "[0-9]{1,5}")</f>
        <v>1928</v>
      </c>
      <c r="T123" t="s">
        <v>2451</v>
      </c>
      <c r="U123" t="s">
        <v>3896</v>
      </c>
    </row>
    <row r="124" spans="1:21">
      <c r="A124" s="136">
        <v>1</v>
      </c>
      <c r="B124" s="233">
        <v>1928</v>
      </c>
      <c r="C124" s="234"/>
      <c r="D124" s="234" t="s">
        <v>4920</v>
      </c>
      <c r="E124" s="244" t="s">
        <v>2735</v>
      </c>
      <c r="F124" s="244" t="s">
        <v>3753</v>
      </c>
      <c r="G124" s="235" t="s">
        <v>2580</v>
      </c>
      <c r="H124" s="236">
        <v>0.01</v>
      </c>
      <c r="I124" s="236">
        <v>0.01</v>
      </c>
      <c r="J124" s="233">
        <v>1</v>
      </c>
      <c r="K124" s="242"/>
      <c r="L124" s="235"/>
      <c r="M124" s="276"/>
      <c r="N124" s="279" t="s">
        <v>25</v>
      </c>
      <c r="O124" t="str">
        <f t="shared" si="2"/>
        <v>1928 Wheat Penny</v>
      </c>
      <c r="S124" t="str" cm="1">
        <f t="array" ref="S124">_xlfn.REGEXEXTRACT(E124, "[0-9]{1,5}")</f>
        <v>1928</v>
      </c>
      <c r="T124" t="s">
        <v>2451</v>
      </c>
      <c r="U124" t="s">
        <v>3896</v>
      </c>
    </row>
    <row r="125" spans="1:21">
      <c r="A125" s="136">
        <v>1</v>
      </c>
      <c r="B125" s="233">
        <v>1929</v>
      </c>
      <c r="C125" s="234"/>
      <c r="D125" s="234" t="s">
        <v>4920</v>
      </c>
      <c r="E125" s="244" t="s">
        <v>2736</v>
      </c>
      <c r="F125" s="244" t="s">
        <v>3753</v>
      </c>
      <c r="G125" s="235" t="s">
        <v>2580</v>
      </c>
      <c r="H125" s="236">
        <v>0.2</v>
      </c>
      <c r="I125" s="236">
        <v>0.2</v>
      </c>
      <c r="J125" s="233">
        <v>1</v>
      </c>
      <c r="K125" s="242"/>
      <c r="L125" s="235"/>
      <c r="M125" s="276"/>
      <c r="N125" s="279" t="s">
        <v>25</v>
      </c>
      <c r="O125" t="str">
        <f t="shared" si="2"/>
        <v>1929 Wheat Penny</v>
      </c>
      <c r="S125" t="str" cm="1">
        <f t="array" ref="S125">_xlfn.REGEXEXTRACT(E125, "[0-9]{1,5}")</f>
        <v>1929</v>
      </c>
      <c r="T125" t="s">
        <v>2454</v>
      </c>
      <c r="U125" t="s">
        <v>3896</v>
      </c>
    </row>
    <row r="126" spans="1:21">
      <c r="A126" s="136">
        <v>1</v>
      </c>
      <c r="B126" s="233">
        <v>1929</v>
      </c>
      <c r="C126" s="234" t="s">
        <v>12</v>
      </c>
      <c r="D126" s="234" t="s">
        <v>4920</v>
      </c>
      <c r="E126" s="244" t="s">
        <v>2737</v>
      </c>
      <c r="F126" s="244" t="s">
        <v>3753</v>
      </c>
      <c r="G126" s="235" t="s">
        <v>2580</v>
      </c>
      <c r="H126" s="236">
        <v>0.15</v>
      </c>
      <c r="I126" s="236">
        <v>0.15</v>
      </c>
      <c r="J126" s="233">
        <v>1</v>
      </c>
      <c r="K126" s="242"/>
      <c r="L126" s="235"/>
      <c r="M126" s="276"/>
      <c r="N126" s="279" t="s">
        <v>25</v>
      </c>
      <c r="O126" t="str">
        <f t="shared" si="2"/>
        <v>1929-S Wheat Penny</v>
      </c>
      <c r="S126" t="str" cm="1">
        <f t="array" ref="S126">_xlfn.REGEXEXTRACT(E126, "[0-9]{1,5}")</f>
        <v>1929</v>
      </c>
      <c r="T126" t="s">
        <v>2454</v>
      </c>
      <c r="U126" t="s">
        <v>3896</v>
      </c>
    </row>
    <row r="127" spans="1:21">
      <c r="A127" s="136">
        <v>1</v>
      </c>
      <c r="B127" s="233">
        <v>1929</v>
      </c>
      <c r="C127" s="234" t="s">
        <v>12</v>
      </c>
      <c r="D127" s="234" t="s">
        <v>4920</v>
      </c>
      <c r="E127" s="244" t="s">
        <v>2738</v>
      </c>
      <c r="F127" s="244" t="s">
        <v>3753</v>
      </c>
      <c r="G127" s="235" t="s">
        <v>2580</v>
      </c>
      <c r="H127" s="236">
        <v>0.01</v>
      </c>
      <c r="I127" s="236">
        <v>0</v>
      </c>
      <c r="J127" s="233">
        <v>1</v>
      </c>
      <c r="K127" s="242"/>
      <c r="L127" s="235"/>
      <c r="M127" s="276"/>
      <c r="N127" s="279" t="s">
        <v>25</v>
      </c>
      <c r="O127" t="str">
        <f t="shared" si="2"/>
        <v>1929-S Wheat Penny</v>
      </c>
      <c r="S127" t="str" cm="1">
        <f t="array" ref="S127">_xlfn.REGEXEXTRACT(E127, "[0-9]{1,5}")</f>
        <v>1929</v>
      </c>
      <c r="T127" t="s">
        <v>2454</v>
      </c>
      <c r="U127" t="s">
        <v>3896</v>
      </c>
    </row>
    <row r="128" spans="1:21">
      <c r="A128" s="136">
        <v>1</v>
      </c>
      <c r="B128" s="233">
        <v>1929</v>
      </c>
      <c r="C128" s="234" t="s">
        <v>12</v>
      </c>
      <c r="D128" s="234" t="s">
        <v>4920</v>
      </c>
      <c r="E128" s="244" t="s">
        <v>2739</v>
      </c>
      <c r="F128" s="244" t="s">
        <v>3753</v>
      </c>
      <c r="G128" s="235" t="s">
        <v>2580</v>
      </c>
      <c r="H128" s="236">
        <v>0.01</v>
      </c>
      <c r="I128" s="236">
        <v>0</v>
      </c>
      <c r="J128" s="233">
        <v>1</v>
      </c>
      <c r="K128" s="242"/>
      <c r="L128" s="235"/>
      <c r="M128" s="276"/>
      <c r="N128" s="279" t="s">
        <v>25</v>
      </c>
      <c r="O128" t="str">
        <f t="shared" si="2"/>
        <v>1929-S Wheat Penny</v>
      </c>
      <c r="S128" t="str" cm="1">
        <f t="array" ref="S128">_xlfn.REGEXEXTRACT(E128, "[0-9]{1,5}")</f>
        <v>1929</v>
      </c>
      <c r="T128" t="s">
        <v>2454</v>
      </c>
      <c r="U128" t="s">
        <v>3896</v>
      </c>
    </row>
    <row r="129" spans="1:21">
      <c r="A129" s="136">
        <v>1</v>
      </c>
      <c r="B129" s="233">
        <v>1929</v>
      </c>
      <c r="C129" s="234" t="s">
        <v>13</v>
      </c>
      <c r="D129" s="234" t="s">
        <v>4920</v>
      </c>
      <c r="E129" s="244" t="s">
        <v>2740</v>
      </c>
      <c r="F129" s="244" t="s">
        <v>3753</v>
      </c>
      <c r="G129" s="235" t="s">
        <v>2580</v>
      </c>
      <c r="H129" s="236">
        <v>0.01</v>
      </c>
      <c r="I129" s="236">
        <v>0.01</v>
      </c>
      <c r="J129" s="233">
        <v>1</v>
      </c>
      <c r="K129" s="242"/>
      <c r="L129" s="235"/>
      <c r="M129" s="276"/>
      <c r="N129" s="279" t="s">
        <v>25</v>
      </c>
      <c r="O129" t="str">
        <f t="shared" si="2"/>
        <v>1929-D Wheat Penny</v>
      </c>
      <c r="S129" t="str" cm="1">
        <f t="array" ref="S129">_xlfn.REGEXEXTRACT(E129, "[0-9]{1,5}")</f>
        <v>1929</v>
      </c>
      <c r="T129" t="s">
        <v>2454</v>
      </c>
      <c r="U129" t="s">
        <v>3896</v>
      </c>
    </row>
    <row r="130" spans="1:21">
      <c r="A130" s="136">
        <v>1</v>
      </c>
      <c r="B130" s="233">
        <v>1929</v>
      </c>
      <c r="C130" s="234" t="s">
        <v>13</v>
      </c>
      <c r="D130" s="234" t="s">
        <v>4920</v>
      </c>
      <c r="E130" s="244" t="s">
        <v>2741</v>
      </c>
      <c r="F130" s="244" t="s">
        <v>3753</v>
      </c>
      <c r="G130" s="235" t="s">
        <v>2580</v>
      </c>
      <c r="H130" s="236">
        <v>0.15</v>
      </c>
      <c r="I130" s="236">
        <v>0.15</v>
      </c>
      <c r="J130" s="233">
        <v>1</v>
      </c>
      <c r="K130" s="242"/>
      <c r="L130" s="235"/>
      <c r="M130" s="276"/>
      <c r="N130" s="279" t="s">
        <v>25</v>
      </c>
      <c r="O130" t="str">
        <f t="shared" si="2"/>
        <v>1929-D Wheat Penny</v>
      </c>
      <c r="S130" t="str" cm="1">
        <f t="array" ref="S130">_xlfn.REGEXEXTRACT(E130, "[0-9]{1,5}")</f>
        <v>1929</v>
      </c>
      <c r="T130" t="s">
        <v>2454</v>
      </c>
      <c r="U130" t="s">
        <v>3896</v>
      </c>
    </row>
    <row r="131" spans="1:21">
      <c r="A131" s="136">
        <v>1</v>
      </c>
      <c r="B131" s="233">
        <v>1929</v>
      </c>
      <c r="C131" s="234" t="s">
        <v>12</v>
      </c>
      <c r="D131" s="234" t="s">
        <v>4920</v>
      </c>
      <c r="E131" s="244" t="s">
        <v>2742</v>
      </c>
      <c r="F131" s="244" t="s">
        <v>3753</v>
      </c>
      <c r="G131" s="235" t="s">
        <v>2580</v>
      </c>
      <c r="H131" s="236">
        <v>0.15</v>
      </c>
      <c r="I131" s="236">
        <v>0.15</v>
      </c>
      <c r="J131" s="233">
        <v>1</v>
      </c>
      <c r="K131" s="242"/>
      <c r="L131" s="235"/>
      <c r="M131" s="276"/>
      <c r="N131" s="279" t="s">
        <v>25</v>
      </c>
      <c r="O131" t="str">
        <f t="shared" si="2"/>
        <v>1929-S Wheat Penny</v>
      </c>
      <c r="S131" t="str" cm="1">
        <f t="array" ref="S131">_xlfn.REGEXEXTRACT(E131, "[0-9]{1,5}")</f>
        <v>1929</v>
      </c>
      <c r="T131" t="s">
        <v>2454</v>
      </c>
      <c r="U131" t="s">
        <v>3896</v>
      </c>
    </row>
    <row r="132" spans="1:21">
      <c r="A132" s="136">
        <v>1</v>
      </c>
      <c r="B132" s="233">
        <v>1930</v>
      </c>
      <c r="C132" s="234"/>
      <c r="D132" s="234" t="s">
        <v>4920</v>
      </c>
      <c r="E132" s="244" t="s">
        <v>2743</v>
      </c>
      <c r="F132" s="244" t="s">
        <v>3753</v>
      </c>
      <c r="G132" s="235" t="s">
        <v>2580</v>
      </c>
      <c r="H132" s="236">
        <v>0.1</v>
      </c>
      <c r="I132" s="236">
        <v>0.1</v>
      </c>
      <c r="J132" s="233">
        <v>1</v>
      </c>
      <c r="K132" s="242"/>
      <c r="L132" s="235"/>
      <c r="M132" s="276"/>
      <c r="N132" s="279" t="s">
        <v>25</v>
      </c>
      <c r="O132" t="str">
        <f t="shared" ref="O132:O195" si="3">IF(C132&lt;&gt;"",B132&amp;"-"&amp;C132&amp;" "&amp;F132,B132&amp;" "&amp;F132)</f>
        <v>1930 Wheat Penny</v>
      </c>
      <c r="S132" t="str" cm="1">
        <f t="array" ref="S132">_xlfn.REGEXEXTRACT(E132, "[0-9]{1,5}")</f>
        <v>1930</v>
      </c>
      <c r="T132" t="s">
        <v>2457</v>
      </c>
      <c r="U132" t="s">
        <v>3896</v>
      </c>
    </row>
    <row r="133" spans="1:21">
      <c r="A133" s="136">
        <v>1</v>
      </c>
      <c r="B133" s="233">
        <v>1930</v>
      </c>
      <c r="C133" s="235" t="s">
        <v>13</v>
      </c>
      <c r="D133" s="234" t="s">
        <v>4920</v>
      </c>
      <c r="E133" s="244" t="s">
        <v>2744</v>
      </c>
      <c r="F133" s="244" t="s">
        <v>3753</v>
      </c>
      <c r="G133" s="235" t="s">
        <v>2580</v>
      </c>
      <c r="H133" s="236">
        <v>0.2</v>
      </c>
      <c r="I133" s="236">
        <v>0.2</v>
      </c>
      <c r="J133" s="233">
        <v>1</v>
      </c>
      <c r="K133" s="242"/>
      <c r="L133" s="235"/>
      <c r="M133" s="276"/>
      <c r="N133" s="279" t="s">
        <v>25</v>
      </c>
      <c r="O133" t="str">
        <f t="shared" si="3"/>
        <v>1930-D Wheat Penny</v>
      </c>
      <c r="S133" t="str" cm="1">
        <f t="array" ref="S133">_xlfn.REGEXEXTRACT(E133, "[0-9]{1,5}")</f>
        <v>1930</v>
      </c>
      <c r="T133" t="s">
        <v>2457</v>
      </c>
      <c r="U133" t="s">
        <v>3896</v>
      </c>
    </row>
    <row r="134" spans="1:21">
      <c r="A134" s="136">
        <v>1</v>
      </c>
      <c r="B134" s="233">
        <v>1930</v>
      </c>
      <c r="C134" s="235" t="s">
        <v>12</v>
      </c>
      <c r="D134" s="234" t="s">
        <v>4920</v>
      </c>
      <c r="E134" s="244" t="s">
        <v>2745</v>
      </c>
      <c r="F134" s="244" t="s">
        <v>3753</v>
      </c>
      <c r="G134" s="235" t="s">
        <v>2580</v>
      </c>
      <c r="H134" s="236">
        <v>0.15</v>
      </c>
      <c r="I134" s="236">
        <v>0.15</v>
      </c>
      <c r="J134" s="233">
        <v>1</v>
      </c>
      <c r="K134" s="242"/>
      <c r="L134" s="235"/>
      <c r="M134" s="276"/>
      <c r="N134" s="279" t="s">
        <v>25</v>
      </c>
      <c r="O134" t="str">
        <f t="shared" si="3"/>
        <v>1930-S Wheat Penny</v>
      </c>
      <c r="S134" t="str" cm="1">
        <f t="array" ref="S134">_xlfn.REGEXEXTRACT(E134, "[0-9]{1,5}")</f>
        <v>1930</v>
      </c>
      <c r="T134" t="s">
        <v>2457</v>
      </c>
      <c r="U134" t="s">
        <v>3896</v>
      </c>
    </row>
    <row r="135" spans="1:21">
      <c r="A135" s="136">
        <v>1</v>
      </c>
      <c r="B135" s="233">
        <v>1931</v>
      </c>
      <c r="C135" s="235" t="s">
        <v>13</v>
      </c>
      <c r="D135" s="234" t="s">
        <v>4920</v>
      </c>
      <c r="E135" s="244" t="s">
        <v>2746</v>
      </c>
      <c r="F135" s="244" t="s">
        <v>3753</v>
      </c>
      <c r="G135" s="235" t="s">
        <v>2580</v>
      </c>
      <c r="H135" s="236">
        <v>4.25</v>
      </c>
      <c r="I135" s="236">
        <v>4.25</v>
      </c>
      <c r="J135" s="233">
        <v>1</v>
      </c>
      <c r="K135" s="242"/>
      <c r="L135" s="235"/>
      <c r="M135" s="276"/>
      <c r="N135" s="279" t="s">
        <v>25</v>
      </c>
      <c r="O135" t="str">
        <f t="shared" si="3"/>
        <v>1931-D Wheat Penny</v>
      </c>
      <c r="S135" t="str" cm="1">
        <f t="array" ref="S135">_xlfn.REGEXEXTRACT(E135, "[0-9]{1,5}")</f>
        <v>1931</v>
      </c>
      <c r="T135" t="s">
        <v>4178</v>
      </c>
      <c r="U135" t="s">
        <v>3896</v>
      </c>
    </row>
    <row r="136" spans="1:21">
      <c r="A136" s="136">
        <v>1</v>
      </c>
      <c r="B136" s="233">
        <v>1931</v>
      </c>
      <c r="C136" s="235"/>
      <c r="D136" s="234" t="s">
        <v>4920</v>
      </c>
      <c r="E136" s="244" t="s">
        <v>2747</v>
      </c>
      <c r="F136" s="244" t="s">
        <v>3753</v>
      </c>
      <c r="G136" s="235" t="s">
        <v>2580</v>
      </c>
      <c r="H136" s="236">
        <v>0.4</v>
      </c>
      <c r="I136" s="236">
        <v>0.4</v>
      </c>
      <c r="J136" s="233">
        <v>1</v>
      </c>
      <c r="K136" s="242"/>
      <c r="L136" s="235"/>
      <c r="M136" s="276"/>
      <c r="N136" s="279" t="s">
        <v>25</v>
      </c>
      <c r="O136" t="str">
        <f t="shared" si="3"/>
        <v>1931 Wheat Penny</v>
      </c>
      <c r="S136" t="str" cm="1">
        <f t="array" ref="S136">_xlfn.REGEXEXTRACT(E136, "[0-9]{1,5}")</f>
        <v>1931</v>
      </c>
      <c r="T136" t="s">
        <v>4178</v>
      </c>
      <c r="U136" t="s">
        <v>3896</v>
      </c>
    </row>
    <row r="137" spans="1:21">
      <c r="A137" s="136">
        <v>1</v>
      </c>
      <c r="B137" s="233">
        <v>1931</v>
      </c>
      <c r="C137" s="235"/>
      <c r="D137" s="234" t="s">
        <v>4920</v>
      </c>
      <c r="E137" s="244" t="s">
        <v>2748</v>
      </c>
      <c r="F137" s="244" t="s">
        <v>3753</v>
      </c>
      <c r="G137" s="235" t="s">
        <v>2580</v>
      </c>
      <c r="H137" s="236">
        <v>0.75</v>
      </c>
      <c r="I137" s="236">
        <v>0.75</v>
      </c>
      <c r="J137" s="233">
        <v>1</v>
      </c>
      <c r="K137" s="242"/>
      <c r="L137" s="235"/>
      <c r="M137" s="276"/>
      <c r="N137" s="279" t="s">
        <v>25</v>
      </c>
      <c r="O137" t="str">
        <f t="shared" si="3"/>
        <v>1931 Wheat Penny</v>
      </c>
      <c r="S137" t="str" cm="1">
        <f t="array" ref="S137">_xlfn.REGEXEXTRACT(E137, "[0-9]{1,5}")</f>
        <v>1931</v>
      </c>
      <c r="T137" t="s">
        <v>4178</v>
      </c>
      <c r="U137" t="s">
        <v>3896</v>
      </c>
    </row>
    <row r="138" spans="1:21">
      <c r="A138" s="136">
        <v>1</v>
      </c>
      <c r="B138" s="233">
        <v>1932</v>
      </c>
      <c r="C138" s="235"/>
      <c r="D138" s="234" t="s">
        <v>4920</v>
      </c>
      <c r="E138" s="244" t="s">
        <v>2749</v>
      </c>
      <c r="F138" s="244" t="s">
        <v>3753</v>
      </c>
      <c r="G138" s="235" t="s">
        <v>2580</v>
      </c>
      <c r="H138" s="236">
        <v>1.75</v>
      </c>
      <c r="I138" s="236">
        <v>1.75</v>
      </c>
      <c r="J138" s="233">
        <v>1</v>
      </c>
      <c r="K138" s="242"/>
      <c r="L138" s="235"/>
      <c r="M138" s="276"/>
      <c r="N138" s="279" t="s">
        <v>25</v>
      </c>
      <c r="O138" t="str">
        <f t="shared" si="3"/>
        <v>1932 Wheat Penny</v>
      </c>
      <c r="S138" t="str" cm="1">
        <f t="array" ref="S138">_xlfn.REGEXEXTRACT(E138, "[0-9]{1,5}")</f>
        <v>1932</v>
      </c>
      <c r="T138" t="s">
        <v>4179</v>
      </c>
      <c r="U138" t="s">
        <v>3896</v>
      </c>
    </row>
    <row r="139" spans="1:21">
      <c r="A139" s="136">
        <v>1</v>
      </c>
      <c r="B139" s="233">
        <v>1932</v>
      </c>
      <c r="C139" s="235" t="s">
        <v>13</v>
      </c>
      <c r="D139" s="234" t="s">
        <v>4920</v>
      </c>
      <c r="E139" s="244" t="s">
        <v>2750</v>
      </c>
      <c r="F139" s="244" t="s">
        <v>3753</v>
      </c>
      <c r="G139" s="235" t="s">
        <v>2580</v>
      </c>
      <c r="H139" s="236">
        <v>0.8</v>
      </c>
      <c r="I139" s="236">
        <v>0.8</v>
      </c>
      <c r="J139" s="233">
        <v>1</v>
      </c>
      <c r="K139" s="242"/>
      <c r="L139" s="235"/>
      <c r="M139" s="276"/>
      <c r="N139" s="279" t="s">
        <v>25</v>
      </c>
      <c r="O139" t="str">
        <f t="shared" si="3"/>
        <v>1932-D Wheat Penny</v>
      </c>
      <c r="S139" t="str" cm="1">
        <f t="array" ref="S139">_xlfn.REGEXEXTRACT(E139, "[0-9]{1,5}")</f>
        <v>1932</v>
      </c>
      <c r="T139" t="s">
        <v>4179</v>
      </c>
      <c r="U139" t="s">
        <v>3896</v>
      </c>
    </row>
    <row r="140" spans="1:21">
      <c r="A140" s="136">
        <v>1</v>
      </c>
      <c r="B140" s="233">
        <v>1933</v>
      </c>
      <c r="C140" s="235"/>
      <c r="D140" s="234" t="s">
        <v>4920</v>
      </c>
      <c r="E140" s="244" t="s">
        <v>2751</v>
      </c>
      <c r="F140" s="244" t="s">
        <v>3753</v>
      </c>
      <c r="G140" s="235" t="s">
        <v>2580</v>
      </c>
      <c r="H140" s="236">
        <v>2.75</v>
      </c>
      <c r="I140" s="236">
        <v>2.75</v>
      </c>
      <c r="J140" s="233">
        <v>1</v>
      </c>
      <c r="K140" s="242"/>
      <c r="L140" s="235"/>
      <c r="M140" s="276"/>
      <c r="N140" s="279" t="s">
        <v>25</v>
      </c>
      <c r="O140" t="str">
        <f t="shared" si="3"/>
        <v>1933 Wheat Penny</v>
      </c>
      <c r="S140" t="str" cm="1">
        <f t="array" ref="S140">_xlfn.REGEXEXTRACT(E140, "[0-9]{1,5}")</f>
        <v>1933</v>
      </c>
      <c r="T140" t="s">
        <v>4180</v>
      </c>
      <c r="U140" t="s">
        <v>3896</v>
      </c>
    </row>
    <row r="141" spans="1:21">
      <c r="A141" s="136">
        <v>1</v>
      </c>
      <c r="B141" s="233">
        <v>1933</v>
      </c>
      <c r="C141" s="235" t="s">
        <v>13</v>
      </c>
      <c r="D141" s="234" t="s">
        <v>4920</v>
      </c>
      <c r="E141" s="244" t="s">
        <v>2752</v>
      </c>
      <c r="F141" s="244" t="s">
        <v>3753</v>
      </c>
      <c r="G141" s="235" t="s">
        <v>2580</v>
      </c>
      <c r="H141" s="236">
        <v>3.5</v>
      </c>
      <c r="I141" s="236">
        <v>3.5</v>
      </c>
      <c r="J141" s="233">
        <v>1</v>
      </c>
      <c r="K141" s="242"/>
      <c r="L141" s="235"/>
      <c r="M141" s="276"/>
      <c r="N141" s="279" t="s">
        <v>25</v>
      </c>
      <c r="O141" t="str">
        <f t="shared" si="3"/>
        <v>1933-D Wheat Penny</v>
      </c>
      <c r="S141" t="str" cm="1">
        <f t="array" ref="S141">_xlfn.REGEXEXTRACT(E141, "[0-9]{1,5}")</f>
        <v>1933</v>
      </c>
      <c r="T141" t="s">
        <v>4180</v>
      </c>
      <c r="U141" t="s">
        <v>3896</v>
      </c>
    </row>
    <row r="142" spans="1:21">
      <c r="A142" s="136">
        <v>1</v>
      </c>
      <c r="B142" s="233">
        <v>1933</v>
      </c>
      <c r="C142" s="235" t="s">
        <v>13</v>
      </c>
      <c r="D142" s="234" t="s">
        <v>4920</v>
      </c>
      <c r="E142" s="244" t="s">
        <v>2753</v>
      </c>
      <c r="F142" s="244" t="s">
        <v>3753</v>
      </c>
      <c r="G142" s="235" t="s">
        <v>2580</v>
      </c>
      <c r="H142" s="236">
        <v>3.5</v>
      </c>
      <c r="I142" s="236">
        <v>3.5</v>
      </c>
      <c r="J142" s="233">
        <v>1</v>
      </c>
      <c r="K142" s="242"/>
      <c r="L142" s="235"/>
      <c r="M142" s="276"/>
      <c r="N142" s="279" t="s">
        <v>25</v>
      </c>
      <c r="O142" t="str">
        <f t="shared" si="3"/>
        <v>1933-D Wheat Penny</v>
      </c>
      <c r="S142" t="str" cm="1">
        <f t="array" ref="S142">_xlfn.REGEXEXTRACT(E142, "[0-9]{1,5}")</f>
        <v>1933</v>
      </c>
      <c r="T142" t="s">
        <v>4180</v>
      </c>
      <c r="U142" t="s">
        <v>3896</v>
      </c>
    </row>
    <row r="143" spans="1:21">
      <c r="A143" s="136">
        <v>1</v>
      </c>
      <c r="B143" s="233">
        <v>1934</v>
      </c>
      <c r="C143" s="235"/>
      <c r="D143" s="234" t="s">
        <v>4920</v>
      </c>
      <c r="E143" s="244" t="s">
        <v>2754</v>
      </c>
      <c r="F143" s="244" t="s">
        <v>3753</v>
      </c>
      <c r="G143" s="235" t="s">
        <v>2580</v>
      </c>
      <c r="H143" s="236">
        <v>0.3</v>
      </c>
      <c r="I143" s="236">
        <v>0.3</v>
      </c>
      <c r="J143" s="233">
        <v>1</v>
      </c>
      <c r="K143" s="242"/>
      <c r="L143" s="235"/>
      <c r="M143" s="276"/>
      <c r="N143" s="279" t="s">
        <v>25</v>
      </c>
      <c r="O143" t="str">
        <f t="shared" si="3"/>
        <v>1934 Wheat Penny</v>
      </c>
      <c r="S143" t="str" cm="1">
        <f t="array" ref="S143">_xlfn.REGEXEXTRACT(E143, "[0-9]{1,5}")</f>
        <v>1934</v>
      </c>
      <c r="T143" t="s">
        <v>2460</v>
      </c>
      <c r="U143" t="s">
        <v>3896</v>
      </c>
    </row>
    <row r="144" spans="1:21">
      <c r="A144" s="136">
        <v>1</v>
      </c>
      <c r="B144" s="233">
        <v>1934</v>
      </c>
      <c r="C144" s="235" t="s">
        <v>13</v>
      </c>
      <c r="D144" s="234" t="s">
        <v>4920</v>
      </c>
      <c r="E144" s="244" t="s">
        <v>2755</v>
      </c>
      <c r="F144" s="244" t="s">
        <v>3753</v>
      </c>
      <c r="G144" s="235" t="s">
        <v>2580</v>
      </c>
      <c r="H144" s="236">
        <v>0.25</v>
      </c>
      <c r="I144" s="236">
        <v>0.1</v>
      </c>
      <c r="J144" s="233">
        <v>1</v>
      </c>
      <c r="K144" s="242"/>
      <c r="L144" s="235"/>
      <c r="M144" s="276"/>
      <c r="N144" s="279" t="s">
        <v>25</v>
      </c>
      <c r="O144" t="str">
        <f t="shared" si="3"/>
        <v>1934-D Wheat Penny</v>
      </c>
      <c r="S144" t="str" cm="1">
        <f t="array" ref="S144">_xlfn.REGEXEXTRACT(E144, "[0-9]{1,5}")</f>
        <v>1934</v>
      </c>
      <c r="T144" t="s">
        <v>2460</v>
      </c>
      <c r="U144" t="s">
        <v>3896</v>
      </c>
    </row>
    <row r="145" spans="1:21">
      <c r="A145" s="136">
        <v>1</v>
      </c>
      <c r="B145" s="233">
        <v>1934</v>
      </c>
      <c r="C145" s="235"/>
      <c r="D145" s="234" t="s">
        <v>4920</v>
      </c>
      <c r="E145" s="244" t="s">
        <v>2756</v>
      </c>
      <c r="F145" s="244" t="s">
        <v>3753</v>
      </c>
      <c r="G145" s="235" t="s">
        <v>2580</v>
      </c>
      <c r="H145" s="236">
        <v>0.01</v>
      </c>
      <c r="I145" s="236">
        <v>0.01</v>
      </c>
      <c r="J145" s="233">
        <v>1</v>
      </c>
      <c r="K145" s="242"/>
      <c r="L145" s="235"/>
      <c r="M145" s="276"/>
      <c r="N145" s="279" t="s">
        <v>25</v>
      </c>
      <c r="O145" t="str">
        <f t="shared" si="3"/>
        <v>1934 Wheat Penny</v>
      </c>
      <c r="S145" t="str" cm="1">
        <f t="array" ref="S145">_xlfn.REGEXEXTRACT(E145, "[0-9]{1,5}")</f>
        <v>1934</v>
      </c>
      <c r="T145" t="s">
        <v>2460</v>
      </c>
      <c r="U145" t="s">
        <v>3896</v>
      </c>
    </row>
    <row r="146" spans="1:21">
      <c r="A146" s="136">
        <v>1</v>
      </c>
      <c r="B146" s="233">
        <v>1934</v>
      </c>
      <c r="C146" s="235"/>
      <c r="D146" s="234" t="s">
        <v>4920</v>
      </c>
      <c r="E146" s="244" t="s">
        <v>2757</v>
      </c>
      <c r="F146" s="244" t="s">
        <v>3753</v>
      </c>
      <c r="G146" s="235" t="s">
        <v>2580</v>
      </c>
      <c r="H146" s="236">
        <v>0.01</v>
      </c>
      <c r="I146" s="236">
        <v>0.01</v>
      </c>
      <c r="J146" s="233">
        <v>1</v>
      </c>
      <c r="K146" s="242"/>
      <c r="L146" s="235"/>
      <c r="M146" s="276"/>
      <c r="N146" s="279" t="s">
        <v>25</v>
      </c>
      <c r="O146" t="str">
        <f t="shared" si="3"/>
        <v>1934 Wheat Penny</v>
      </c>
      <c r="S146" t="str" cm="1">
        <f t="array" ref="S146">_xlfn.REGEXEXTRACT(E146, "[0-9]{1,5}")</f>
        <v>1934</v>
      </c>
      <c r="T146" t="s">
        <v>2460</v>
      </c>
      <c r="U146" t="s">
        <v>3896</v>
      </c>
    </row>
    <row r="147" spans="1:21">
      <c r="A147" s="136">
        <v>1</v>
      </c>
      <c r="B147" s="233">
        <v>1935</v>
      </c>
      <c r="C147" s="235"/>
      <c r="D147" s="234" t="s">
        <v>4920</v>
      </c>
      <c r="E147" s="244" t="s">
        <v>2758</v>
      </c>
      <c r="F147" s="244" t="s">
        <v>3753</v>
      </c>
      <c r="G147" s="235" t="s">
        <v>2580</v>
      </c>
      <c r="H147" s="236">
        <v>0.2</v>
      </c>
      <c r="I147" s="236">
        <v>0.2</v>
      </c>
      <c r="J147" s="233">
        <v>1</v>
      </c>
      <c r="K147" s="242"/>
      <c r="L147" s="235"/>
      <c r="M147" s="276"/>
      <c r="N147" s="279" t="s">
        <v>25</v>
      </c>
      <c r="O147" t="str">
        <f t="shared" si="3"/>
        <v>1935 Wheat Penny</v>
      </c>
      <c r="S147" t="str" cm="1">
        <f t="array" ref="S147">_xlfn.REGEXEXTRACT(E147, "[0-9]{1,5}")</f>
        <v>1935</v>
      </c>
      <c r="T147" t="s">
        <v>2462</v>
      </c>
      <c r="U147" t="s">
        <v>3896</v>
      </c>
    </row>
    <row r="148" spans="1:21">
      <c r="A148" s="136">
        <v>1</v>
      </c>
      <c r="B148" s="233">
        <v>1935</v>
      </c>
      <c r="C148" s="235" t="s">
        <v>17</v>
      </c>
      <c r="D148" s="234" t="s">
        <v>4920</v>
      </c>
      <c r="E148" s="244" t="s">
        <v>2759</v>
      </c>
      <c r="F148" s="244" t="s">
        <v>3753</v>
      </c>
      <c r="G148" s="235" t="s">
        <v>2580</v>
      </c>
      <c r="H148" s="236">
        <v>0.25</v>
      </c>
      <c r="I148" s="236">
        <v>0.25</v>
      </c>
      <c r="J148" s="233">
        <v>1</v>
      </c>
      <c r="K148" s="242"/>
      <c r="L148" s="235"/>
      <c r="M148" s="276"/>
      <c r="N148" s="279" t="s">
        <v>25</v>
      </c>
      <c r="O148" t="str">
        <f t="shared" si="3"/>
        <v>1935-D  Wheat Penny</v>
      </c>
      <c r="S148" t="str" cm="1">
        <f t="array" ref="S148">_xlfn.REGEXEXTRACT(E148, "[0-9]{1,5}")</f>
        <v>1935</v>
      </c>
      <c r="T148" t="s">
        <v>2462</v>
      </c>
      <c r="U148" t="s">
        <v>3896</v>
      </c>
    </row>
    <row r="149" spans="1:21">
      <c r="A149" s="136">
        <v>1</v>
      </c>
      <c r="B149" s="233">
        <v>1935</v>
      </c>
      <c r="C149" s="235" t="s">
        <v>12</v>
      </c>
      <c r="D149" s="234" t="s">
        <v>4920</v>
      </c>
      <c r="E149" s="244" t="s">
        <v>2760</v>
      </c>
      <c r="F149" s="244" t="s">
        <v>3753</v>
      </c>
      <c r="G149" s="235" t="s">
        <v>2580</v>
      </c>
      <c r="H149" s="236">
        <v>0.2</v>
      </c>
      <c r="I149" s="236">
        <v>0.2</v>
      </c>
      <c r="J149" s="233">
        <v>1</v>
      </c>
      <c r="K149" s="242"/>
      <c r="L149" s="235"/>
      <c r="M149" s="276"/>
      <c r="N149" s="279" t="s">
        <v>25</v>
      </c>
      <c r="O149" t="str">
        <f t="shared" si="3"/>
        <v>1935-S Wheat Penny</v>
      </c>
      <c r="S149" t="str" cm="1">
        <f t="array" ref="S149">_xlfn.REGEXEXTRACT(E149, "[0-9]{1,5}")</f>
        <v>1935</v>
      </c>
      <c r="T149" t="s">
        <v>2462</v>
      </c>
      <c r="U149" t="s">
        <v>3896</v>
      </c>
    </row>
    <row r="150" spans="1:21">
      <c r="A150" s="136">
        <v>1</v>
      </c>
      <c r="B150" s="233">
        <v>1935</v>
      </c>
      <c r="C150" s="235"/>
      <c r="D150" s="234" t="s">
        <v>4920</v>
      </c>
      <c r="E150" s="244" t="s">
        <v>2761</v>
      </c>
      <c r="F150" s="244" t="s">
        <v>3753</v>
      </c>
      <c r="G150" s="235" t="s">
        <v>2580</v>
      </c>
      <c r="H150" s="236">
        <v>0.01</v>
      </c>
      <c r="I150" s="236">
        <v>0.01</v>
      </c>
      <c r="J150" s="233">
        <v>1</v>
      </c>
      <c r="K150" s="242"/>
      <c r="L150" s="235"/>
      <c r="M150" s="276"/>
      <c r="N150" s="279" t="s">
        <v>25</v>
      </c>
      <c r="O150" t="str">
        <f t="shared" si="3"/>
        <v>1935 Wheat Penny</v>
      </c>
      <c r="S150" t="str" cm="1">
        <f t="array" ref="S150">_xlfn.REGEXEXTRACT(E150, "[0-9]{1,5}")</f>
        <v>1935</v>
      </c>
      <c r="T150" t="s">
        <v>2462</v>
      </c>
      <c r="U150" t="s">
        <v>3896</v>
      </c>
    </row>
    <row r="151" spans="1:21">
      <c r="A151" s="136">
        <v>1</v>
      </c>
      <c r="B151" s="233">
        <v>1936</v>
      </c>
      <c r="C151" s="234"/>
      <c r="D151" s="234" t="s">
        <v>4920</v>
      </c>
      <c r="E151" s="244" t="s">
        <v>2762</v>
      </c>
      <c r="F151" s="244" t="s">
        <v>3753</v>
      </c>
      <c r="G151" s="235" t="s">
        <v>2580</v>
      </c>
      <c r="H151" s="236">
        <v>0.15</v>
      </c>
      <c r="I151" s="236">
        <v>0.15</v>
      </c>
      <c r="J151" s="233">
        <v>1</v>
      </c>
      <c r="K151" s="242"/>
      <c r="L151" s="235"/>
      <c r="M151" s="276"/>
      <c r="N151" s="279" t="s">
        <v>25</v>
      </c>
      <c r="O151" t="str">
        <f t="shared" si="3"/>
        <v>1936 Wheat Penny</v>
      </c>
      <c r="S151" t="str" cm="1">
        <f t="array" ref="S151">_xlfn.REGEXEXTRACT(E151, "[0-9]{1,5}")</f>
        <v>1936</v>
      </c>
      <c r="T151" t="s">
        <v>2465</v>
      </c>
      <c r="U151" t="s">
        <v>3896</v>
      </c>
    </row>
    <row r="152" spans="1:21">
      <c r="A152" s="136">
        <v>1</v>
      </c>
      <c r="B152" s="233">
        <v>1936</v>
      </c>
      <c r="C152" s="234"/>
      <c r="D152" s="234" t="s">
        <v>4920</v>
      </c>
      <c r="E152" s="244" t="s">
        <v>2763</v>
      </c>
      <c r="F152" s="244" t="s">
        <v>3753</v>
      </c>
      <c r="G152" s="235" t="s">
        <v>2580</v>
      </c>
      <c r="H152" s="236">
        <v>0.15</v>
      </c>
      <c r="I152" s="236">
        <v>0.15</v>
      </c>
      <c r="J152" s="233">
        <v>1</v>
      </c>
      <c r="K152" s="242"/>
      <c r="L152" s="235"/>
      <c r="M152" s="276"/>
      <c r="N152" s="279" t="s">
        <v>25</v>
      </c>
      <c r="O152" t="str">
        <f t="shared" si="3"/>
        <v>1936 Wheat Penny</v>
      </c>
      <c r="S152" t="str" cm="1">
        <f t="array" ref="S152">_xlfn.REGEXEXTRACT(E152, "[0-9]{1,5}")</f>
        <v>1936</v>
      </c>
      <c r="T152" t="s">
        <v>2465</v>
      </c>
      <c r="U152" t="s">
        <v>3896</v>
      </c>
    </row>
    <row r="153" spans="1:21">
      <c r="A153" s="136">
        <v>1</v>
      </c>
      <c r="B153" s="233">
        <v>1936</v>
      </c>
      <c r="C153" s="234"/>
      <c r="D153" s="234" t="s">
        <v>4920</v>
      </c>
      <c r="E153" s="244" t="s">
        <v>2764</v>
      </c>
      <c r="F153" s="244" t="s">
        <v>3753</v>
      </c>
      <c r="G153" s="235" t="s">
        <v>2580</v>
      </c>
      <c r="H153" s="236">
        <v>0.2</v>
      </c>
      <c r="I153" s="236">
        <v>0.2</v>
      </c>
      <c r="J153" s="233">
        <v>1</v>
      </c>
      <c r="K153" s="242"/>
      <c r="L153" s="235"/>
      <c r="M153" s="276"/>
      <c r="N153" s="279" t="s">
        <v>25</v>
      </c>
      <c r="O153" t="str">
        <f t="shared" si="3"/>
        <v>1936 Wheat Penny</v>
      </c>
      <c r="S153" t="str" cm="1">
        <f t="array" ref="S153">_xlfn.REGEXEXTRACT(E153, "[0-9]{1,5}")</f>
        <v>1936</v>
      </c>
      <c r="T153" t="s">
        <v>2465</v>
      </c>
      <c r="U153" t="s">
        <v>3896</v>
      </c>
    </row>
    <row r="154" spans="1:21">
      <c r="A154" s="136">
        <v>1</v>
      </c>
      <c r="B154" s="233">
        <v>1936</v>
      </c>
      <c r="C154" s="234"/>
      <c r="D154" s="234" t="s">
        <v>4920</v>
      </c>
      <c r="E154" s="244" t="s">
        <v>2765</v>
      </c>
      <c r="F154" s="244" t="s">
        <v>3753</v>
      </c>
      <c r="G154" s="235" t="s">
        <v>2580</v>
      </c>
      <c r="H154" s="236">
        <v>0.2</v>
      </c>
      <c r="I154" s="236">
        <v>0.2</v>
      </c>
      <c r="J154" s="233">
        <v>1</v>
      </c>
      <c r="K154" s="242"/>
      <c r="L154" s="235"/>
      <c r="M154" s="276"/>
      <c r="N154" s="279" t="s">
        <v>25</v>
      </c>
      <c r="O154" t="str">
        <f t="shared" si="3"/>
        <v>1936 Wheat Penny</v>
      </c>
      <c r="S154" t="str" cm="1">
        <f t="array" ref="S154">_xlfn.REGEXEXTRACT(E154, "[0-9]{1,5}")</f>
        <v>1936</v>
      </c>
      <c r="T154" t="s">
        <v>2465</v>
      </c>
      <c r="U154" t="s">
        <v>3896</v>
      </c>
    </row>
    <row r="155" spans="1:21">
      <c r="A155" s="136">
        <v>1</v>
      </c>
      <c r="B155" s="233">
        <v>1936</v>
      </c>
      <c r="C155" s="234"/>
      <c r="D155" s="234" t="s">
        <v>4920</v>
      </c>
      <c r="E155" s="244" t="s">
        <v>2766</v>
      </c>
      <c r="F155" s="244" t="s">
        <v>3753</v>
      </c>
      <c r="G155" s="235" t="s">
        <v>2580</v>
      </c>
      <c r="H155" s="236">
        <v>0.1</v>
      </c>
      <c r="I155" s="236">
        <v>0.1</v>
      </c>
      <c r="J155" s="233">
        <v>1</v>
      </c>
      <c r="K155" s="242"/>
      <c r="L155" s="235"/>
      <c r="M155" s="276"/>
      <c r="N155" s="279" t="s">
        <v>25</v>
      </c>
      <c r="O155" t="str">
        <f t="shared" si="3"/>
        <v>1936 Wheat Penny</v>
      </c>
      <c r="S155" t="str" cm="1">
        <f t="array" ref="S155">_xlfn.REGEXEXTRACT(E155, "[0-9]{1,5}")</f>
        <v>1936</v>
      </c>
      <c r="T155" t="s">
        <v>2465</v>
      </c>
      <c r="U155" t="s">
        <v>3896</v>
      </c>
    </row>
    <row r="156" spans="1:21">
      <c r="A156" s="136">
        <v>1</v>
      </c>
      <c r="B156" s="233">
        <v>1936</v>
      </c>
      <c r="C156" s="234"/>
      <c r="D156" s="234" t="s">
        <v>4920</v>
      </c>
      <c r="E156" s="244" t="s">
        <v>2767</v>
      </c>
      <c r="F156" s="244" t="s">
        <v>3753</v>
      </c>
      <c r="G156" s="235" t="s">
        <v>2580</v>
      </c>
      <c r="H156" s="236">
        <v>0.2</v>
      </c>
      <c r="I156" s="236">
        <v>0.2</v>
      </c>
      <c r="J156" s="233">
        <v>1</v>
      </c>
      <c r="K156" s="242"/>
      <c r="L156" s="235"/>
      <c r="M156" s="276"/>
      <c r="N156" s="279" t="s">
        <v>25</v>
      </c>
      <c r="O156" t="str">
        <f t="shared" si="3"/>
        <v>1936 Wheat Penny</v>
      </c>
      <c r="S156" t="str" cm="1">
        <f t="array" ref="S156">_xlfn.REGEXEXTRACT(E156, "[0-9]{1,5}")</f>
        <v>1936</v>
      </c>
      <c r="T156" t="s">
        <v>2465</v>
      </c>
      <c r="U156" t="s">
        <v>3896</v>
      </c>
    </row>
    <row r="157" spans="1:21">
      <c r="A157" s="136">
        <v>1</v>
      </c>
      <c r="B157" s="233">
        <v>1936</v>
      </c>
      <c r="C157" s="234"/>
      <c r="D157" s="234" t="s">
        <v>4920</v>
      </c>
      <c r="E157" s="244" t="s">
        <v>2768</v>
      </c>
      <c r="F157" s="244" t="s">
        <v>3753</v>
      </c>
      <c r="G157" s="235" t="s">
        <v>2580</v>
      </c>
      <c r="H157" s="236">
        <v>0.15</v>
      </c>
      <c r="I157" s="236">
        <v>0.15</v>
      </c>
      <c r="J157" s="233">
        <v>1</v>
      </c>
      <c r="K157" s="242"/>
      <c r="L157" s="235"/>
      <c r="M157" s="276"/>
      <c r="N157" s="279" t="s">
        <v>25</v>
      </c>
      <c r="O157" t="str">
        <f t="shared" si="3"/>
        <v>1936 Wheat Penny</v>
      </c>
      <c r="S157" t="str" cm="1">
        <f t="array" ref="S157">_xlfn.REGEXEXTRACT(E157, "[0-9]{1,5}")</f>
        <v>1936</v>
      </c>
      <c r="T157" t="s">
        <v>2465</v>
      </c>
      <c r="U157" t="s">
        <v>3896</v>
      </c>
    </row>
    <row r="158" spans="1:21">
      <c r="A158" s="136">
        <v>1</v>
      </c>
      <c r="B158" s="233">
        <v>1936</v>
      </c>
      <c r="C158" s="234"/>
      <c r="D158" s="234" t="s">
        <v>4920</v>
      </c>
      <c r="E158" s="244" t="s">
        <v>2769</v>
      </c>
      <c r="F158" s="244" t="s">
        <v>3753</v>
      </c>
      <c r="G158" s="235" t="s">
        <v>2580</v>
      </c>
      <c r="H158" s="236">
        <v>0.01</v>
      </c>
      <c r="I158" s="236">
        <v>0.01</v>
      </c>
      <c r="J158" s="233">
        <v>1</v>
      </c>
      <c r="K158" s="242"/>
      <c r="L158" s="235"/>
      <c r="M158" s="276"/>
      <c r="N158" s="279" t="s">
        <v>25</v>
      </c>
      <c r="O158" t="str">
        <f t="shared" si="3"/>
        <v>1936 Wheat Penny</v>
      </c>
      <c r="S158" t="str" cm="1">
        <f t="array" ref="S158">_xlfn.REGEXEXTRACT(E158, "[0-9]{1,5}")</f>
        <v>1936</v>
      </c>
      <c r="T158" t="s">
        <v>2465</v>
      </c>
      <c r="U158" t="s">
        <v>3896</v>
      </c>
    </row>
    <row r="159" spans="1:21">
      <c r="A159" s="136">
        <v>1</v>
      </c>
      <c r="B159" s="233">
        <v>1936</v>
      </c>
      <c r="C159" s="234"/>
      <c r="D159" s="234" t="s">
        <v>4920</v>
      </c>
      <c r="E159" s="244" t="s">
        <v>2770</v>
      </c>
      <c r="F159" s="244" t="s">
        <v>3753</v>
      </c>
      <c r="G159" s="235" t="s">
        <v>2580</v>
      </c>
      <c r="H159" s="236">
        <v>0.15</v>
      </c>
      <c r="I159" s="236">
        <v>0.15</v>
      </c>
      <c r="J159" s="233">
        <v>1</v>
      </c>
      <c r="K159" s="242"/>
      <c r="L159" s="235"/>
      <c r="M159" s="276"/>
      <c r="N159" s="279" t="s">
        <v>25</v>
      </c>
      <c r="O159" t="str">
        <f t="shared" si="3"/>
        <v>1936 Wheat Penny</v>
      </c>
      <c r="S159" t="str" cm="1">
        <f t="array" ref="S159">_xlfn.REGEXEXTRACT(E159, "[0-9]{1,5}")</f>
        <v>1936</v>
      </c>
      <c r="T159" t="s">
        <v>2465</v>
      </c>
      <c r="U159" t="s">
        <v>3896</v>
      </c>
    </row>
    <row r="160" spans="1:21">
      <c r="A160" s="136">
        <v>1</v>
      </c>
      <c r="B160" s="233">
        <v>1936</v>
      </c>
      <c r="C160" s="234" t="s">
        <v>13</v>
      </c>
      <c r="D160" s="234" t="s">
        <v>4920</v>
      </c>
      <c r="E160" s="244" t="s">
        <v>2771</v>
      </c>
      <c r="F160" s="244" t="s">
        <v>3753</v>
      </c>
      <c r="G160" s="235" t="s">
        <v>2580</v>
      </c>
      <c r="H160" s="236">
        <v>0.3</v>
      </c>
      <c r="I160" s="236">
        <v>0.3</v>
      </c>
      <c r="J160" s="233">
        <v>1</v>
      </c>
      <c r="K160" s="242"/>
      <c r="L160" s="235"/>
      <c r="M160" s="276"/>
      <c r="N160" s="279" t="s">
        <v>25</v>
      </c>
      <c r="O160" t="str">
        <f t="shared" si="3"/>
        <v>1936-D Wheat Penny</v>
      </c>
      <c r="S160" t="str" cm="1">
        <f t="array" ref="S160">_xlfn.REGEXEXTRACT(E160, "[0-9]{1,5}")</f>
        <v>1936</v>
      </c>
      <c r="T160" t="s">
        <v>2465</v>
      </c>
      <c r="U160" t="s">
        <v>3896</v>
      </c>
    </row>
    <row r="161" spans="1:21">
      <c r="A161" s="136">
        <v>1</v>
      </c>
      <c r="B161" s="233">
        <v>1936</v>
      </c>
      <c r="C161" s="234" t="s">
        <v>12</v>
      </c>
      <c r="D161" s="234" t="s">
        <v>4920</v>
      </c>
      <c r="E161" s="244" t="s">
        <v>2772</v>
      </c>
      <c r="F161" s="244" t="s">
        <v>3753</v>
      </c>
      <c r="G161" s="235" t="s">
        <v>2580</v>
      </c>
      <c r="H161" s="236">
        <v>0.01</v>
      </c>
      <c r="I161" s="236">
        <v>0.01</v>
      </c>
      <c r="J161" s="233">
        <v>1</v>
      </c>
      <c r="K161" s="242"/>
      <c r="L161" s="235"/>
      <c r="M161" s="276"/>
      <c r="N161" s="279" t="s">
        <v>25</v>
      </c>
      <c r="O161" t="str">
        <f t="shared" si="3"/>
        <v>1936-S Wheat Penny</v>
      </c>
      <c r="S161" t="str" cm="1">
        <f t="array" ref="S161">_xlfn.REGEXEXTRACT(E161, "[0-9]{1,5}")</f>
        <v>1936</v>
      </c>
      <c r="T161" t="s">
        <v>2465</v>
      </c>
      <c r="U161" t="s">
        <v>3896</v>
      </c>
    </row>
    <row r="162" spans="1:21">
      <c r="A162" s="136">
        <v>1</v>
      </c>
      <c r="B162" s="233">
        <v>1936</v>
      </c>
      <c r="C162" s="234" t="s">
        <v>12</v>
      </c>
      <c r="D162" s="234" t="s">
        <v>4920</v>
      </c>
      <c r="E162" s="244" t="s">
        <v>2773</v>
      </c>
      <c r="F162" s="244" t="s">
        <v>3753</v>
      </c>
      <c r="G162" s="235" t="s">
        <v>2580</v>
      </c>
      <c r="H162" s="236">
        <v>0.25</v>
      </c>
      <c r="I162" s="236">
        <v>0.25</v>
      </c>
      <c r="J162" s="233">
        <v>1</v>
      </c>
      <c r="K162" s="242"/>
      <c r="L162" s="235"/>
      <c r="M162" s="276"/>
      <c r="N162" s="279" t="s">
        <v>25</v>
      </c>
      <c r="O162" t="str">
        <f t="shared" si="3"/>
        <v>1936-S Wheat Penny</v>
      </c>
      <c r="S162" t="str" cm="1">
        <f t="array" ref="S162">_xlfn.REGEXEXTRACT(E162, "[0-9]{1,5}")</f>
        <v>1936</v>
      </c>
      <c r="T162" t="s">
        <v>2465</v>
      </c>
      <c r="U162" t="s">
        <v>3896</v>
      </c>
    </row>
    <row r="163" spans="1:21">
      <c r="A163" s="136">
        <v>1</v>
      </c>
      <c r="B163" s="233">
        <v>1937</v>
      </c>
      <c r="C163" s="234"/>
      <c r="D163" s="234" t="s">
        <v>4920</v>
      </c>
      <c r="E163" s="244" t="s">
        <v>2774</v>
      </c>
      <c r="F163" s="244" t="s">
        <v>3753</v>
      </c>
      <c r="G163" s="235" t="s">
        <v>2580</v>
      </c>
      <c r="H163" s="236">
        <v>0.15</v>
      </c>
      <c r="I163" s="236">
        <v>0.15</v>
      </c>
      <c r="J163" s="233">
        <v>1</v>
      </c>
      <c r="K163" s="242"/>
      <c r="L163" s="235"/>
      <c r="M163" s="276"/>
      <c r="N163" s="279" t="s">
        <v>25</v>
      </c>
      <c r="O163" t="str">
        <f t="shared" si="3"/>
        <v>1937 Wheat Penny</v>
      </c>
      <c r="S163" t="str" cm="1">
        <f t="array" ref="S163">_xlfn.REGEXEXTRACT(E163, "[0-9]{1,5}")</f>
        <v>1937</v>
      </c>
      <c r="T163" t="s">
        <v>2468</v>
      </c>
      <c r="U163" t="s">
        <v>3896</v>
      </c>
    </row>
    <row r="164" spans="1:21">
      <c r="A164" s="136">
        <v>1</v>
      </c>
      <c r="B164" s="233">
        <v>1937</v>
      </c>
      <c r="C164" s="234"/>
      <c r="D164" s="234" t="s">
        <v>4920</v>
      </c>
      <c r="E164" s="244" t="s">
        <v>2775</v>
      </c>
      <c r="F164" s="244" t="s">
        <v>3753</v>
      </c>
      <c r="G164" s="235" t="s">
        <v>2580</v>
      </c>
      <c r="H164" s="236">
        <v>0.15</v>
      </c>
      <c r="I164" s="236">
        <v>0.15</v>
      </c>
      <c r="J164" s="233">
        <v>1</v>
      </c>
      <c r="K164" s="242"/>
      <c r="L164" s="235"/>
      <c r="M164" s="276"/>
      <c r="N164" s="279" t="s">
        <v>25</v>
      </c>
      <c r="O164" t="str">
        <f t="shared" si="3"/>
        <v>1937 Wheat Penny</v>
      </c>
      <c r="S164" t="str" cm="1">
        <f t="array" ref="S164">_xlfn.REGEXEXTRACT(E164, "[0-9]{1,5}")</f>
        <v>1937</v>
      </c>
      <c r="T164" t="s">
        <v>2468</v>
      </c>
      <c r="U164" t="s">
        <v>3896</v>
      </c>
    </row>
    <row r="165" spans="1:21">
      <c r="A165" s="136">
        <v>1</v>
      </c>
      <c r="B165" s="233">
        <v>1937</v>
      </c>
      <c r="C165" s="234"/>
      <c r="D165" s="234" t="s">
        <v>4920</v>
      </c>
      <c r="E165" s="244" t="s">
        <v>2776</v>
      </c>
      <c r="F165" s="244" t="s">
        <v>3753</v>
      </c>
      <c r="G165" s="235" t="s">
        <v>2580</v>
      </c>
      <c r="H165" s="236">
        <v>0.15</v>
      </c>
      <c r="I165" s="236">
        <v>0.15</v>
      </c>
      <c r="J165" s="233">
        <v>1</v>
      </c>
      <c r="K165" s="242"/>
      <c r="L165" s="235"/>
      <c r="M165" s="276"/>
      <c r="N165" s="279" t="s">
        <v>25</v>
      </c>
      <c r="O165" t="str">
        <f t="shared" si="3"/>
        <v>1937 Wheat Penny</v>
      </c>
      <c r="S165" t="str" cm="1">
        <f t="array" ref="S165">_xlfn.REGEXEXTRACT(E165, "[0-9]{1,5}")</f>
        <v>1937</v>
      </c>
      <c r="T165" t="s">
        <v>2468</v>
      </c>
      <c r="U165" t="s">
        <v>3896</v>
      </c>
    </row>
    <row r="166" spans="1:21">
      <c r="A166" s="136">
        <v>1</v>
      </c>
      <c r="B166" s="233">
        <v>1937</v>
      </c>
      <c r="C166" s="234"/>
      <c r="D166" s="234" t="s">
        <v>4920</v>
      </c>
      <c r="E166" s="244" t="s">
        <v>2777</v>
      </c>
      <c r="F166" s="244" t="s">
        <v>3753</v>
      </c>
      <c r="G166" s="235" t="s">
        <v>2580</v>
      </c>
      <c r="H166" s="236">
        <v>0.1</v>
      </c>
      <c r="I166" s="236">
        <v>0.1</v>
      </c>
      <c r="J166" s="233">
        <v>1</v>
      </c>
      <c r="K166" s="242"/>
      <c r="L166" s="235"/>
      <c r="M166" s="276"/>
      <c r="N166" s="279" t="s">
        <v>25</v>
      </c>
      <c r="O166" t="str">
        <f t="shared" si="3"/>
        <v>1937 Wheat Penny</v>
      </c>
      <c r="S166" t="str" cm="1">
        <f t="array" ref="S166">_xlfn.REGEXEXTRACT(E166, "[0-9]{1,5}")</f>
        <v>1937</v>
      </c>
      <c r="T166" t="s">
        <v>2468</v>
      </c>
      <c r="U166" t="s">
        <v>3896</v>
      </c>
    </row>
    <row r="167" spans="1:21">
      <c r="A167" s="136">
        <v>1</v>
      </c>
      <c r="B167" s="233">
        <v>1937</v>
      </c>
      <c r="C167" s="234"/>
      <c r="D167" s="234" t="s">
        <v>4920</v>
      </c>
      <c r="E167" s="244" t="s">
        <v>2778</v>
      </c>
      <c r="F167" s="244" t="s">
        <v>3753</v>
      </c>
      <c r="G167" s="235" t="s">
        <v>2580</v>
      </c>
      <c r="H167" s="236">
        <v>0.05</v>
      </c>
      <c r="I167" s="236">
        <v>0.05</v>
      </c>
      <c r="J167" s="233">
        <v>1</v>
      </c>
      <c r="K167" s="242"/>
      <c r="L167" s="235"/>
      <c r="M167" s="276"/>
      <c r="N167" s="279" t="s">
        <v>25</v>
      </c>
      <c r="O167" t="str">
        <f t="shared" si="3"/>
        <v>1937 Wheat Penny</v>
      </c>
      <c r="S167" t="str" cm="1">
        <f t="array" ref="S167">_xlfn.REGEXEXTRACT(E167, "[0-9]{1,5}")</f>
        <v>1937</v>
      </c>
      <c r="T167" t="s">
        <v>2468</v>
      </c>
      <c r="U167" t="s">
        <v>3896</v>
      </c>
    </row>
    <row r="168" spans="1:21">
      <c r="A168" s="136">
        <v>1</v>
      </c>
      <c r="B168" s="233">
        <v>1937</v>
      </c>
      <c r="C168" s="234"/>
      <c r="D168" s="234" t="s">
        <v>4920</v>
      </c>
      <c r="E168" s="244" t="s">
        <v>2779</v>
      </c>
      <c r="F168" s="244" t="s">
        <v>3753</v>
      </c>
      <c r="G168" s="235" t="s">
        <v>2580</v>
      </c>
      <c r="H168" s="236">
        <v>0.01</v>
      </c>
      <c r="I168" s="236">
        <v>0.01</v>
      </c>
      <c r="J168" s="233">
        <v>1</v>
      </c>
      <c r="K168" s="242"/>
      <c r="L168" s="235"/>
      <c r="M168" s="276"/>
      <c r="N168" s="279" t="s">
        <v>25</v>
      </c>
      <c r="O168" t="str">
        <f t="shared" si="3"/>
        <v>1937 Wheat Penny</v>
      </c>
      <c r="S168" t="str" cm="1">
        <f t="array" ref="S168">_xlfn.REGEXEXTRACT(E168, "[0-9]{1,5}")</f>
        <v>1937</v>
      </c>
      <c r="T168" t="s">
        <v>2468</v>
      </c>
      <c r="U168" t="s">
        <v>3896</v>
      </c>
    </row>
    <row r="169" spans="1:21">
      <c r="A169" s="136">
        <v>1</v>
      </c>
      <c r="B169" s="233">
        <v>1937</v>
      </c>
      <c r="C169" s="234"/>
      <c r="D169" s="234" t="s">
        <v>4920</v>
      </c>
      <c r="E169" s="244" t="s">
        <v>2780</v>
      </c>
      <c r="F169" s="244" t="s">
        <v>3753</v>
      </c>
      <c r="G169" s="235" t="s">
        <v>2580</v>
      </c>
      <c r="H169" s="236">
        <v>0.05</v>
      </c>
      <c r="I169" s="236">
        <v>0.05</v>
      </c>
      <c r="J169" s="233">
        <v>1</v>
      </c>
      <c r="K169" s="242"/>
      <c r="L169" s="235"/>
      <c r="M169" s="276"/>
      <c r="N169" s="279" t="s">
        <v>25</v>
      </c>
      <c r="O169" t="str">
        <f t="shared" si="3"/>
        <v>1937 Wheat Penny</v>
      </c>
      <c r="S169" t="str" cm="1">
        <f t="array" ref="S169">_xlfn.REGEXEXTRACT(E169, "[0-9]{1,5}")</f>
        <v>1937</v>
      </c>
      <c r="T169" t="s">
        <v>2468</v>
      </c>
      <c r="U169" t="s">
        <v>3896</v>
      </c>
    </row>
    <row r="170" spans="1:21">
      <c r="A170" s="136">
        <v>1</v>
      </c>
      <c r="B170" s="233">
        <v>1937</v>
      </c>
      <c r="C170" s="234" t="s">
        <v>13</v>
      </c>
      <c r="D170" s="234" t="s">
        <v>4920</v>
      </c>
      <c r="E170" s="244" t="s">
        <v>2781</v>
      </c>
      <c r="F170" s="244" t="s">
        <v>3753</v>
      </c>
      <c r="G170" s="235" t="s">
        <v>2580</v>
      </c>
      <c r="H170" s="236">
        <v>0.15</v>
      </c>
      <c r="I170" s="236">
        <v>0.15</v>
      </c>
      <c r="J170" s="233">
        <v>1</v>
      </c>
      <c r="K170" s="242"/>
      <c r="L170" s="235"/>
      <c r="M170" s="276"/>
      <c r="N170" s="279" t="s">
        <v>25</v>
      </c>
      <c r="O170" t="str">
        <f t="shared" si="3"/>
        <v>1937-D Wheat Penny</v>
      </c>
      <c r="S170" t="str" cm="1">
        <f t="array" ref="S170">_xlfn.REGEXEXTRACT(E170, "[0-9]{1,5}")</f>
        <v>1937</v>
      </c>
      <c r="T170" t="s">
        <v>2468</v>
      </c>
      <c r="U170" t="s">
        <v>3896</v>
      </c>
    </row>
    <row r="171" spans="1:21">
      <c r="A171" s="136">
        <v>1</v>
      </c>
      <c r="B171" s="233">
        <v>1937</v>
      </c>
      <c r="C171" s="234" t="s">
        <v>12</v>
      </c>
      <c r="D171" s="234" t="s">
        <v>4920</v>
      </c>
      <c r="E171" s="244" t="s">
        <v>2782</v>
      </c>
      <c r="F171" s="244" t="s">
        <v>3753</v>
      </c>
      <c r="G171" s="235" t="s">
        <v>2580</v>
      </c>
      <c r="H171" s="236">
        <v>0.2</v>
      </c>
      <c r="I171" s="236">
        <v>0.2</v>
      </c>
      <c r="J171" s="233">
        <v>1</v>
      </c>
      <c r="K171" s="242"/>
      <c r="L171" s="235"/>
      <c r="M171" s="276"/>
      <c r="N171" s="279" t="s">
        <v>25</v>
      </c>
      <c r="O171" t="str">
        <f t="shared" si="3"/>
        <v>1937-S Wheat Penny</v>
      </c>
      <c r="S171" t="str" cm="1">
        <f t="array" ref="S171">_xlfn.REGEXEXTRACT(E171, "[0-9]{1,5}")</f>
        <v>1937</v>
      </c>
      <c r="T171" t="s">
        <v>2468</v>
      </c>
      <c r="U171" t="s">
        <v>3896</v>
      </c>
    </row>
    <row r="172" spans="1:21">
      <c r="A172" s="136">
        <v>1</v>
      </c>
      <c r="B172" s="233">
        <v>1938</v>
      </c>
      <c r="C172" s="234"/>
      <c r="D172" s="234" t="s">
        <v>4920</v>
      </c>
      <c r="E172" s="244" t="s">
        <v>2783</v>
      </c>
      <c r="F172" s="244" t="s">
        <v>3753</v>
      </c>
      <c r="G172" s="235" t="s">
        <v>2580</v>
      </c>
      <c r="H172" s="236">
        <v>0.2</v>
      </c>
      <c r="I172" s="236">
        <v>0.2</v>
      </c>
      <c r="J172" s="233">
        <v>1</v>
      </c>
      <c r="K172" s="242"/>
      <c r="L172" s="235"/>
      <c r="M172" s="276"/>
      <c r="N172" s="279" t="s">
        <v>25</v>
      </c>
      <c r="O172" t="str">
        <f t="shared" si="3"/>
        <v>1938 Wheat Penny</v>
      </c>
      <c r="S172" t="str" cm="1">
        <f t="array" ref="S172">_xlfn.REGEXEXTRACT(E172, "[0-9]{1,5}")</f>
        <v>1938</v>
      </c>
      <c r="T172" t="s">
        <v>2471</v>
      </c>
      <c r="U172" t="s">
        <v>3896</v>
      </c>
    </row>
    <row r="173" spans="1:21">
      <c r="A173" s="136">
        <v>1</v>
      </c>
      <c r="B173" s="233">
        <v>1938</v>
      </c>
      <c r="C173" s="234"/>
      <c r="D173" s="234" t="s">
        <v>4920</v>
      </c>
      <c r="E173" s="244" t="s">
        <v>2784</v>
      </c>
      <c r="F173" s="244" t="s">
        <v>3753</v>
      </c>
      <c r="G173" s="235" t="s">
        <v>2580</v>
      </c>
      <c r="H173" s="236">
        <v>0.2</v>
      </c>
      <c r="I173" s="236">
        <v>0.2</v>
      </c>
      <c r="J173" s="233">
        <v>1</v>
      </c>
      <c r="K173" s="242"/>
      <c r="L173" s="235"/>
      <c r="M173" s="276"/>
      <c r="N173" s="279" t="s">
        <v>25</v>
      </c>
      <c r="O173" t="str">
        <f t="shared" si="3"/>
        <v>1938 Wheat Penny</v>
      </c>
      <c r="S173" t="str" cm="1">
        <f t="array" ref="S173">_xlfn.REGEXEXTRACT(E173, "[0-9]{1,5}")</f>
        <v>1938</v>
      </c>
      <c r="T173" t="s">
        <v>2471</v>
      </c>
      <c r="U173" t="s">
        <v>3896</v>
      </c>
    </row>
    <row r="174" spans="1:21">
      <c r="A174" s="136">
        <v>1</v>
      </c>
      <c r="B174" s="233">
        <v>1938</v>
      </c>
      <c r="C174" s="234"/>
      <c r="D174" s="234" t="s">
        <v>4920</v>
      </c>
      <c r="E174" s="244" t="s">
        <v>2785</v>
      </c>
      <c r="F174" s="244" t="s">
        <v>3753</v>
      </c>
      <c r="G174" s="235" t="s">
        <v>2580</v>
      </c>
      <c r="H174" s="236">
        <v>0.2</v>
      </c>
      <c r="I174" s="236">
        <v>0.2</v>
      </c>
      <c r="J174" s="233">
        <v>1</v>
      </c>
      <c r="K174" s="242"/>
      <c r="L174" s="235"/>
      <c r="M174" s="276"/>
      <c r="N174" s="279" t="s">
        <v>25</v>
      </c>
      <c r="O174" t="str">
        <f t="shared" si="3"/>
        <v>1938 Wheat Penny</v>
      </c>
      <c r="S174" t="str" cm="1">
        <f t="array" ref="S174">_xlfn.REGEXEXTRACT(E174, "[0-9]{1,5}")</f>
        <v>1938</v>
      </c>
      <c r="T174" t="s">
        <v>2471</v>
      </c>
      <c r="U174" t="s">
        <v>3896</v>
      </c>
    </row>
    <row r="175" spans="1:21">
      <c r="A175" s="136">
        <v>1</v>
      </c>
      <c r="B175" s="233">
        <v>1938</v>
      </c>
      <c r="C175" s="234"/>
      <c r="D175" s="234" t="s">
        <v>4920</v>
      </c>
      <c r="E175" s="244" t="s">
        <v>2786</v>
      </c>
      <c r="F175" s="244" t="s">
        <v>3753</v>
      </c>
      <c r="G175" s="235" t="s">
        <v>2580</v>
      </c>
      <c r="H175" s="236">
        <v>0.15</v>
      </c>
      <c r="I175" s="236">
        <v>0.15</v>
      </c>
      <c r="J175" s="233">
        <v>1</v>
      </c>
      <c r="K175" s="242"/>
      <c r="L175" s="235"/>
      <c r="M175" s="276"/>
      <c r="N175" s="279" t="s">
        <v>25</v>
      </c>
      <c r="O175" t="str">
        <f t="shared" si="3"/>
        <v>1938 Wheat Penny</v>
      </c>
      <c r="S175" t="str" cm="1">
        <f t="array" ref="S175">_xlfn.REGEXEXTRACT(E175, "[0-9]{1,5}")</f>
        <v>1938</v>
      </c>
      <c r="T175" t="s">
        <v>2471</v>
      </c>
      <c r="U175" t="s">
        <v>3896</v>
      </c>
    </row>
    <row r="176" spans="1:21">
      <c r="A176" s="136">
        <v>1</v>
      </c>
      <c r="B176" s="233">
        <v>1938</v>
      </c>
      <c r="C176" s="234"/>
      <c r="D176" s="234" t="s">
        <v>4920</v>
      </c>
      <c r="E176" s="244" t="s">
        <v>2787</v>
      </c>
      <c r="F176" s="244" t="s">
        <v>3753</v>
      </c>
      <c r="G176" s="235" t="s">
        <v>2580</v>
      </c>
      <c r="H176" s="236">
        <v>0.15</v>
      </c>
      <c r="I176" s="236">
        <v>0.15</v>
      </c>
      <c r="J176" s="233">
        <v>1</v>
      </c>
      <c r="K176" s="242"/>
      <c r="L176" s="235"/>
      <c r="M176" s="276"/>
      <c r="N176" s="279" t="s">
        <v>25</v>
      </c>
      <c r="O176" t="str">
        <f t="shared" si="3"/>
        <v>1938 Wheat Penny</v>
      </c>
      <c r="S176" t="str" cm="1">
        <f t="array" ref="S176">_xlfn.REGEXEXTRACT(E176, "[0-9]{1,5}")</f>
        <v>1938</v>
      </c>
      <c r="T176" t="s">
        <v>2471</v>
      </c>
      <c r="U176" t="s">
        <v>3896</v>
      </c>
    </row>
    <row r="177" spans="1:21">
      <c r="A177" s="136">
        <v>1</v>
      </c>
      <c r="B177" s="233">
        <v>1938</v>
      </c>
      <c r="C177" s="234"/>
      <c r="D177" s="234" t="s">
        <v>4920</v>
      </c>
      <c r="E177" s="244" t="s">
        <v>2788</v>
      </c>
      <c r="F177" s="244" t="s">
        <v>3753</v>
      </c>
      <c r="G177" s="235" t="s">
        <v>2580</v>
      </c>
      <c r="H177" s="236">
        <v>0.01</v>
      </c>
      <c r="I177" s="236">
        <v>0.01</v>
      </c>
      <c r="J177" s="233">
        <v>1</v>
      </c>
      <c r="K177" s="242"/>
      <c r="L177" s="235"/>
      <c r="M177" s="276"/>
      <c r="N177" s="279" t="s">
        <v>25</v>
      </c>
      <c r="O177" t="str">
        <f t="shared" si="3"/>
        <v>1938 Wheat Penny</v>
      </c>
      <c r="S177" t="str" cm="1">
        <f t="array" ref="S177">_xlfn.REGEXEXTRACT(E177, "[0-9]{1,5}")</f>
        <v>1938</v>
      </c>
      <c r="T177" t="s">
        <v>2471</v>
      </c>
      <c r="U177" t="s">
        <v>3896</v>
      </c>
    </row>
    <row r="178" spans="1:21">
      <c r="A178" s="136">
        <v>1</v>
      </c>
      <c r="B178" s="233">
        <v>1938</v>
      </c>
      <c r="C178" s="234" t="s">
        <v>13</v>
      </c>
      <c r="D178" s="234" t="s">
        <v>4920</v>
      </c>
      <c r="E178" s="244" t="s">
        <v>2789</v>
      </c>
      <c r="F178" s="244" t="s">
        <v>3753</v>
      </c>
      <c r="G178" s="235" t="s">
        <v>2580</v>
      </c>
      <c r="H178" s="236">
        <v>0.2</v>
      </c>
      <c r="I178" s="236">
        <v>0.2</v>
      </c>
      <c r="J178" s="233">
        <v>1</v>
      </c>
      <c r="K178" s="242"/>
      <c r="L178" s="235"/>
      <c r="M178" s="276"/>
      <c r="N178" s="279" t="s">
        <v>25</v>
      </c>
      <c r="O178" t="str">
        <f t="shared" si="3"/>
        <v>1938-D Wheat Penny</v>
      </c>
      <c r="S178" t="str" cm="1">
        <f t="array" ref="S178">_xlfn.REGEXEXTRACT(E178, "[0-9]{1,5}")</f>
        <v>1938</v>
      </c>
      <c r="T178" t="s">
        <v>2471</v>
      </c>
      <c r="U178" t="s">
        <v>3896</v>
      </c>
    </row>
    <row r="179" spans="1:21">
      <c r="A179" s="136">
        <v>1</v>
      </c>
      <c r="B179" s="233">
        <v>1938</v>
      </c>
      <c r="C179" s="234" t="s">
        <v>13</v>
      </c>
      <c r="D179" s="234" t="s">
        <v>4920</v>
      </c>
      <c r="E179" s="244" t="s">
        <v>2790</v>
      </c>
      <c r="F179" s="244" t="s">
        <v>3753</v>
      </c>
      <c r="G179" s="235" t="s">
        <v>2580</v>
      </c>
      <c r="H179" s="236">
        <v>0.25</v>
      </c>
      <c r="I179" s="236">
        <v>0.25</v>
      </c>
      <c r="J179" s="233">
        <v>1</v>
      </c>
      <c r="K179" s="242"/>
      <c r="L179" s="235"/>
      <c r="M179" s="276"/>
      <c r="N179" s="279" t="s">
        <v>25</v>
      </c>
      <c r="O179" t="str">
        <f t="shared" si="3"/>
        <v>1938-D Wheat Penny</v>
      </c>
      <c r="S179" t="str" cm="1">
        <f t="array" ref="S179">_xlfn.REGEXEXTRACT(E179, "[0-9]{1,5}")</f>
        <v>1938</v>
      </c>
      <c r="T179" t="s">
        <v>2471</v>
      </c>
      <c r="U179" t="s">
        <v>3896</v>
      </c>
    </row>
    <row r="180" spans="1:21">
      <c r="A180" s="136">
        <v>1</v>
      </c>
      <c r="B180" s="233">
        <v>1938</v>
      </c>
      <c r="C180" s="234" t="s">
        <v>12</v>
      </c>
      <c r="D180" s="234" t="s">
        <v>4920</v>
      </c>
      <c r="E180" s="244" t="s">
        <v>2791</v>
      </c>
      <c r="F180" s="244" t="s">
        <v>3753</v>
      </c>
      <c r="G180" s="235" t="s">
        <v>2580</v>
      </c>
      <c r="H180" s="236">
        <v>0.3</v>
      </c>
      <c r="I180" s="236">
        <v>0.3</v>
      </c>
      <c r="J180" s="233">
        <v>1</v>
      </c>
      <c r="K180" s="242"/>
      <c r="L180" s="235"/>
      <c r="M180" s="276"/>
      <c r="N180" s="279" t="s">
        <v>25</v>
      </c>
      <c r="O180" t="str">
        <f t="shared" si="3"/>
        <v>1938-S Wheat Penny</v>
      </c>
      <c r="S180" t="str" cm="1">
        <f t="array" ref="S180">_xlfn.REGEXEXTRACT(E180, "[0-9]{1,5}")</f>
        <v>1938</v>
      </c>
      <c r="T180" t="s">
        <v>2471</v>
      </c>
      <c r="U180" t="s">
        <v>3896</v>
      </c>
    </row>
    <row r="181" spans="1:21">
      <c r="A181" s="136">
        <v>1</v>
      </c>
      <c r="B181" s="233">
        <v>1938</v>
      </c>
      <c r="C181" s="234" t="s">
        <v>12</v>
      </c>
      <c r="D181" s="234" t="s">
        <v>4920</v>
      </c>
      <c r="E181" s="244" t="s">
        <v>2792</v>
      </c>
      <c r="F181" s="244" t="s">
        <v>3753</v>
      </c>
      <c r="G181" s="235" t="s">
        <v>2580</v>
      </c>
      <c r="H181" s="236">
        <v>0.75</v>
      </c>
      <c r="I181" s="236">
        <v>0.75</v>
      </c>
      <c r="J181" s="233">
        <v>1</v>
      </c>
      <c r="K181" s="242"/>
      <c r="L181" s="235"/>
      <c r="M181" s="276"/>
      <c r="N181" s="279" t="s">
        <v>25</v>
      </c>
      <c r="O181" t="str">
        <f t="shared" si="3"/>
        <v>1938-S Wheat Penny</v>
      </c>
      <c r="S181" t="str" cm="1">
        <f t="array" ref="S181">_xlfn.REGEXEXTRACT(E181, "[0-9]{1,5}")</f>
        <v>1938</v>
      </c>
      <c r="T181" t="s">
        <v>2471</v>
      </c>
      <c r="U181" t="s">
        <v>3896</v>
      </c>
    </row>
    <row r="182" spans="1:21">
      <c r="A182" s="136">
        <v>1</v>
      </c>
      <c r="B182" s="233">
        <v>1939</v>
      </c>
      <c r="C182" s="234"/>
      <c r="D182" s="234" t="s">
        <v>4920</v>
      </c>
      <c r="E182" s="244" t="s">
        <v>2793</v>
      </c>
      <c r="F182" s="244" t="s">
        <v>3753</v>
      </c>
      <c r="G182" s="235" t="s">
        <v>2580</v>
      </c>
      <c r="H182" s="236">
        <v>0.25</v>
      </c>
      <c r="I182" s="236">
        <v>0.25</v>
      </c>
      <c r="J182" s="233">
        <v>1</v>
      </c>
      <c r="K182" s="242"/>
      <c r="L182" s="235"/>
      <c r="M182" s="276"/>
      <c r="N182" s="279" t="s">
        <v>25</v>
      </c>
      <c r="O182" t="str">
        <f t="shared" si="3"/>
        <v>1939 Wheat Penny</v>
      </c>
      <c r="S182" t="str" cm="1">
        <f t="array" ref="S182">_xlfn.REGEXEXTRACT(E182, "[0-9]{1,5}")</f>
        <v>1939</v>
      </c>
      <c r="T182" t="s">
        <v>2472</v>
      </c>
      <c r="U182" t="s">
        <v>3896</v>
      </c>
    </row>
    <row r="183" spans="1:21">
      <c r="A183" s="136">
        <v>1</v>
      </c>
      <c r="B183" s="233">
        <v>1939</v>
      </c>
      <c r="C183" s="234"/>
      <c r="D183" s="234" t="s">
        <v>4920</v>
      </c>
      <c r="E183" s="244" t="s">
        <v>2794</v>
      </c>
      <c r="F183" s="244" t="s">
        <v>3753</v>
      </c>
      <c r="G183" s="235" t="s">
        <v>2580</v>
      </c>
      <c r="H183" s="236">
        <v>0.25</v>
      </c>
      <c r="I183" s="236">
        <v>0.25</v>
      </c>
      <c r="J183" s="233">
        <v>1</v>
      </c>
      <c r="K183" s="242"/>
      <c r="L183" s="235"/>
      <c r="M183" s="276"/>
      <c r="N183" s="279" t="s">
        <v>25</v>
      </c>
      <c r="O183" t="str">
        <f t="shared" si="3"/>
        <v>1939 Wheat Penny</v>
      </c>
      <c r="S183" t="str" cm="1">
        <f t="array" ref="S183">_xlfn.REGEXEXTRACT(E183, "[0-9]{1,5}")</f>
        <v>1939</v>
      </c>
      <c r="T183" t="s">
        <v>2472</v>
      </c>
      <c r="U183" t="s">
        <v>3896</v>
      </c>
    </row>
    <row r="184" spans="1:21">
      <c r="A184" s="136">
        <v>1</v>
      </c>
      <c r="B184" s="233">
        <v>1939</v>
      </c>
      <c r="C184" s="234"/>
      <c r="D184" s="234" t="s">
        <v>4920</v>
      </c>
      <c r="E184" s="244" t="s">
        <v>2795</v>
      </c>
      <c r="F184" s="244" t="s">
        <v>3753</v>
      </c>
      <c r="G184" s="235" t="s">
        <v>2580</v>
      </c>
      <c r="H184" s="236">
        <v>0.15</v>
      </c>
      <c r="I184" s="236">
        <v>0.15</v>
      </c>
      <c r="J184" s="233">
        <v>1</v>
      </c>
      <c r="K184" s="242"/>
      <c r="L184" s="235"/>
      <c r="M184" s="276"/>
      <c r="N184" s="279" t="s">
        <v>25</v>
      </c>
      <c r="O184" t="str">
        <f t="shared" si="3"/>
        <v>1939 Wheat Penny</v>
      </c>
      <c r="S184" t="str" cm="1">
        <f t="array" ref="S184">_xlfn.REGEXEXTRACT(E184, "[0-9]{1,5}")</f>
        <v>1939</v>
      </c>
      <c r="T184" t="s">
        <v>2472</v>
      </c>
      <c r="U184" t="s">
        <v>3896</v>
      </c>
    </row>
    <row r="185" spans="1:21">
      <c r="A185" s="136">
        <v>1</v>
      </c>
      <c r="B185" s="233">
        <v>1939</v>
      </c>
      <c r="C185" s="234"/>
      <c r="D185" s="234" t="s">
        <v>4920</v>
      </c>
      <c r="E185" s="244" t="s">
        <v>2796</v>
      </c>
      <c r="F185" s="244" t="s">
        <v>3753</v>
      </c>
      <c r="G185" s="235" t="s">
        <v>2580</v>
      </c>
      <c r="H185" s="236">
        <v>0.15</v>
      </c>
      <c r="I185" s="236">
        <v>0.15</v>
      </c>
      <c r="J185" s="233">
        <v>1</v>
      </c>
      <c r="K185" s="242"/>
      <c r="L185" s="235"/>
      <c r="M185" s="276"/>
      <c r="N185" s="279" t="s">
        <v>25</v>
      </c>
      <c r="O185" t="str">
        <f t="shared" si="3"/>
        <v>1939 Wheat Penny</v>
      </c>
      <c r="S185" t="str" cm="1">
        <f t="array" ref="S185">_xlfn.REGEXEXTRACT(E185, "[0-9]{1,5}")</f>
        <v>1939</v>
      </c>
      <c r="T185" t="s">
        <v>2472</v>
      </c>
      <c r="U185" t="s">
        <v>3896</v>
      </c>
    </row>
    <row r="186" spans="1:21">
      <c r="A186" s="136">
        <v>1</v>
      </c>
      <c r="B186" s="233">
        <v>1939</v>
      </c>
      <c r="C186" s="234"/>
      <c r="D186" s="234" t="s">
        <v>4920</v>
      </c>
      <c r="E186" s="244" t="s">
        <v>2797</v>
      </c>
      <c r="F186" s="244" t="s">
        <v>3753</v>
      </c>
      <c r="G186" s="235" t="s">
        <v>2580</v>
      </c>
      <c r="H186" s="236">
        <v>0.1</v>
      </c>
      <c r="I186" s="236">
        <v>0.1</v>
      </c>
      <c r="J186" s="233">
        <v>1</v>
      </c>
      <c r="K186" s="242"/>
      <c r="L186" s="235"/>
      <c r="M186" s="276"/>
      <c r="N186" s="279" t="s">
        <v>25</v>
      </c>
      <c r="O186" t="str">
        <f t="shared" si="3"/>
        <v>1939 Wheat Penny</v>
      </c>
      <c r="S186" t="str" cm="1">
        <f t="array" ref="S186">_xlfn.REGEXEXTRACT(E186, "[0-9]{1,5}")</f>
        <v>1939</v>
      </c>
      <c r="T186" t="s">
        <v>2472</v>
      </c>
      <c r="U186" t="s">
        <v>3896</v>
      </c>
    </row>
    <row r="187" spans="1:21">
      <c r="A187" s="136">
        <v>1</v>
      </c>
      <c r="B187" s="233">
        <v>1939</v>
      </c>
      <c r="C187" s="234"/>
      <c r="D187" s="234" t="s">
        <v>4920</v>
      </c>
      <c r="E187" s="244" t="s">
        <v>2798</v>
      </c>
      <c r="F187" s="244" t="s">
        <v>3753</v>
      </c>
      <c r="G187" s="235" t="s">
        <v>2580</v>
      </c>
      <c r="H187" s="236">
        <v>0.15</v>
      </c>
      <c r="I187" s="236">
        <v>0.15</v>
      </c>
      <c r="J187" s="233">
        <v>1</v>
      </c>
      <c r="K187" s="242"/>
      <c r="L187" s="235"/>
      <c r="M187" s="276"/>
      <c r="N187" s="279" t="s">
        <v>25</v>
      </c>
      <c r="O187" t="str">
        <f t="shared" si="3"/>
        <v>1939 Wheat Penny</v>
      </c>
      <c r="S187" t="str" cm="1">
        <f t="array" ref="S187">_xlfn.REGEXEXTRACT(E187, "[0-9]{1,5}")</f>
        <v>1939</v>
      </c>
      <c r="T187" t="s">
        <v>2472</v>
      </c>
      <c r="U187" t="s">
        <v>3896</v>
      </c>
    </row>
    <row r="188" spans="1:21">
      <c r="A188" s="136">
        <v>1</v>
      </c>
      <c r="B188" s="233">
        <v>1939</v>
      </c>
      <c r="C188" s="234"/>
      <c r="D188" s="234" t="s">
        <v>4920</v>
      </c>
      <c r="E188" s="244" t="s">
        <v>2799</v>
      </c>
      <c r="F188" s="244" t="s">
        <v>3753</v>
      </c>
      <c r="G188" s="235" t="s">
        <v>2580</v>
      </c>
      <c r="H188" s="236">
        <v>0.05</v>
      </c>
      <c r="I188" s="236">
        <v>0.05</v>
      </c>
      <c r="J188" s="233">
        <v>1</v>
      </c>
      <c r="K188" s="242"/>
      <c r="L188" s="235"/>
      <c r="M188" s="276"/>
      <c r="N188" s="279" t="s">
        <v>25</v>
      </c>
      <c r="O188" t="str">
        <f t="shared" si="3"/>
        <v>1939 Wheat Penny</v>
      </c>
      <c r="S188" t="str" cm="1">
        <f t="array" ref="S188">_xlfn.REGEXEXTRACT(E188, "[0-9]{1,5}")</f>
        <v>1939</v>
      </c>
      <c r="T188" t="s">
        <v>2472</v>
      </c>
      <c r="U188" t="s">
        <v>3896</v>
      </c>
    </row>
    <row r="189" spans="1:21">
      <c r="A189" s="136">
        <v>1</v>
      </c>
      <c r="B189" s="233">
        <v>1939</v>
      </c>
      <c r="C189" s="234"/>
      <c r="D189" s="234" t="s">
        <v>4920</v>
      </c>
      <c r="E189" s="244" t="s">
        <v>2800</v>
      </c>
      <c r="F189" s="244" t="s">
        <v>3753</v>
      </c>
      <c r="G189" s="235" t="s">
        <v>2580</v>
      </c>
      <c r="H189" s="236">
        <v>0.15</v>
      </c>
      <c r="I189" s="236">
        <v>0.15</v>
      </c>
      <c r="J189" s="233">
        <v>1</v>
      </c>
      <c r="K189" s="242"/>
      <c r="L189" s="235"/>
      <c r="M189" s="276"/>
      <c r="N189" s="279" t="s">
        <v>25</v>
      </c>
      <c r="O189" t="str">
        <f t="shared" si="3"/>
        <v>1939 Wheat Penny</v>
      </c>
      <c r="S189" t="str" cm="1">
        <f t="array" ref="S189">_xlfn.REGEXEXTRACT(E189, "[0-9]{1,5}")</f>
        <v>1939</v>
      </c>
      <c r="T189" t="s">
        <v>2472</v>
      </c>
      <c r="U189" t="s">
        <v>3896</v>
      </c>
    </row>
    <row r="190" spans="1:21">
      <c r="A190" s="136">
        <v>1</v>
      </c>
      <c r="B190" s="233">
        <v>1939</v>
      </c>
      <c r="C190" s="234"/>
      <c r="D190" s="234" t="s">
        <v>4920</v>
      </c>
      <c r="E190" s="244" t="s">
        <v>2801</v>
      </c>
      <c r="F190" s="244" t="s">
        <v>3753</v>
      </c>
      <c r="G190" s="235" t="s">
        <v>2580</v>
      </c>
      <c r="H190" s="236">
        <v>0.15</v>
      </c>
      <c r="I190" s="236">
        <v>0.15</v>
      </c>
      <c r="J190" s="233">
        <v>1</v>
      </c>
      <c r="K190" s="242"/>
      <c r="L190" s="235"/>
      <c r="M190" s="276"/>
      <c r="N190" s="279" t="s">
        <v>25</v>
      </c>
      <c r="O190" t="str">
        <f t="shared" si="3"/>
        <v>1939 Wheat Penny</v>
      </c>
      <c r="S190" t="str" cm="1">
        <f t="array" ref="S190">_xlfn.REGEXEXTRACT(E190, "[0-9]{1,5}")</f>
        <v>1939</v>
      </c>
      <c r="T190" t="s">
        <v>2472</v>
      </c>
      <c r="U190" t="s">
        <v>3896</v>
      </c>
    </row>
    <row r="191" spans="1:21">
      <c r="A191" s="136">
        <v>1</v>
      </c>
      <c r="B191" s="233">
        <v>1939</v>
      </c>
      <c r="C191" s="234"/>
      <c r="D191" s="234" t="s">
        <v>4920</v>
      </c>
      <c r="E191" s="244" t="s">
        <v>2802</v>
      </c>
      <c r="F191" s="244" t="s">
        <v>3753</v>
      </c>
      <c r="G191" s="235" t="s">
        <v>2580</v>
      </c>
      <c r="H191" s="236">
        <v>0.01</v>
      </c>
      <c r="I191" s="236">
        <v>0.01</v>
      </c>
      <c r="J191" s="233">
        <v>1</v>
      </c>
      <c r="K191" s="242"/>
      <c r="L191" s="235"/>
      <c r="M191" s="276"/>
      <c r="N191" s="279" t="s">
        <v>25</v>
      </c>
      <c r="O191" t="str">
        <f t="shared" si="3"/>
        <v>1939 Wheat Penny</v>
      </c>
      <c r="S191" t="str" cm="1">
        <f t="array" ref="S191">_xlfn.REGEXEXTRACT(E191, "[0-9]{1,5}")</f>
        <v>1939</v>
      </c>
      <c r="T191" t="s">
        <v>2472</v>
      </c>
      <c r="U191" t="s">
        <v>3896</v>
      </c>
    </row>
    <row r="192" spans="1:21">
      <c r="A192" s="136">
        <v>1</v>
      </c>
      <c r="B192" s="233">
        <v>1939</v>
      </c>
      <c r="C192" s="234" t="s">
        <v>13</v>
      </c>
      <c r="D192" s="234" t="s">
        <v>4920</v>
      </c>
      <c r="E192" s="244" t="s">
        <v>2803</v>
      </c>
      <c r="F192" s="244" t="s">
        <v>3753</v>
      </c>
      <c r="G192" s="235" t="s">
        <v>2580</v>
      </c>
      <c r="H192" s="236">
        <v>0.55000000000000004</v>
      </c>
      <c r="I192" s="236">
        <v>0.55000000000000004</v>
      </c>
      <c r="J192" s="233">
        <v>1</v>
      </c>
      <c r="K192" s="242"/>
      <c r="L192" s="235"/>
      <c r="M192" s="276"/>
      <c r="N192" s="279" t="s">
        <v>25</v>
      </c>
      <c r="O192" t="str">
        <f t="shared" si="3"/>
        <v>1939-D Wheat Penny</v>
      </c>
      <c r="S192" t="str" cm="1">
        <f t="array" ref="S192">_xlfn.REGEXEXTRACT(E192, "[0-9]{1,5}")</f>
        <v>1939</v>
      </c>
      <c r="T192" t="s">
        <v>2472</v>
      </c>
      <c r="U192" t="s">
        <v>3896</v>
      </c>
    </row>
    <row r="193" spans="1:21">
      <c r="A193" s="136">
        <v>1</v>
      </c>
      <c r="B193" s="233">
        <v>1939</v>
      </c>
      <c r="C193" s="234" t="s">
        <v>12</v>
      </c>
      <c r="D193" s="234" t="s">
        <v>4920</v>
      </c>
      <c r="E193" s="244" t="s">
        <v>2804</v>
      </c>
      <c r="F193" s="244" t="s">
        <v>3753</v>
      </c>
      <c r="G193" s="235" t="s">
        <v>2580</v>
      </c>
      <c r="H193" s="236">
        <v>0.25</v>
      </c>
      <c r="I193" s="236">
        <v>0.25</v>
      </c>
      <c r="J193" s="233">
        <v>1</v>
      </c>
      <c r="K193" s="242"/>
      <c r="L193" s="235"/>
      <c r="M193" s="276"/>
      <c r="N193" s="279" t="s">
        <v>25</v>
      </c>
      <c r="O193" t="str">
        <f t="shared" si="3"/>
        <v>1939-S Wheat Penny</v>
      </c>
      <c r="S193" t="str" cm="1">
        <f t="array" ref="S193">_xlfn.REGEXEXTRACT(E193, "[0-9]{1,5}")</f>
        <v>1939</v>
      </c>
      <c r="T193" t="s">
        <v>2472</v>
      </c>
      <c r="U193" t="s">
        <v>3896</v>
      </c>
    </row>
    <row r="194" spans="1:21">
      <c r="A194" s="136">
        <v>1</v>
      </c>
      <c r="B194" s="233">
        <v>1939</v>
      </c>
      <c r="C194" s="234" t="s">
        <v>12</v>
      </c>
      <c r="D194" s="234" t="s">
        <v>4920</v>
      </c>
      <c r="E194" s="244" t="s">
        <v>2805</v>
      </c>
      <c r="F194" s="244" t="s">
        <v>3753</v>
      </c>
      <c r="G194" s="235" t="s">
        <v>2580</v>
      </c>
      <c r="H194" s="236">
        <v>0.25</v>
      </c>
      <c r="I194" s="236">
        <v>0.25</v>
      </c>
      <c r="J194" s="233">
        <v>1</v>
      </c>
      <c r="K194" s="242"/>
      <c r="L194" s="235"/>
      <c r="M194" s="276"/>
      <c r="N194" s="279" t="s">
        <v>25</v>
      </c>
      <c r="O194" t="str">
        <f t="shared" si="3"/>
        <v>1939-S Wheat Penny</v>
      </c>
      <c r="S194" t="str" cm="1">
        <f t="array" ref="S194">_xlfn.REGEXEXTRACT(E194, "[0-9]{1,5}")</f>
        <v>1939</v>
      </c>
      <c r="T194" t="s">
        <v>2472</v>
      </c>
      <c r="U194" t="s">
        <v>3896</v>
      </c>
    </row>
    <row r="195" spans="1:21">
      <c r="A195" s="136">
        <v>1</v>
      </c>
      <c r="B195" s="233">
        <v>1940</v>
      </c>
      <c r="C195" s="234"/>
      <c r="D195" s="234" t="s">
        <v>4920</v>
      </c>
      <c r="E195" s="244" t="s">
        <v>2806</v>
      </c>
      <c r="F195" s="244" t="s">
        <v>3753</v>
      </c>
      <c r="G195" s="235" t="s">
        <v>2580</v>
      </c>
      <c r="H195" s="236">
        <v>0.01</v>
      </c>
      <c r="I195" s="236">
        <v>0</v>
      </c>
      <c r="J195" s="233">
        <v>1</v>
      </c>
      <c r="K195" s="242"/>
      <c r="L195" s="235"/>
      <c r="M195" s="276"/>
      <c r="N195" s="279" t="s">
        <v>25</v>
      </c>
      <c r="O195" t="str">
        <f t="shared" si="3"/>
        <v>1940 Wheat Penny</v>
      </c>
      <c r="S195" t="str" cm="1">
        <f t="array" ref="S195">_xlfn.REGEXEXTRACT(E195, "[0-9]{1,5}")</f>
        <v>1940</v>
      </c>
      <c r="T195" t="s">
        <v>2473</v>
      </c>
      <c r="U195" t="s">
        <v>3896</v>
      </c>
    </row>
    <row r="196" spans="1:21">
      <c r="A196" s="136">
        <v>1</v>
      </c>
      <c r="B196" s="233">
        <v>1940</v>
      </c>
      <c r="C196" s="234"/>
      <c r="D196" s="234" t="s">
        <v>4920</v>
      </c>
      <c r="E196" s="244" t="s">
        <v>2807</v>
      </c>
      <c r="F196" s="244" t="s">
        <v>3753</v>
      </c>
      <c r="G196" s="235" t="s">
        <v>2580</v>
      </c>
      <c r="H196" s="236">
        <v>0.01</v>
      </c>
      <c r="I196" s="236">
        <v>0</v>
      </c>
      <c r="J196" s="233">
        <v>1</v>
      </c>
      <c r="K196" s="242"/>
      <c r="L196" s="235"/>
      <c r="M196" s="276"/>
      <c r="N196" s="279" t="s">
        <v>25</v>
      </c>
      <c r="O196" t="str">
        <f t="shared" ref="O196:O259" si="4">IF(C196&lt;&gt;"",B196&amp;"-"&amp;C196&amp;" "&amp;F196,B196&amp;" "&amp;F196)</f>
        <v>1940 Wheat Penny</v>
      </c>
      <c r="S196" t="str" cm="1">
        <f t="array" ref="S196">_xlfn.REGEXEXTRACT(E196, "[0-9]{1,5}")</f>
        <v>1940</v>
      </c>
      <c r="T196" t="s">
        <v>2473</v>
      </c>
      <c r="U196" t="s">
        <v>3896</v>
      </c>
    </row>
    <row r="197" spans="1:21">
      <c r="A197" s="136">
        <v>1</v>
      </c>
      <c r="B197" s="233">
        <v>1940</v>
      </c>
      <c r="C197" s="234"/>
      <c r="D197" s="234" t="s">
        <v>4920</v>
      </c>
      <c r="E197" s="244" t="s">
        <v>2808</v>
      </c>
      <c r="F197" s="244" t="s">
        <v>3753</v>
      </c>
      <c r="G197" s="235" t="s">
        <v>2580</v>
      </c>
      <c r="H197" s="236">
        <v>0.01</v>
      </c>
      <c r="I197" s="236">
        <v>0</v>
      </c>
      <c r="J197" s="233">
        <v>1</v>
      </c>
      <c r="K197" s="242"/>
      <c r="L197" s="235"/>
      <c r="M197" s="276"/>
      <c r="N197" s="279" t="s">
        <v>25</v>
      </c>
      <c r="O197" t="str">
        <f t="shared" si="4"/>
        <v>1940 Wheat Penny</v>
      </c>
      <c r="S197" t="str" cm="1">
        <f t="array" ref="S197">_xlfn.REGEXEXTRACT(E197, "[0-9]{1,5}")</f>
        <v>1940</v>
      </c>
      <c r="T197" t="s">
        <v>2473</v>
      </c>
      <c r="U197" t="s">
        <v>3896</v>
      </c>
    </row>
    <row r="198" spans="1:21">
      <c r="A198" s="136">
        <v>1</v>
      </c>
      <c r="B198" s="233">
        <v>1940</v>
      </c>
      <c r="C198" s="234"/>
      <c r="D198" s="234" t="s">
        <v>4920</v>
      </c>
      <c r="E198" s="244" t="s">
        <v>2809</v>
      </c>
      <c r="F198" s="244" t="s">
        <v>3753</v>
      </c>
      <c r="G198" s="235" t="s">
        <v>2580</v>
      </c>
      <c r="H198" s="236">
        <v>0.01</v>
      </c>
      <c r="I198" s="236">
        <v>0</v>
      </c>
      <c r="J198" s="233">
        <v>1</v>
      </c>
      <c r="K198" s="242"/>
      <c r="L198" s="235"/>
      <c r="M198" s="276"/>
      <c r="N198" s="279" t="s">
        <v>25</v>
      </c>
      <c r="O198" t="str">
        <f t="shared" si="4"/>
        <v>1940 Wheat Penny</v>
      </c>
      <c r="S198" t="str" cm="1">
        <f t="array" ref="S198">_xlfn.REGEXEXTRACT(E198, "[0-9]{1,5}")</f>
        <v>1940</v>
      </c>
      <c r="T198" t="s">
        <v>2473</v>
      </c>
      <c r="U198" t="s">
        <v>3896</v>
      </c>
    </row>
    <row r="199" spans="1:21">
      <c r="A199" s="136">
        <v>1</v>
      </c>
      <c r="B199" s="233">
        <v>1940</v>
      </c>
      <c r="C199" s="234"/>
      <c r="D199" s="234" t="s">
        <v>4920</v>
      </c>
      <c r="E199" s="244" t="s">
        <v>2810</v>
      </c>
      <c r="F199" s="244" t="s">
        <v>3753</v>
      </c>
      <c r="G199" s="235" t="s">
        <v>2580</v>
      </c>
      <c r="H199" s="236">
        <v>0.01</v>
      </c>
      <c r="I199" s="236">
        <v>0</v>
      </c>
      <c r="J199" s="233">
        <v>1</v>
      </c>
      <c r="K199" s="242"/>
      <c r="L199" s="235"/>
      <c r="M199" s="276"/>
      <c r="N199" s="279" t="s">
        <v>25</v>
      </c>
      <c r="O199" t="str">
        <f t="shared" si="4"/>
        <v>1940 Wheat Penny</v>
      </c>
      <c r="S199" t="str" cm="1">
        <f t="array" ref="S199">_xlfn.REGEXEXTRACT(E199, "[0-9]{1,5}")</f>
        <v>1940</v>
      </c>
      <c r="T199" t="s">
        <v>2473</v>
      </c>
      <c r="U199" t="s">
        <v>3896</v>
      </c>
    </row>
    <row r="200" spans="1:21">
      <c r="A200" s="136">
        <v>1</v>
      </c>
      <c r="B200" s="233">
        <v>1940</v>
      </c>
      <c r="C200" s="234" t="s">
        <v>13</v>
      </c>
      <c r="D200" s="234" t="s">
        <v>4920</v>
      </c>
      <c r="E200" s="244" t="s">
        <v>2811</v>
      </c>
      <c r="F200" s="244" t="s">
        <v>3753</v>
      </c>
      <c r="G200" s="235" t="s">
        <v>2580</v>
      </c>
      <c r="H200" s="236">
        <v>0.25</v>
      </c>
      <c r="I200" s="236">
        <v>0.01</v>
      </c>
      <c r="J200" s="233">
        <v>1</v>
      </c>
      <c r="K200" s="242"/>
      <c r="L200" s="235"/>
      <c r="M200" s="276"/>
      <c r="N200" s="279" t="s">
        <v>25</v>
      </c>
      <c r="O200" t="str">
        <f t="shared" si="4"/>
        <v>1940-D Wheat Penny</v>
      </c>
      <c r="S200" t="str" cm="1">
        <f t="array" ref="S200">_xlfn.REGEXEXTRACT(E200, "[0-9]{1,5}")</f>
        <v>1940</v>
      </c>
      <c r="T200" t="s">
        <v>2473</v>
      </c>
      <c r="U200" t="s">
        <v>3896</v>
      </c>
    </row>
    <row r="201" spans="1:21">
      <c r="A201" s="136">
        <v>1</v>
      </c>
      <c r="B201" s="233">
        <v>1940</v>
      </c>
      <c r="C201" s="234" t="s">
        <v>12</v>
      </c>
      <c r="D201" s="234" t="s">
        <v>4920</v>
      </c>
      <c r="E201" s="244" t="s">
        <v>2812</v>
      </c>
      <c r="F201" s="244" t="s">
        <v>3753</v>
      </c>
      <c r="G201" s="235" t="s">
        <v>2580</v>
      </c>
      <c r="H201" s="236">
        <v>0.01</v>
      </c>
      <c r="I201" s="236">
        <v>0</v>
      </c>
      <c r="J201" s="233">
        <v>1</v>
      </c>
      <c r="K201" s="242"/>
      <c r="L201" s="235"/>
      <c r="M201" s="276"/>
      <c r="N201" s="279" t="s">
        <v>25</v>
      </c>
      <c r="O201" t="str">
        <f t="shared" si="4"/>
        <v>1940-S Wheat Penny</v>
      </c>
      <c r="S201" t="str" cm="1">
        <f t="array" ref="S201">_xlfn.REGEXEXTRACT(E201, "[0-9]{1,5}")</f>
        <v>1940</v>
      </c>
      <c r="T201" t="s">
        <v>2473</v>
      </c>
      <c r="U201" t="s">
        <v>3896</v>
      </c>
    </row>
    <row r="202" spans="1:21">
      <c r="A202" s="136">
        <v>1</v>
      </c>
      <c r="B202" s="233">
        <v>1941</v>
      </c>
      <c r="C202" s="234"/>
      <c r="D202" s="234" t="s">
        <v>4920</v>
      </c>
      <c r="E202" s="244" t="s">
        <v>2813</v>
      </c>
      <c r="F202" s="244" t="s">
        <v>3753</v>
      </c>
      <c r="G202" s="235" t="s">
        <v>2580</v>
      </c>
      <c r="H202" s="236">
        <v>0.01</v>
      </c>
      <c r="I202" s="236">
        <v>0</v>
      </c>
      <c r="J202" s="233">
        <v>1</v>
      </c>
      <c r="K202" s="242"/>
      <c r="L202" s="235"/>
      <c r="M202" s="276"/>
      <c r="N202" s="279" t="s">
        <v>25</v>
      </c>
      <c r="O202" t="str">
        <f t="shared" si="4"/>
        <v>1941 Wheat Penny</v>
      </c>
      <c r="S202" t="str" cm="1">
        <f t="array" ref="S202">_xlfn.REGEXEXTRACT(E202, "[0-9]{1,5}")</f>
        <v>1941</v>
      </c>
      <c r="T202" t="s">
        <v>2474</v>
      </c>
      <c r="U202" t="s">
        <v>3896</v>
      </c>
    </row>
    <row r="203" spans="1:21">
      <c r="A203" s="136">
        <v>1</v>
      </c>
      <c r="B203" s="233">
        <v>1941</v>
      </c>
      <c r="C203" s="234"/>
      <c r="D203" s="234" t="s">
        <v>4920</v>
      </c>
      <c r="E203" s="244" t="s">
        <v>2814</v>
      </c>
      <c r="F203" s="244" t="s">
        <v>3753</v>
      </c>
      <c r="G203" s="235" t="s">
        <v>2580</v>
      </c>
      <c r="H203" s="236">
        <v>0.01</v>
      </c>
      <c r="I203" s="236">
        <v>0</v>
      </c>
      <c r="J203" s="233">
        <v>1</v>
      </c>
      <c r="K203" s="242"/>
      <c r="L203" s="235"/>
      <c r="M203" s="276"/>
      <c r="N203" s="279" t="s">
        <v>25</v>
      </c>
      <c r="O203" t="str">
        <f t="shared" si="4"/>
        <v>1941 Wheat Penny</v>
      </c>
      <c r="S203" t="str" cm="1">
        <f t="array" ref="S203">_xlfn.REGEXEXTRACT(E203, "[0-9]{1,5}")</f>
        <v>1941</v>
      </c>
      <c r="T203" t="s">
        <v>2474</v>
      </c>
      <c r="U203" t="s">
        <v>3896</v>
      </c>
    </row>
    <row r="204" spans="1:21">
      <c r="A204" s="136">
        <v>1</v>
      </c>
      <c r="B204" s="233">
        <v>1941</v>
      </c>
      <c r="C204" s="234"/>
      <c r="D204" s="234" t="s">
        <v>4920</v>
      </c>
      <c r="E204" s="244" t="s">
        <v>2815</v>
      </c>
      <c r="F204" s="244" t="s">
        <v>3753</v>
      </c>
      <c r="G204" s="235" t="s">
        <v>2580</v>
      </c>
      <c r="H204" s="236">
        <v>0.01</v>
      </c>
      <c r="I204" s="236">
        <v>0</v>
      </c>
      <c r="J204" s="233">
        <v>1</v>
      </c>
      <c r="K204" s="242"/>
      <c r="L204" s="235"/>
      <c r="M204" s="276"/>
      <c r="N204" s="279" t="s">
        <v>25</v>
      </c>
      <c r="O204" t="str">
        <f t="shared" si="4"/>
        <v>1941 Wheat Penny</v>
      </c>
      <c r="S204" t="str" cm="1">
        <f t="array" ref="S204">_xlfn.REGEXEXTRACT(E204, "[0-9]{1,5}")</f>
        <v>1941</v>
      </c>
      <c r="T204" t="s">
        <v>2474</v>
      </c>
      <c r="U204" t="s">
        <v>3896</v>
      </c>
    </row>
    <row r="205" spans="1:21">
      <c r="A205" s="136">
        <v>1</v>
      </c>
      <c r="B205" s="233">
        <v>1941</v>
      </c>
      <c r="C205" s="234"/>
      <c r="D205" s="234" t="s">
        <v>4920</v>
      </c>
      <c r="E205" s="244" t="s">
        <v>2816</v>
      </c>
      <c r="F205" s="244" t="s">
        <v>3753</v>
      </c>
      <c r="G205" s="235" t="s">
        <v>2580</v>
      </c>
      <c r="H205" s="236">
        <v>0.01</v>
      </c>
      <c r="I205" s="236">
        <v>0</v>
      </c>
      <c r="J205" s="233">
        <v>1</v>
      </c>
      <c r="K205" s="242"/>
      <c r="L205" s="235"/>
      <c r="M205" s="276"/>
      <c r="N205" s="279" t="s">
        <v>25</v>
      </c>
      <c r="O205" t="str">
        <f t="shared" si="4"/>
        <v>1941 Wheat Penny</v>
      </c>
      <c r="S205" t="str" cm="1">
        <f t="array" ref="S205">_xlfn.REGEXEXTRACT(E205, "[0-9]{1,5}")</f>
        <v>1941</v>
      </c>
      <c r="T205" t="s">
        <v>2474</v>
      </c>
      <c r="U205" t="s">
        <v>3896</v>
      </c>
    </row>
    <row r="206" spans="1:21">
      <c r="A206" s="136">
        <v>1</v>
      </c>
      <c r="B206" s="233">
        <v>1941</v>
      </c>
      <c r="C206" s="234"/>
      <c r="D206" s="234" t="s">
        <v>4920</v>
      </c>
      <c r="E206" s="244" t="s">
        <v>2817</v>
      </c>
      <c r="F206" s="244" t="s">
        <v>3753</v>
      </c>
      <c r="G206" s="235" t="s">
        <v>2580</v>
      </c>
      <c r="H206" s="236">
        <v>0.01</v>
      </c>
      <c r="I206" s="236">
        <v>0</v>
      </c>
      <c r="J206" s="233">
        <v>1</v>
      </c>
      <c r="K206" s="242"/>
      <c r="L206" s="235"/>
      <c r="M206" s="276"/>
      <c r="N206" s="279" t="s">
        <v>25</v>
      </c>
      <c r="O206" t="str">
        <f t="shared" si="4"/>
        <v>1941 Wheat Penny</v>
      </c>
      <c r="S206" t="str" cm="1">
        <f t="array" ref="S206">_xlfn.REGEXEXTRACT(E206, "[0-9]{1,5}")</f>
        <v>1941</v>
      </c>
      <c r="T206" t="s">
        <v>2474</v>
      </c>
      <c r="U206" t="s">
        <v>3896</v>
      </c>
    </row>
    <row r="207" spans="1:21">
      <c r="A207" s="136">
        <v>1</v>
      </c>
      <c r="B207" s="233">
        <v>1941</v>
      </c>
      <c r="C207" s="234"/>
      <c r="D207" s="234" t="s">
        <v>4920</v>
      </c>
      <c r="E207" s="244" t="s">
        <v>2818</v>
      </c>
      <c r="F207" s="244" t="s">
        <v>3753</v>
      </c>
      <c r="G207" s="235" t="s">
        <v>2580</v>
      </c>
      <c r="H207" s="236">
        <v>0.01</v>
      </c>
      <c r="I207" s="236">
        <v>0</v>
      </c>
      <c r="J207" s="233">
        <v>1</v>
      </c>
      <c r="K207" s="242"/>
      <c r="L207" s="235"/>
      <c r="M207" s="276"/>
      <c r="N207" s="279" t="s">
        <v>25</v>
      </c>
      <c r="O207" t="str">
        <f t="shared" si="4"/>
        <v>1941 Wheat Penny</v>
      </c>
      <c r="S207" t="str" cm="1">
        <f t="array" ref="S207">_xlfn.REGEXEXTRACT(E207, "[0-9]{1,5}")</f>
        <v>1941</v>
      </c>
      <c r="T207" t="s">
        <v>2474</v>
      </c>
      <c r="U207" t="s">
        <v>3896</v>
      </c>
    </row>
    <row r="208" spans="1:21">
      <c r="A208" s="136">
        <v>1</v>
      </c>
      <c r="B208" s="233">
        <v>1941</v>
      </c>
      <c r="C208" s="234"/>
      <c r="D208" s="234" t="s">
        <v>4920</v>
      </c>
      <c r="E208" s="244" t="s">
        <v>2819</v>
      </c>
      <c r="F208" s="244" t="s">
        <v>3753</v>
      </c>
      <c r="G208" s="235" t="s">
        <v>2580</v>
      </c>
      <c r="H208" s="236">
        <v>0.01</v>
      </c>
      <c r="I208" s="236">
        <v>0</v>
      </c>
      <c r="J208" s="233">
        <v>1</v>
      </c>
      <c r="K208" s="242"/>
      <c r="L208" s="235"/>
      <c r="M208" s="276"/>
      <c r="N208" s="279" t="s">
        <v>25</v>
      </c>
      <c r="O208" t="str">
        <f t="shared" si="4"/>
        <v>1941 Wheat Penny</v>
      </c>
      <c r="S208" t="str" cm="1">
        <f t="array" ref="S208">_xlfn.REGEXEXTRACT(E208, "[0-9]{1,5}")</f>
        <v>1941</v>
      </c>
      <c r="T208" t="s">
        <v>2474</v>
      </c>
      <c r="U208" t="s">
        <v>3896</v>
      </c>
    </row>
    <row r="209" spans="1:21">
      <c r="A209" s="136">
        <v>1</v>
      </c>
      <c r="B209" s="233">
        <v>1941</v>
      </c>
      <c r="C209" s="234"/>
      <c r="D209" s="234" t="s">
        <v>4920</v>
      </c>
      <c r="E209" s="244" t="s">
        <v>2820</v>
      </c>
      <c r="F209" s="244" t="s">
        <v>3753</v>
      </c>
      <c r="G209" s="235" t="s">
        <v>2580</v>
      </c>
      <c r="H209" s="236">
        <v>0.01</v>
      </c>
      <c r="I209" s="236">
        <v>0</v>
      </c>
      <c r="J209" s="233">
        <v>1</v>
      </c>
      <c r="K209" s="242"/>
      <c r="L209" s="235"/>
      <c r="M209" s="276"/>
      <c r="N209" s="279" t="s">
        <v>25</v>
      </c>
      <c r="O209" t="str">
        <f t="shared" si="4"/>
        <v>1941 Wheat Penny</v>
      </c>
      <c r="S209" t="str" cm="1">
        <f t="array" ref="S209">_xlfn.REGEXEXTRACT(E209, "[0-9]{1,5}")</f>
        <v>1941</v>
      </c>
      <c r="T209" t="s">
        <v>2474</v>
      </c>
      <c r="U209" t="s">
        <v>3896</v>
      </c>
    </row>
    <row r="210" spans="1:21">
      <c r="A210" s="136">
        <v>1</v>
      </c>
      <c r="B210" s="233">
        <v>1941</v>
      </c>
      <c r="C210" s="234"/>
      <c r="D210" s="234" t="s">
        <v>4920</v>
      </c>
      <c r="E210" s="244" t="s">
        <v>2821</v>
      </c>
      <c r="F210" s="244" t="s">
        <v>3753</v>
      </c>
      <c r="G210" s="235" t="s">
        <v>2580</v>
      </c>
      <c r="H210" s="236">
        <v>0.01</v>
      </c>
      <c r="I210" s="236">
        <v>0</v>
      </c>
      <c r="J210" s="233">
        <v>1</v>
      </c>
      <c r="K210" s="242"/>
      <c r="L210" s="235"/>
      <c r="M210" s="276"/>
      <c r="N210" s="279" t="s">
        <v>25</v>
      </c>
      <c r="O210" t="str">
        <f t="shared" si="4"/>
        <v>1941 Wheat Penny</v>
      </c>
      <c r="S210" t="str" cm="1">
        <f t="array" ref="S210">_xlfn.REGEXEXTRACT(E210, "[0-9]{1,5}")</f>
        <v>1941</v>
      </c>
      <c r="T210" t="s">
        <v>2474</v>
      </c>
      <c r="U210" t="s">
        <v>3896</v>
      </c>
    </row>
    <row r="211" spans="1:21">
      <c r="A211" s="136">
        <v>1</v>
      </c>
      <c r="B211" s="233">
        <v>1941</v>
      </c>
      <c r="C211" s="234"/>
      <c r="D211" s="234" t="s">
        <v>4920</v>
      </c>
      <c r="E211" s="244" t="s">
        <v>2822</v>
      </c>
      <c r="F211" s="244" t="s">
        <v>3753</v>
      </c>
      <c r="G211" s="235" t="s">
        <v>2580</v>
      </c>
      <c r="H211" s="236">
        <v>0.01</v>
      </c>
      <c r="I211" s="236">
        <v>0</v>
      </c>
      <c r="J211" s="233">
        <v>1</v>
      </c>
      <c r="K211" s="242"/>
      <c r="L211" s="235"/>
      <c r="M211" s="276"/>
      <c r="N211" s="279" t="s">
        <v>25</v>
      </c>
      <c r="O211" t="str">
        <f t="shared" si="4"/>
        <v>1941 Wheat Penny</v>
      </c>
      <c r="S211" t="str" cm="1">
        <f t="array" ref="S211">_xlfn.REGEXEXTRACT(E211, "[0-9]{1,5}")</f>
        <v>1941</v>
      </c>
      <c r="T211" t="s">
        <v>2474</v>
      </c>
      <c r="U211" t="s">
        <v>3896</v>
      </c>
    </row>
    <row r="212" spans="1:21">
      <c r="A212" s="136">
        <v>1</v>
      </c>
      <c r="B212" s="233">
        <v>1941</v>
      </c>
      <c r="C212" s="234"/>
      <c r="D212" s="234" t="s">
        <v>4920</v>
      </c>
      <c r="E212" s="244" t="s">
        <v>2823</v>
      </c>
      <c r="F212" s="244" t="s">
        <v>3753</v>
      </c>
      <c r="G212" s="235" t="s">
        <v>2580</v>
      </c>
      <c r="H212" s="236">
        <v>0.01</v>
      </c>
      <c r="I212" s="236">
        <v>0.09</v>
      </c>
      <c r="J212" s="233">
        <v>1</v>
      </c>
      <c r="K212" s="242"/>
      <c r="L212" s="235"/>
      <c r="M212" s="276"/>
      <c r="N212" s="279" t="s">
        <v>25</v>
      </c>
      <c r="O212" t="str">
        <f t="shared" si="4"/>
        <v>1941 Wheat Penny</v>
      </c>
      <c r="S212" t="str" cm="1">
        <f t="array" ref="S212">_xlfn.REGEXEXTRACT(E212, "[0-9]{1,5}")</f>
        <v>1941</v>
      </c>
      <c r="T212" t="s">
        <v>2474</v>
      </c>
      <c r="U212" t="s">
        <v>3896</v>
      </c>
    </row>
    <row r="213" spans="1:21">
      <c r="A213" s="136">
        <v>1</v>
      </c>
      <c r="B213" s="233">
        <v>1941</v>
      </c>
      <c r="C213" s="234"/>
      <c r="D213" s="234" t="s">
        <v>4920</v>
      </c>
      <c r="E213" s="244" t="s">
        <v>2824</v>
      </c>
      <c r="F213" s="244" t="s">
        <v>3753</v>
      </c>
      <c r="G213" s="235" t="s">
        <v>2580</v>
      </c>
      <c r="H213" s="236">
        <v>0.01</v>
      </c>
      <c r="I213" s="236">
        <v>0</v>
      </c>
      <c r="J213" s="233">
        <v>1</v>
      </c>
      <c r="K213" s="242"/>
      <c r="L213" s="235"/>
      <c r="M213" s="276"/>
      <c r="N213" s="279" t="s">
        <v>25</v>
      </c>
      <c r="O213" t="str">
        <f t="shared" si="4"/>
        <v>1941 Wheat Penny</v>
      </c>
      <c r="S213" t="str" cm="1">
        <f t="array" ref="S213">_xlfn.REGEXEXTRACT(E213, "[0-9]{1,5}")</f>
        <v>1941</v>
      </c>
      <c r="T213" t="s">
        <v>2474</v>
      </c>
      <c r="U213" t="s">
        <v>3896</v>
      </c>
    </row>
    <row r="214" spans="1:21">
      <c r="A214" s="136">
        <v>1</v>
      </c>
      <c r="B214" s="233">
        <v>1941</v>
      </c>
      <c r="C214" s="234"/>
      <c r="D214" s="234" t="s">
        <v>4920</v>
      </c>
      <c r="E214" s="244" t="s">
        <v>2825</v>
      </c>
      <c r="F214" s="244" t="s">
        <v>3753</v>
      </c>
      <c r="G214" s="235" t="s">
        <v>2580</v>
      </c>
      <c r="H214" s="236">
        <v>0.01</v>
      </c>
      <c r="I214" s="236">
        <v>0</v>
      </c>
      <c r="J214" s="233">
        <v>1</v>
      </c>
      <c r="K214" s="242"/>
      <c r="L214" s="235"/>
      <c r="M214" s="276"/>
      <c r="N214" s="279" t="s">
        <v>25</v>
      </c>
      <c r="O214" t="str">
        <f t="shared" si="4"/>
        <v>1941 Wheat Penny</v>
      </c>
      <c r="S214" t="str" cm="1">
        <f t="array" ref="S214">_xlfn.REGEXEXTRACT(E214, "[0-9]{1,5}")</f>
        <v>1941</v>
      </c>
      <c r="T214" t="s">
        <v>2474</v>
      </c>
      <c r="U214" t="s">
        <v>3896</v>
      </c>
    </row>
    <row r="215" spans="1:21">
      <c r="A215" s="136">
        <v>1</v>
      </c>
      <c r="B215" s="233">
        <v>1941</v>
      </c>
      <c r="C215" s="234" t="s">
        <v>12</v>
      </c>
      <c r="D215" s="234" t="s">
        <v>4920</v>
      </c>
      <c r="E215" s="244" t="s">
        <v>2826</v>
      </c>
      <c r="F215" s="244" t="s">
        <v>3753</v>
      </c>
      <c r="G215" s="235" t="s">
        <v>2580</v>
      </c>
      <c r="H215" s="236">
        <v>0.01</v>
      </c>
      <c r="I215" s="236">
        <v>0</v>
      </c>
      <c r="J215" s="233">
        <v>1</v>
      </c>
      <c r="K215" s="242"/>
      <c r="L215" s="235"/>
      <c r="M215" s="276"/>
      <c r="N215" s="279" t="s">
        <v>25</v>
      </c>
      <c r="O215" t="str">
        <f t="shared" si="4"/>
        <v>1941-S Wheat Penny</v>
      </c>
      <c r="S215" t="str" cm="1">
        <f t="array" ref="S215">_xlfn.REGEXEXTRACT(E215, "[0-9]{1,5}")</f>
        <v>1941</v>
      </c>
      <c r="T215" t="s">
        <v>2474</v>
      </c>
      <c r="U215" t="s">
        <v>3896</v>
      </c>
    </row>
    <row r="216" spans="1:21">
      <c r="A216" s="136">
        <v>1</v>
      </c>
      <c r="B216" s="233">
        <v>1941</v>
      </c>
      <c r="C216" s="234"/>
      <c r="D216" s="234" t="s">
        <v>4920</v>
      </c>
      <c r="E216" s="244" t="s">
        <v>2827</v>
      </c>
      <c r="F216" s="244" t="s">
        <v>3753</v>
      </c>
      <c r="G216" s="235" t="s">
        <v>2580</v>
      </c>
      <c r="H216" s="236">
        <v>0.01</v>
      </c>
      <c r="I216" s="236">
        <v>0</v>
      </c>
      <c r="J216" s="233">
        <v>1</v>
      </c>
      <c r="K216" s="242"/>
      <c r="L216" s="235"/>
      <c r="M216" s="276"/>
      <c r="N216" s="279" t="s">
        <v>25</v>
      </c>
      <c r="O216" t="str">
        <f t="shared" si="4"/>
        <v>1941 Wheat Penny</v>
      </c>
      <c r="S216" t="str" cm="1">
        <f t="array" ref="S216">_xlfn.REGEXEXTRACT(E216, "[0-9]{1,5}")</f>
        <v>1941</v>
      </c>
      <c r="T216" t="s">
        <v>2474</v>
      </c>
      <c r="U216" t="s">
        <v>3896</v>
      </c>
    </row>
    <row r="217" spans="1:21">
      <c r="A217" s="136">
        <v>1</v>
      </c>
      <c r="B217" s="233">
        <v>1941</v>
      </c>
      <c r="C217" s="234"/>
      <c r="D217" s="234" t="s">
        <v>4920</v>
      </c>
      <c r="E217" s="244" t="s">
        <v>2828</v>
      </c>
      <c r="F217" s="244" t="s">
        <v>3753</v>
      </c>
      <c r="G217" s="235" t="s">
        <v>2580</v>
      </c>
      <c r="H217" s="236">
        <v>0.01</v>
      </c>
      <c r="I217" s="236">
        <v>0</v>
      </c>
      <c r="J217" s="233">
        <v>1</v>
      </c>
      <c r="K217" s="242"/>
      <c r="L217" s="235"/>
      <c r="M217" s="276"/>
      <c r="N217" s="279" t="s">
        <v>25</v>
      </c>
      <c r="O217" t="str">
        <f t="shared" si="4"/>
        <v>1941 Wheat Penny</v>
      </c>
      <c r="S217" t="str" cm="1">
        <f t="array" ref="S217">_xlfn.REGEXEXTRACT(E217, "[0-9]{1,5}")</f>
        <v>1941</v>
      </c>
      <c r="T217" t="s">
        <v>2474</v>
      </c>
      <c r="U217" t="s">
        <v>3896</v>
      </c>
    </row>
    <row r="218" spans="1:21">
      <c r="A218" s="136">
        <v>1</v>
      </c>
      <c r="B218" s="233">
        <v>1941</v>
      </c>
      <c r="C218" s="234"/>
      <c r="D218" s="234" t="s">
        <v>4920</v>
      </c>
      <c r="E218" s="244" t="s">
        <v>2829</v>
      </c>
      <c r="F218" s="244" t="s">
        <v>3753</v>
      </c>
      <c r="G218" s="235" t="s">
        <v>2580</v>
      </c>
      <c r="H218" s="236">
        <v>0.01</v>
      </c>
      <c r="I218" s="236">
        <v>0</v>
      </c>
      <c r="J218" s="233">
        <v>1</v>
      </c>
      <c r="K218" s="242"/>
      <c r="L218" s="235"/>
      <c r="M218" s="276"/>
      <c r="N218" s="279" t="s">
        <v>25</v>
      </c>
      <c r="O218" t="str">
        <f t="shared" si="4"/>
        <v>1941 Wheat Penny</v>
      </c>
      <c r="S218" t="str" cm="1">
        <f t="array" ref="S218">_xlfn.REGEXEXTRACT(E218, "[0-9]{1,5}")</f>
        <v>1941</v>
      </c>
      <c r="T218" t="s">
        <v>2474</v>
      </c>
      <c r="U218" t="s">
        <v>3896</v>
      </c>
    </row>
    <row r="219" spans="1:21">
      <c r="A219" s="136">
        <v>1</v>
      </c>
      <c r="B219" s="233">
        <v>1941</v>
      </c>
      <c r="C219" s="234"/>
      <c r="D219" s="234" t="s">
        <v>4920</v>
      </c>
      <c r="E219" s="244" t="s">
        <v>2830</v>
      </c>
      <c r="F219" s="244" t="s">
        <v>3753</v>
      </c>
      <c r="G219" s="235" t="s">
        <v>2580</v>
      </c>
      <c r="H219" s="236">
        <v>0.01</v>
      </c>
      <c r="I219" s="236">
        <v>0</v>
      </c>
      <c r="J219" s="233">
        <v>1</v>
      </c>
      <c r="K219" s="242"/>
      <c r="L219" s="235"/>
      <c r="M219" s="276"/>
      <c r="N219" s="279" t="s">
        <v>25</v>
      </c>
      <c r="O219" t="str">
        <f t="shared" si="4"/>
        <v>1941 Wheat Penny</v>
      </c>
      <c r="S219" t="str" cm="1">
        <f t="array" ref="S219">_xlfn.REGEXEXTRACT(E219, "[0-9]{1,5}")</f>
        <v>1941</v>
      </c>
      <c r="T219" t="s">
        <v>2474</v>
      </c>
      <c r="U219" t="s">
        <v>3896</v>
      </c>
    </row>
    <row r="220" spans="1:21">
      <c r="A220" s="136">
        <v>1</v>
      </c>
      <c r="B220" s="233">
        <v>1941</v>
      </c>
      <c r="C220" s="234"/>
      <c r="D220" s="234" t="s">
        <v>4920</v>
      </c>
      <c r="E220" s="244" t="s">
        <v>2831</v>
      </c>
      <c r="F220" s="244" t="s">
        <v>3753</v>
      </c>
      <c r="G220" s="235" t="s">
        <v>2580</v>
      </c>
      <c r="H220" s="236">
        <v>0.01</v>
      </c>
      <c r="I220" s="236">
        <v>0</v>
      </c>
      <c r="J220" s="233">
        <v>1</v>
      </c>
      <c r="K220" s="242"/>
      <c r="L220" s="235"/>
      <c r="M220" s="276"/>
      <c r="N220" s="279" t="s">
        <v>25</v>
      </c>
      <c r="O220" t="str">
        <f t="shared" si="4"/>
        <v>1941 Wheat Penny</v>
      </c>
      <c r="S220" t="str" cm="1">
        <f t="array" ref="S220">_xlfn.REGEXEXTRACT(E220, "[0-9]{1,5}")</f>
        <v>1941</v>
      </c>
      <c r="T220" t="s">
        <v>2474</v>
      </c>
      <c r="U220" t="s">
        <v>3896</v>
      </c>
    </row>
    <row r="221" spans="1:21">
      <c r="A221" s="136">
        <v>1</v>
      </c>
      <c r="B221" s="233">
        <v>1941</v>
      </c>
      <c r="C221" s="234" t="s">
        <v>13</v>
      </c>
      <c r="D221" s="234" t="s">
        <v>4920</v>
      </c>
      <c r="E221" s="244" t="s">
        <v>2832</v>
      </c>
      <c r="F221" s="244" t="s">
        <v>3753</v>
      </c>
      <c r="G221" s="235" t="s">
        <v>2580</v>
      </c>
      <c r="H221" s="236">
        <v>0.3</v>
      </c>
      <c r="I221" s="236">
        <v>0.01</v>
      </c>
      <c r="J221" s="233">
        <v>1</v>
      </c>
      <c r="K221" s="242"/>
      <c r="L221" s="235"/>
      <c r="M221" s="276"/>
      <c r="N221" s="279" t="s">
        <v>25</v>
      </c>
      <c r="O221" t="str">
        <f t="shared" si="4"/>
        <v>1941-D Wheat Penny</v>
      </c>
      <c r="S221" t="str" cm="1">
        <f t="array" ref="S221">_xlfn.REGEXEXTRACT(E221, "[0-9]{1,5}")</f>
        <v>1941</v>
      </c>
      <c r="T221" t="s">
        <v>2474</v>
      </c>
      <c r="U221" t="s">
        <v>3896</v>
      </c>
    </row>
    <row r="222" spans="1:21">
      <c r="A222" s="136">
        <v>1</v>
      </c>
      <c r="B222" s="233">
        <v>1942</v>
      </c>
      <c r="C222" s="234"/>
      <c r="D222" s="234" t="s">
        <v>4920</v>
      </c>
      <c r="E222" s="244" t="s">
        <v>2833</v>
      </c>
      <c r="F222" s="244" t="s">
        <v>3753</v>
      </c>
      <c r="G222" s="235" t="s">
        <v>2580</v>
      </c>
      <c r="H222" s="236">
        <v>0.01</v>
      </c>
      <c r="I222" s="236">
        <v>0</v>
      </c>
      <c r="J222" s="233">
        <v>1</v>
      </c>
      <c r="K222" s="242"/>
      <c r="L222" s="235"/>
      <c r="M222" s="276"/>
      <c r="N222" s="279" t="s">
        <v>25</v>
      </c>
      <c r="O222" t="str">
        <f t="shared" si="4"/>
        <v>1942 Wheat Penny</v>
      </c>
      <c r="S222" t="str" cm="1">
        <f t="array" ref="S222">_xlfn.REGEXEXTRACT(E222, "[0-9]{1,5}")</f>
        <v>1942</v>
      </c>
      <c r="T222" t="s">
        <v>2475</v>
      </c>
      <c r="U222" t="s">
        <v>3896</v>
      </c>
    </row>
    <row r="223" spans="1:21">
      <c r="A223" s="136">
        <v>1</v>
      </c>
      <c r="B223" s="233">
        <v>1942</v>
      </c>
      <c r="C223" s="234"/>
      <c r="D223" s="234" t="s">
        <v>4920</v>
      </c>
      <c r="E223" s="244" t="s">
        <v>2834</v>
      </c>
      <c r="F223" s="244" t="s">
        <v>3753</v>
      </c>
      <c r="G223" s="235" t="s">
        <v>2580</v>
      </c>
      <c r="H223" s="236">
        <v>0.01</v>
      </c>
      <c r="I223" s="236">
        <v>0</v>
      </c>
      <c r="J223" s="233">
        <v>1</v>
      </c>
      <c r="K223" s="242"/>
      <c r="L223" s="235"/>
      <c r="M223" s="276"/>
      <c r="N223" s="279" t="s">
        <v>25</v>
      </c>
      <c r="O223" t="str">
        <f t="shared" si="4"/>
        <v>1942 Wheat Penny</v>
      </c>
      <c r="S223" t="str" cm="1">
        <f t="array" ref="S223">_xlfn.REGEXEXTRACT(E223, "[0-9]{1,5}")</f>
        <v>1942</v>
      </c>
      <c r="T223" t="s">
        <v>2475</v>
      </c>
      <c r="U223" t="s">
        <v>3896</v>
      </c>
    </row>
    <row r="224" spans="1:21">
      <c r="A224" s="136">
        <v>1</v>
      </c>
      <c r="B224" s="233">
        <v>1942</v>
      </c>
      <c r="C224" s="234"/>
      <c r="D224" s="234" t="s">
        <v>4920</v>
      </c>
      <c r="E224" s="244" t="s">
        <v>2835</v>
      </c>
      <c r="F224" s="244" t="s">
        <v>3753</v>
      </c>
      <c r="G224" s="235" t="s">
        <v>2580</v>
      </c>
      <c r="H224" s="236">
        <v>0.01</v>
      </c>
      <c r="I224" s="236">
        <v>0</v>
      </c>
      <c r="J224" s="233">
        <v>1</v>
      </c>
      <c r="K224" s="242"/>
      <c r="L224" s="235"/>
      <c r="M224" s="276"/>
      <c r="N224" s="279" t="s">
        <v>25</v>
      </c>
      <c r="O224" t="str">
        <f t="shared" si="4"/>
        <v>1942 Wheat Penny</v>
      </c>
      <c r="S224" t="str" cm="1">
        <f t="array" ref="S224">_xlfn.REGEXEXTRACT(E224, "[0-9]{1,5}")</f>
        <v>1942</v>
      </c>
      <c r="T224" t="s">
        <v>2475</v>
      </c>
      <c r="U224" t="s">
        <v>3896</v>
      </c>
    </row>
    <row r="225" spans="1:21">
      <c r="A225" s="136">
        <v>1</v>
      </c>
      <c r="B225" s="233">
        <v>1942</v>
      </c>
      <c r="C225" s="234"/>
      <c r="D225" s="234" t="s">
        <v>4920</v>
      </c>
      <c r="E225" s="244" t="s">
        <v>2836</v>
      </c>
      <c r="F225" s="244" t="s">
        <v>3753</v>
      </c>
      <c r="G225" s="235" t="s">
        <v>2580</v>
      </c>
      <c r="H225" s="236">
        <v>0.01</v>
      </c>
      <c r="I225" s="236">
        <v>0</v>
      </c>
      <c r="J225" s="233">
        <v>1</v>
      </c>
      <c r="K225" s="242"/>
      <c r="L225" s="235"/>
      <c r="M225" s="276"/>
      <c r="N225" s="279" t="s">
        <v>25</v>
      </c>
      <c r="O225" t="str">
        <f t="shared" si="4"/>
        <v>1942 Wheat Penny</v>
      </c>
      <c r="S225" t="str" cm="1">
        <f t="array" ref="S225">_xlfn.REGEXEXTRACT(E225, "[0-9]{1,5}")</f>
        <v>1942</v>
      </c>
      <c r="T225" t="s">
        <v>2475</v>
      </c>
      <c r="U225" t="s">
        <v>3896</v>
      </c>
    </row>
    <row r="226" spans="1:21">
      <c r="A226" s="136">
        <v>1</v>
      </c>
      <c r="B226" s="233">
        <v>1942</v>
      </c>
      <c r="C226" s="234"/>
      <c r="D226" s="234" t="s">
        <v>4920</v>
      </c>
      <c r="E226" s="244" t="s">
        <v>2837</v>
      </c>
      <c r="F226" s="244" t="s">
        <v>3753</v>
      </c>
      <c r="G226" s="235" t="s">
        <v>2580</v>
      </c>
      <c r="H226" s="236">
        <v>0.01</v>
      </c>
      <c r="I226" s="236">
        <v>0</v>
      </c>
      <c r="J226" s="233">
        <v>1</v>
      </c>
      <c r="K226" s="242"/>
      <c r="L226" s="235"/>
      <c r="M226" s="276"/>
      <c r="N226" s="279" t="s">
        <v>25</v>
      </c>
      <c r="O226" t="str">
        <f t="shared" si="4"/>
        <v>1942 Wheat Penny</v>
      </c>
      <c r="S226" t="str" cm="1">
        <f t="array" ref="S226">_xlfn.REGEXEXTRACT(E226, "[0-9]{1,5}")</f>
        <v>1942</v>
      </c>
      <c r="T226" t="s">
        <v>2475</v>
      </c>
      <c r="U226" t="s">
        <v>3896</v>
      </c>
    </row>
    <row r="227" spans="1:21">
      <c r="A227" s="136">
        <v>1</v>
      </c>
      <c r="B227" s="233">
        <v>1942</v>
      </c>
      <c r="C227" s="234"/>
      <c r="D227" s="234" t="s">
        <v>4920</v>
      </c>
      <c r="E227" s="244" t="s">
        <v>2838</v>
      </c>
      <c r="F227" s="244" t="s">
        <v>3753</v>
      </c>
      <c r="G227" s="235" t="s">
        <v>2580</v>
      </c>
      <c r="H227" s="236">
        <v>0.01</v>
      </c>
      <c r="I227" s="236">
        <v>0</v>
      </c>
      <c r="J227" s="233">
        <v>1</v>
      </c>
      <c r="K227" s="242"/>
      <c r="L227" s="235"/>
      <c r="M227" s="276"/>
      <c r="N227" s="279" t="s">
        <v>25</v>
      </c>
      <c r="O227" t="str">
        <f t="shared" si="4"/>
        <v>1942 Wheat Penny</v>
      </c>
      <c r="S227" t="str" cm="1">
        <f t="array" ref="S227">_xlfn.REGEXEXTRACT(E227, "[0-9]{1,5}")</f>
        <v>1942</v>
      </c>
      <c r="T227" t="s">
        <v>2475</v>
      </c>
      <c r="U227" t="s">
        <v>3896</v>
      </c>
    </row>
    <row r="228" spans="1:21">
      <c r="A228" s="136">
        <v>1</v>
      </c>
      <c r="B228" s="233">
        <v>1942</v>
      </c>
      <c r="C228" s="234"/>
      <c r="D228" s="234" t="s">
        <v>4920</v>
      </c>
      <c r="E228" s="244" t="s">
        <v>2839</v>
      </c>
      <c r="F228" s="244" t="s">
        <v>3753</v>
      </c>
      <c r="G228" s="235" t="s">
        <v>2580</v>
      </c>
      <c r="H228" s="236">
        <v>0.01</v>
      </c>
      <c r="I228" s="236">
        <v>0</v>
      </c>
      <c r="J228" s="233">
        <v>1</v>
      </c>
      <c r="K228" s="242"/>
      <c r="L228" s="235"/>
      <c r="M228" s="276"/>
      <c r="N228" s="279" t="s">
        <v>25</v>
      </c>
      <c r="O228" t="str">
        <f t="shared" si="4"/>
        <v>1942 Wheat Penny</v>
      </c>
      <c r="S228" t="str" cm="1">
        <f t="array" ref="S228">_xlfn.REGEXEXTRACT(E228, "[0-9]{1,5}")</f>
        <v>1942</v>
      </c>
      <c r="T228" t="s">
        <v>2475</v>
      </c>
      <c r="U228" t="s">
        <v>3896</v>
      </c>
    </row>
    <row r="229" spans="1:21">
      <c r="A229" s="136">
        <v>1</v>
      </c>
      <c r="B229" s="233">
        <v>1942</v>
      </c>
      <c r="C229" s="234"/>
      <c r="D229" s="234" t="s">
        <v>4920</v>
      </c>
      <c r="E229" s="244" t="s">
        <v>2840</v>
      </c>
      <c r="F229" s="244" t="s">
        <v>3753</v>
      </c>
      <c r="G229" s="235" t="s">
        <v>2580</v>
      </c>
      <c r="H229" s="236">
        <v>0.01</v>
      </c>
      <c r="I229" s="236">
        <v>0</v>
      </c>
      <c r="J229" s="233">
        <v>1</v>
      </c>
      <c r="K229" s="242"/>
      <c r="L229" s="235"/>
      <c r="M229" s="276"/>
      <c r="N229" s="279" t="s">
        <v>25</v>
      </c>
      <c r="O229" t="str">
        <f t="shared" si="4"/>
        <v>1942 Wheat Penny</v>
      </c>
      <c r="S229" t="str" cm="1">
        <f t="array" ref="S229">_xlfn.REGEXEXTRACT(E229, "[0-9]{1,5}")</f>
        <v>1942</v>
      </c>
      <c r="T229" t="s">
        <v>2475</v>
      </c>
      <c r="U229" t="s">
        <v>3896</v>
      </c>
    </row>
    <row r="230" spans="1:21">
      <c r="A230" s="136">
        <v>1</v>
      </c>
      <c r="B230" s="233">
        <v>1942</v>
      </c>
      <c r="C230" s="234" t="s">
        <v>12</v>
      </c>
      <c r="D230" s="234" t="s">
        <v>4920</v>
      </c>
      <c r="E230" s="244" t="s">
        <v>2841</v>
      </c>
      <c r="F230" s="244" t="s">
        <v>3753</v>
      </c>
      <c r="G230" s="235" t="s">
        <v>2580</v>
      </c>
      <c r="H230" s="236">
        <v>0.01</v>
      </c>
      <c r="I230" s="236">
        <v>0</v>
      </c>
      <c r="J230" s="233">
        <v>1</v>
      </c>
      <c r="K230" s="242"/>
      <c r="L230" s="235"/>
      <c r="M230" s="276"/>
      <c r="N230" s="279" t="s">
        <v>25</v>
      </c>
      <c r="O230" t="str">
        <f t="shared" si="4"/>
        <v>1942-S Wheat Penny</v>
      </c>
      <c r="S230" t="str" cm="1">
        <f t="array" ref="S230">_xlfn.REGEXEXTRACT(E230, "[0-9]{1,5}")</f>
        <v>1942</v>
      </c>
      <c r="T230" t="s">
        <v>2475</v>
      </c>
      <c r="U230" t="s">
        <v>3896</v>
      </c>
    </row>
    <row r="231" spans="1:21">
      <c r="A231" s="136">
        <v>1</v>
      </c>
      <c r="B231" s="233">
        <v>1942</v>
      </c>
      <c r="C231" s="234" t="s">
        <v>12</v>
      </c>
      <c r="D231" s="234" t="s">
        <v>4920</v>
      </c>
      <c r="E231" s="244" t="s">
        <v>2842</v>
      </c>
      <c r="F231" s="244" t="s">
        <v>3753</v>
      </c>
      <c r="G231" s="235" t="s">
        <v>2580</v>
      </c>
      <c r="H231" s="236">
        <v>0.01</v>
      </c>
      <c r="I231" s="236">
        <v>0</v>
      </c>
      <c r="J231" s="233">
        <v>1</v>
      </c>
      <c r="K231" s="242"/>
      <c r="L231" s="235"/>
      <c r="M231" s="276"/>
      <c r="N231" s="279" t="s">
        <v>25</v>
      </c>
      <c r="O231" t="str">
        <f t="shared" si="4"/>
        <v>1942-S Wheat Penny</v>
      </c>
      <c r="S231" t="str" cm="1">
        <f t="array" ref="S231">_xlfn.REGEXEXTRACT(E231, "[0-9]{1,5}")</f>
        <v>1942</v>
      </c>
      <c r="T231" t="s">
        <v>2475</v>
      </c>
      <c r="U231" t="s">
        <v>3896</v>
      </c>
    </row>
    <row r="232" spans="1:21">
      <c r="A232" s="136">
        <v>1</v>
      </c>
      <c r="B232" s="233">
        <v>1942</v>
      </c>
      <c r="C232" s="234" t="s">
        <v>13</v>
      </c>
      <c r="D232" s="234" t="s">
        <v>4920</v>
      </c>
      <c r="E232" s="244" t="s">
        <v>2843</v>
      </c>
      <c r="F232" s="244" t="s">
        <v>3753</v>
      </c>
      <c r="G232" s="235" t="s">
        <v>2580</v>
      </c>
      <c r="H232" s="236">
        <v>0.01</v>
      </c>
      <c r="I232" s="236">
        <v>0</v>
      </c>
      <c r="J232" s="233">
        <v>1</v>
      </c>
      <c r="K232" s="242"/>
      <c r="L232" s="235"/>
      <c r="M232" s="276"/>
      <c r="N232" s="279" t="s">
        <v>25</v>
      </c>
      <c r="O232" t="str">
        <f t="shared" si="4"/>
        <v>1942-D Wheat Penny</v>
      </c>
      <c r="S232" t="str" cm="1">
        <f t="array" ref="S232">_xlfn.REGEXEXTRACT(E232, "[0-9]{1,5}")</f>
        <v>1942</v>
      </c>
      <c r="T232" t="s">
        <v>2475</v>
      </c>
      <c r="U232" t="s">
        <v>3896</v>
      </c>
    </row>
    <row r="233" spans="1:21">
      <c r="A233" s="136">
        <v>1</v>
      </c>
      <c r="B233" s="233">
        <v>1942</v>
      </c>
      <c r="C233" s="234"/>
      <c r="D233" s="234" t="s">
        <v>4920</v>
      </c>
      <c r="E233" s="244" t="s">
        <v>2844</v>
      </c>
      <c r="F233" s="244" t="s">
        <v>3753</v>
      </c>
      <c r="G233" s="235" t="s">
        <v>2580</v>
      </c>
      <c r="H233" s="236">
        <v>0.01</v>
      </c>
      <c r="I233" s="236">
        <v>0.01</v>
      </c>
      <c r="J233" s="233">
        <v>1</v>
      </c>
      <c r="K233" s="242"/>
      <c r="L233" s="235"/>
      <c r="M233" s="276"/>
      <c r="N233" s="279"/>
      <c r="O233" t="str">
        <f t="shared" si="4"/>
        <v>1942 Wheat Penny</v>
      </c>
      <c r="S233" t="str" cm="1">
        <f t="array" ref="S233">_xlfn.REGEXEXTRACT(E233, "[0-9]{1,5}")</f>
        <v>1942</v>
      </c>
      <c r="T233" t="s">
        <v>2475</v>
      </c>
      <c r="U233" t="s">
        <v>3896</v>
      </c>
    </row>
    <row r="234" spans="1:21">
      <c r="A234" s="136">
        <v>1</v>
      </c>
      <c r="B234" s="233">
        <v>1943</v>
      </c>
      <c r="C234" s="234"/>
      <c r="D234" s="234" t="s">
        <v>4920</v>
      </c>
      <c r="E234" s="244" t="s">
        <v>2845</v>
      </c>
      <c r="F234" s="244" t="s">
        <v>4921</v>
      </c>
      <c r="G234" s="235" t="s">
        <v>2580</v>
      </c>
      <c r="H234" s="236">
        <v>0.01</v>
      </c>
      <c r="I234" s="236">
        <v>0.43</v>
      </c>
      <c r="J234" s="233">
        <v>1</v>
      </c>
      <c r="K234" s="242"/>
      <c r="L234" s="235"/>
      <c r="M234" s="276"/>
      <c r="N234" s="279" t="s">
        <v>25</v>
      </c>
      <c r="O234" t="str">
        <f t="shared" si="4"/>
        <v>1943 Steel Penny</v>
      </c>
      <c r="S234" t="str" cm="1">
        <f t="array" ref="S234">_xlfn.REGEXEXTRACT(E234, "[0-9]{1,5}")</f>
        <v>1943</v>
      </c>
      <c r="T234" t="s">
        <v>4181</v>
      </c>
      <c r="U234" t="s">
        <v>3896</v>
      </c>
    </row>
    <row r="235" spans="1:21">
      <c r="A235" s="136">
        <v>1</v>
      </c>
      <c r="B235" s="233">
        <v>1943</v>
      </c>
      <c r="C235" s="234"/>
      <c r="D235" s="234" t="s">
        <v>4920</v>
      </c>
      <c r="E235" s="244" t="s">
        <v>2846</v>
      </c>
      <c r="F235" s="244" t="s">
        <v>4921</v>
      </c>
      <c r="G235" s="235" t="s">
        <v>2580</v>
      </c>
      <c r="H235" s="236">
        <v>0.01</v>
      </c>
      <c r="I235" s="236">
        <v>0.25</v>
      </c>
      <c r="J235" s="233">
        <v>1</v>
      </c>
      <c r="K235" s="242"/>
      <c r="L235" s="235"/>
      <c r="M235" s="276"/>
      <c r="N235" s="279" t="s">
        <v>25</v>
      </c>
      <c r="O235" t="str">
        <f t="shared" si="4"/>
        <v>1943 Steel Penny</v>
      </c>
      <c r="S235" t="str" cm="1">
        <f t="array" ref="S235">_xlfn.REGEXEXTRACT(E235, "[0-9]{1,5}")</f>
        <v>1943</v>
      </c>
      <c r="T235" t="s">
        <v>4181</v>
      </c>
      <c r="U235" t="s">
        <v>3896</v>
      </c>
    </row>
    <row r="236" spans="1:21">
      <c r="A236" s="136">
        <v>1</v>
      </c>
      <c r="B236" s="233">
        <v>1943</v>
      </c>
      <c r="C236" s="234"/>
      <c r="D236" s="234" t="s">
        <v>4920</v>
      </c>
      <c r="E236" s="244" t="s">
        <v>2847</v>
      </c>
      <c r="F236" s="244" t="s">
        <v>4921</v>
      </c>
      <c r="G236" s="235" t="s">
        <v>2580</v>
      </c>
      <c r="H236" s="236">
        <v>0.01</v>
      </c>
      <c r="I236" s="236">
        <v>0.25</v>
      </c>
      <c r="J236" s="233">
        <v>1</v>
      </c>
      <c r="K236" s="242"/>
      <c r="L236" s="235"/>
      <c r="M236" s="276"/>
      <c r="N236" s="279" t="s">
        <v>25</v>
      </c>
      <c r="O236" t="str">
        <f t="shared" si="4"/>
        <v>1943 Steel Penny</v>
      </c>
      <c r="S236" t="str" cm="1">
        <f t="array" ref="S236">_xlfn.REGEXEXTRACT(E236, "[0-9]{1,5}")</f>
        <v>1943</v>
      </c>
      <c r="T236" t="s">
        <v>4181</v>
      </c>
      <c r="U236" t="s">
        <v>3896</v>
      </c>
    </row>
    <row r="237" spans="1:21">
      <c r="A237" s="136">
        <v>1</v>
      </c>
      <c r="B237" s="233">
        <v>1943</v>
      </c>
      <c r="C237" s="234"/>
      <c r="D237" s="234" t="s">
        <v>4920</v>
      </c>
      <c r="E237" s="244" t="s">
        <v>2848</v>
      </c>
      <c r="F237" s="244" t="s">
        <v>4921</v>
      </c>
      <c r="G237" s="235" t="s">
        <v>2580</v>
      </c>
      <c r="H237" s="236">
        <v>0.01</v>
      </c>
      <c r="I237" s="236">
        <v>0.25</v>
      </c>
      <c r="J237" s="233">
        <v>1</v>
      </c>
      <c r="K237" s="242"/>
      <c r="L237" s="235"/>
      <c r="M237" s="276"/>
      <c r="N237" s="279" t="s">
        <v>25</v>
      </c>
      <c r="O237" t="str">
        <f t="shared" si="4"/>
        <v>1943 Steel Penny</v>
      </c>
      <c r="S237" t="str" cm="1">
        <f t="array" ref="S237">_xlfn.REGEXEXTRACT(E237, "[0-9]{1,5}")</f>
        <v>1943</v>
      </c>
      <c r="T237" t="s">
        <v>4181</v>
      </c>
      <c r="U237" t="s">
        <v>3896</v>
      </c>
    </row>
    <row r="238" spans="1:21">
      <c r="A238" s="136">
        <v>1</v>
      </c>
      <c r="B238" s="233">
        <v>1943</v>
      </c>
      <c r="C238" s="234"/>
      <c r="D238" s="234" t="s">
        <v>4920</v>
      </c>
      <c r="E238" s="244" t="s">
        <v>2849</v>
      </c>
      <c r="F238" s="244" t="s">
        <v>4921</v>
      </c>
      <c r="G238" s="235" t="s">
        <v>2580</v>
      </c>
      <c r="H238" s="236">
        <v>0.01</v>
      </c>
      <c r="I238" s="236">
        <v>0.25</v>
      </c>
      <c r="J238" s="233">
        <v>1</v>
      </c>
      <c r="K238" s="242"/>
      <c r="L238" s="235"/>
      <c r="M238" s="276"/>
      <c r="N238" s="279" t="s">
        <v>25</v>
      </c>
      <c r="O238" t="str">
        <f t="shared" si="4"/>
        <v>1943 Steel Penny</v>
      </c>
      <c r="S238" t="str" cm="1">
        <f t="array" ref="S238">_xlfn.REGEXEXTRACT(E238, "[0-9]{1,5}")</f>
        <v>1943</v>
      </c>
      <c r="T238" t="s">
        <v>4181</v>
      </c>
      <c r="U238" t="s">
        <v>3896</v>
      </c>
    </row>
    <row r="239" spans="1:21">
      <c r="A239" s="136">
        <v>1</v>
      </c>
      <c r="B239" s="233">
        <v>1943</v>
      </c>
      <c r="C239" s="234"/>
      <c r="D239" s="234" t="s">
        <v>4920</v>
      </c>
      <c r="E239" s="244" t="s">
        <v>2850</v>
      </c>
      <c r="F239" s="244" t="s">
        <v>4921</v>
      </c>
      <c r="G239" s="235" t="s">
        <v>2580</v>
      </c>
      <c r="H239" s="236">
        <v>0.01</v>
      </c>
      <c r="I239" s="236">
        <v>0.3</v>
      </c>
      <c r="J239" s="233">
        <v>1</v>
      </c>
      <c r="K239" s="242"/>
      <c r="L239" s="235"/>
      <c r="M239" s="276"/>
      <c r="N239" s="279" t="s">
        <v>25</v>
      </c>
      <c r="O239" t="str">
        <f t="shared" si="4"/>
        <v>1943 Steel Penny</v>
      </c>
      <c r="S239" t="str" cm="1">
        <f t="array" ref="S239">_xlfn.REGEXEXTRACT(E239, "[0-9]{1,5}")</f>
        <v>1943</v>
      </c>
      <c r="T239" t="s">
        <v>4181</v>
      </c>
      <c r="U239" t="s">
        <v>3896</v>
      </c>
    </row>
    <row r="240" spans="1:21">
      <c r="A240" s="136">
        <v>1</v>
      </c>
      <c r="B240" s="233">
        <v>1943</v>
      </c>
      <c r="C240" s="234"/>
      <c r="D240" s="234" t="s">
        <v>4920</v>
      </c>
      <c r="E240" s="244" t="s">
        <v>2851</v>
      </c>
      <c r="F240" s="244" t="s">
        <v>4921</v>
      </c>
      <c r="G240" s="235" t="s">
        <v>2580</v>
      </c>
      <c r="H240" s="236">
        <v>0.01</v>
      </c>
      <c r="I240" s="236">
        <v>0.3</v>
      </c>
      <c r="J240" s="233">
        <v>1</v>
      </c>
      <c r="K240" s="242"/>
      <c r="L240" s="235"/>
      <c r="M240" s="276"/>
      <c r="N240" s="279" t="s">
        <v>25</v>
      </c>
      <c r="O240" t="str">
        <f t="shared" si="4"/>
        <v>1943 Steel Penny</v>
      </c>
      <c r="S240" t="str" cm="1">
        <f t="array" ref="S240">_xlfn.REGEXEXTRACT(E240, "[0-9]{1,5}")</f>
        <v>1943</v>
      </c>
      <c r="T240" t="s">
        <v>4181</v>
      </c>
      <c r="U240" t="s">
        <v>3896</v>
      </c>
    </row>
    <row r="241" spans="1:21">
      <c r="A241" s="136">
        <v>1</v>
      </c>
      <c r="B241" s="233">
        <v>1943</v>
      </c>
      <c r="C241" s="234" t="s">
        <v>13</v>
      </c>
      <c r="D241" s="234" t="s">
        <v>4920</v>
      </c>
      <c r="E241" s="244" t="s">
        <v>2852</v>
      </c>
      <c r="F241" s="244" t="s">
        <v>4921</v>
      </c>
      <c r="G241" s="235" t="s">
        <v>2580</v>
      </c>
      <c r="H241" s="236">
        <v>0.01</v>
      </c>
      <c r="I241" s="236">
        <v>0.45</v>
      </c>
      <c r="J241" s="233">
        <v>1</v>
      </c>
      <c r="K241" s="242"/>
      <c r="L241" s="235"/>
      <c r="M241" s="276"/>
      <c r="N241" s="279" t="s">
        <v>25</v>
      </c>
      <c r="O241" t="str">
        <f t="shared" si="4"/>
        <v>1943-D Steel Penny</v>
      </c>
      <c r="S241" t="str" cm="1">
        <f t="array" ref="S241">_xlfn.REGEXEXTRACT(E241, "[0-9]{1,5}")</f>
        <v>1943</v>
      </c>
      <c r="T241" t="s">
        <v>4181</v>
      </c>
      <c r="U241" t="s">
        <v>3896</v>
      </c>
    </row>
    <row r="242" spans="1:21">
      <c r="A242" s="136">
        <v>1</v>
      </c>
      <c r="B242" s="233">
        <v>1943</v>
      </c>
      <c r="C242" s="234" t="s">
        <v>13</v>
      </c>
      <c r="D242" s="234" t="s">
        <v>4920</v>
      </c>
      <c r="E242" s="244" t="s">
        <v>2853</v>
      </c>
      <c r="F242" s="244" t="s">
        <v>4921</v>
      </c>
      <c r="G242" s="235" t="s">
        <v>2580</v>
      </c>
      <c r="H242" s="236">
        <v>0.01</v>
      </c>
      <c r="I242" s="236">
        <v>0.45</v>
      </c>
      <c r="J242" s="233">
        <v>1</v>
      </c>
      <c r="K242" s="242"/>
      <c r="L242" s="235"/>
      <c r="M242" s="276"/>
      <c r="N242" s="279" t="s">
        <v>25</v>
      </c>
      <c r="O242" t="str">
        <f t="shared" si="4"/>
        <v>1943-D Steel Penny</v>
      </c>
      <c r="S242" t="str" cm="1">
        <f t="array" ref="S242">_xlfn.REGEXEXTRACT(E242, "[0-9]{1,5}")</f>
        <v>1943</v>
      </c>
      <c r="T242" t="s">
        <v>4181</v>
      </c>
      <c r="U242" t="s">
        <v>3896</v>
      </c>
    </row>
    <row r="243" spans="1:21">
      <c r="A243" s="136">
        <v>1</v>
      </c>
      <c r="B243" s="233">
        <v>1943</v>
      </c>
      <c r="C243" s="234" t="s">
        <v>12</v>
      </c>
      <c r="D243" s="234" t="s">
        <v>4920</v>
      </c>
      <c r="E243" s="244" t="s">
        <v>2854</v>
      </c>
      <c r="F243" s="244" t="s">
        <v>4921</v>
      </c>
      <c r="G243" s="235" t="s">
        <v>2580</v>
      </c>
      <c r="H243" s="236">
        <v>0.01</v>
      </c>
      <c r="I243" s="236">
        <v>0.65</v>
      </c>
      <c r="J243" s="233">
        <v>1</v>
      </c>
      <c r="K243" s="242"/>
      <c r="L243" s="235"/>
      <c r="M243" s="276"/>
      <c r="N243" s="279" t="s">
        <v>25</v>
      </c>
      <c r="O243" t="str">
        <f t="shared" si="4"/>
        <v>1943-S Steel Penny</v>
      </c>
      <c r="S243" t="str" cm="1">
        <f t="array" ref="S243">_xlfn.REGEXEXTRACT(E243, "[0-9]{1,5}")</f>
        <v>1943</v>
      </c>
      <c r="T243" t="s">
        <v>4181</v>
      </c>
      <c r="U243" t="s">
        <v>3896</v>
      </c>
    </row>
    <row r="244" spans="1:21">
      <c r="A244" s="136">
        <v>1</v>
      </c>
      <c r="B244" s="233">
        <v>1943</v>
      </c>
      <c r="C244" s="234" t="s">
        <v>12</v>
      </c>
      <c r="D244" s="234" t="s">
        <v>4920</v>
      </c>
      <c r="E244" s="244" t="s">
        <v>2855</v>
      </c>
      <c r="F244" s="244" t="s">
        <v>4921</v>
      </c>
      <c r="G244" s="235" t="s">
        <v>2580</v>
      </c>
      <c r="H244" s="236">
        <v>0.01</v>
      </c>
      <c r="I244" s="236">
        <v>0.65</v>
      </c>
      <c r="J244" s="233">
        <v>1</v>
      </c>
      <c r="K244" s="242"/>
      <c r="L244" s="235"/>
      <c r="M244" s="276"/>
      <c r="N244" s="279" t="s">
        <v>25</v>
      </c>
      <c r="O244" t="str">
        <f t="shared" si="4"/>
        <v>1943-S Steel Penny</v>
      </c>
      <c r="S244" t="str" cm="1">
        <f t="array" ref="S244">_xlfn.REGEXEXTRACT(E244, "[0-9]{1,5}")</f>
        <v>1943</v>
      </c>
      <c r="T244" t="s">
        <v>4181</v>
      </c>
      <c r="U244" t="s">
        <v>3896</v>
      </c>
    </row>
    <row r="245" spans="1:21">
      <c r="A245" s="136">
        <v>1</v>
      </c>
      <c r="B245" s="233">
        <v>1943</v>
      </c>
      <c r="C245" s="234" t="s">
        <v>12</v>
      </c>
      <c r="D245" s="234" t="s">
        <v>4920</v>
      </c>
      <c r="E245" s="244" t="s">
        <v>2856</v>
      </c>
      <c r="F245" s="244" t="s">
        <v>4921</v>
      </c>
      <c r="G245" s="235" t="s">
        <v>2580</v>
      </c>
      <c r="H245" s="236">
        <v>0.01</v>
      </c>
      <c r="I245" s="236">
        <v>0.65</v>
      </c>
      <c r="J245" s="233">
        <v>1</v>
      </c>
      <c r="K245" s="242"/>
      <c r="L245" s="235"/>
      <c r="M245" s="276"/>
      <c r="N245" s="279" t="s">
        <v>25</v>
      </c>
      <c r="O245" t="str">
        <f t="shared" si="4"/>
        <v>1943-S Steel Penny</v>
      </c>
      <c r="S245" t="str" cm="1">
        <f t="array" ref="S245">_xlfn.REGEXEXTRACT(E245, "[0-9]{1,5}")</f>
        <v>1943</v>
      </c>
      <c r="T245" t="s">
        <v>4181</v>
      </c>
      <c r="U245" t="s">
        <v>3896</v>
      </c>
    </row>
    <row r="246" spans="1:21">
      <c r="A246" s="136">
        <v>1</v>
      </c>
      <c r="B246" s="233">
        <v>1943</v>
      </c>
      <c r="C246" s="234"/>
      <c r="D246" s="234" t="s">
        <v>4920</v>
      </c>
      <c r="E246" s="244" t="s">
        <v>2857</v>
      </c>
      <c r="F246" s="244" t="s">
        <v>4921</v>
      </c>
      <c r="G246" s="235" t="s">
        <v>2580</v>
      </c>
      <c r="H246" s="236">
        <v>0.01</v>
      </c>
      <c r="I246" s="236">
        <v>0.45</v>
      </c>
      <c r="J246" s="233">
        <v>1</v>
      </c>
      <c r="K246" s="242"/>
      <c r="L246" s="235"/>
      <c r="M246" s="276"/>
      <c r="N246" s="279" t="s">
        <v>25</v>
      </c>
      <c r="O246" t="str">
        <f t="shared" si="4"/>
        <v>1943 Steel Penny</v>
      </c>
      <c r="S246" t="str" cm="1">
        <f t="array" ref="S246">_xlfn.REGEXEXTRACT(E246, "[0-9]{1,5}")</f>
        <v>1943</v>
      </c>
      <c r="T246" t="s">
        <v>4181</v>
      </c>
      <c r="U246" t="s">
        <v>3896</v>
      </c>
    </row>
    <row r="247" spans="1:21">
      <c r="A247" s="136">
        <v>1</v>
      </c>
      <c r="B247" s="233">
        <v>1943</v>
      </c>
      <c r="C247" s="234"/>
      <c r="D247" s="234" t="s">
        <v>4920</v>
      </c>
      <c r="E247" s="244" t="s">
        <v>2858</v>
      </c>
      <c r="F247" s="244" t="s">
        <v>4921</v>
      </c>
      <c r="G247" s="235" t="s">
        <v>2580</v>
      </c>
      <c r="H247" s="236">
        <v>0.01</v>
      </c>
      <c r="I247" s="236">
        <v>0.45</v>
      </c>
      <c r="J247" s="233">
        <v>1</v>
      </c>
      <c r="K247" s="242"/>
      <c r="L247" s="235"/>
      <c r="M247" s="276"/>
      <c r="N247" s="279" t="s">
        <v>25</v>
      </c>
      <c r="O247" t="str">
        <f t="shared" si="4"/>
        <v>1943 Steel Penny</v>
      </c>
      <c r="S247" t="str" cm="1">
        <f t="array" ref="S247">_xlfn.REGEXEXTRACT(E247, "[0-9]{1,5}")</f>
        <v>1943</v>
      </c>
      <c r="T247" t="s">
        <v>4181</v>
      </c>
      <c r="U247" t="s">
        <v>3896</v>
      </c>
    </row>
    <row r="248" spans="1:21">
      <c r="A248" s="136">
        <v>1</v>
      </c>
      <c r="B248" s="233">
        <v>1943</v>
      </c>
      <c r="C248" s="234"/>
      <c r="D248" s="234" t="s">
        <v>4920</v>
      </c>
      <c r="E248" s="244" t="s">
        <v>2859</v>
      </c>
      <c r="F248" s="244" t="s">
        <v>4921</v>
      </c>
      <c r="G248" s="235" t="s">
        <v>2580</v>
      </c>
      <c r="H248" s="236">
        <v>0.01</v>
      </c>
      <c r="I248" s="236">
        <v>0</v>
      </c>
      <c r="J248" s="233">
        <v>1</v>
      </c>
      <c r="K248" s="242"/>
      <c r="L248" s="235"/>
      <c r="M248" s="276"/>
      <c r="N248" s="279" t="s">
        <v>25</v>
      </c>
      <c r="O248" t="str">
        <f t="shared" si="4"/>
        <v>1943 Steel Penny</v>
      </c>
      <c r="S248" t="str" cm="1">
        <f t="array" ref="S248">_xlfn.REGEXEXTRACT(E248, "[0-9]{1,5}")</f>
        <v>1943</v>
      </c>
      <c r="T248" t="s">
        <v>4181</v>
      </c>
      <c r="U248" t="s">
        <v>3896</v>
      </c>
    </row>
    <row r="249" spans="1:21">
      <c r="A249" s="136">
        <v>1</v>
      </c>
      <c r="B249" s="233">
        <v>1943</v>
      </c>
      <c r="C249" s="234" t="s">
        <v>13</v>
      </c>
      <c r="D249" s="234" t="s">
        <v>4920</v>
      </c>
      <c r="E249" s="244" t="s">
        <v>2860</v>
      </c>
      <c r="F249" s="244" t="s">
        <v>4921</v>
      </c>
      <c r="G249" s="235" t="s">
        <v>2580</v>
      </c>
      <c r="H249" s="236">
        <v>0.01</v>
      </c>
      <c r="I249" s="236">
        <v>0.01</v>
      </c>
      <c r="J249" s="233">
        <v>1</v>
      </c>
      <c r="K249" s="242"/>
      <c r="L249" s="235"/>
      <c r="M249" s="276"/>
      <c r="N249" s="279" t="s">
        <v>25</v>
      </c>
      <c r="O249" t="str">
        <f t="shared" si="4"/>
        <v>1943-D Steel Penny</v>
      </c>
      <c r="S249" t="str" cm="1">
        <f t="array" ref="S249">_xlfn.REGEXEXTRACT(E249, "[0-9]{1,5}")</f>
        <v>1943</v>
      </c>
      <c r="T249" t="s">
        <v>4181</v>
      </c>
      <c r="U249" t="s">
        <v>3896</v>
      </c>
    </row>
    <row r="250" spans="1:21">
      <c r="A250" s="136">
        <v>1</v>
      </c>
      <c r="B250" s="233">
        <v>1944</v>
      </c>
      <c r="C250" s="234"/>
      <c r="D250" s="234" t="s">
        <v>4920</v>
      </c>
      <c r="E250" s="244" t="s">
        <v>2861</v>
      </c>
      <c r="F250" s="244" t="s">
        <v>3753</v>
      </c>
      <c r="G250" s="235" t="s">
        <v>2580</v>
      </c>
      <c r="H250" s="236">
        <v>0.01</v>
      </c>
      <c r="I250" s="236">
        <v>0.1</v>
      </c>
      <c r="J250" s="233">
        <v>1</v>
      </c>
      <c r="K250" s="242"/>
      <c r="L250" s="235"/>
      <c r="M250" s="276"/>
      <c r="N250" s="279" t="s">
        <v>25</v>
      </c>
      <c r="O250" t="str">
        <f t="shared" si="4"/>
        <v>1944 Wheat Penny</v>
      </c>
      <c r="S250" t="str" cm="1">
        <f t="array" ref="S250">_xlfn.REGEXEXTRACT(E250, "[0-9]{1,5}")</f>
        <v>1944</v>
      </c>
      <c r="T250" t="s">
        <v>4182</v>
      </c>
      <c r="U250" t="s">
        <v>3896</v>
      </c>
    </row>
    <row r="251" spans="1:21">
      <c r="A251" s="136">
        <v>1</v>
      </c>
      <c r="B251" s="233">
        <v>1944</v>
      </c>
      <c r="C251" s="234"/>
      <c r="D251" s="234" t="s">
        <v>4920</v>
      </c>
      <c r="E251" s="244" t="s">
        <v>2862</v>
      </c>
      <c r="F251" s="244" t="s">
        <v>3753</v>
      </c>
      <c r="G251" s="235" t="s">
        <v>2580</v>
      </c>
      <c r="H251" s="236">
        <v>0.01</v>
      </c>
      <c r="I251" s="236">
        <v>0.1</v>
      </c>
      <c r="J251" s="233">
        <v>1</v>
      </c>
      <c r="K251" s="242"/>
      <c r="L251" s="235"/>
      <c r="M251" s="276"/>
      <c r="N251" s="279" t="s">
        <v>25</v>
      </c>
      <c r="O251" t="str">
        <f t="shared" si="4"/>
        <v>1944 Wheat Penny</v>
      </c>
      <c r="S251" t="str" cm="1">
        <f t="array" ref="S251">_xlfn.REGEXEXTRACT(E251, "[0-9]{1,5}")</f>
        <v>1944</v>
      </c>
      <c r="T251" t="s">
        <v>4182</v>
      </c>
      <c r="U251" t="s">
        <v>3896</v>
      </c>
    </row>
    <row r="252" spans="1:21">
      <c r="A252" s="136">
        <v>1</v>
      </c>
      <c r="B252" s="233">
        <v>1944</v>
      </c>
      <c r="C252" s="234"/>
      <c r="D252" s="234" t="s">
        <v>4920</v>
      </c>
      <c r="E252" s="244" t="s">
        <v>2863</v>
      </c>
      <c r="F252" s="244" t="s">
        <v>3753</v>
      </c>
      <c r="G252" s="235" t="s">
        <v>2580</v>
      </c>
      <c r="H252" s="236">
        <v>0.01</v>
      </c>
      <c r="I252" s="236">
        <v>0.1</v>
      </c>
      <c r="J252" s="233">
        <v>1</v>
      </c>
      <c r="K252" s="242"/>
      <c r="L252" s="235"/>
      <c r="M252" s="276"/>
      <c r="N252" s="279" t="s">
        <v>25</v>
      </c>
      <c r="O252" t="str">
        <f t="shared" si="4"/>
        <v>1944 Wheat Penny</v>
      </c>
      <c r="S252" t="str" cm="1">
        <f t="array" ref="S252">_xlfn.REGEXEXTRACT(E252, "[0-9]{1,5}")</f>
        <v>1944</v>
      </c>
      <c r="T252" t="s">
        <v>4182</v>
      </c>
      <c r="U252" t="s">
        <v>3896</v>
      </c>
    </row>
    <row r="253" spans="1:21">
      <c r="A253" s="136">
        <v>1</v>
      </c>
      <c r="B253" s="233">
        <v>1944</v>
      </c>
      <c r="C253" s="234"/>
      <c r="D253" s="234" t="s">
        <v>4920</v>
      </c>
      <c r="E253" s="244" t="s">
        <v>2864</v>
      </c>
      <c r="F253" s="244" t="s">
        <v>3753</v>
      </c>
      <c r="G253" s="235" t="s">
        <v>2580</v>
      </c>
      <c r="H253" s="236">
        <v>0.01</v>
      </c>
      <c r="I253" s="236">
        <v>0.1</v>
      </c>
      <c r="J253" s="233">
        <v>1</v>
      </c>
      <c r="K253" s="242"/>
      <c r="L253" s="235"/>
      <c r="M253" s="276"/>
      <c r="N253" s="279" t="s">
        <v>25</v>
      </c>
      <c r="O253" t="str">
        <f t="shared" si="4"/>
        <v>1944 Wheat Penny</v>
      </c>
      <c r="S253" t="str" cm="1">
        <f t="array" ref="S253">_xlfn.REGEXEXTRACT(E253, "[0-9]{1,5}")</f>
        <v>1944</v>
      </c>
      <c r="T253" t="s">
        <v>4182</v>
      </c>
      <c r="U253" t="s">
        <v>3896</v>
      </c>
    </row>
    <row r="254" spans="1:21">
      <c r="A254" s="136">
        <v>1</v>
      </c>
      <c r="B254" s="233">
        <v>1944</v>
      </c>
      <c r="C254" s="234"/>
      <c r="D254" s="234" t="s">
        <v>4920</v>
      </c>
      <c r="E254" s="244" t="s">
        <v>2865</v>
      </c>
      <c r="F254" s="244" t="s">
        <v>3753</v>
      </c>
      <c r="G254" s="235" t="s">
        <v>2580</v>
      </c>
      <c r="H254" s="236">
        <v>0.01</v>
      </c>
      <c r="I254" s="236">
        <v>7.0000000000000007E-2</v>
      </c>
      <c r="J254" s="233">
        <v>1</v>
      </c>
      <c r="K254" s="242"/>
      <c r="L254" s="235"/>
      <c r="M254" s="276"/>
      <c r="N254" s="279" t="s">
        <v>25</v>
      </c>
      <c r="O254" t="str">
        <f t="shared" si="4"/>
        <v>1944 Wheat Penny</v>
      </c>
      <c r="S254" t="str" cm="1">
        <f t="array" ref="S254">_xlfn.REGEXEXTRACT(E254, "[0-9]{1,5}")</f>
        <v>1944</v>
      </c>
      <c r="T254" t="s">
        <v>4182</v>
      </c>
      <c r="U254" t="s">
        <v>3896</v>
      </c>
    </row>
    <row r="255" spans="1:21">
      <c r="A255" s="136">
        <v>1</v>
      </c>
      <c r="B255" s="233">
        <v>1944</v>
      </c>
      <c r="C255" s="234" t="s">
        <v>12</v>
      </c>
      <c r="D255" s="234" t="s">
        <v>4920</v>
      </c>
      <c r="E255" s="244" t="s">
        <v>2866</v>
      </c>
      <c r="F255" s="244" t="s">
        <v>3753</v>
      </c>
      <c r="G255" s="235" t="s">
        <v>2580</v>
      </c>
      <c r="H255" s="236">
        <v>0.01</v>
      </c>
      <c r="I255" s="236">
        <v>0.05</v>
      </c>
      <c r="J255" s="233">
        <v>1</v>
      </c>
      <c r="K255" s="242"/>
      <c r="L255" s="235"/>
      <c r="M255" s="276"/>
      <c r="N255" s="279" t="s">
        <v>25</v>
      </c>
      <c r="O255" t="str">
        <f t="shared" si="4"/>
        <v>1944-S Wheat Penny</v>
      </c>
      <c r="S255" t="str" cm="1">
        <f t="array" ref="S255">_xlfn.REGEXEXTRACT(E255, "[0-9]{1,5}")</f>
        <v>1944</v>
      </c>
      <c r="T255" t="s">
        <v>4182</v>
      </c>
      <c r="U255" t="s">
        <v>3896</v>
      </c>
    </row>
    <row r="256" spans="1:21">
      <c r="A256" s="136">
        <v>1</v>
      </c>
      <c r="B256" s="233">
        <v>1944</v>
      </c>
      <c r="C256" s="234" t="s">
        <v>12</v>
      </c>
      <c r="D256" s="234" t="s">
        <v>4920</v>
      </c>
      <c r="E256" s="244" t="s">
        <v>2867</v>
      </c>
      <c r="F256" s="244" t="s">
        <v>3753</v>
      </c>
      <c r="G256" s="235" t="s">
        <v>2580</v>
      </c>
      <c r="H256" s="236">
        <v>0.01</v>
      </c>
      <c r="I256" s="236">
        <v>0.05</v>
      </c>
      <c r="J256" s="233">
        <v>1</v>
      </c>
      <c r="K256" s="242"/>
      <c r="L256" s="235"/>
      <c r="M256" s="276"/>
      <c r="N256" s="279" t="s">
        <v>25</v>
      </c>
      <c r="O256" t="str">
        <f t="shared" si="4"/>
        <v>1944-S Wheat Penny</v>
      </c>
      <c r="S256" t="str" cm="1">
        <f t="array" ref="S256">_xlfn.REGEXEXTRACT(E256, "[0-9]{1,5}")</f>
        <v>1944</v>
      </c>
      <c r="T256" t="s">
        <v>4182</v>
      </c>
      <c r="U256" t="s">
        <v>3896</v>
      </c>
    </row>
    <row r="257" spans="1:21">
      <c r="A257" s="136">
        <v>1</v>
      </c>
      <c r="B257" s="233">
        <v>1944</v>
      </c>
      <c r="C257" s="234" t="s">
        <v>12</v>
      </c>
      <c r="D257" s="234" t="s">
        <v>4920</v>
      </c>
      <c r="E257" s="244" t="s">
        <v>2868</v>
      </c>
      <c r="F257" s="244" t="s">
        <v>3753</v>
      </c>
      <c r="G257" s="235" t="s">
        <v>2580</v>
      </c>
      <c r="H257" s="236">
        <v>0.01</v>
      </c>
      <c r="I257" s="236">
        <v>7.0000000000000007E-2</v>
      </c>
      <c r="J257" s="233">
        <v>1</v>
      </c>
      <c r="K257" s="242"/>
      <c r="L257" s="235"/>
      <c r="M257" s="276"/>
      <c r="N257" s="279" t="s">
        <v>25</v>
      </c>
      <c r="O257" t="str">
        <f t="shared" si="4"/>
        <v>1944-S Wheat Penny</v>
      </c>
      <c r="S257" t="str" cm="1">
        <f t="array" ref="S257">_xlfn.REGEXEXTRACT(E257, "[0-9]{1,5}")</f>
        <v>1944</v>
      </c>
      <c r="T257" t="s">
        <v>4182</v>
      </c>
      <c r="U257" t="s">
        <v>3896</v>
      </c>
    </row>
    <row r="258" spans="1:21">
      <c r="A258" s="136">
        <v>1</v>
      </c>
      <c r="B258" s="233">
        <v>1944</v>
      </c>
      <c r="C258" s="234"/>
      <c r="D258" s="234" t="s">
        <v>4920</v>
      </c>
      <c r="E258" s="244" t="s">
        <v>2869</v>
      </c>
      <c r="F258" s="244" t="s">
        <v>3753</v>
      </c>
      <c r="G258" s="235" t="s">
        <v>2580</v>
      </c>
      <c r="H258" s="236">
        <v>0.01</v>
      </c>
      <c r="I258" s="236">
        <v>7.0000000000000007E-2</v>
      </c>
      <c r="J258" s="233">
        <v>1</v>
      </c>
      <c r="K258" s="242"/>
      <c r="L258" s="235"/>
      <c r="M258" s="276"/>
      <c r="N258" s="279" t="s">
        <v>25</v>
      </c>
      <c r="O258" t="str">
        <f t="shared" si="4"/>
        <v>1944 Wheat Penny</v>
      </c>
      <c r="S258" t="str" cm="1">
        <f t="array" ref="S258">_xlfn.REGEXEXTRACT(E258, "[0-9]{1,5}")</f>
        <v>1944</v>
      </c>
      <c r="T258" t="s">
        <v>4182</v>
      </c>
      <c r="U258" t="s">
        <v>3896</v>
      </c>
    </row>
    <row r="259" spans="1:21">
      <c r="A259" s="136">
        <v>1</v>
      </c>
      <c r="B259" s="233">
        <v>1944</v>
      </c>
      <c r="C259" s="234"/>
      <c r="D259" s="234" t="s">
        <v>4920</v>
      </c>
      <c r="E259" s="244" t="s">
        <v>2870</v>
      </c>
      <c r="F259" s="244" t="s">
        <v>3753</v>
      </c>
      <c r="G259" s="235" t="s">
        <v>2580</v>
      </c>
      <c r="H259" s="236">
        <v>0.01</v>
      </c>
      <c r="I259" s="236">
        <v>0.05</v>
      </c>
      <c r="J259" s="233">
        <v>1</v>
      </c>
      <c r="K259" s="242"/>
      <c r="L259" s="235"/>
      <c r="M259" s="276"/>
      <c r="N259" s="279" t="s">
        <v>25</v>
      </c>
      <c r="O259" t="str">
        <f t="shared" si="4"/>
        <v>1944 Wheat Penny</v>
      </c>
      <c r="S259" t="str" cm="1">
        <f t="array" ref="S259">_xlfn.REGEXEXTRACT(E259, "[0-9]{1,5}")</f>
        <v>1944</v>
      </c>
      <c r="T259" t="s">
        <v>4182</v>
      </c>
      <c r="U259" t="s">
        <v>3896</v>
      </c>
    </row>
    <row r="260" spans="1:21">
      <c r="A260" s="136">
        <v>1</v>
      </c>
      <c r="B260" s="233">
        <v>1944</v>
      </c>
      <c r="C260" s="234" t="s">
        <v>12</v>
      </c>
      <c r="D260" s="234" t="s">
        <v>4920</v>
      </c>
      <c r="E260" s="244" t="s">
        <v>2871</v>
      </c>
      <c r="F260" s="244" t="s">
        <v>3753</v>
      </c>
      <c r="G260" s="235" t="s">
        <v>2580</v>
      </c>
      <c r="H260" s="236">
        <v>0.01</v>
      </c>
      <c r="I260" s="236">
        <v>0.01</v>
      </c>
      <c r="J260" s="233">
        <v>1</v>
      </c>
      <c r="K260" s="242"/>
      <c r="L260" s="235"/>
      <c r="M260" s="276"/>
      <c r="N260" s="279" t="s">
        <v>25</v>
      </c>
      <c r="O260" t="str">
        <f t="shared" ref="O260:O323" si="5">IF(C260&lt;&gt;"",B260&amp;"-"&amp;C260&amp;" "&amp;F260,B260&amp;" "&amp;F260)</f>
        <v>1944-S Wheat Penny</v>
      </c>
      <c r="S260" t="str" cm="1">
        <f t="array" ref="S260">_xlfn.REGEXEXTRACT(E260, "[0-9]{1,5}")</f>
        <v>1944</v>
      </c>
      <c r="T260" t="s">
        <v>4182</v>
      </c>
      <c r="U260" t="s">
        <v>3896</v>
      </c>
    </row>
    <row r="261" spans="1:21">
      <c r="A261" s="136">
        <v>1</v>
      </c>
      <c r="B261" s="233">
        <v>1944</v>
      </c>
      <c r="C261" s="234" t="s">
        <v>12</v>
      </c>
      <c r="D261" s="234" t="s">
        <v>4920</v>
      </c>
      <c r="E261" s="244" t="s">
        <v>2872</v>
      </c>
      <c r="F261" s="244" t="s">
        <v>3753</v>
      </c>
      <c r="G261" s="235" t="s">
        <v>2580</v>
      </c>
      <c r="H261" s="236">
        <v>0.01</v>
      </c>
      <c r="I261" s="236">
        <v>0.01</v>
      </c>
      <c r="J261" s="233">
        <v>1</v>
      </c>
      <c r="K261" s="242"/>
      <c r="L261" s="235"/>
      <c r="M261" s="276"/>
      <c r="N261" s="279" t="s">
        <v>25</v>
      </c>
      <c r="O261" t="str">
        <f t="shared" si="5"/>
        <v>1944-S Wheat Penny</v>
      </c>
      <c r="S261" t="str" cm="1">
        <f t="array" ref="S261">_xlfn.REGEXEXTRACT(E261, "[0-9]{1,5}")</f>
        <v>1944</v>
      </c>
      <c r="T261" t="s">
        <v>4182</v>
      </c>
      <c r="U261" t="s">
        <v>3896</v>
      </c>
    </row>
    <row r="262" spans="1:21">
      <c r="A262" s="136">
        <v>1</v>
      </c>
      <c r="B262" s="233">
        <v>1944</v>
      </c>
      <c r="C262" s="234"/>
      <c r="D262" s="234" t="s">
        <v>4920</v>
      </c>
      <c r="E262" s="244" t="s">
        <v>2873</v>
      </c>
      <c r="F262" s="244" t="s">
        <v>3753</v>
      </c>
      <c r="G262" s="235" t="s">
        <v>2580</v>
      </c>
      <c r="H262" s="236">
        <v>0.01</v>
      </c>
      <c r="I262" s="236">
        <v>0.06</v>
      </c>
      <c r="J262" s="233">
        <v>1</v>
      </c>
      <c r="K262" s="242"/>
      <c r="L262" s="235"/>
      <c r="M262" s="276"/>
      <c r="N262" s="279" t="s">
        <v>25</v>
      </c>
      <c r="O262" t="str">
        <f t="shared" si="5"/>
        <v>1944 Wheat Penny</v>
      </c>
      <c r="S262" t="str" cm="1">
        <f t="array" ref="S262">_xlfn.REGEXEXTRACT(E262, "[0-9]{1,5}")</f>
        <v>1944</v>
      </c>
      <c r="T262" t="s">
        <v>4182</v>
      </c>
      <c r="U262" t="s">
        <v>3896</v>
      </c>
    </row>
    <row r="263" spans="1:21">
      <c r="A263" s="136">
        <v>1</v>
      </c>
      <c r="B263" s="233">
        <v>1944</v>
      </c>
      <c r="C263" s="234"/>
      <c r="D263" s="234" t="s">
        <v>4920</v>
      </c>
      <c r="E263" s="244" t="s">
        <v>2874</v>
      </c>
      <c r="F263" s="244" t="s">
        <v>3753</v>
      </c>
      <c r="G263" s="235" t="s">
        <v>2580</v>
      </c>
      <c r="H263" s="236">
        <v>0.01</v>
      </c>
      <c r="I263" s="236">
        <v>0.06</v>
      </c>
      <c r="J263" s="233">
        <v>1</v>
      </c>
      <c r="K263" s="242"/>
      <c r="L263" s="235"/>
      <c r="M263" s="276"/>
      <c r="N263" s="279" t="s">
        <v>25</v>
      </c>
      <c r="O263" t="str">
        <f t="shared" si="5"/>
        <v>1944 Wheat Penny</v>
      </c>
      <c r="S263" t="str" cm="1">
        <f t="array" ref="S263">_xlfn.REGEXEXTRACT(E263, "[0-9]{1,5}")</f>
        <v>1944</v>
      </c>
      <c r="T263" t="s">
        <v>4182</v>
      </c>
      <c r="U263" t="s">
        <v>3896</v>
      </c>
    </row>
    <row r="264" spans="1:21">
      <c r="A264" s="136">
        <v>1</v>
      </c>
      <c r="B264" s="233">
        <v>1944</v>
      </c>
      <c r="C264" s="234"/>
      <c r="D264" s="234" t="s">
        <v>4920</v>
      </c>
      <c r="E264" s="244" t="s">
        <v>2875</v>
      </c>
      <c r="F264" s="244" t="s">
        <v>3753</v>
      </c>
      <c r="G264" s="235" t="s">
        <v>2580</v>
      </c>
      <c r="H264" s="236">
        <v>0.01</v>
      </c>
      <c r="I264" s="236">
        <v>0.06</v>
      </c>
      <c r="J264" s="233">
        <v>1</v>
      </c>
      <c r="K264" s="242"/>
      <c r="L264" s="235"/>
      <c r="M264" s="276"/>
      <c r="N264" s="279" t="s">
        <v>25</v>
      </c>
      <c r="O264" t="str">
        <f t="shared" si="5"/>
        <v>1944 Wheat Penny</v>
      </c>
      <c r="S264" t="str" cm="1">
        <f t="array" ref="S264">_xlfn.REGEXEXTRACT(E264, "[0-9]{1,5}")</f>
        <v>1944</v>
      </c>
      <c r="T264" t="s">
        <v>4182</v>
      </c>
      <c r="U264" t="s">
        <v>3896</v>
      </c>
    </row>
    <row r="265" spans="1:21">
      <c r="A265" s="136">
        <v>1</v>
      </c>
      <c r="B265" s="233">
        <v>1944</v>
      </c>
      <c r="C265" s="234"/>
      <c r="D265" s="234" t="s">
        <v>4920</v>
      </c>
      <c r="E265" s="244" t="s">
        <v>2876</v>
      </c>
      <c r="F265" s="244" t="s">
        <v>3753</v>
      </c>
      <c r="G265" s="235" t="s">
        <v>2580</v>
      </c>
      <c r="H265" s="236">
        <v>0.01</v>
      </c>
      <c r="I265" s="236">
        <v>0.06</v>
      </c>
      <c r="J265" s="233">
        <v>1</v>
      </c>
      <c r="K265" s="242"/>
      <c r="L265" s="235"/>
      <c r="M265" s="276"/>
      <c r="N265" s="279" t="s">
        <v>25</v>
      </c>
      <c r="O265" t="str">
        <f t="shared" si="5"/>
        <v>1944 Wheat Penny</v>
      </c>
      <c r="S265" t="str" cm="1">
        <f t="array" ref="S265">_xlfn.REGEXEXTRACT(E265, "[0-9]{1,5}")</f>
        <v>1944</v>
      </c>
      <c r="T265" t="s">
        <v>4182</v>
      </c>
      <c r="U265" t="s">
        <v>3896</v>
      </c>
    </row>
    <row r="266" spans="1:21">
      <c r="A266" s="136">
        <v>1</v>
      </c>
      <c r="B266" s="233">
        <v>1944</v>
      </c>
      <c r="C266" s="234"/>
      <c r="D266" s="234" t="s">
        <v>4920</v>
      </c>
      <c r="E266" s="244" t="s">
        <v>2877</v>
      </c>
      <c r="F266" s="244" t="s">
        <v>3753</v>
      </c>
      <c r="G266" s="235" t="s">
        <v>2580</v>
      </c>
      <c r="H266" s="236">
        <v>0.01</v>
      </c>
      <c r="I266" s="236">
        <v>0.06</v>
      </c>
      <c r="J266" s="233">
        <v>1</v>
      </c>
      <c r="K266" s="242"/>
      <c r="L266" s="235"/>
      <c r="M266" s="276"/>
      <c r="N266" s="279" t="s">
        <v>25</v>
      </c>
      <c r="O266" t="str">
        <f t="shared" si="5"/>
        <v>1944 Wheat Penny</v>
      </c>
      <c r="S266" t="str" cm="1">
        <f t="array" ref="S266">_xlfn.REGEXEXTRACT(E266, "[0-9]{1,5}")</f>
        <v>1944</v>
      </c>
      <c r="T266" t="s">
        <v>4182</v>
      </c>
      <c r="U266" t="s">
        <v>3896</v>
      </c>
    </row>
    <row r="267" spans="1:21">
      <c r="A267" s="136">
        <v>1</v>
      </c>
      <c r="B267" s="233">
        <v>1944</v>
      </c>
      <c r="C267" s="234"/>
      <c r="D267" s="234" t="s">
        <v>4920</v>
      </c>
      <c r="E267" s="244" t="s">
        <v>2878</v>
      </c>
      <c r="F267" s="244" t="s">
        <v>3753</v>
      </c>
      <c r="G267" s="235" t="s">
        <v>2580</v>
      </c>
      <c r="H267" s="236">
        <v>0.01</v>
      </c>
      <c r="I267" s="236">
        <v>0.06</v>
      </c>
      <c r="J267" s="233">
        <v>1</v>
      </c>
      <c r="K267" s="242"/>
      <c r="L267" s="235"/>
      <c r="M267" s="276"/>
      <c r="N267" s="279" t="s">
        <v>25</v>
      </c>
      <c r="O267" t="str">
        <f t="shared" si="5"/>
        <v>1944 Wheat Penny</v>
      </c>
      <c r="S267" t="str" cm="1">
        <f t="array" ref="S267">_xlfn.REGEXEXTRACT(E267, "[0-9]{1,5}")</f>
        <v>1944</v>
      </c>
      <c r="T267" t="s">
        <v>4182</v>
      </c>
      <c r="U267" t="s">
        <v>3896</v>
      </c>
    </row>
    <row r="268" spans="1:21">
      <c r="A268" s="136">
        <v>1</v>
      </c>
      <c r="B268" s="233">
        <v>1944</v>
      </c>
      <c r="C268" s="234"/>
      <c r="D268" s="234" t="s">
        <v>4920</v>
      </c>
      <c r="E268" s="244" t="s">
        <v>2879</v>
      </c>
      <c r="F268" s="244" t="s">
        <v>3753</v>
      </c>
      <c r="G268" s="235" t="s">
        <v>2580</v>
      </c>
      <c r="H268" s="236">
        <v>0.01</v>
      </c>
      <c r="I268" s="236">
        <v>0.06</v>
      </c>
      <c r="J268" s="233">
        <v>1</v>
      </c>
      <c r="K268" s="242"/>
      <c r="L268" s="235"/>
      <c r="M268" s="276"/>
      <c r="N268" s="279" t="s">
        <v>25</v>
      </c>
      <c r="O268" t="str">
        <f t="shared" si="5"/>
        <v>1944 Wheat Penny</v>
      </c>
      <c r="S268" t="str" cm="1">
        <f t="array" ref="S268">_xlfn.REGEXEXTRACT(E268, "[0-9]{1,5}")</f>
        <v>1944</v>
      </c>
      <c r="T268" t="s">
        <v>4182</v>
      </c>
      <c r="U268" t="s">
        <v>3896</v>
      </c>
    </row>
    <row r="269" spans="1:21">
      <c r="A269" s="136">
        <v>1</v>
      </c>
      <c r="B269" s="233">
        <v>1944</v>
      </c>
      <c r="C269" s="234"/>
      <c r="D269" s="234" t="s">
        <v>4920</v>
      </c>
      <c r="E269" s="244" t="s">
        <v>2880</v>
      </c>
      <c r="F269" s="244" t="s">
        <v>3753</v>
      </c>
      <c r="G269" s="235" t="s">
        <v>2580</v>
      </c>
      <c r="H269" s="236">
        <v>0.01</v>
      </c>
      <c r="I269" s="236">
        <v>0.06</v>
      </c>
      <c r="J269" s="233">
        <v>1</v>
      </c>
      <c r="K269" s="242"/>
      <c r="L269" s="235"/>
      <c r="M269" s="276"/>
      <c r="N269" s="279" t="s">
        <v>25</v>
      </c>
      <c r="O269" t="str">
        <f t="shared" si="5"/>
        <v>1944 Wheat Penny</v>
      </c>
      <c r="S269" t="str" cm="1">
        <f t="array" ref="S269">_xlfn.REGEXEXTRACT(E269, "[0-9]{1,5}")</f>
        <v>1944</v>
      </c>
      <c r="T269" t="s">
        <v>4182</v>
      </c>
      <c r="U269" t="s">
        <v>3896</v>
      </c>
    </row>
    <row r="270" spans="1:21">
      <c r="A270" s="136">
        <v>1</v>
      </c>
      <c r="B270" s="233">
        <v>1944</v>
      </c>
      <c r="C270" s="234"/>
      <c r="D270" s="234" t="s">
        <v>4920</v>
      </c>
      <c r="E270" s="244" t="s">
        <v>2881</v>
      </c>
      <c r="F270" s="244" t="s">
        <v>3753</v>
      </c>
      <c r="G270" s="235" t="s">
        <v>2580</v>
      </c>
      <c r="H270" s="236">
        <v>0.01</v>
      </c>
      <c r="I270" s="236">
        <v>0.06</v>
      </c>
      <c r="J270" s="233">
        <v>1</v>
      </c>
      <c r="K270" s="242"/>
      <c r="L270" s="235"/>
      <c r="M270" s="276"/>
      <c r="N270" s="279" t="s">
        <v>25</v>
      </c>
      <c r="O270" t="str">
        <f t="shared" si="5"/>
        <v>1944 Wheat Penny</v>
      </c>
      <c r="S270" t="str" cm="1">
        <f t="array" ref="S270">_xlfn.REGEXEXTRACT(E270, "[0-9]{1,5}")</f>
        <v>1944</v>
      </c>
      <c r="T270" t="s">
        <v>4182</v>
      </c>
      <c r="U270" t="s">
        <v>3896</v>
      </c>
    </row>
    <row r="271" spans="1:21">
      <c r="A271" s="136">
        <v>1</v>
      </c>
      <c r="B271" s="233">
        <v>1944</v>
      </c>
      <c r="C271" s="234" t="s">
        <v>13</v>
      </c>
      <c r="D271" s="234" t="s">
        <v>4920</v>
      </c>
      <c r="E271" s="244" t="s">
        <v>2882</v>
      </c>
      <c r="F271" s="244" t="s">
        <v>3753</v>
      </c>
      <c r="G271" s="235" t="s">
        <v>2580</v>
      </c>
      <c r="H271" s="236">
        <v>0.2</v>
      </c>
      <c r="I271" s="236">
        <v>0.01</v>
      </c>
      <c r="J271" s="233">
        <v>1</v>
      </c>
      <c r="K271" s="242"/>
      <c r="L271" s="235"/>
      <c r="M271" s="276"/>
      <c r="N271" s="279" t="s">
        <v>25</v>
      </c>
      <c r="O271" t="str">
        <f t="shared" si="5"/>
        <v>1944-D Wheat Penny</v>
      </c>
      <c r="S271" t="str" cm="1">
        <f t="array" ref="S271">_xlfn.REGEXEXTRACT(E271, "[0-9]{1,5}")</f>
        <v>1944</v>
      </c>
      <c r="T271" t="s">
        <v>4182</v>
      </c>
      <c r="U271" t="s">
        <v>3896</v>
      </c>
    </row>
    <row r="272" spans="1:21">
      <c r="A272" s="136">
        <v>1</v>
      </c>
      <c r="B272" s="233">
        <v>1944</v>
      </c>
      <c r="C272" s="234"/>
      <c r="D272" s="234" t="s">
        <v>4920</v>
      </c>
      <c r="E272" s="244" t="s">
        <v>2883</v>
      </c>
      <c r="F272" s="244" t="s">
        <v>3753</v>
      </c>
      <c r="G272" s="235" t="s">
        <v>2580</v>
      </c>
      <c r="H272" s="236">
        <v>0.01</v>
      </c>
      <c r="I272" s="236">
        <v>0.01</v>
      </c>
      <c r="J272" s="233">
        <v>1</v>
      </c>
      <c r="K272" s="242"/>
      <c r="L272" s="235"/>
      <c r="M272" s="276"/>
      <c r="N272" s="279" t="s">
        <v>25</v>
      </c>
      <c r="O272" t="str">
        <f t="shared" si="5"/>
        <v>1944 Wheat Penny</v>
      </c>
      <c r="S272" t="str" cm="1">
        <f t="array" ref="S272">_xlfn.REGEXEXTRACT(E272, "[0-9]{1,5}")</f>
        <v>1944</v>
      </c>
      <c r="T272" t="s">
        <v>4182</v>
      </c>
      <c r="U272" t="s">
        <v>3896</v>
      </c>
    </row>
    <row r="273" spans="1:21">
      <c r="A273" s="136">
        <v>1</v>
      </c>
      <c r="B273" s="233">
        <v>1945</v>
      </c>
      <c r="C273" s="234"/>
      <c r="D273" s="234" t="s">
        <v>4920</v>
      </c>
      <c r="E273" s="244" t="s">
        <v>2884</v>
      </c>
      <c r="F273" s="244" t="s">
        <v>3753</v>
      </c>
      <c r="G273" s="235" t="s">
        <v>2580</v>
      </c>
      <c r="H273" s="236">
        <v>0.01</v>
      </c>
      <c r="I273" s="236">
        <v>0.1</v>
      </c>
      <c r="J273" s="233">
        <v>1</v>
      </c>
      <c r="K273" s="242"/>
      <c r="L273" s="235"/>
      <c r="M273" s="276"/>
      <c r="N273" s="279" t="s">
        <v>25</v>
      </c>
      <c r="O273" t="str">
        <f t="shared" si="5"/>
        <v>1945 Wheat Penny</v>
      </c>
      <c r="S273" t="str" cm="1">
        <f t="array" ref="S273">_xlfn.REGEXEXTRACT(E273, "[0-9]{1,5}")</f>
        <v>1945</v>
      </c>
      <c r="T273" t="s">
        <v>4183</v>
      </c>
      <c r="U273" t="s">
        <v>3896</v>
      </c>
    </row>
    <row r="274" spans="1:21">
      <c r="A274" s="136">
        <v>1</v>
      </c>
      <c r="B274" s="233">
        <v>1945</v>
      </c>
      <c r="C274" s="234"/>
      <c r="D274" s="234" t="s">
        <v>4920</v>
      </c>
      <c r="E274" s="244" t="s">
        <v>2885</v>
      </c>
      <c r="F274" s="244" t="s">
        <v>3753</v>
      </c>
      <c r="G274" s="235" t="s">
        <v>2580</v>
      </c>
      <c r="H274" s="236">
        <v>0.01</v>
      </c>
      <c r="I274" s="236">
        <v>0.1</v>
      </c>
      <c r="J274" s="233">
        <v>1</v>
      </c>
      <c r="K274" s="242"/>
      <c r="L274" s="235"/>
      <c r="M274" s="276"/>
      <c r="N274" s="279" t="s">
        <v>25</v>
      </c>
      <c r="O274" t="str">
        <f t="shared" si="5"/>
        <v>1945 Wheat Penny</v>
      </c>
      <c r="S274" t="str" cm="1">
        <f t="array" ref="S274">_xlfn.REGEXEXTRACT(E274, "[0-9]{1,5}")</f>
        <v>1945</v>
      </c>
      <c r="T274" t="s">
        <v>4183</v>
      </c>
      <c r="U274" t="s">
        <v>3896</v>
      </c>
    </row>
    <row r="275" spans="1:21">
      <c r="A275" s="136">
        <v>1</v>
      </c>
      <c r="B275" s="233">
        <v>1945</v>
      </c>
      <c r="C275" s="234"/>
      <c r="D275" s="234" t="s">
        <v>4920</v>
      </c>
      <c r="E275" s="244" t="s">
        <v>2886</v>
      </c>
      <c r="F275" s="244" t="s">
        <v>3753</v>
      </c>
      <c r="G275" s="235" t="s">
        <v>2580</v>
      </c>
      <c r="H275" s="236">
        <v>0.01</v>
      </c>
      <c r="I275" s="236">
        <v>0.1</v>
      </c>
      <c r="J275" s="233">
        <v>1</v>
      </c>
      <c r="K275" s="242"/>
      <c r="L275" s="235"/>
      <c r="M275" s="276"/>
      <c r="N275" s="279" t="s">
        <v>25</v>
      </c>
      <c r="O275" t="str">
        <f t="shared" si="5"/>
        <v>1945 Wheat Penny</v>
      </c>
      <c r="S275" t="str" cm="1">
        <f t="array" ref="S275">_xlfn.REGEXEXTRACT(E275, "[0-9]{1,5}")</f>
        <v>1945</v>
      </c>
      <c r="T275" t="s">
        <v>4183</v>
      </c>
      <c r="U275" t="s">
        <v>3896</v>
      </c>
    </row>
    <row r="276" spans="1:21">
      <c r="A276" s="136">
        <v>1</v>
      </c>
      <c r="B276" s="233">
        <v>1945</v>
      </c>
      <c r="C276" s="234"/>
      <c r="D276" s="234" t="s">
        <v>4920</v>
      </c>
      <c r="E276" s="244" t="s">
        <v>2887</v>
      </c>
      <c r="F276" s="244" t="s">
        <v>3753</v>
      </c>
      <c r="G276" s="235" t="s">
        <v>2580</v>
      </c>
      <c r="H276" s="236">
        <v>0.01</v>
      </c>
      <c r="I276" s="236">
        <v>0.08</v>
      </c>
      <c r="J276" s="233">
        <v>1</v>
      </c>
      <c r="K276" s="242"/>
      <c r="L276" s="235"/>
      <c r="M276" s="276"/>
      <c r="N276" s="279" t="s">
        <v>25</v>
      </c>
      <c r="O276" t="str">
        <f t="shared" si="5"/>
        <v>1945 Wheat Penny</v>
      </c>
      <c r="S276" t="str" cm="1">
        <f t="array" ref="S276">_xlfn.REGEXEXTRACT(E276, "[0-9]{1,5}")</f>
        <v>1945</v>
      </c>
      <c r="T276" t="s">
        <v>4183</v>
      </c>
      <c r="U276" t="s">
        <v>3896</v>
      </c>
    </row>
    <row r="277" spans="1:21">
      <c r="A277" s="136">
        <v>1</v>
      </c>
      <c r="B277" s="233">
        <v>1945</v>
      </c>
      <c r="C277" s="234"/>
      <c r="D277" s="234" t="s">
        <v>4920</v>
      </c>
      <c r="E277" s="244" t="s">
        <v>2888</v>
      </c>
      <c r="F277" s="244" t="s">
        <v>3753</v>
      </c>
      <c r="G277" s="235" t="s">
        <v>2580</v>
      </c>
      <c r="H277" s="236">
        <v>0.01</v>
      </c>
      <c r="I277" s="236">
        <v>7.0000000000000007E-2</v>
      </c>
      <c r="J277" s="233">
        <v>1</v>
      </c>
      <c r="K277" s="242"/>
      <c r="L277" s="235"/>
      <c r="M277" s="276"/>
      <c r="N277" s="279" t="s">
        <v>25</v>
      </c>
      <c r="O277" t="str">
        <f t="shared" si="5"/>
        <v>1945 Wheat Penny</v>
      </c>
      <c r="S277" t="str" cm="1">
        <f t="array" ref="S277">_xlfn.REGEXEXTRACT(E277, "[0-9]{1,5}")</f>
        <v>1945</v>
      </c>
      <c r="T277" t="s">
        <v>4183</v>
      </c>
      <c r="U277" t="s">
        <v>3896</v>
      </c>
    </row>
    <row r="278" spans="1:21">
      <c r="A278" s="136">
        <v>1</v>
      </c>
      <c r="B278" s="233">
        <v>1945</v>
      </c>
      <c r="C278" s="234"/>
      <c r="D278" s="234" t="s">
        <v>4920</v>
      </c>
      <c r="E278" s="244" t="s">
        <v>2889</v>
      </c>
      <c r="F278" s="244" t="s">
        <v>3753</v>
      </c>
      <c r="G278" s="235" t="s">
        <v>2580</v>
      </c>
      <c r="H278" s="236">
        <v>0.01</v>
      </c>
      <c r="I278" s="236">
        <v>7.0000000000000007E-2</v>
      </c>
      <c r="J278" s="233">
        <v>1</v>
      </c>
      <c r="K278" s="242"/>
      <c r="L278" s="235"/>
      <c r="M278" s="276"/>
      <c r="N278" s="279" t="s">
        <v>25</v>
      </c>
      <c r="O278" t="str">
        <f t="shared" si="5"/>
        <v>1945 Wheat Penny</v>
      </c>
      <c r="S278" t="str" cm="1">
        <f t="array" ref="S278">_xlfn.REGEXEXTRACT(E278, "[0-9]{1,5}")</f>
        <v>1945</v>
      </c>
      <c r="T278" t="s">
        <v>4183</v>
      </c>
      <c r="U278" t="s">
        <v>3896</v>
      </c>
    </row>
    <row r="279" spans="1:21">
      <c r="A279" s="136">
        <v>1</v>
      </c>
      <c r="B279" s="233">
        <v>1945</v>
      </c>
      <c r="C279" s="234"/>
      <c r="D279" s="234" t="s">
        <v>4920</v>
      </c>
      <c r="E279" s="244" t="s">
        <v>2890</v>
      </c>
      <c r="F279" s="244" t="s">
        <v>3753</v>
      </c>
      <c r="G279" s="235" t="s">
        <v>2580</v>
      </c>
      <c r="H279" s="236">
        <v>0.01</v>
      </c>
      <c r="I279" s="236">
        <v>0.08</v>
      </c>
      <c r="J279" s="233">
        <v>1</v>
      </c>
      <c r="K279" s="242"/>
      <c r="L279" s="235"/>
      <c r="M279" s="276"/>
      <c r="N279" s="279" t="s">
        <v>25</v>
      </c>
      <c r="O279" t="str">
        <f t="shared" si="5"/>
        <v>1945 Wheat Penny</v>
      </c>
      <c r="S279" t="str" cm="1">
        <f t="array" ref="S279">_xlfn.REGEXEXTRACT(E279, "[0-9]{1,5}")</f>
        <v>1945</v>
      </c>
      <c r="T279" t="s">
        <v>4183</v>
      </c>
      <c r="U279" t="s">
        <v>3896</v>
      </c>
    </row>
    <row r="280" spans="1:21">
      <c r="A280" s="136">
        <v>1</v>
      </c>
      <c r="B280" s="233">
        <v>1945</v>
      </c>
      <c r="C280" s="234"/>
      <c r="D280" s="234" t="s">
        <v>4920</v>
      </c>
      <c r="E280" s="244" t="s">
        <v>2891</v>
      </c>
      <c r="F280" s="244" t="s">
        <v>3753</v>
      </c>
      <c r="G280" s="235" t="s">
        <v>2580</v>
      </c>
      <c r="H280" s="236">
        <v>0.01</v>
      </c>
      <c r="I280" s="236">
        <v>0.08</v>
      </c>
      <c r="J280" s="233">
        <v>1</v>
      </c>
      <c r="K280" s="242"/>
      <c r="L280" s="235"/>
      <c r="M280" s="276"/>
      <c r="N280" s="279" t="s">
        <v>25</v>
      </c>
      <c r="O280" t="str">
        <f t="shared" si="5"/>
        <v>1945 Wheat Penny</v>
      </c>
      <c r="S280" t="str" cm="1">
        <f t="array" ref="S280">_xlfn.REGEXEXTRACT(E280, "[0-9]{1,5}")</f>
        <v>1945</v>
      </c>
      <c r="T280" t="s">
        <v>4183</v>
      </c>
      <c r="U280" t="s">
        <v>3896</v>
      </c>
    </row>
    <row r="281" spans="1:21">
      <c r="A281" s="136">
        <v>1</v>
      </c>
      <c r="B281" s="233">
        <v>1945</v>
      </c>
      <c r="C281" s="234" t="s">
        <v>13</v>
      </c>
      <c r="D281" s="234" t="s">
        <v>4920</v>
      </c>
      <c r="E281" s="244" t="s">
        <v>2892</v>
      </c>
      <c r="F281" s="244" t="s">
        <v>3753</v>
      </c>
      <c r="G281" s="235" t="s">
        <v>2580</v>
      </c>
      <c r="H281" s="236">
        <v>0.01</v>
      </c>
      <c r="I281" s="236">
        <v>0.1</v>
      </c>
      <c r="J281" s="233">
        <v>1</v>
      </c>
      <c r="K281" s="242"/>
      <c r="L281" s="235"/>
      <c r="M281" s="276"/>
      <c r="N281" s="279" t="s">
        <v>25</v>
      </c>
      <c r="O281" t="str">
        <f t="shared" si="5"/>
        <v>1945-D Wheat Penny</v>
      </c>
      <c r="S281" t="str" cm="1">
        <f t="array" ref="S281">_xlfn.REGEXEXTRACT(E281, "[0-9]{1,5}")</f>
        <v>1945</v>
      </c>
      <c r="T281" t="s">
        <v>4183</v>
      </c>
      <c r="U281" t="s">
        <v>3896</v>
      </c>
    </row>
    <row r="282" spans="1:21">
      <c r="A282" s="136">
        <v>1</v>
      </c>
      <c r="B282" s="233">
        <v>1945</v>
      </c>
      <c r="C282" s="234" t="s">
        <v>12</v>
      </c>
      <c r="D282" s="234" t="s">
        <v>4920</v>
      </c>
      <c r="E282" s="244" t="s">
        <v>2893</v>
      </c>
      <c r="F282" s="244" t="s">
        <v>3753</v>
      </c>
      <c r="G282" s="235" t="s">
        <v>2580</v>
      </c>
      <c r="H282" s="236">
        <v>0.01</v>
      </c>
      <c r="I282" s="236">
        <v>7.0000000000000007E-2</v>
      </c>
      <c r="J282" s="233">
        <v>1</v>
      </c>
      <c r="K282" s="242"/>
      <c r="L282" s="235"/>
      <c r="M282" s="276"/>
      <c r="N282" s="279" t="s">
        <v>25</v>
      </c>
      <c r="O282" t="str">
        <f t="shared" si="5"/>
        <v>1945-S Wheat Penny</v>
      </c>
      <c r="S282" t="str" cm="1">
        <f t="array" ref="S282">_xlfn.REGEXEXTRACT(E282, "[0-9]{1,5}")</f>
        <v>1945</v>
      </c>
      <c r="T282" t="s">
        <v>4183</v>
      </c>
      <c r="U282" t="s">
        <v>3896</v>
      </c>
    </row>
    <row r="283" spans="1:21">
      <c r="A283" s="136">
        <v>1</v>
      </c>
      <c r="B283" s="233">
        <v>1945</v>
      </c>
      <c r="C283" s="234"/>
      <c r="D283" s="234" t="s">
        <v>4920</v>
      </c>
      <c r="E283" s="244" t="s">
        <v>2894</v>
      </c>
      <c r="F283" s="244" t="s">
        <v>3753</v>
      </c>
      <c r="G283" s="235" t="s">
        <v>2580</v>
      </c>
      <c r="H283" s="236">
        <v>0.01</v>
      </c>
      <c r="I283" s="236">
        <v>7.0000000000000007E-2</v>
      </c>
      <c r="J283" s="233">
        <v>1</v>
      </c>
      <c r="K283" s="242"/>
      <c r="L283" s="235"/>
      <c r="M283" s="276"/>
      <c r="N283" s="279" t="s">
        <v>25</v>
      </c>
      <c r="O283" t="str">
        <f t="shared" si="5"/>
        <v>1945 Wheat Penny</v>
      </c>
      <c r="S283" t="str" cm="1">
        <f t="array" ref="S283">_xlfn.REGEXEXTRACT(E283, "[0-9]{1,5}")</f>
        <v>1945</v>
      </c>
      <c r="T283" t="s">
        <v>4183</v>
      </c>
      <c r="U283" t="s">
        <v>3896</v>
      </c>
    </row>
    <row r="284" spans="1:21">
      <c r="A284" s="136">
        <v>1</v>
      </c>
      <c r="B284" s="233">
        <v>1945</v>
      </c>
      <c r="C284" s="234"/>
      <c r="D284" s="234" t="s">
        <v>4920</v>
      </c>
      <c r="E284" s="244" t="s">
        <v>2895</v>
      </c>
      <c r="F284" s="244" t="s">
        <v>3753</v>
      </c>
      <c r="G284" s="235" t="s">
        <v>2580</v>
      </c>
      <c r="H284" s="236">
        <v>0.01</v>
      </c>
      <c r="I284" s="236">
        <v>7.0000000000000007E-2</v>
      </c>
      <c r="J284" s="233">
        <v>1</v>
      </c>
      <c r="K284" s="242"/>
      <c r="L284" s="235"/>
      <c r="M284" s="276"/>
      <c r="N284" s="279" t="s">
        <v>25</v>
      </c>
      <c r="O284" t="str">
        <f t="shared" si="5"/>
        <v>1945 Wheat Penny</v>
      </c>
      <c r="S284" t="str" cm="1">
        <f t="array" ref="S284">_xlfn.REGEXEXTRACT(E284, "[0-9]{1,5}")</f>
        <v>1945</v>
      </c>
      <c r="T284" t="s">
        <v>4183</v>
      </c>
      <c r="U284" t="s">
        <v>3896</v>
      </c>
    </row>
    <row r="285" spans="1:21">
      <c r="A285" s="136">
        <v>1</v>
      </c>
      <c r="B285" s="233">
        <v>1945</v>
      </c>
      <c r="C285" s="234"/>
      <c r="D285" s="234" t="s">
        <v>4920</v>
      </c>
      <c r="E285" s="244" t="s">
        <v>2896</v>
      </c>
      <c r="F285" s="244" t="s">
        <v>3753</v>
      </c>
      <c r="G285" s="235" t="s">
        <v>2580</v>
      </c>
      <c r="H285" s="236">
        <v>0.01</v>
      </c>
      <c r="I285" s="236">
        <v>0.01</v>
      </c>
      <c r="J285" s="233">
        <v>1</v>
      </c>
      <c r="K285" s="242"/>
      <c r="L285" s="235"/>
      <c r="M285" s="276"/>
      <c r="N285" s="279" t="s">
        <v>25</v>
      </c>
      <c r="O285" t="str">
        <f t="shared" si="5"/>
        <v>1945 Wheat Penny</v>
      </c>
      <c r="S285" t="str" cm="1">
        <f t="array" ref="S285">_xlfn.REGEXEXTRACT(E285, "[0-9]{1,5}")</f>
        <v>1945</v>
      </c>
      <c r="T285" t="s">
        <v>4183</v>
      </c>
      <c r="U285" t="s">
        <v>3896</v>
      </c>
    </row>
    <row r="286" spans="1:21">
      <c r="A286" s="136">
        <v>1</v>
      </c>
      <c r="B286" s="233">
        <v>1945</v>
      </c>
      <c r="C286" s="234"/>
      <c r="D286" s="234" t="s">
        <v>4920</v>
      </c>
      <c r="E286" s="244" t="s">
        <v>2897</v>
      </c>
      <c r="F286" s="244" t="s">
        <v>3753</v>
      </c>
      <c r="G286" s="235" t="s">
        <v>2580</v>
      </c>
      <c r="H286" s="236">
        <v>0.01</v>
      </c>
      <c r="I286" s="236">
        <v>0.01</v>
      </c>
      <c r="J286" s="233">
        <v>1</v>
      </c>
      <c r="K286" s="242"/>
      <c r="L286" s="235"/>
      <c r="M286" s="276"/>
      <c r="N286" s="279" t="s">
        <v>25</v>
      </c>
      <c r="O286" t="str">
        <f t="shared" si="5"/>
        <v>1945 Wheat Penny</v>
      </c>
      <c r="S286" t="str" cm="1">
        <f t="array" ref="S286">_xlfn.REGEXEXTRACT(E286, "[0-9]{1,5}")</f>
        <v>1945</v>
      </c>
      <c r="T286" t="s">
        <v>4183</v>
      </c>
      <c r="U286" t="s">
        <v>3896</v>
      </c>
    </row>
    <row r="287" spans="1:21">
      <c r="A287" s="136">
        <v>1</v>
      </c>
      <c r="B287" s="233">
        <v>1945</v>
      </c>
      <c r="C287" s="234"/>
      <c r="D287" s="234" t="s">
        <v>4920</v>
      </c>
      <c r="E287" s="244" t="s">
        <v>2898</v>
      </c>
      <c r="F287" s="244" t="s">
        <v>3753</v>
      </c>
      <c r="G287" s="235" t="s">
        <v>2580</v>
      </c>
      <c r="H287" s="236">
        <v>0.01</v>
      </c>
      <c r="I287" s="236">
        <v>0.01</v>
      </c>
      <c r="J287" s="233">
        <v>1</v>
      </c>
      <c r="K287" s="242"/>
      <c r="L287" s="235"/>
      <c r="M287" s="276"/>
      <c r="N287" s="279" t="s">
        <v>25</v>
      </c>
      <c r="O287" t="str">
        <f t="shared" si="5"/>
        <v>1945 Wheat Penny</v>
      </c>
      <c r="S287" t="str" cm="1">
        <f t="array" ref="S287">_xlfn.REGEXEXTRACT(E287, "[0-9]{1,5}")</f>
        <v>1945</v>
      </c>
      <c r="T287" t="s">
        <v>4183</v>
      </c>
      <c r="U287" t="s">
        <v>3896</v>
      </c>
    </row>
    <row r="288" spans="1:21">
      <c r="A288" s="136">
        <v>1</v>
      </c>
      <c r="B288" s="233">
        <v>1945</v>
      </c>
      <c r="C288" s="234" t="s">
        <v>12</v>
      </c>
      <c r="D288" s="234" t="s">
        <v>4920</v>
      </c>
      <c r="E288" s="235" t="s">
        <v>2899</v>
      </c>
      <c r="F288" s="235" t="s">
        <v>3753</v>
      </c>
      <c r="G288" s="235" t="s">
        <v>2580</v>
      </c>
      <c r="H288" s="236">
        <v>0.01</v>
      </c>
      <c r="I288" s="236">
        <v>0.01</v>
      </c>
      <c r="J288" s="233">
        <v>1</v>
      </c>
      <c r="K288" s="237"/>
      <c r="L288" s="235"/>
      <c r="M288" s="276"/>
      <c r="N288" s="279" t="s">
        <v>25</v>
      </c>
      <c r="O288" t="str">
        <f t="shared" si="5"/>
        <v>1945-S Wheat Penny</v>
      </c>
      <c r="S288" t="str" cm="1">
        <f t="array" ref="S288">_xlfn.REGEXEXTRACT(E288, "[0-9]{1,5}")</f>
        <v>1945</v>
      </c>
      <c r="T288" t="s">
        <v>4183</v>
      </c>
      <c r="U288" t="s">
        <v>3896</v>
      </c>
    </row>
    <row r="289" spans="1:21">
      <c r="A289" s="136">
        <v>1</v>
      </c>
      <c r="B289" s="233">
        <v>1946</v>
      </c>
      <c r="C289" s="234"/>
      <c r="D289" s="234" t="s">
        <v>4920</v>
      </c>
      <c r="E289" s="244" t="s">
        <v>2900</v>
      </c>
      <c r="F289" s="244" t="s">
        <v>3753</v>
      </c>
      <c r="G289" s="235" t="s">
        <v>2580</v>
      </c>
      <c r="H289" s="236">
        <v>0.01</v>
      </c>
      <c r="I289" s="236">
        <v>0.1</v>
      </c>
      <c r="J289" s="233">
        <v>1</v>
      </c>
      <c r="K289" s="242"/>
      <c r="L289" s="235"/>
      <c r="M289" s="276"/>
      <c r="N289" s="279" t="s">
        <v>25</v>
      </c>
      <c r="O289" t="str">
        <f t="shared" si="5"/>
        <v>1946 Wheat Penny</v>
      </c>
      <c r="S289" t="str" cm="1">
        <f t="array" ref="S289">_xlfn.REGEXEXTRACT(E289, "[0-9]{1,5}")</f>
        <v>1946</v>
      </c>
      <c r="T289" t="s">
        <v>992</v>
      </c>
      <c r="U289" t="s">
        <v>3896</v>
      </c>
    </row>
    <row r="290" spans="1:21">
      <c r="A290" s="136">
        <v>1</v>
      </c>
      <c r="B290" s="233">
        <v>1946</v>
      </c>
      <c r="C290" s="234"/>
      <c r="D290" s="234" t="s">
        <v>4920</v>
      </c>
      <c r="E290" s="244" t="s">
        <v>2901</v>
      </c>
      <c r="F290" s="244" t="s">
        <v>3753</v>
      </c>
      <c r="G290" s="235" t="s">
        <v>2580</v>
      </c>
      <c r="H290" s="236">
        <v>0.01</v>
      </c>
      <c r="I290" s="236">
        <v>0.08</v>
      </c>
      <c r="J290" s="233">
        <v>1</v>
      </c>
      <c r="K290" s="242"/>
      <c r="L290" s="235"/>
      <c r="M290" s="276"/>
      <c r="N290" s="279" t="s">
        <v>25</v>
      </c>
      <c r="O290" t="str">
        <f t="shared" si="5"/>
        <v>1946 Wheat Penny</v>
      </c>
      <c r="S290" t="str" cm="1">
        <f t="array" ref="S290">_xlfn.REGEXEXTRACT(E290, "[0-9]{1,5}")</f>
        <v>1946</v>
      </c>
      <c r="T290" t="s">
        <v>992</v>
      </c>
      <c r="U290" t="s">
        <v>3896</v>
      </c>
    </row>
    <row r="291" spans="1:21">
      <c r="A291" s="136">
        <v>1</v>
      </c>
      <c r="B291" s="233">
        <v>1946</v>
      </c>
      <c r="C291" s="234"/>
      <c r="D291" s="234" t="s">
        <v>4920</v>
      </c>
      <c r="E291" s="244" t="s">
        <v>2902</v>
      </c>
      <c r="F291" s="244" t="s">
        <v>3753</v>
      </c>
      <c r="G291" s="235" t="s">
        <v>2580</v>
      </c>
      <c r="H291" s="236">
        <v>0.01</v>
      </c>
      <c r="I291" s="236">
        <v>0.08</v>
      </c>
      <c r="J291" s="233">
        <v>1</v>
      </c>
      <c r="K291" s="242"/>
      <c r="L291" s="235"/>
      <c r="M291" s="276"/>
      <c r="N291" s="279" t="s">
        <v>25</v>
      </c>
      <c r="O291" t="str">
        <f t="shared" si="5"/>
        <v>1946 Wheat Penny</v>
      </c>
      <c r="S291" t="str" cm="1">
        <f t="array" ref="S291">_xlfn.REGEXEXTRACT(E291, "[0-9]{1,5}")</f>
        <v>1946</v>
      </c>
      <c r="T291" t="s">
        <v>992</v>
      </c>
      <c r="U291" t="s">
        <v>3896</v>
      </c>
    </row>
    <row r="292" spans="1:21">
      <c r="A292" s="136">
        <v>1</v>
      </c>
      <c r="B292" s="233">
        <v>1946</v>
      </c>
      <c r="C292" s="234"/>
      <c r="D292" s="234" t="s">
        <v>4920</v>
      </c>
      <c r="E292" s="244" t="s">
        <v>2903</v>
      </c>
      <c r="F292" s="244" t="s">
        <v>3753</v>
      </c>
      <c r="G292" s="235" t="s">
        <v>2580</v>
      </c>
      <c r="H292" s="236">
        <v>0.01</v>
      </c>
      <c r="I292" s="236">
        <v>0.08</v>
      </c>
      <c r="J292" s="233">
        <v>1</v>
      </c>
      <c r="K292" s="242"/>
      <c r="L292" s="235"/>
      <c r="M292" s="276"/>
      <c r="N292" s="279" t="s">
        <v>25</v>
      </c>
      <c r="O292" t="str">
        <f t="shared" si="5"/>
        <v>1946 Wheat Penny</v>
      </c>
      <c r="S292" t="str" cm="1">
        <f t="array" ref="S292">_xlfn.REGEXEXTRACT(E292, "[0-9]{1,5}")</f>
        <v>1946</v>
      </c>
      <c r="T292" t="s">
        <v>992</v>
      </c>
      <c r="U292" t="s">
        <v>3896</v>
      </c>
    </row>
    <row r="293" spans="1:21">
      <c r="A293" s="136">
        <v>1</v>
      </c>
      <c r="B293" s="233">
        <v>1946</v>
      </c>
      <c r="C293" s="234"/>
      <c r="D293" s="234" t="s">
        <v>4920</v>
      </c>
      <c r="E293" s="244" t="s">
        <v>2904</v>
      </c>
      <c r="F293" s="244" t="s">
        <v>3753</v>
      </c>
      <c r="G293" s="235" t="s">
        <v>2580</v>
      </c>
      <c r="H293" s="236">
        <v>0.01</v>
      </c>
      <c r="I293" s="236">
        <v>0.09</v>
      </c>
      <c r="J293" s="233">
        <v>1</v>
      </c>
      <c r="K293" s="242"/>
      <c r="L293" s="235"/>
      <c r="M293" s="276"/>
      <c r="N293" s="279" t="s">
        <v>25</v>
      </c>
      <c r="O293" t="str">
        <f t="shared" si="5"/>
        <v>1946 Wheat Penny</v>
      </c>
      <c r="S293" t="str" cm="1">
        <f t="array" ref="S293">_xlfn.REGEXEXTRACT(E293, "[0-9]{1,5}")</f>
        <v>1946</v>
      </c>
      <c r="T293" t="s">
        <v>992</v>
      </c>
      <c r="U293" t="s">
        <v>3896</v>
      </c>
    </row>
    <row r="294" spans="1:21">
      <c r="A294" s="136">
        <v>1</v>
      </c>
      <c r="B294" s="233">
        <v>1946</v>
      </c>
      <c r="C294" s="234"/>
      <c r="D294" s="234" t="s">
        <v>4920</v>
      </c>
      <c r="E294" s="244" t="s">
        <v>2905</v>
      </c>
      <c r="F294" s="244" t="s">
        <v>3753</v>
      </c>
      <c r="G294" s="235" t="s">
        <v>2580</v>
      </c>
      <c r="H294" s="236">
        <v>0.01</v>
      </c>
      <c r="I294" s="236">
        <v>0.08</v>
      </c>
      <c r="J294" s="233">
        <v>1</v>
      </c>
      <c r="K294" s="242"/>
      <c r="L294" s="235"/>
      <c r="M294" s="276"/>
      <c r="N294" s="279" t="s">
        <v>25</v>
      </c>
      <c r="O294" t="str">
        <f t="shared" si="5"/>
        <v>1946 Wheat Penny</v>
      </c>
      <c r="S294" t="str" cm="1">
        <f t="array" ref="S294">_xlfn.REGEXEXTRACT(E294, "[0-9]{1,5}")</f>
        <v>1946</v>
      </c>
      <c r="T294" t="s">
        <v>992</v>
      </c>
      <c r="U294" t="s">
        <v>3896</v>
      </c>
    </row>
    <row r="295" spans="1:21">
      <c r="A295" s="136">
        <v>1</v>
      </c>
      <c r="B295" s="233">
        <v>1946</v>
      </c>
      <c r="C295" s="234" t="s">
        <v>13</v>
      </c>
      <c r="D295" s="234" t="s">
        <v>4920</v>
      </c>
      <c r="E295" s="244" t="s">
        <v>2906</v>
      </c>
      <c r="F295" s="244" t="s">
        <v>3753</v>
      </c>
      <c r="G295" s="235" t="s">
        <v>2580</v>
      </c>
      <c r="H295" s="236">
        <v>0.01</v>
      </c>
      <c r="I295" s="236">
        <v>0.08</v>
      </c>
      <c r="J295" s="233">
        <v>1</v>
      </c>
      <c r="K295" s="242"/>
      <c r="L295" s="235"/>
      <c r="M295" s="276"/>
      <c r="N295" s="279" t="s">
        <v>25</v>
      </c>
      <c r="O295" t="str">
        <f t="shared" si="5"/>
        <v>1946-D Wheat Penny</v>
      </c>
      <c r="S295" t="str" cm="1">
        <f t="array" ref="S295">_xlfn.REGEXEXTRACT(E295, "[0-9]{1,5}")</f>
        <v>1946</v>
      </c>
      <c r="T295" t="s">
        <v>992</v>
      </c>
      <c r="U295" t="s">
        <v>3896</v>
      </c>
    </row>
    <row r="296" spans="1:21">
      <c r="A296" s="136">
        <v>1</v>
      </c>
      <c r="B296" s="233">
        <v>1946</v>
      </c>
      <c r="C296" s="234" t="s">
        <v>13</v>
      </c>
      <c r="D296" s="234" t="s">
        <v>4920</v>
      </c>
      <c r="E296" s="244" t="s">
        <v>2907</v>
      </c>
      <c r="F296" s="244" t="s">
        <v>3753</v>
      </c>
      <c r="G296" s="235" t="s">
        <v>2580</v>
      </c>
      <c r="H296" s="236">
        <v>0.01</v>
      </c>
      <c r="I296" s="236">
        <v>0.08</v>
      </c>
      <c r="J296" s="233">
        <v>1</v>
      </c>
      <c r="K296" s="242"/>
      <c r="L296" s="235"/>
      <c r="M296" s="276"/>
      <c r="N296" s="279" t="s">
        <v>25</v>
      </c>
      <c r="O296" t="str">
        <f t="shared" si="5"/>
        <v>1946-D Wheat Penny</v>
      </c>
      <c r="S296" t="str" cm="1">
        <f t="array" ref="S296">_xlfn.REGEXEXTRACT(E296, "[0-9]{1,5}")</f>
        <v>1946</v>
      </c>
      <c r="T296" t="s">
        <v>992</v>
      </c>
      <c r="U296" t="s">
        <v>3896</v>
      </c>
    </row>
    <row r="297" spans="1:21">
      <c r="A297" s="136">
        <v>1</v>
      </c>
      <c r="B297" s="233">
        <v>1946</v>
      </c>
      <c r="C297" s="234" t="s">
        <v>12</v>
      </c>
      <c r="D297" s="234" t="s">
        <v>4920</v>
      </c>
      <c r="E297" s="244" t="s">
        <v>2908</v>
      </c>
      <c r="F297" s="244" t="s">
        <v>3753</v>
      </c>
      <c r="G297" s="235" t="s">
        <v>2580</v>
      </c>
      <c r="H297" s="236">
        <v>0.01</v>
      </c>
      <c r="I297" s="236">
        <v>0.1</v>
      </c>
      <c r="J297" s="233">
        <v>1</v>
      </c>
      <c r="K297" s="242"/>
      <c r="L297" s="235"/>
      <c r="M297" s="276"/>
      <c r="N297" s="279" t="s">
        <v>25</v>
      </c>
      <c r="O297" t="str">
        <f t="shared" si="5"/>
        <v>1946-S Wheat Penny</v>
      </c>
      <c r="S297" t="str" cm="1">
        <f t="array" ref="S297">_xlfn.REGEXEXTRACT(E297, "[0-9]{1,5}")</f>
        <v>1946</v>
      </c>
      <c r="T297" t="s">
        <v>992</v>
      </c>
      <c r="U297" t="s">
        <v>3896</v>
      </c>
    </row>
    <row r="298" spans="1:21">
      <c r="A298" s="136">
        <v>1</v>
      </c>
      <c r="B298" s="233">
        <v>1946</v>
      </c>
      <c r="C298" s="234" t="s">
        <v>12</v>
      </c>
      <c r="D298" s="234" t="s">
        <v>4920</v>
      </c>
      <c r="E298" s="244" t="s">
        <v>2909</v>
      </c>
      <c r="F298" s="244" t="s">
        <v>3753</v>
      </c>
      <c r="G298" s="235" t="s">
        <v>2580</v>
      </c>
      <c r="H298" s="236">
        <v>0.01</v>
      </c>
      <c r="I298" s="236">
        <v>0.1</v>
      </c>
      <c r="J298" s="233">
        <v>1</v>
      </c>
      <c r="K298" s="242"/>
      <c r="L298" s="235"/>
      <c r="M298" s="276"/>
      <c r="N298" s="279" t="s">
        <v>25</v>
      </c>
      <c r="O298" t="str">
        <f t="shared" si="5"/>
        <v>1946-S Wheat Penny</v>
      </c>
      <c r="S298" t="str" cm="1">
        <f t="array" ref="S298">_xlfn.REGEXEXTRACT(E298, "[0-9]{1,5}")</f>
        <v>1946</v>
      </c>
      <c r="T298" t="s">
        <v>992</v>
      </c>
      <c r="U298" t="s">
        <v>3896</v>
      </c>
    </row>
    <row r="299" spans="1:21">
      <c r="A299" s="136">
        <v>1</v>
      </c>
      <c r="B299" s="233">
        <v>1946</v>
      </c>
      <c r="C299" s="234"/>
      <c r="D299" s="234" t="s">
        <v>4920</v>
      </c>
      <c r="E299" s="244" t="s">
        <v>2910</v>
      </c>
      <c r="F299" s="244" t="s">
        <v>3753</v>
      </c>
      <c r="G299" s="235" t="s">
        <v>2580</v>
      </c>
      <c r="H299" s="236">
        <v>0.01</v>
      </c>
      <c r="I299" s="236">
        <v>0.1</v>
      </c>
      <c r="J299" s="233">
        <v>1</v>
      </c>
      <c r="K299" s="242"/>
      <c r="L299" s="235"/>
      <c r="M299" s="276"/>
      <c r="N299" s="279" t="s">
        <v>25</v>
      </c>
      <c r="O299" t="str">
        <f t="shared" si="5"/>
        <v>1946 Wheat Penny</v>
      </c>
      <c r="S299" t="str" cm="1">
        <f t="array" ref="S299">_xlfn.REGEXEXTRACT(E299, "[0-9]{1,5}")</f>
        <v>1946</v>
      </c>
      <c r="T299" t="s">
        <v>992</v>
      </c>
      <c r="U299" t="s">
        <v>3896</v>
      </c>
    </row>
    <row r="300" spans="1:21">
      <c r="A300" s="136">
        <v>1</v>
      </c>
      <c r="B300" s="233">
        <v>1946</v>
      </c>
      <c r="C300" s="234"/>
      <c r="D300" s="234" t="s">
        <v>4920</v>
      </c>
      <c r="E300" s="244" t="s">
        <v>2911</v>
      </c>
      <c r="F300" s="244" t="s">
        <v>3753</v>
      </c>
      <c r="G300" s="235" t="s">
        <v>2580</v>
      </c>
      <c r="H300" s="236">
        <v>0.01</v>
      </c>
      <c r="I300" s="236">
        <v>0.1</v>
      </c>
      <c r="J300" s="233">
        <v>1</v>
      </c>
      <c r="K300" s="242"/>
      <c r="L300" s="235"/>
      <c r="M300" s="276"/>
      <c r="N300" s="279" t="s">
        <v>25</v>
      </c>
      <c r="O300" t="str">
        <f t="shared" si="5"/>
        <v>1946 Wheat Penny</v>
      </c>
      <c r="S300" t="str" cm="1">
        <f t="array" ref="S300">_xlfn.REGEXEXTRACT(E300, "[0-9]{1,5}")</f>
        <v>1946</v>
      </c>
      <c r="T300" t="s">
        <v>992</v>
      </c>
      <c r="U300" t="s">
        <v>3896</v>
      </c>
    </row>
    <row r="301" spans="1:21">
      <c r="A301" s="136">
        <v>1</v>
      </c>
      <c r="B301" s="233">
        <v>1946</v>
      </c>
      <c r="C301" s="234"/>
      <c r="D301" s="234" t="s">
        <v>4920</v>
      </c>
      <c r="E301" s="244" t="s">
        <v>2912</v>
      </c>
      <c r="F301" s="244" t="s">
        <v>3753</v>
      </c>
      <c r="G301" s="235" t="s">
        <v>2580</v>
      </c>
      <c r="H301" s="236">
        <v>0.01</v>
      </c>
      <c r="I301" s="236">
        <v>0.1</v>
      </c>
      <c r="J301" s="233">
        <v>1</v>
      </c>
      <c r="K301" s="242"/>
      <c r="L301" s="235"/>
      <c r="M301" s="276"/>
      <c r="N301" s="279" t="s">
        <v>25</v>
      </c>
      <c r="O301" t="str">
        <f t="shared" si="5"/>
        <v>1946 Wheat Penny</v>
      </c>
      <c r="S301" t="str" cm="1">
        <f t="array" ref="S301">_xlfn.REGEXEXTRACT(E301, "[0-9]{1,5}")</f>
        <v>1946</v>
      </c>
      <c r="T301" t="s">
        <v>992</v>
      </c>
      <c r="U301" t="s">
        <v>3896</v>
      </c>
    </row>
    <row r="302" spans="1:21">
      <c r="A302" s="136">
        <v>1</v>
      </c>
      <c r="B302" s="233">
        <v>1946</v>
      </c>
      <c r="C302" s="234"/>
      <c r="D302" s="234" t="s">
        <v>4920</v>
      </c>
      <c r="E302" s="244" t="s">
        <v>2913</v>
      </c>
      <c r="F302" s="244" t="s">
        <v>3753</v>
      </c>
      <c r="G302" s="235" t="s">
        <v>2580</v>
      </c>
      <c r="H302" s="236">
        <v>0.01</v>
      </c>
      <c r="I302" s="236">
        <v>0.1</v>
      </c>
      <c r="J302" s="233">
        <v>1</v>
      </c>
      <c r="K302" s="242"/>
      <c r="L302" s="235"/>
      <c r="M302" s="276"/>
      <c r="N302" s="279" t="s">
        <v>25</v>
      </c>
      <c r="O302" t="str">
        <f t="shared" si="5"/>
        <v>1946 Wheat Penny</v>
      </c>
      <c r="S302" t="str" cm="1">
        <f t="array" ref="S302">_xlfn.REGEXEXTRACT(E302, "[0-9]{1,5}")</f>
        <v>1946</v>
      </c>
      <c r="T302" t="s">
        <v>992</v>
      </c>
      <c r="U302" t="s">
        <v>3896</v>
      </c>
    </row>
    <row r="303" spans="1:21">
      <c r="A303" s="136">
        <v>1</v>
      </c>
      <c r="B303" s="233">
        <v>1946</v>
      </c>
      <c r="C303" s="234"/>
      <c r="D303" s="234" t="s">
        <v>4920</v>
      </c>
      <c r="E303" s="244" t="s">
        <v>2914</v>
      </c>
      <c r="F303" s="244" t="s">
        <v>3753</v>
      </c>
      <c r="G303" s="235" t="s">
        <v>2580</v>
      </c>
      <c r="H303" s="236">
        <v>0.01</v>
      </c>
      <c r="I303" s="236">
        <v>0.1</v>
      </c>
      <c r="J303" s="233">
        <v>1</v>
      </c>
      <c r="K303" s="242"/>
      <c r="L303" s="235"/>
      <c r="M303" s="276"/>
      <c r="N303" s="279" t="s">
        <v>25</v>
      </c>
      <c r="O303" t="str">
        <f t="shared" si="5"/>
        <v>1946 Wheat Penny</v>
      </c>
      <c r="S303" t="str" cm="1">
        <f t="array" ref="S303">_xlfn.REGEXEXTRACT(E303, "[0-9]{1,5}")</f>
        <v>1946</v>
      </c>
      <c r="T303" t="s">
        <v>992</v>
      </c>
      <c r="U303" t="s">
        <v>3896</v>
      </c>
    </row>
    <row r="304" spans="1:21">
      <c r="A304" s="136">
        <v>1</v>
      </c>
      <c r="B304" s="233">
        <v>1946</v>
      </c>
      <c r="C304" s="234"/>
      <c r="D304" s="234" t="s">
        <v>4920</v>
      </c>
      <c r="E304" s="244" t="s">
        <v>2915</v>
      </c>
      <c r="F304" s="244" t="s">
        <v>3753</v>
      </c>
      <c r="G304" s="235" t="s">
        <v>2580</v>
      </c>
      <c r="H304" s="236">
        <v>0.01</v>
      </c>
      <c r="I304" s="236">
        <v>0.1</v>
      </c>
      <c r="J304" s="233">
        <v>1</v>
      </c>
      <c r="K304" s="242"/>
      <c r="L304" s="235"/>
      <c r="M304" s="276"/>
      <c r="N304" s="279" t="s">
        <v>25</v>
      </c>
      <c r="O304" t="str">
        <f t="shared" si="5"/>
        <v>1946 Wheat Penny</v>
      </c>
      <c r="S304" t="str" cm="1">
        <f t="array" ref="S304">_xlfn.REGEXEXTRACT(E304, "[0-9]{1,5}")</f>
        <v>1946</v>
      </c>
      <c r="T304" t="s">
        <v>992</v>
      </c>
      <c r="U304" t="s">
        <v>3896</v>
      </c>
    </row>
    <row r="305" spans="1:21">
      <c r="A305" s="136">
        <v>1</v>
      </c>
      <c r="B305" s="233">
        <v>1946</v>
      </c>
      <c r="C305" s="234"/>
      <c r="D305" s="234" t="s">
        <v>4920</v>
      </c>
      <c r="E305" s="244" t="s">
        <v>2916</v>
      </c>
      <c r="F305" s="244" t="s">
        <v>3753</v>
      </c>
      <c r="G305" s="235" t="s">
        <v>2580</v>
      </c>
      <c r="H305" s="236">
        <v>0.01</v>
      </c>
      <c r="I305" s="236">
        <v>0.1</v>
      </c>
      <c r="J305" s="233">
        <v>1</v>
      </c>
      <c r="K305" s="242"/>
      <c r="L305" s="235"/>
      <c r="M305" s="276"/>
      <c r="N305" s="279" t="s">
        <v>25</v>
      </c>
      <c r="O305" t="str">
        <f t="shared" si="5"/>
        <v>1946 Wheat Penny</v>
      </c>
      <c r="S305" t="str" cm="1">
        <f t="array" ref="S305">_xlfn.REGEXEXTRACT(E305, "[0-9]{1,5}")</f>
        <v>1946</v>
      </c>
      <c r="T305" t="s">
        <v>992</v>
      </c>
      <c r="U305" t="s">
        <v>3896</v>
      </c>
    </row>
    <row r="306" spans="1:21">
      <c r="A306" s="136">
        <v>1</v>
      </c>
      <c r="B306" s="233">
        <v>1946</v>
      </c>
      <c r="C306" s="234"/>
      <c r="D306" s="234" t="s">
        <v>4920</v>
      </c>
      <c r="E306" s="244" t="s">
        <v>2917</v>
      </c>
      <c r="F306" s="244" t="s">
        <v>3753</v>
      </c>
      <c r="G306" s="235" t="s">
        <v>2580</v>
      </c>
      <c r="H306" s="236">
        <v>0.01</v>
      </c>
      <c r="I306" s="236">
        <v>0.1</v>
      </c>
      <c r="J306" s="233">
        <v>1</v>
      </c>
      <c r="K306" s="242"/>
      <c r="L306" s="235"/>
      <c r="M306" s="276"/>
      <c r="N306" s="279" t="s">
        <v>25</v>
      </c>
      <c r="O306" t="str">
        <f t="shared" si="5"/>
        <v>1946 Wheat Penny</v>
      </c>
      <c r="S306" t="str" cm="1">
        <f t="array" ref="S306">_xlfn.REGEXEXTRACT(E306, "[0-9]{1,5}")</f>
        <v>1946</v>
      </c>
      <c r="T306" t="s">
        <v>992</v>
      </c>
      <c r="U306" t="s">
        <v>3896</v>
      </c>
    </row>
    <row r="307" spans="1:21">
      <c r="A307" s="136">
        <v>1</v>
      </c>
      <c r="B307" s="233">
        <v>1946</v>
      </c>
      <c r="C307" s="234"/>
      <c r="D307" s="234" t="s">
        <v>4920</v>
      </c>
      <c r="E307" s="244" t="s">
        <v>2918</v>
      </c>
      <c r="F307" s="244" t="s">
        <v>3753</v>
      </c>
      <c r="G307" s="235" t="s">
        <v>2580</v>
      </c>
      <c r="H307" s="236">
        <v>0.01</v>
      </c>
      <c r="I307" s="236">
        <v>0.1</v>
      </c>
      <c r="J307" s="233">
        <v>1</v>
      </c>
      <c r="K307" s="242"/>
      <c r="L307" s="235"/>
      <c r="M307" s="276"/>
      <c r="N307" s="279" t="s">
        <v>25</v>
      </c>
      <c r="O307" t="str">
        <f t="shared" si="5"/>
        <v>1946 Wheat Penny</v>
      </c>
      <c r="S307" t="str" cm="1">
        <f t="array" ref="S307">_xlfn.REGEXEXTRACT(E307, "[0-9]{1,5}")</f>
        <v>1946</v>
      </c>
      <c r="T307" t="s">
        <v>992</v>
      </c>
      <c r="U307" t="s">
        <v>3896</v>
      </c>
    </row>
    <row r="308" spans="1:21">
      <c r="A308" s="136">
        <v>1</v>
      </c>
      <c r="B308" s="233">
        <v>1946</v>
      </c>
      <c r="C308" s="234"/>
      <c r="D308" s="234" t="s">
        <v>4920</v>
      </c>
      <c r="E308" s="244" t="s">
        <v>2919</v>
      </c>
      <c r="F308" s="244" t="s">
        <v>3753</v>
      </c>
      <c r="G308" s="235" t="s">
        <v>2580</v>
      </c>
      <c r="H308" s="236">
        <v>0.01</v>
      </c>
      <c r="I308" s="236">
        <v>0.1</v>
      </c>
      <c r="J308" s="233">
        <v>1</v>
      </c>
      <c r="K308" s="242"/>
      <c r="L308" s="235"/>
      <c r="M308" s="276"/>
      <c r="N308" s="279" t="s">
        <v>25</v>
      </c>
      <c r="O308" t="str">
        <f t="shared" si="5"/>
        <v>1946 Wheat Penny</v>
      </c>
      <c r="S308" t="str" cm="1">
        <f t="array" ref="S308">_xlfn.REGEXEXTRACT(E308, "[0-9]{1,5}")</f>
        <v>1946</v>
      </c>
      <c r="T308" t="s">
        <v>992</v>
      </c>
      <c r="U308" t="s">
        <v>3896</v>
      </c>
    </row>
    <row r="309" spans="1:21">
      <c r="A309" s="136">
        <v>1</v>
      </c>
      <c r="B309" s="233">
        <v>1946</v>
      </c>
      <c r="C309" s="234"/>
      <c r="D309" s="234" t="s">
        <v>4920</v>
      </c>
      <c r="E309" s="244" t="s">
        <v>2920</v>
      </c>
      <c r="F309" s="244" t="s">
        <v>3753</v>
      </c>
      <c r="G309" s="235" t="s">
        <v>2580</v>
      </c>
      <c r="H309" s="236">
        <v>0.01</v>
      </c>
      <c r="I309" s="236">
        <v>0.1</v>
      </c>
      <c r="J309" s="233">
        <v>1</v>
      </c>
      <c r="K309" s="242"/>
      <c r="L309" s="235"/>
      <c r="M309" s="276"/>
      <c r="N309" s="279" t="s">
        <v>25</v>
      </c>
      <c r="O309" t="str">
        <f t="shared" si="5"/>
        <v>1946 Wheat Penny</v>
      </c>
      <c r="S309" t="str" cm="1">
        <f t="array" ref="S309">_xlfn.REGEXEXTRACT(E309, "[0-9]{1,5}")</f>
        <v>1946</v>
      </c>
      <c r="T309" t="s">
        <v>992</v>
      </c>
      <c r="U309" t="s">
        <v>3896</v>
      </c>
    </row>
    <row r="310" spans="1:21">
      <c r="A310" s="136">
        <v>1</v>
      </c>
      <c r="B310" s="233">
        <v>1947</v>
      </c>
      <c r="C310" s="234"/>
      <c r="D310" s="234" t="s">
        <v>4920</v>
      </c>
      <c r="E310" s="244" t="s">
        <v>2921</v>
      </c>
      <c r="F310" s="244" t="s">
        <v>3753</v>
      </c>
      <c r="G310" s="235" t="s">
        <v>2580</v>
      </c>
      <c r="H310" s="236">
        <v>0.01</v>
      </c>
      <c r="I310" s="236">
        <v>0.1</v>
      </c>
      <c r="J310" s="233">
        <v>1</v>
      </c>
      <c r="K310" s="242"/>
      <c r="L310" s="235"/>
      <c r="M310" s="276"/>
      <c r="N310" s="279" t="s">
        <v>25</v>
      </c>
      <c r="O310" t="str">
        <f t="shared" si="5"/>
        <v>1947 Wheat Penny</v>
      </c>
      <c r="S310" t="str" cm="1">
        <f t="array" ref="S310">_xlfn.REGEXEXTRACT(E310, "[0-9]{1,5}")</f>
        <v>1947</v>
      </c>
      <c r="T310" t="s">
        <v>2477</v>
      </c>
      <c r="U310" t="s">
        <v>3896</v>
      </c>
    </row>
    <row r="311" spans="1:21">
      <c r="A311" s="136">
        <v>1</v>
      </c>
      <c r="B311" s="233">
        <v>1947</v>
      </c>
      <c r="C311" s="234"/>
      <c r="D311" s="234" t="s">
        <v>4920</v>
      </c>
      <c r="E311" s="244" t="s">
        <v>2922</v>
      </c>
      <c r="F311" s="244" t="s">
        <v>3753</v>
      </c>
      <c r="G311" s="235" t="s">
        <v>2580</v>
      </c>
      <c r="H311" s="236">
        <v>0.01</v>
      </c>
      <c r="I311" s="236">
        <v>0.1</v>
      </c>
      <c r="J311" s="233">
        <v>1</v>
      </c>
      <c r="K311" s="242"/>
      <c r="L311" s="235"/>
      <c r="M311" s="276"/>
      <c r="N311" s="279" t="s">
        <v>25</v>
      </c>
      <c r="O311" t="str">
        <f t="shared" si="5"/>
        <v>1947 Wheat Penny</v>
      </c>
      <c r="S311" t="str" cm="1">
        <f t="array" ref="S311">_xlfn.REGEXEXTRACT(E311, "[0-9]{1,5}")</f>
        <v>1947</v>
      </c>
      <c r="T311" t="s">
        <v>2477</v>
      </c>
      <c r="U311" t="s">
        <v>3896</v>
      </c>
    </row>
    <row r="312" spans="1:21">
      <c r="A312" s="136">
        <v>1</v>
      </c>
      <c r="B312" s="233">
        <v>1947</v>
      </c>
      <c r="C312" s="234" t="s">
        <v>13</v>
      </c>
      <c r="D312" s="234" t="s">
        <v>4920</v>
      </c>
      <c r="E312" s="244" t="s">
        <v>2923</v>
      </c>
      <c r="F312" s="244" t="s">
        <v>3753</v>
      </c>
      <c r="G312" s="235" t="s">
        <v>2580</v>
      </c>
      <c r="H312" s="236">
        <v>0.01</v>
      </c>
      <c r="I312" s="236">
        <v>0.08</v>
      </c>
      <c r="J312" s="233">
        <v>1</v>
      </c>
      <c r="K312" s="242"/>
      <c r="L312" s="235"/>
      <c r="M312" s="276"/>
      <c r="N312" s="279" t="s">
        <v>25</v>
      </c>
      <c r="O312" t="str">
        <f t="shared" si="5"/>
        <v>1947-D Wheat Penny</v>
      </c>
      <c r="S312" t="str" cm="1">
        <f t="array" ref="S312">_xlfn.REGEXEXTRACT(E312, "[0-9]{1,5}")</f>
        <v>1947</v>
      </c>
      <c r="T312" t="s">
        <v>2477</v>
      </c>
      <c r="U312" t="s">
        <v>3896</v>
      </c>
    </row>
    <row r="313" spans="1:21">
      <c r="A313" s="136">
        <v>1</v>
      </c>
      <c r="B313" s="233">
        <v>1947</v>
      </c>
      <c r="C313" s="234" t="s">
        <v>13</v>
      </c>
      <c r="D313" s="234" t="s">
        <v>4920</v>
      </c>
      <c r="E313" s="244" t="s">
        <v>2924</v>
      </c>
      <c r="F313" s="244" t="s">
        <v>3753</v>
      </c>
      <c r="G313" s="235" t="s">
        <v>2580</v>
      </c>
      <c r="H313" s="236">
        <v>0.01</v>
      </c>
      <c r="I313" s="236">
        <v>0.1</v>
      </c>
      <c r="J313" s="233">
        <v>1</v>
      </c>
      <c r="K313" s="242"/>
      <c r="L313" s="235"/>
      <c r="M313" s="276"/>
      <c r="N313" s="279" t="s">
        <v>25</v>
      </c>
      <c r="O313" t="str">
        <f t="shared" si="5"/>
        <v>1947-D Wheat Penny</v>
      </c>
      <c r="S313" t="str" cm="1">
        <f t="array" ref="S313">_xlfn.REGEXEXTRACT(E313, "[0-9]{1,5}")</f>
        <v>1947</v>
      </c>
      <c r="T313" t="s">
        <v>2477</v>
      </c>
      <c r="U313" t="s">
        <v>3896</v>
      </c>
    </row>
    <row r="314" spans="1:21">
      <c r="A314" s="136">
        <v>1</v>
      </c>
      <c r="B314" s="233">
        <v>1947</v>
      </c>
      <c r="C314" s="234" t="s">
        <v>12</v>
      </c>
      <c r="D314" s="234" t="s">
        <v>4920</v>
      </c>
      <c r="E314" s="244" t="s">
        <v>2925</v>
      </c>
      <c r="F314" s="244" t="s">
        <v>3753</v>
      </c>
      <c r="G314" s="235" t="s">
        <v>2580</v>
      </c>
      <c r="H314" s="236">
        <v>0.01</v>
      </c>
      <c r="I314" s="236">
        <v>0.1</v>
      </c>
      <c r="J314" s="233">
        <v>1</v>
      </c>
      <c r="K314" s="242"/>
      <c r="L314" s="235"/>
      <c r="M314" s="276"/>
      <c r="N314" s="279" t="s">
        <v>25</v>
      </c>
      <c r="O314" t="str">
        <f t="shared" si="5"/>
        <v>1947-S Wheat Penny</v>
      </c>
      <c r="S314" t="str" cm="1">
        <f t="array" ref="S314">_xlfn.REGEXEXTRACT(E314, "[0-9]{1,5}")</f>
        <v>1947</v>
      </c>
      <c r="T314" t="s">
        <v>2477</v>
      </c>
      <c r="U314" t="s">
        <v>3896</v>
      </c>
    </row>
    <row r="315" spans="1:21">
      <c r="A315" s="136">
        <v>1</v>
      </c>
      <c r="B315" s="233">
        <v>1947</v>
      </c>
      <c r="C315" s="234"/>
      <c r="D315" s="234" t="s">
        <v>4920</v>
      </c>
      <c r="E315" s="244" t="s">
        <v>2926</v>
      </c>
      <c r="F315" s="244" t="s">
        <v>3753</v>
      </c>
      <c r="G315" s="235" t="s">
        <v>2580</v>
      </c>
      <c r="H315" s="236">
        <v>0.01</v>
      </c>
      <c r="I315" s="236">
        <v>0.1</v>
      </c>
      <c r="J315" s="233">
        <v>1</v>
      </c>
      <c r="K315" s="242"/>
      <c r="L315" s="235"/>
      <c r="M315" s="276"/>
      <c r="N315" s="279" t="s">
        <v>25</v>
      </c>
      <c r="O315" t="str">
        <f t="shared" si="5"/>
        <v>1947 Wheat Penny</v>
      </c>
      <c r="S315" t="str" cm="1">
        <f t="array" ref="S315">_xlfn.REGEXEXTRACT(E315, "[0-9]{1,5}")</f>
        <v>1947</v>
      </c>
      <c r="T315" t="s">
        <v>2477</v>
      </c>
      <c r="U315" t="s">
        <v>3896</v>
      </c>
    </row>
    <row r="316" spans="1:21">
      <c r="A316" s="136">
        <v>1</v>
      </c>
      <c r="B316" s="233">
        <v>1947</v>
      </c>
      <c r="C316" s="234" t="s">
        <v>12</v>
      </c>
      <c r="D316" s="234" t="s">
        <v>4920</v>
      </c>
      <c r="E316" s="244" t="s">
        <v>2927</v>
      </c>
      <c r="F316" s="244" t="s">
        <v>3753</v>
      </c>
      <c r="G316" s="235" t="s">
        <v>2580</v>
      </c>
      <c r="H316" s="236">
        <v>0.01</v>
      </c>
      <c r="I316" s="236">
        <v>0.01</v>
      </c>
      <c r="J316" s="233">
        <v>1</v>
      </c>
      <c r="K316" s="242"/>
      <c r="L316" s="235"/>
      <c r="M316" s="276"/>
      <c r="N316" s="279" t="s">
        <v>25</v>
      </c>
      <c r="O316" t="str">
        <f t="shared" si="5"/>
        <v>1947-S Wheat Penny</v>
      </c>
      <c r="S316" t="str" cm="1">
        <f t="array" ref="S316">_xlfn.REGEXEXTRACT(E316, "[0-9]{1,5}")</f>
        <v>1947</v>
      </c>
      <c r="T316" t="s">
        <v>2477</v>
      </c>
      <c r="U316" t="s">
        <v>3896</v>
      </c>
    </row>
    <row r="317" spans="1:21">
      <c r="A317" s="136">
        <v>1</v>
      </c>
      <c r="B317" s="233">
        <v>1947</v>
      </c>
      <c r="C317" s="234"/>
      <c r="D317" s="234" t="s">
        <v>4920</v>
      </c>
      <c r="E317" s="244" t="s">
        <v>2928</v>
      </c>
      <c r="F317" s="244" t="s">
        <v>3753</v>
      </c>
      <c r="G317" s="235" t="s">
        <v>2580</v>
      </c>
      <c r="H317" s="236">
        <v>0.01</v>
      </c>
      <c r="I317" s="236">
        <v>0.01</v>
      </c>
      <c r="J317" s="233">
        <v>1</v>
      </c>
      <c r="K317" s="242"/>
      <c r="L317" s="235"/>
      <c r="M317" s="276"/>
      <c r="N317" s="279" t="s">
        <v>25</v>
      </c>
      <c r="O317" t="str">
        <f t="shared" si="5"/>
        <v>1947 Wheat Penny</v>
      </c>
      <c r="S317" t="str" cm="1">
        <f t="array" ref="S317">_xlfn.REGEXEXTRACT(E317, "[0-9]{1,5}")</f>
        <v>1947</v>
      </c>
      <c r="T317" t="s">
        <v>2477</v>
      </c>
      <c r="U317" t="s">
        <v>3896</v>
      </c>
    </row>
    <row r="318" spans="1:21">
      <c r="A318" s="136">
        <v>1</v>
      </c>
      <c r="B318" s="233">
        <v>1948</v>
      </c>
      <c r="C318" s="234"/>
      <c r="D318" s="234" t="s">
        <v>4920</v>
      </c>
      <c r="E318" s="244" t="s">
        <v>2929</v>
      </c>
      <c r="F318" s="244" t="s">
        <v>3753</v>
      </c>
      <c r="G318" s="235" t="s">
        <v>2580</v>
      </c>
      <c r="H318" s="236">
        <v>0.01</v>
      </c>
      <c r="I318" s="236">
        <v>0.1</v>
      </c>
      <c r="J318" s="233">
        <v>1</v>
      </c>
      <c r="K318" s="242"/>
      <c r="L318" s="235"/>
      <c r="M318" s="276"/>
      <c r="N318" s="279" t="s">
        <v>25</v>
      </c>
      <c r="O318" t="str">
        <f t="shared" si="5"/>
        <v>1948 Wheat Penny</v>
      </c>
      <c r="S318" t="str" cm="1">
        <f t="array" ref="S318">_xlfn.REGEXEXTRACT(E318, "[0-9]{1,5}")</f>
        <v>1948</v>
      </c>
      <c r="T318" t="s">
        <v>2478</v>
      </c>
      <c r="U318" t="s">
        <v>3896</v>
      </c>
    </row>
    <row r="319" spans="1:21">
      <c r="A319" s="136">
        <v>1</v>
      </c>
      <c r="B319" s="233">
        <v>1948</v>
      </c>
      <c r="C319" s="234"/>
      <c r="D319" s="234" t="s">
        <v>4920</v>
      </c>
      <c r="E319" s="244" t="s">
        <v>2930</v>
      </c>
      <c r="F319" s="244" t="s">
        <v>3753</v>
      </c>
      <c r="G319" s="235" t="s">
        <v>2580</v>
      </c>
      <c r="H319" s="236">
        <v>0.01</v>
      </c>
      <c r="I319" s="236">
        <v>0.1</v>
      </c>
      <c r="J319" s="233">
        <v>1</v>
      </c>
      <c r="K319" s="242"/>
      <c r="L319" s="235"/>
      <c r="M319" s="276"/>
      <c r="N319" s="279" t="s">
        <v>25</v>
      </c>
      <c r="O319" t="str">
        <f t="shared" si="5"/>
        <v>1948 Wheat Penny</v>
      </c>
      <c r="S319" t="str" cm="1">
        <f t="array" ref="S319">_xlfn.REGEXEXTRACT(E319, "[0-9]{1,5}")</f>
        <v>1948</v>
      </c>
      <c r="T319" t="s">
        <v>2478</v>
      </c>
      <c r="U319" t="s">
        <v>3896</v>
      </c>
    </row>
    <row r="320" spans="1:21">
      <c r="A320" s="136">
        <v>1</v>
      </c>
      <c r="B320" s="233">
        <v>1948</v>
      </c>
      <c r="C320" s="234"/>
      <c r="D320" s="234" t="s">
        <v>4920</v>
      </c>
      <c r="E320" s="244" t="s">
        <v>2931</v>
      </c>
      <c r="F320" s="244" t="s">
        <v>3753</v>
      </c>
      <c r="G320" s="235" t="s">
        <v>2580</v>
      </c>
      <c r="H320" s="236">
        <v>0.01</v>
      </c>
      <c r="I320" s="236">
        <v>0.1</v>
      </c>
      <c r="J320" s="233">
        <v>1</v>
      </c>
      <c r="K320" s="242"/>
      <c r="L320" s="235"/>
      <c r="M320" s="276"/>
      <c r="N320" s="279" t="s">
        <v>25</v>
      </c>
      <c r="O320" t="str">
        <f t="shared" si="5"/>
        <v>1948 Wheat Penny</v>
      </c>
      <c r="S320" t="str" cm="1">
        <f t="array" ref="S320">_xlfn.REGEXEXTRACT(E320, "[0-9]{1,5}")</f>
        <v>1948</v>
      </c>
      <c r="T320" t="s">
        <v>2478</v>
      </c>
      <c r="U320" t="s">
        <v>3896</v>
      </c>
    </row>
    <row r="321" spans="1:21">
      <c r="A321" s="136">
        <v>1</v>
      </c>
      <c r="B321" s="233">
        <v>1948</v>
      </c>
      <c r="C321" s="234"/>
      <c r="D321" s="234" t="s">
        <v>4920</v>
      </c>
      <c r="E321" s="244" t="s">
        <v>2932</v>
      </c>
      <c r="F321" s="244" t="s">
        <v>3753</v>
      </c>
      <c r="G321" s="235" t="s">
        <v>2580</v>
      </c>
      <c r="H321" s="236">
        <v>0.01</v>
      </c>
      <c r="I321" s="236">
        <v>0.08</v>
      </c>
      <c r="J321" s="233">
        <v>1</v>
      </c>
      <c r="K321" s="242"/>
      <c r="L321" s="235"/>
      <c r="M321" s="276"/>
      <c r="N321" s="279" t="s">
        <v>25</v>
      </c>
      <c r="O321" t="str">
        <f t="shared" si="5"/>
        <v>1948 Wheat Penny</v>
      </c>
      <c r="S321" t="str" cm="1">
        <f t="array" ref="S321">_xlfn.REGEXEXTRACT(E321, "[0-9]{1,5}")</f>
        <v>1948</v>
      </c>
      <c r="T321" t="s">
        <v>2478</v>
      </c>
      <c r="U321" t="s">
        <v>3896</v>
      </c>
    </row>
    <row r="322" spans="1:21">
      <c r="A322" s="136">
        <v>1</v>
      </c>
      <c r="B322" s="233">
        <v>1948</v>
      </c>
      <c r="C322" s="234"/>
      <c r="D322" s="234" t="s">
        <v>4920</v>
      </c>
      <c r="E322" s="244" t="s">
        <v>2933</v>
      </c>
      <c r="F322" s="244" t="s">
        <v>3753</v>
      </c>
      <c r="G322" s="235" t="s">
        <v>2580</v>
      </c>
      <c r="H322" s="236">
        <v>0.01</v>
      </c>
      <c r="I322" s="236">
        <v>0.1</v>
      </c>
      <c r="J322" s="233">
        <v>1</v>
      </c>
      <c r="K322" s="242"/>
      <c r="L322" s="235"/>
      <c r="M322" s="276"/>
      <c r="N322" s="279" t="s">
        <v>25</v>
      </c>
      <c r="O322" t="str">
        <f t="shared" si="5"/>
        <v>1948 Wheat Penny</v>
      </c>
      <c r="S322" t="str" cm="1">
        <f t="array" ref="S322">_xlfn.REGEXEXTRACT(E322, "[0-9]{1,5}")</f>
        <v>1948</v>
      </c>
      <c r="T322" t="s">
        <v>2478</v>
      </c>
      <c r="U322" t="s">
        <v>3896</v>
      </c>
    </row>
    <row r="323" spans="1:21">
      <c r="A323" s="136">
        <v>1</v>
      </c>
      <c r="B323" s="233">
        <v>1948</v>
      </c>
      <c r="C323" s="234"/>
      <c r="D323" s="234" t="s">
        <v>4920</v>
      </c>
      <c r="E323" s="244" t="s">
        <v>2934</v>
      </c>
      <c r="F323" s="244" t="s">
        <v>3753</v>
      </c>
      <c r="G323" s="235" t="s">
        <v>2580</v>
      </c>
      <c r="H323" s="236">
        <v>0.01</v>
      </c>
      <c r="I323" s="236">
        <v>0.08</v>
      </c>
      <c r="J323" s="233">
        <v>1</v>
      </c>
      <c r="K323" s="242"/>
      <c r="L323" s="235"/>
      <c r="M323" s="276"/>
      <c r="N323" s="279" t="s">
        <v>25</v>
      </c>
      <c r="O323" t="str">
        <f t="shared" si="5"/>
        <v>1948 Wheat Penny</v>
      </c>
      <c r="S323" t="str" cm="1">
        <f t="array" ref="S323">_xlfn.REGEXEXTRACT(E323, "[0-9]{1,5}")</f>
        <v>1948</v>
      </c>
      <c r="T323" t="s">
        <v>2478</v>
      </c>
      <c r="U323" t="s">
        <v>3896</v>
      </c>
    </row>
    <row r="324" spans="1:21">
      <c r="A324" s="136">
        <v>1</v>
      </c>
      <c r="B324" s="233">
        <v>1948</v>
      </c>
      <c r="C324" s="234"/>
      <c r="D324" s="234" t="s">
        <v>4920</v>
      </c>
      <c r="E324" s="244" t="s">
        <v>2935</v>
      </c>
      <c r="F324" s="244" t="s">
        <v>3753</v>
      </c>
      <c r="G324" s="235" t="s">
        <v>2580</v>
      </c>
      <c r="H324" s="236">
        <v>0.01</v>
      </c>
      <c r="I324" s="236">
        <v>0.05</v>
      </c>
      <c r="J324" s="233">
        <v>1</v>
      </c>
      <c r="K324" s="242"/>
      <c r="L324" s="235"/>
      <c r="M324" s="276"/>
      <c r="N324" s="279" t="s">
        <v>25</v>
      </c>
      <c r="O324" t="str">
        <f t="shared" ref="O324:O387" si="6">IF(C324&lt;&gt;"",B324&amp;"-"&amp;C324&amp;" "&amp;F324,B324&amp;" "&amp;F324)</f>
        <v>1948 Wheat Penny</v>
      </c>
      <c r="S324" t="str" cm="1">
        <f t="array" ref="S324">_xlfn.REGEXEXTRACT(E324, "[0-9]{1,5}")</f>
        <v>1948</v>
      </c>
      <c r="T324" t="s">
        <v>2478</v>
      </c>
      <c r="U324" t="s">
        <v>3896</v>
      </c>
    </row>
    <row r="325" spans="1:21">
      <c r="A325" s="136">
        <v>1</v>
      </c>
      <c r="B325" s="233">
        <v>1948</v>
      </c>
      <c r="C325" s="234"/>
      <c r="D325" s="234" t="s">
        <v>4920</v>
      </c>
      <c r="E325" s="244" t="s">
        <v>2936</v>
      </c>
      <c r="F325" s="244" t="s">
        <v>3753</v>
      </c>
      <c r="G325" s="235" t="s">
        <v>2580</v>
      </c>
      <c r="H325" s="236">
        <v>0.01</v>
      </c>
      <c r="I325" s="236">
        <v>0.03</v>
      </c>
      <c r="J325" s="233">
        <v>1</v>
      </c>
      <c r="K325" s="242"/>
      <c r="L325" s="235"/>
      <c r="M325" s="276"/>
      <c r="N325" s="279" t="s">
        <v>25</v>
      </c>
      <c r="O325" t="str">
        <f t="shared" si="6"/>
        <v>1948 Wheat Penny</v>
      </c>
      <c r="S325" t="str" cm="1">
        <f t="array" ref="S325">_xlfn.REGEXEXTRACT(E325, "[0-9]{1,5}")</f>
        <v>1948</v>
      </c>
      <c r="T325" t="s">
        <v>2478</v>
      </c>
      <c r="U325" t="s">
        <v>3896</v>
      </c>
    </row>
    <row r="326" spans="1:21">
      <c r="A326" s="136">
        <v>1</v>
      </c>
      <c r="B326" s="233">
        <v>1948</v>
      </c>
      <c r="C326" s="234"/>
      <c r="D326" s="234" t="s">
        <v>4920</v>
      </c>
      <c r="E326" s="244" t="s">
        <v>2937</v>
      </c>
      <c r="F326" s="244" t="s">
        <v>3753</v>
      </c>
      <c r="G326" s="235" t="s">
        <v>2580</v>
      </c>
      <c r="H326" s="236">
        <v>0.01</v>
      </c>
      <c r="I326" s="236">
        <v>0.03</v>
      </c>
      <c r="J326" s="233">
        <v>1</v>
      </c>
      <c r="K326" s="242"/>
      <c r="L326" s="235"/>
      <c r="M326" s="276"/>
      <c r="N326" s="279" t="s">
        <v>25</v>
      </c>
      <c r="O326" t="str">
        <f t="shared" si="6"/>
        <v>1948 Wheat Penny</v>
      </c>
      <c r="S326" t="str" cm="1">
        <f t="array" ref="S326">_xlfn.REGEXEXTRACT(E326, "[0-9]{1,5}")</f>
        <v>1948</v>
      </c>
      <c r="T326" t="s">
        <v>2478</v>
      </c>
      <c r="U326" t="s">
        <v>3896</v>
      </c>
    </row>
    <row r="327" spans="1:21">
      <c r="A327" s="136">
        <v>1</v>
      </c>
      <c r="B327" s="233">
        <v>1948</v>
      </c>
      <c r="C327" s="234" t="s">
        <v>13</v>
      </c>
      <c r="D327" s="234" t="s">
        <v>4920</v>
      </c>
      <c r="E327" s="244" t="s">
        <v>2938</v>
      </c>
      <c r="F327" s="244" t="s">
        <v>3753</v>
      </c>
      <c r="G327" s="235" t="s">
        <v>2580</v>
      </c>
      <c r="H327" s="236">
        <v>0.01</v>
      </c>
      <c r="I327" s="236">
        <v>0.08</v>
      </c>
      <c r="J327" s="233">
        <v>1</v>
      </c>
      <c r="K327" s="242"/>
      <c r="L327" s="235"/>
      <c r="M327" s="276"/>
      <c r="N327" s="279" t="s">
        <v>25</v>
      </c>
      <c r="O327" t="str">
        <f t="shared" si="6"/>
        <v>1948-D Wheat Penny</v>
      </c>
      <c r="S327" t="str" cm="1">
        <f t="array" ref="S327">_xlfn.REGEXEXTRACT(E327, "[0-9]{1,5}")</f>
        <v>1948</v>
      </c>
      <c r="T327" t="s">
        <v>2478</v>
      </c>
      <c r="U327" t="s">
        <v>3896</v>
      </c>
    </row>
    <row r="328" spans="1:21">
      <c r="A328" s="136">
        <v>1</v>
      </c>
      <c r="B328" s="233">
        <v>1948</v>
      </c>
      <c r="C328" s="234" t="s">
        <v>12</v>
      </c>
      <c r="D328" s="234" t="s">
        <v>4920</v>
      </c>
      <c r="E328" s="244" t="s">
        <v>2939</v>
      </c>
      <c r="F328" s="244" t="s">
        <v>3753</v>
      </c>
      <c r="G328" s="235" t="s">
        <v>2580</v>
      </c>
      <c r="H328" s="236">
        <v>0.25</v>
      </c>
      <c r="I328" s="236">
        <v>0.3</v>
      </c>
      <c r="J328" s="233">
        <v>1</v>
      </c>
      <c r="K328" s="242"/>
      <c r="L328" s="235"/>
      <c r="M328" s="276"/>
      <c r="N328" s="279" t="s">
        <v>25</v>
      </c>
      <c r="O328" t="str">
        <f t="shared" si="6"/>
        <v>1948-S Wheat Penny</v>
      </c>
      <c r="S328" t="str" cm="1">
        <f t="array" ref="S328">_xlfn.REGEXEXTRACT(E328, "[0-9]{1,5}")</f>
        <v>1948</v>
      </c>
      <c r="T328" t="s">
        <v>2478</v>
      </c>
      <c r="U328" t="s">
        <v>3896</v>
      </c>
    </row>
    <row r="329" spans="1:21">
      <c r="A329" s="136">
        <v>1</v>
      </c>
      <c r="B329" s="233">
        <v>1948</v>
      </c>
      <c r="C329" s="234"/>
      <c r="D329" s="234" t="s">
        <v>4920</v>
      </c>
      <c r="E329" s="244" t="s">
        <v>2940</v>
      </c>
      <c r="F329" s="244" t="s">
        <v>3753</v>
      </c>
      <c r="G329" s="235" t="s">
        <v>2580</v>
      </c>
      <c r="H329" s="236">
        <v>0.01</v>
      </c>
      <c r="I329" s="236">
        <v>0.1</v>
      </c>
      <c r="J329" s="233">
        <v>1</v>
      </c>
      <c r="K329" s="242"/>
      <c r="L329" s="235"/>
      <c r="M329" s="276"/>
      <c r="N329" s="279" t="s">
        <v>25</v>
      </c>
      <c r="O329" t="str">
        <f t="shared" si="6"/>
        <v>1948 Wheat Penny</v>
      </c>
      <c r="S329" t="str" cm="1">
        <f t="array" ref="S329">_xlfn.REGEXEXTRACT(E329, "[0-9]{1,5}")</f>
        <v>1948</v>
      </c>
      <c r="T329" t="s">
        <v>2478</v>
      </c>
      <c r="U329" t="s">
        <v>3896</v>
      </c>
    </row>
    <row r="330" spans="1:21">
      <c r="A330" s="136">
        <v>1</v>
      </c>
      <c r="B330" s="233">
        <v>1948</v>
      </c>
      <c r="C330" s="234"/>
      <c r="D330" s="234" t="s">
        <v>4920</v>
      </c>
      <c r="E330" s="244" t="s">
        <v>2941</v>
      </c>
      <c r="F330" s="244" t="s">
        <v>3753</v>
      </c>
      <c r="G330" s="235" t="s">
        <v>2580</v>
      </c>
      <c r="H330" s="236">
        <v>0.01</v>
      </c>
      <c r="I330" s="236">
        <v>0.01</v>
      </c>
      <c r="J330" s="233">
        <v>1</v>
      </c>
      <c r="K330" s="242"/>
      <c r="L330" s="235"/>
      <c r="M330" s="276"/>
      <c r="N330" s="279" t="s">
        <v>25</v>
      </c>
      <c r="O330" t="str">
        <f t="shared" si="6"/>
        <v>1948 Wheat Penny</v>
      </c>
      <c r="S330" t="str" cm="1">
        <f t="array" ref="S330">_xlfn.REGEXEXTRACT(E330, "[0-9]{1,5}")</f>
        <v>1948</v>
      </c>
      <c r="T330" t="s">
        <v>2478</v>
      </c>
      <c r="U330" t="s">
        <v>3896</v>
      </c>
    </row>
    <row r="331" spans="1:21">
      <c r="A331" s="136">
        <v>1</v>
      </c>
      <c r="B331" s="233">
        <v>1949</v>
      </c>
      <c r="C331" s="234"/>
      <c r="D331" s="234" t="s">
        <v>4920</v>
      </c>
      <c r="E331" s="244" t="s">
        <v>2942</v>
      </c>
      <c r="F331" s="244" t="s">
        <v>3753</v>
      </c>
      <c r="G331" s="235" t="s">
        <v>2580</v>
      </c>
      <c r="H331" s="236">
        <v>0.01</v>
      </c>
      <c r="I331" s="236">
        <v>0.08</v>
      </c>
      <c r="J331" s="233">
        <v>1</v>
      </c>
      <c r="K331" s="242"/>
      <c r="L331" s="235"/>
      <c r="M331" s="276"/>
      <c r="N331" s="279" t="s">
        <v>25</v>
      </c>
      <c r="O331" t="str">
        <f t="shared" si="6"/>
        <v>1949 Wheat Penny</v>
      </c>
      <c r="S331" t="str" cm="1">
        <f t="array" ref="S331">_xlfn.REGEXEXTRACT(E331, "[0-9]{1,5}")</f>
        <v>1949</v>
      </c>
      <c r="T331" t="s">
        <v>2479</v>
      </c>
      <c r="U331" t="s">
        <v>3896</v>
      </c>
    </row>
    <row r="332" spans="1:21">
      <c r="A332" s="136">
        <v>1</v>
      </c>
      <c r="B332" s="233">
        <v>1949</v>
      </c>
      <c r="C332" s="234"/>
      <c r="D332" s="234" t="s">
        <v>4920</v>
      </c>
      <c r="E332" s="244" t="s">
        <v>2943</v>
      </c>
      <c r="F332" s="244" t="s">
        <v>3753</v>
      </c>
      <c r="G332" s="235" t="s">
        <v>2580</v>
      </c>
      <c r="H332" s="236">
        <v>0.01</v>
      </c>
      <c r="I332" s="236">
        <v>0.03</v>
      </c>
      <c r="J332" s="233">
        <v>1</v>
      </c>
      <c r="K332" s="242"/>
      <c r="L332" s="235"/>
      <c r="M332" s="276"/>
      <c r="N332" s="279" t="s">
        <v>25</v>
      </c>
      <c r="O332" t="str">
        <f t="shared" si="6"/>
        <v>1949 Wheat Penny</v>
      </c>
      <c r="S332" t="str" cm="1">
        <f t="array" ref="S332">_xlfn.REGEXEXTRACT(E332, "[0-9]{1,5}")</f>
        <v>1949</v>
      </c>
      <c r="T332" t="s">
        <v>2479</v>
      </c>
      <c r="U332" t="s">
        <v>3896</v>
      </c>
    </row>
    <row r="333" spans="1:21">
      <c r="A333" s="136">
        <v>1</v>
      </c>
      <c r="B333" s="233">
        <v>1949</v>
      </c>
      <c r="C333" s="234"/>
      <c r="D333" s="234" t="s">
        <v>4920</v>
      </c>
      <c r="E333" s="244" t="s">
        <v>2944</v>
      </c>
      <c r="F333" s="244" t="s">
        <v>3753</v>
      </c>
      <c r="G333" s="235" t="s">
        <v>2580</v>
      </c>
      <c r="H333" s="236">
        <v>0.01</v>
      </c>
      <c r="I333" s="236">
        <v>0.2</v>
      </c>
      <c r="J333" s="233">
        <v>1</v>
      </c>
      <c r="K333" s="242"/>
      <c r="L333" s="235"/>
      <c r="M333" s="276"/>
      <c r="N333" s="279" t="s">
        <v>25</v>
      </c>
      <c r="O333" t="str">
        <f t="shared" si="6"/>
        <v>1949 Wheat Penny</v>
      </c>
      <c r="S333" t="str" cm="1">
        <f t="array" ref="S333">_xlfn.REGEXEXTRACT(E333, "[0-9]{1,5}")</f>
        <v>1949</v>
      </c>
      <c r="T333" t="s">
        <v>2479</v>
      </c>
      <c r="U333" t="s">
        <v>3896</v>
      </c>
    </row>
    <row r="334" spans="1:21">
      <c r="A334" s="136">
        <v>1</v>
      </c>
      <c r="B334" s="233">
        <v>1949</v>
      </c>
      <c r="C334" s="234" t="s">
        <v>13</v>
      </c>
      <c r="D334" s="234" t="s">
        <v>4920</v>
      </c>
      <c r="E334" s="244" t="s">
        <v>2945</v>
      </c>
      <c r="F334" s="244" t="s">
        <v>3753</v>
      </c>
      <c r="G334" s="235" t="s">
        <v>2580</v>
      </c>
      <c r="H334" s="245">
        <v>0.25</v>
      </c>
      <c r="I334" s="236">
        <v>0.2</v>
      </c>
      <c r="J334" s="233">
        <v>1</v>
      </c>
      <c r="K334" s="242"/>
      <c r="L334" s="235"/>
      <c r="M334" s="276"/>
      <c r="N334" s="279" t="s">
        <v>25</v>
      </c>
      <c r="O334" t="str">
        <f t="shared" si="6"/>
        <v>1949-D Wheat Penny</v>
      </c>
      <c r="S334" t="str" cm="1">
        <f t="array" ref="S334">_xlfn.REGEXEXTRACT(E334, "[0-9]{1,5}")</f>
        <v>1949</v>
      </c>
      <c r="T334" t="s">
        <v>2479</v>
      </c>
      <c r="U334" t="s">
        <v>3896</v>
      </c>
    </row>
    <row r="335" spans="1:21">
      <c r="A335" s="136">
        <v>1</v>
      </c>
      <c r="B335" s="233">
        <v>1949</v>
      </c>
      <c r="C335" s="234" t="s">
        <v>12</v>
      </c>
      <c r="D335" s="234" t="s">
        <v>4920</v>
      </c>
      <c r="E335" s="244" t="s">
        <v>2946</v>
      </c>
      <c r="F335" s="244" t="s">
        <v>3753</v>
      </c>
      <c r="G335" s="235" t="s">
        <v>2580</v>
      </c>
      <c r="H335" s="245">
        <v>0.25</v>
      </c>
      <c r="I335" s="236">
        <v>0.2</v>
      </c>
      <c r="J335" s="233">
        <v>1</v>
      </c>
      <c r="K335" s="242"/>
      <c r="L335" s="235"/>
      <c r="M335" s="276"/>
      <c r="N335" s="279" t="s">
        <v>25</v>
      </c>
      <c r="O335" t="str">
        <f t="shared" si="6"/>
        <v>1949-S Wheat Penny</v>
      </c>
      <c r="S335" t="str" cm="1">
        <f t="array" ref="S335">_xlfn.REGEXEXTRACT(E335, "[0-9]{1,5}")</f>
        <v>1949</v>
      </c>
      <c r="T335" t="s">
        <v>2479</v>
      </c>
      <c r="U335" t="s">
        <v>3896</v>
      </c>
    </row>
    <row r="336" spans="1:21">
      <c r="A336" s="136">
        <v>1</v>
      </c>
      <c r="B336" s="233">
        <v>1950</v>
      </c>
      <c r="C336" s="234"/>
      <c r="D336" s="234" t="s">
        <v>4920</v>
      </c>
      <c r="E336" s="244" t="s">
        <v>2947</v>
      </c>
      <c r="F336" s="244" t="s">
        <v>3753</v>
      </c>
      <c r="G336" s="235" t="s">
        <v>2580</v>
      </c>
      <c r="H336" s="236">
        <v>0.01</v>
      </c>
      <c r="I336" s="236">
        <v>0.2</v>
      </c>
      <c r="J336" s="233">
        <v>3</v>
      </c>
      <c r="K336" s="235"/>
      <c r="L336" s="235"/>
      <c r="M336" s="276"/>
      <c r="N336" s="279" t="s">
        <v>25</v>
      </c>
      <c r="O336" t="str">
        <f t="shared" si="6"/>
        <v>1950 Wheat Penny</v>
      </c>
      <c r="S336" t="str" cm="1">
        <f t="array" ref="S336">_xlfn.REGEXEXTRACT(E336, "[0-9]{1,5}")</f>
        <v>1950</v>
      </c>
      <c r="T336" t="s">
        <v>2480</v>
      </c>
      <c r="U336" t="s">
        <v>3896</v>
      </c>
    </row>
    <row r="337" spans="1:21">
      <c r="A337" s="136">
        <v>1</v>
      </c>
      <c r="B337" s="233">
        <v>1950</v>
      </c>
      <c r="C337" s="234"/>
      <c r="D337" s="234" t="s">
        <v>4920</v>
      </c>
      <c r="E337" s="244" t="s">
        <v>2948</v>
      </c>
      <c r="F337" s="244" t="s">
        <v>3753</v>
      </c>
      <c r="G337" s="235" t="s">
        <v>2580</v>
      </c>
      <c r="H337" s="236">
        <v>0.01</v>
      </c>
      <c r="I337" s="236">
        <v>0.1</v>
      </c>
      <c r="J337" s="233">
        <v>3</v>
      </c>
      <c r="K337" s="235"/>
      <c r="L337" s="235"/>
      <c r="M337" s="276"/>
      <c r="N337" s="279" t="s">
        <v>25</v>
      </c>
      <c r="O337" t="str">
        <f t="shared" si="6"/>
        <v>1950 Wheat Penny</v>
      </c>
      <c r="S337" t="str" cm="1">
        <f t="array" ref="S337">_xlfn.REGEXEXTRACT(E337, "[0-9]{1,5}")</f>
        <v>1950</v>
      </c>
      <c r="T337" t="s">
        <v>2480</v>
      </c>
      <c r="U337" t="s">
        <v>3896</v>
      </c>
    </row>
    <row r="338" spans="1:21">
      <c r="A338" s="136">
        <v>1</v>
      </c>
      <c r="B338" s="233">
        <v>1950</v>
      </c>
      <c r="C338" s="234" t="s">
        <v>13</v>
      </c>
      <c r="D338" s="234" t="s">
        <v>4920</v>
      </c>
      <c r="E338" s="244" t="s">
        <v>2949</v>
      </c>
      <c r="F338" s="244" t="s">
        <v>3753</v>
      </c>
      <c r="G338" s="235" t="s">
        <v>2580</v>
      </c>
      <c r="H338" s="236">
        <v>0.01</v>
      </c>
      <c r="I338" s="236">
        <v>0.25</v>
      </c>
      <c r="J338" s="233">
        <v>1</v>
      </c>
      <c r="K338" s="235"/>
      <c r="L338" s="235"/>
      <c r="M338" s="276"/>
      <c r="N338" s="279" t="s">
        <v>25</v>
      </c>
      <c r="O338" t="str">
        <f t="shared" si="6"/>
        <v>1950-D Wheat Penny</v>
      </c>
      <c r="S338" t="str" cm="1">
        <f t="array" ref="S338">_xlfn.REGEXEXTRACT(E338, "[0-9]{1,5}")</f>
        <v>1950</v>
      </c>
      <c r="T338" t="s">
        <v>2480</v>
      </c>
      <c r="U338" t="s">
        <v>3896</v>
      </c>
    </row>
    <row r="339" spans="1:21">
      <c r="A339" s="136">
        <v>1</v>
      </c>
      <c r="B339" s="233">
        <v>1950</v>
      </c>
      <c r="C339" s="234" t="s">
        <v>12</v>
      </c>
      <c r="D339" s="234" t="s">
        <v>4920</v>
      </c>
      <c r="E339" s="244" t="s">
        <v>2950</v>
      </c>
      <c r="F339" s="244" t="s">
        <v>3753</v>
      </c>
      <c r="G339" s="235" t="s">
        <v>2580</v>
      </c>
      <c r="H339" s="236">
        <v>0.01</v>
      </c>
      <c r="I339" s="236">
        <v>0.05</v>
      </c>
      <c r="J339" s="233">
        <v>1</v>
      </c>
      <c r="K339" s="235"/>
      <c r="L339" s="235"/>
      <c r="M339" s="276"/>
      <c r="N339" s="279" t="s">
        <v>25</v>
      </c>
      <c r="O339" t="str">
        <f t="shared" si="6"/>
        <v>1950-S Wheat Penny</v>
      </c>
      <c r="S339" t="str" cm="1">
        <f t="array" ref="S339">_xlfn.REGEXEXTRACT(E339, "[0-9]{1,5}")</f>
        <v>1950</v>
      </c>
      <c r="T339" t="s">
        <v>2480</v>
      </c>
      <c r="U339" t="s">
        <v>3896</v>
      </c>
    </row>
    <row r="340" spans="1:21">
      <c r="A340" s="136">
        <v>1</v>
      </c>
      <c r="B340" s="233">
        <v>1950</v>
      </c>
      <c r="C340" s="234" t="s">
        <v>12</v>
      </c>
      <c r="D340" s="234" t="s">
        <v>4920</v>
      </c>
      <c r="E340" s="244" t="s">
        <v>2951</v>
      </c>
      <c r="F340" s="244" t="s">
        <v>3753</v>
      </c>
      <c r="G340" s="235" t="s">
        <v>2580</v>
      </c>
      <c r="H340" s="236">
        <v>0.01</v>
      </c>
      <c r="I340" s="236">
        <v>0.1</v>
      </c>
      <c r="J340" s="233">
        <v>1</v>
      </c>
      <c r="K340" s="235"/>
      <c r="L340" s="235"/>
      <c r="M340" s="276"/>
      <c r="N340" s="279" t="s">
        <v>25</v>
      </c>
      <c r="O340" t="str">
        <f t="shared" si="6"/>
        <v>1950-S Wheat Penny</v>
      </c>
      <c r="S340" t="str" cm="1">
        <f t="array" ref="S340">_xlfn.REGEXEXTRACT(E340, "[0-9]{1,5}")</f>
        <v>1950</v>
      </c>
      <c r="T340" t="s">
        <v>2480</v>
      </c>
      <c r="U340" t="s">
        <v>3896</v>
      </c>
    </row>
    <row r="341" spans="1:21">
      <c r="A341" s="136">
        <v>1</v>
      </c>
      <c r="B341" s="233">
        <v>1950</v>
      </c>
      <c r="C341" s="234" t="s">
        <v>12</v>
      </c>
      <c r="D341" s="234" t="s">
        <v>4920</v>
      </c>
      <c r="E341" s="244" t="s">
        <v>2952</v>
      </c>
      <c r="F341" s="244" t="s">
        <v>3753</v>
      </c>
      <c r="G341" s="235" t="s">
        <v>2580</v>
      </c>
      <c r="H341" s="236">
        <v>0.01</v>
      </c>
      <c r="I341" s="236">
        <v>0.1</v>
      </c>
      <c r="J341" s="233">
        <v>1</v>
      </c>
      <c r="K341" s="235"/>
      <c r="L341" s="235"/>
      <c r="M341" s="276"/>
      <c r="N341" s="279" t="s">
        <v>25</v>
      </c>
      <c r="O341" t="str">
        <f t="shared" si="6"/>
        <v>1950-S Wheat Penny</v>
      </c>
      <c r="S341" t="str" cm="1">
        <f t="array" ref="S341">_xlfn.REGEXEXTRACT(E341, "[0-9]{1,5}")</f>
        <v>1950</v>
      </c>
      <c r="T341" t="s">
        <v>2480</v>
      </c>
      <c r="U341" t="s">
        <v>3896</v>
      </c>
    </row>
    <row r="342" spans="1:21">
      <c r="A342" s="136">
        <v>1</v>
      </c>
      <c r="B342" s="233">
        <v>1950</v>
      </c>
      <c r="C342" s="234"/>
      <c r="D342" s="234" t="s">
        <v>4920</v>
      </c>
      <c r="E342" s="244" t="s">
        <v>2953</v>
      </c>
      <c r="F342" s="244" t="s">
        <v>3753</v>
      </c>
      <c r="G342" s="235" t="s">
        <v>2580</v>
      </c>
      <c r="H342" s="236">
        <v>0.01</v>
      </c>
      <c r="I342" s="236">
        <v>0.01</v>
      </c>
      <c r="J342" s="233">
        <v>1</v>
      </c>
      <c r="K342" s="235"/>
      <c r="L342" s="235"/>
      <c r="M342" s="276"/>
      <c r="N342" s="279" t="s">
        <v>25</v>
      </c>
      <c r="O342" t="str">
        <f t="shared" si="6"/>
        <v>1950 Wheat Penny</v>
      </c>
      <c r="S342" t="str" cm="1">
        <f t="array" ref="S342">_xlfn.REGEXEXTRACT(E342, "[0-9]{1,5}")</f>
        <v>1950</v>
      </c>
      <c r="T342" t="s">
        <v>2480</v>
      </c>
      <c r="U342" t="s">
        <v>3896</v>
      </c>
    </row>
    <row r="343" spans="1:21">
      <c r="A343" s="136">
        <v>1</v>
      </c>
      <c r="B343" s="233">
        <v>1950</v>
      </c>
      <c r="C343" s="234"/>
      <c r="D343" s="234" t="s">
        <v>4920</v>
      </c>
      <c r="E343" s="244" t="s">
        <v>2954</v>
      </c>
      <c r="F343" s="244" t="s">
        <v>3753</v>
      </c>
      <c r="G343" s="235" t="s">
        <v>2580</v>
      </c>
      <c r="H343" s="236">
        <v>0.01</v>
      </c>
      <c r="I343" s="236">
        <v>0.01</v>
      </c>
      <c r="J343" s="233">
        <v>1</v>
      </c>
      <c r="K343" s="235"/>
      <c r="L343" s="235"/>
      <c r="M343" s="276"/>
      <c r="N343" s="279" t="s">
        <v>25</v>
      </c>
      <c r="O343" t="str">
        <f t="shared" si="6"/>
        <v>1950 Wheat Penny</v>
      </c>
      <c r="S343" t="str" cm="1">
        <f t="array" ref="S343">_xlfn.REGEXEXTRACT(E343, "[0-9]{1,5}")</f>
        <v>1950</v>
      </c>
      <c r="T343" t="s">
        <v>2480</v>
      </c>
      <c r="U343" t="s">
        <v>3896</v>
      </c>
    </row>
    <row r="344" spans="1:21">
      <c r="A344" s="136">
        <v>1</v>
      </c>
      <c r="B344" s="233">
        <v>1950</v>
      </c>
      <c r="C344" s="234"/>
      <c r="D344" s="234" t="s">
        <v>4920</v>
      </c>
      <c r="E344" s="244" t="s">
        <v>2955</v>
      </c>
      <c r="F344" s="244" t="s">
        <v>3753</v>
      </c>
      <c r="G344" s="235" t="s">
        <v>2580</v>
      </c>
      <c r="H344" s="236">
        <v>0.01</v>
      </c>
      <c r="I344" s="236">
        <v>0.01</v>
      </c>
      <c r="J344" s="233">
        <v>1</v>
      </c>
      <c r="K344" s="235"/>
      <c r="L344" s="235"/>
      <c r="M344" s="276"/>
      <c r="N344" s="279" t="s">
        <v>25</v>
      </c>
      <c r="O344" t="str">
        <f t="shared" si="6"/>
        <v>1950 Wheat Penny</v>
      </c>
      <c r="S344" t="str" cm="1">
        <f t="array" ref="S344">_xlfn.REGEXEXTRACT(E344, "[0-9]{1,5}")</f>
        <v>1950</v>
      </c>
      <c r="T344" t="s">
        <v>2480</v>
      </c>
      <c r="U344" t="s">
        <v>3896</v>
      </c>
    </row>
    <row r="345" spans="1:21">
      <c r="A345" s="136">
        <v>1</v>
      </c>
      <c r="B345" s="233">
        <v>1951</v>
      </c>
      <c r="C345" s="234"/>
      <c r="D345" s="234" t="s">
        <v>4920</v>
      </c>
      <c r="E345" s="244" t="s">
        <v>2956</v>
      </c>
      <c r="F345" s="244" t="s">
        <v>3753</v>
      </c>
      <c r="G345" s="235" t="s">
        <v>2580</v>
      </c>
      <c r="H345" s="236">
        <v>0.01</v>
      </c>
      <c r="I345" s="236">
        <v>0.25</v>
      </c>
      <c r="J345" s="233">
        <v>1</v>
      </c>
      <c r="K345" s="235"/>
      <c r="L345" s="235"/>
      <c r="M345" s="276"/>
      <c r="N345" s="279" t="s">
        <v>25</v>
      </c>
      <c r="O345" t="str">
        <f t="shared" si="6"/>
        <v>1951 Wheat Penny</v>
      </c>
      <c r="S345" t="str" cm="1">
        <f t="array" ref="S345">_xlfn.REGEXEXTRACT(E345, "[0-9]{1,5}")</f>
        <v>1951</v>
      </c>
      <c r="T345" t="s">
        <v>2481</v>
      </c>
      <c r="U345" t="s">
        <v>3896</v>
      </c>
    </row>
    <row r="346" spans="1:21">
      <c r="A346" s="136">
        <v>1</v>
      </c>
      <c r="B346" s="233">
        <v>1951</v>
      </c>
      <c r="C346" s="234"/>
      <c r="D346" s="234" t="s">
        <v>4920</v>
      </c>
      <c r="E346" s="244" t="s">
        <v>2957</v>
      </c>
      <c r="F346" s="244" t="s">
        <v>3753</v>
      </c>
      <c r="G346" s="235" t="s">
        <v>2580</v>
      </c>
      <c r="H346" s="236">
        <v>0.01</v>
      </c>
      <c r="I346" s="236">
        <v>0.25</v>
      </c>
      <c r="J346" s="233">
        <v>1</v>
      </c>
      <c r="K346" s="235"/>
      <c r="L346" s="235"/>
      <c r="M346" s="276"/>
      <c r="N346" s="279" t="s">
        <v>25</v>
      </c>
      <c r="O346" t="str">
        <f t="shared" si="6"/>
        <v>1951 Wheat Penny</v>
      </c>
      <c r="S346" t="str" cm="1">
        <f t="array" ref="S346">_xlfn.REGEXEXTRACT(E346, "[0-9]{1,5}")</f>
        <v>1951</v>
      </c>
      <c r="T346" t="s">
        <v>2481</v>
      </c>
      <c r="U346" t="s">
        <v>3896</v>
      </c>
    </row>
    <row r="347" spans="1:21">
      <c r="A347" s="136">
        <v>1</v>
      </c>
      <c r="B347" s="233">
        <v>1951</v>
      </c>
      <c r="C347" s="234"/>
      <c r="D347" s="234" t="s">
        <v>4920</v>
      </c>
      <c r="E347" s="244" t="s">
        <v>2958</v>
      </c>
      <c r="F347" s="244" t="s">
        <v>3753</v>
      </c>
      <c r="G347" s="235" t="s">
        <v>2580</v>
      </c>
      <c r="H347" s="236">
        <v>0.01</v>
      </c>
      <c r="I347" s="236">
        <v>0.25</v>
      </c>
      <c r="J347" s="233">
        <v>1</v>
      </c>
      <c r="K347" s="235"/>
      <c r="L347" s="235"/>
      <c r="M347" s="276"/>
      <c r="N347" s="279" t="s">
        <v>25</v>
      </c>
      <c r="O347" t="str">
        <f t="shared" si="6"/>
        <v>1951 Wheat Penny</v>
      </c>
      <c r="S347" t="str" cm="1">
        <f t="array" ref="S347">_xlfn.REGEXEXTRACT(E347, "[0-9]{1,5}")</f>
        <v>1951</v>
      </c>
      <c r="T347" t="s">
        <v>2481</v>
      </c>
      <c r="U347" t="s">
        <v>3896</v>
      </c>
    </row>
    <row r="348" spans="1:21">
      <c r="A348" s="136">
        <v>1</v>
      </c>
      <c r="B348" s="233">
        <v>1951</v>
      </c>
      <c r="C348" s="234"/>
      <c r="D348" s="234" t="s">
        <v>4920</v>
      </c>
      <c r="E348" s="244" t="s">
        <v>2959</v>
      </c>
      <c r="F348" s="244" t="s">
        <v>3753</v>
      </c>
      <c r="G348" s="235" t="s">
        <v>2580</v>
      </c>
      <c r="H348" s="236">
        <v>0.01</v>
      </c>
      <c r="I348" s="236">
        <v>0.25</v>
      </c>
      <c r="J348" s="233">
        <v>1</v>
      </c>
      <c r="K348" s="235"/>
      <c r="L348" s="235"/>
      <c r="M348" s="276"/>
      <c r="N348" s="279" t="s">
        <v>25</v>
      </c>
      <c r="O348" t="str">
        <f t="shared" si="6"/>
        <v>1951 Wheat Penny</v>
      </c>
      <c r="S348" t="str" cm="1">
        <f t="array" ref="S348">_xlfn.REGEXEXTRACT(E348, "[0-9]{1,5}")</f>
        <v>1951</v>
      </c>
      <c r="T348" t="s">
        <v>2481</v>
      </c>
      <c r="U348" t="s">
        <v>3896</v>
      </c>
    </row>
    <row r="349" spans="1:21">
      <c r="A349" s="136">
        <v>1</v>
      </c>
      <c r="B349" s="233">
        <v>1951</v>
      </c>
      <c r="C349" s="234" t="s">
        <v>13</v>
      </c>
      <c r="D349" s="234" t="s">
        <v>4920</v>
      </c>
      <c r="E349" s="244" t="s">
        <v>2960</v>
      </c>
      <c r="F349" s="244" t="s">
        <v>3753</v>
      </c>
      <c r="G349" s="235" t="s">
        <v>2580</v>
      </c>
      <c r="H349" s="236">
        <v>0.01</v>
      </c>
      <c r="I349" s="236">
        <v>0.25</v>
      </c>
      <c r="J349" s="233">
        <v>1</v>
      </c>
      <c r="K349" s="235"/>
      <c r="L349" s="235"/>
      <c r="M349" s="276"/>
      <c r="N349" s="279" t="s">
        <v>25</v>
      </c>
      <c r="O349" t="str">
        <f t="shared" si="6"/>
        <v>1951-D Wheat Penny</v>
      </c>
      <c r="S349" t="str" cm="1">
        <f t="array" ref="S349">_xlfn.REGEXEXTRACT(E349, "[0-9]{1,5}")</f>
        <v>1951</v>
      </c>
      <c r="T349" t="s">
        <v>2481</v>
      </c>
      <c r="U349" t="s">
        <v>3896</v>
      </c>
    </row>
    <row r="350" spans="1:21">
      <c r="A350" s="136">
        <v>1</v>
      </c>
      <c r="B350" s="233">
        <v>1951</v>
      </c>
      <c r="C350" s="234" t="s">
        <v>13</v>
      </c>
      <c r="D350" s="234" t="s">
        <v>4920</v>
      </c>
      <c r="E350" s="244" t="s">
        <v>2961</v>
      </c>
      <c r="F350" s="244" t="s">
        <v>3753</v>
      </c>
      <c r="G350" s="235" t="s">
        <v>2580</v>
      </c>
      <c r="H350" s="236">
        <v>0.01</v>
      </c>
      <c r="I350" s="236">
        <v>0.15</v>
      </c>
      <c r="J350" s="233">
        <v>1</v>
      </c>
      <c r="K350" s="235"/>
      <c r="L350" s="235"/>
      <c r="M350" s="276"/>
      <c r="N350" s="279" t="s">
        <v>25</v>
      </c>
      <c r="O350" t="str">
        <f t="shared" si="6"/>
        <v>1951-D Wheat Penny</v>
      </c>
      <c r="S350" t="str" cm="1">
        <f t="array" ref="S350">_xlfn.REGEXEXTRACT(E350, "[0-9]{1,5}")</f>
        <v>1951</v>
      </c>
      <c r="T350" t="s">
        <v>2481</v>
      </c>
      <c r="U350" t="s">
        <v>3896</v>
      </c>
    </row>
    <row r="351" spans="1:21">
      <c r="A351" s="136">
        <v>1</v>
      </c>
      <c r="B351" s="233">
        <v>1951</v>
      </c>
      <c r="C351" s="234" t="s">
        <v>13</v>
      </c>
      <c r="D351" s="234" t="s">
        <v>4920</v>
      </c>
      <c r="E351" s="244" t="s">
        <v>2962</v>
      </c>
      <c r="F351" s="244" t="s">
        <v>3753</v>
      </c>
      <c r="G351" s="235" t="s">
        <v>2580</v>
      </c>
      <c r="H351" s="236">
        <v>0.01</v>
      </c>
      <c r="I351" s="236">
        <v>0.15</v>
      </c>
      <c r="J351" s="233">
        <v>1</v>
      </c>
      <c r="K351" s="235"/>
      <c r="L351" s="235"/>
      <c r="M351" s="276"/>
      <c r="N351" s="279" t="s">
        <v>25</v>
      </c>
      <c r="O351" t="str">
        <f t="shared" si="6"/>
        <v>1951-D Wheat Penny</v>
      </c>
      <c r="S351" t="str" cm="1">
        <f t="array" ref="S351">_xlfn.REGEXEXTRACT(E351, "[0-9]{1,5}")</f>
        <v>1951</v>
      </c>
      <c r="T351" t="s">
        <v>2481</v>
      </c>
      <c r="U351" t="s">
        <v>3896</v>
      </c>
    </row>
    <row r="352" spans="1:21">
      <c r="A352" s="136">
        <v>1</v>
      </c>
      <c r="B352" s="233">
        <v>1951</v>
      </c>
      <c r="C352" s="234" t="s">
        <v>12</v>
      </c>
      <c r="D352" s="234" t="s">
        <v>4920</v>
      </c>
      <c r="E352" s="244" t="s">
        <v>2963</v>
      </c>
      <c r="F352" s="244" t="s">
        <v>3753</v>
      </c>
      <c r="G352" s="235" t="s">
        <v>2580</v>
      </c>
      <c r="H352" s="236">
        <v>0.01</v>
      </c>
      <c r="I352" s="236">
        <v>0.15</v>
      </c>
      <c r="J352" s="233">
        <v>1</v>
      </c>
      <c r="K352" s="235"/>
      <c r="L352" s="235"/>
      <c r="M352" s="276"/>
      <c r="N352" s="279" t="s">
        <v>25</v>
      </c>
      <c r="O352" t="str">
        <f t="shared" si="6"/>
        <v>1951-S Wheat Penny</v>
      </c>
      <c r="S352" t="str" cm="1">
        <f t="array" ref="S352">_xlfn.REGEXEXTRACT(E352, "[0-9]{1,5}")</f>
        <v>1951</v>
      </c>
      <c r="T352" t="s">
        <v>2481</v>
      </c>
      <c r="U352" t="s">
        <v>3896</v>
      </c>
    </row>
    <row r="353" spans="1:21">
      <c r="A353" s="136">
        <v>1</v>
      </c>
      <c r="B353" s="233">
        <v>1951</v>
      </c>
      <c r="C353" s="234" t="s">
        <v>12</v>
      </c>
      <c r="D353" s="234" t="s">
        <v>4920</v>
      </c>
      <c r="E353" s="244" t="s">
        <v>2964</v>
      </c>
      <c r="F353" s="244" t="s">
        <v>3753</v>
      </c>
      <c r="G353" s="235" t="s">
        <v>2580</v>
      </c>
      <c r="H353" s="236">
        <v>0.01</v>
      </c>
      <c r="I353" s="236">
        <v>0.15</v>
      </c>
      <c r="J353" s="233">
        <v>1</v>
      </c>
      <c r="K353" s="235"/>
      <c r="L353" s="235"/>
      <c r="M353" s="276"/>
      <c r="N353" s="279" t="s">
        <v>25</v>
      </c>
      <c r="O353" t="str">
        <f t="shared" si="6"/>
        <v>1951-S Wheat Penny</v>
      </c>
      <c r="S353" t="str" cm="1">
        <f t="array" ref="S353">_xlfn.REGEXEXTRACT(E353, "[0-9]{1,5}")</f>
        <v>1951</v>
      </c>
      <c r="T353" t="s">
        <v>2481</v>
      </c>
      <c r="U353" t="s">
        <v>3896</v>
      </c>
    </row>
    <row r="354" spans="1:21">
      <c r="A354" s="136">
        <v>1</v>
      </c>
      <c r="B354" s="233">
        <v>1951</v>
      </c>
      <c r="C354" s="234"/>
      <c r="D354" s="234" t="s">
        <v>4920</v>
      </c>
      <c r="E354" s="244" t="s">
        <v>2965</v>
      </c>
      <c r="F354" s="244" t="s">
        <v>3753</v>
      </c>
      <c r="G354" s="235" t="s">
        <v>2580</v>
      </c>
      <c r="H354" s="236">
        <v>0.01</v>
      </c>
      <c r="I354" s="236">
        <v>0.15</v>
      </c>
      <c r="J354" s="233">
        <v>1</v>
      </c>
      <c r="K354" s="235"/>
      <c r="L354" s="235"/>
      <c r="M354" s="276"/>
      <c r="N354" s="279" t="s">
        <v>25</v>
      </c>
      <c r="O354" t="str">
        <f t="shared" si="6"/>
        <v>1951 Wheat Penny</v>
      </c>
      <c r="S354" t="str" cm="1">
        <f t="array" ref="S354">_xlfn.REGEXEXTRACT(E354, "[0-9]{1,5}")</f>
        <v>1951</v>
      </c>
      <c r="T354" t="s">
        <v>2481</v>
      </c>
      <c r="U354" t="s">
        <v>3896</v>
      </c>
    </row>
    <row r="355" spans="1:21">
      <c r="A355" s="136">
        <v>1</v>
      </c>
      <c r="B355" s="233">
        <v>1951</v>
      </c>
      <c r="C355" s="234"/>
      <c r="D355" s="234" t="s">
        <v>4920</v>
      </c>
      <c r="E355" s="244" t="s">
        <v>2966</v>
      </c>
      <c r="F355" s="244" t="s">
        <v>3753</v>
      </c>
      <c r="G355" s="235" t="s">
        <v>2580</v>
      </c>
      <c r="H355" s="236">
        <v>0.01</v>
      </c>
      <c r="I355" s="236">
        <v>0.15</v>
      </c>
      <c r="J355" s="233">
        <v>1</v>
      </c>
      <c r="K355" s="235"/>
      <c r="L355" s="235"/>
      <c r="M355" s="276"/>
      <c r="N355" s="279" t="s">
        <v>25</v>
      </c>
      <c r="O355" t="str">
        <f t="shared" si="6"/>
        <v>1951 Wheat Penny</v>
      </c>
      <c r="S355" t="str" cm="1">
        <f t="array" ref="S355">_xlfn.REGEXEXTRACT(E355, "[0-9]{1,5}")</f>
        <v>1951</v>
      </c>
      <c r="T355" t="s">
        <v>2481</v>
      </c>
      <c r="U355" t="s">
        <v>3896</v>
      </c>
    </row>
    <row r="356" spans="1:21">
      <c r="A356" s="136">
        <v>1</v>
      </c>
      <c r="B356" s="233">
        <v>1951</v>
      </c>
      <c r="C356" s="234"/>
      <c r="D356" s="234" t="s">
        <v>4920</v>
      </c>
      <c r="E356" s="244" t="s">
        <v>2967</v>
      </c>
      <c r="F356" s="244" t="s">
        <v>3753</v>
      </c>
      <c r="G356" s="235" t="s">
        <v>2580</v>
      </c>
      <c r="H356" s="236">
        <v>0.01</v>
      </c>
      <c r="I356" s="236">
        <v>0.15</v>
      </c>
      <c r="J356" s="233">
        <v>1</v>
      </c>
      <c r="K356" s="235"/>
      <c r="L356" s="235"/>
      <c r="M356" s="276"/>
      <c r="N356" s="279" t="s">
        <v>25</v>
      </c>
      <c r="O356" t="str">
        <f t="shared" si="6"/>
        <v>1951 Wheat Penny</v>
      </c>
      <c r="S356" t="str" cm="1">
        <f t="array" ref="S356">_xlfn.REGEXEXTRACT(E356, "[0-9]{1,5}")</f>
        <v>1951</v>
      </c>
      <c r="T356" t="s">
        <v>2481</v>
      </c>
      <c r="U356" t="s">
        <v>3896</v>
      </c>
    </row>
    <row r="357" spans="1:21">
      <c r="A357" s="136">
        <v>1</v>
      </c>
      <c r="B357" s="233">
        <v>1951</v>
      </c>
      <c r="C357" s="234" t="s">
        <v>13</v>
      </c>
      <c r="D357" s="234" t="s">
        <v>4920</v>
      </c>
      <c r="E357" s="244" t="s">
        <v>2968</v>
      </c>
      <c r="F357" s="244" t="s">
        <v>3753</v>
      </c>
      <c r="G357" s="235" t="s">
        <v>2580</v>
      </c>
      <c r="H357" s="236">
        <v>0.01</v>
      </c>
      <c r="I357" s="236">
        <v>0.15</v>
      </c>
      <c r="J357" s="233">
        <v>1</v>
      </c>
      <c r="K357" s="235"/>
      <c r="L357" s="235"/>
      <c r="M357" s="276"/>
      <c r="N357" s="279" t="s">
        <v>25</v>
      </c>
      <c r="O357" t="str">
        <f t="shared" si="6"/>
        <v>1951-D Wheat Penny</v>
      </c>
      <c r="S357" t="str" cm="1">
        <f t="array" ref="S357">_xlfn.REGEXEXTRACT(E357, "[0-9]{1,5}")</f>
        <v>1951</v>
      </c>
      <c r="T357" t="s">
        <v>2481</v>
      </c>
      <c r="U357" t="s">
        <v>3896</v>
      </c>
    </row>
    <row r="358" spans="1:21">
      <c r="A358" s="136">
        <v>1</v>
      </c>
      <c r="B358" s="233">
        <v>1951</v>
      </c>
      <c r="C358" s="234"/>
      <c r="D358" s="234" t="s">
        <v>4920</v>
      </c>
      <c r="E358" s="244" t="s">
        <v>2969</v>
      </c>
      <c r="F358" s="244" t="s">
        <v>3753</v>
      </c>
      <c r="G358" s="235" t="s">
        <v>2580</v>
      </c>
      <c r="H358" s="236">
        <v>0.01</v>
      </c>
      <c r="I358" s="236">
        <v>0.01</v>
      </c>
      <c r="J358" s="233">
        <v>1</v>
      </c>
      <c r="K358" s="235"/>
      <c r="L358" s="235"/>
      <c r="M358" s="276"/>
      <c r="N358" s="279" t="s">
        <v>25</v>
      </c>
      <c r="O358" t="str">
        <f t="shared" si="6"/>
        <v>1951 Wheat Penny</v>
      </c>
      <c r="S358" t="str" cm="1">
        <f t="array" ref="S358">_xlfn.REGEXEXTRACT(E358, "[0-9]{1,5}")</f>
        <v>1951</v>
      </c>
      <c r="T358" t="s">
        <v>2481</v>
      </c>
      <c r="U358" t="s">
        <v>3896</v>
      </c>
    </row>
    <row r="359" spans="1:21">
      <c r="A359" s="136">
        <v>1</v>
      </c>
      <c r="B359" s="233">
        <v>1952</v>
      </c>
      <c r="C359" s="234"/>
      <c r="D359" s="234" t="s">
        <v>4920</v>
      </c>
      <c r="E359" s="244" t="s">
        <v>2970</v>
      </c>
      <c r="F359" s="244" t="s">
        <v>3753</v>
      </c>
      <c r="G359" s="235" t="s">
        <v>2580</v>
      </c>
      <c r="H359" s="236">
        <v>0.01</v>
      </c>
      <c r="I359" s="236">
        <v>0.15</v>
      </c>
      <c r="J359" s="233">
        <v>1</v>
      </c>
      <c r="K359" s="235"/>
      <c r="L359" s="235"/>
      <c r="M359" s="276"/>
      <c r="N359" s="279" t="s">
        <v>25</v>
      </c>
      <c r="O359" t="str">
        <f t="shared" si="6"/>
        <v>1952 Wheat Penny</v>
      </c>
      <c r="S359" t="str" cm="1">
        <f t="array" ref="S359">_xlfn.REGEXEXTRACT(E359, "[0-9]{1,5}")</f>
        <v>1952</v>
      </c>
      <c r="T359" t="s">
        <v>2482</v>
      </c>
      <c r="U359" t="s">
        <v>3896</v>
      </c>
    </row>
    <row r="360" spans="1:21">
      <c r="A360" s="136">
        <v>1</v>
      </c>
      <c r="B360" s="233">
        <v>1952</v>
      </c>
      <c r="C360" s="234"/>
      <c r="D360" s="234" t="s">
        <v>4920</v>
      </c>
      <c r="E360" s="244" t="s">
        <v>2971</v>
      </c>
      <c r="F360" s="244" t="s">
        <v>3753</v>
      </c>
      <c r="G360" s="235" t="s">
        <v>2580</v>
      </c>
      <c r="H360" s="236">
        <v>0.01</v>
      </c>
      <c r="I360" s="236">
        <v>0.15</v>
      </c>
      <c r="J360" s="233">
        <v>1</v>
      </c>
      <c r="K360" s="235"/>
      <c r="L360" s="235"/>
      <c r="M360" s="276"/>
      <c r="N360" s="279" t="s">
        <v>25</v>
      </c>
      <c r="O360" t="str">
        <f t="shared" si="6"/>
        <v>1952 Wheat Penny</v>
      </c>
      <c r="S360" t="str" cm="1">
        <f t="array" ref="S360">_xlfn.REGEXEXTRACT(E360, "[0-9]{1,5}")</f>
        <v>1952</v>
      </c>
      <c r="T360" t="s">
        <v>2482</v>
      </c>
      <c r="U360" t="s">
        <v>3896</v>
      </c>
    </row>
    <row r="361" spans="1:21">
      <c r="A361" s="136">
        <v>1</v>
      </c>
      <c r="B361" s="233">
        <v>1952</v>
      </c>
      <c r="C361" s="234"/>
      <c r="D361" s="234" t="s">
        <v>4920</v>
      </c>
      <c r="E361" s="244" t="s">
        <v>2972</v>
      </c>
      <c r="F361" s="244" t="s">
        <v>3753</v>
      </c>
      <c r="G361" s="235" t="s">
        <v>2580</v>
      </c>
      <c r="H361" s="236">
        <v>0.01</v>
      </c>
      <c r="I361" s="236">
        <v>0.15</v>
      </c>
      <c r="J361" s="233">
        <v>1</v>
      </c>
      <c r="K361" s="235"/>
      <c r="L361" s="235"/>
      <c r="M361" s="276"/>
      <c r="N361" s="279" t="s">
        <v>25</v>
      </c>
      <c r="O361" t="str">
        <f t="shared" si="6"/>
        <v>1952 Wheat Penny</v>
      </c>
      <c r="S361" t="str" cm="1">
        <f t="array" ref="S361">_xlfn.REGEXEXTRACT(E361, "[0-9]{1,5}")</f>
        <v>1952</v>
      </c>
      <c r="T361" t="s">
        <v>2482</v>
      </c>
      <c r="U361" t="s">
        <v>3896</v>
      </c>
    </row>
    <row r="362" spans="1:21">
      <c r="A362" s="136">
        <v>1</v>
      </c>
      <c r="B362" s="233">
        <v>1952</v>
      </c>
      <c r="C362" s="234"/>
      <c r="D362" s="234" t="s">
        <v>4920</v>
      </c>
      <c r="E362" s="244" t="s">
        <v>2973</v>
      </c>
      <c r="F362" s="244" t="s">
        <v>3753</v>
      </c>
      <c r="G362" s="235" t="s">
        <v>2580</v>
      </c>
      <c r="H362" s="236">
        <v>0.01</v>
      </c>
      <c r="I362" s="236">
        <v>0.15</v>
      </c>
      <c r="J362" s="233">
        <v>1</v>
      </c>
      <c r="K362" s="235"/>
      <c r="L362" s="235"/>
      <c r="M362" s="276"/>
      <c r="N362" s="279" t="s">
        <v>25</v>
      </c>
      <c r="O362" t="str">
        <f t="shared" si="6"/>
        <v>1952 Wheat Penny</v>
      </c>
      <c r="S362" t="str" cm="1">
        <f t="array" ref="S362">_xlfn.REGEXEXTRACT(E362, "[0-9]{1,5}")</f>
        <v>1952</v>
      </c>
      <c r="T362" t="s">
        <v>2482</v>
      </c>
      <c r="U362" t="s">
        <v>3896</v>
      </c>
    </row>
    <row r="363" spans="1:21">
      <c r="A363" s="136">
        <v>1</v>
      </c>
      <c r="B363" s="233">
        <v>1952</v>
      </c>
      <c r="C363" s="234"/>
      <c r="D363" s="234" t="s">
        <v>4920</v>
      </c>
      <c r="E363" s="244" t="s">
        <v>2974</v>
      </c>
      <c r="F363" s="244" t="s">
        <v>3753</v>
      </c>
      <c r="G363" s="235" t="s">
        <v>2580</v>
      </c>
      <c r="H363" s="236">
        <v>0.01</v>
      </c>
      <c r="I363" s="236">
        <v>0.15</v>
      </c>
      <c r="J363" s="233">
        <v>1</v>
      </c>
      <c r="K363" s="235"/>
      <c r="L363" s="235"/>
      <c r="M363" s="276"/>
      <c r="N363" s="279" t="s">
        <v>25</v>
      </c>
      <c r="O363" t="str">
        <f t="shared" si="6"/>
        <v>1952 Wheat Penny</v>
      </c>
      <c r="S363" t="str" cm="1">
        <f t="array" ref="S363">_xlfn.REGEXEXTRACT(E363, "[0-9]{1,5}")</f>
        <v>1952</v>
      </c>
      <c r="T363" t="s">
        <v>2482</v>
      </c>
      <c r="U363" t="s">
        <v>3896</v>
      </c>
    </row>
    <row r="364" spans="1:21">
      <c r="A364" s="136">
        <v>1</v>
      </c>
      <c r="B364" s="233">
        <v>1952</v>
      </c>
      <c r="C364" s="234"/>
      <c r="D364" s="234" t="s">
        <v>4920</v>
      </c>
      <c r="E364" s="244" t="s">
        <v>2975</v>
      </c>
      <c r="F364" s="244" t="s">
        <v>3753</v>
      </c>
      <c r="G364" s="235" t="s">
        <v>2580</v>
      </c>
      <c r="H364" s="236">
        <v>0.01</v>
      </c>
      <c r="I364" s="236">
        <v>0.1</v>
      </c>
      <c r="J364" s="233">
        <v>1</v>
      </c>
      <c r="K364" s="235"/>
      <c r="L364" s="235"/>
      <c r="M364" s="276"/>
      <c r="N364" s="279" t="s">
        <v>25</v>
      </c>
      <c r="O364" t="str">
        <f t="shared" si="6"/>
        <v>1952 Wheat Penny</v>
      </c>
      <c r="S364" t="str" cm="1">
        <f t="array" ref="S364">_xlfn.REGEXEXTRACT(E364, "[0-9]{1,5}")</f>
        <v>1952</v>
      </c>
      <c r="T364" t="s">
        <v>2482</v>
      </c>
      <c r="U364" t="s">
        <v>3896</v>
      </c>
    </row>
    <row r="365" spans="1:21">
      <c r="A365" s="136">
        <v>1</v>
      </c>
      <c r="B365" s="233">
        <v>1952</v>
      </c>
      <c r="C365" s="234"/>
      <c r="D365" s="234" t="s">
        <v>4920</v>
      </c>
      <c r="E365" s="244" t="s">
        <v>2976</v>
      </c>
      <c r="F365" s="244" t="s">
        <v>3753</v>
      </c>
      <c r="G365" s="235" t="s">
        <v>2580</v>
      </c>
      <c r="H365" s="236">
        <v>0.01</v>
      </c>
      <c r="I365" s="236">
        <v>0.1</v>
      </c>
      <c r="J365" s="233">
        <v>1</v>
      </c>
      <c r="K365" s="235"/>
      <c r="L365" s="235"/>
      <c r="M365" s="276"/>
      <c r="N365" s="279" t="s">
        <v>25</v>
      </c>
      <c r="O365" t="str">
        <f t="shared" si="6"/>
        <v>1952 Wheat Penny</v>
      </c>
      <c r="S365" t="str" cm="1">
        <f t="array" ref="S365">_xlfn.REGEXEXTRACT(E365, "[0-9]{1,5}")</f>
        <v>1952</v>
      </c>
      <c r="T365" t="s">
        <v>2482</v>
      </c>
      <c r="U365" t="s">
        <v>3896</v>
      </c>
    </row>
    <row r="366" spans="1:21">
      <c r="A366" s="136">
        <v>1</v>
      </c>
      <c r="B366" s="233">
        <v>1952</v>
      </c>
      <c r="C366" s="234" t="s">
        <v>13</v>
      </c>
      <c r="D366" s="234" t="s">
        <v>4920</v>
      </c>
      <c r="E366" s="244" t="s">
        <v>2977</v>
      </c>
      <c r="F366" s="244" t="s">
        <v>3753</v>
      </c>
      <c r="G366" s="235" t="s">
        <v>2580</v>
      </c>
      <c r="H366" s="236">
        <v>0.01</v>
      </c>
      <c r="I366" s="236">
        <v>0.15</v>
      </c>
      <c r="J366" s="233">
        <v>1</v>
      </c>
      <c r="K366" s="235"/>
      <c r="L366" s="235"/>
      <c r="M366" s="276"/>
      <c r="N366" s="279" t="s">
        <v>25</v>
      </c>
      <c r="O366" t="str">
        <f t="shared" si="6"/>
        <v>1952-D Wheat Penny</v>
      </c>
      <c r="S366" t="str" cm="1">
        <f t="array" ref="S366">_xlfn.REGEXEXTRACT(E366, "[0-9]{1,5}")</f>
        <v>1952</v>
      </c>
      <c r="T366" t="s">
        <v>2482</v>
      </c>
      <c r="U366" t="s">
        <v>3896</v>
      </c>
    </row>
    <row r="367" spans="1:21">
      <c r="A367" s="136">
        <v>1</v>
      </c>
      <c r="B367" s="233">
        <v>1952</v>
      </c>
      <c r="C367" s="234" t="s">
        <v>13</v>
      </c>
      <c r="D367" s="234" t="s">
        <v>4920</v>
      </c>
      <c r="E367" s="244" t="s">
        <v>2978</v>
      </c>
      <c r="F367" s="244" t="s">
        <v>3753</v>
      </c>
      <c r="G367" s="235" t="s">
        <v>2580</v>
      </c>
      <c r="H367" s="236">
        <v>0.01</v>
      </c>
      <c r="I367" s="236">
        <v>0.15</v>
      </c>
      <c r="J367" s="233">
        <v>1</v>
      </c>
      <c r="K367" s="235"/>
      <c r="L367" s="235"/>
      <c r="M367" s="276"/>
      <c r="N367" s="279" t="s">
        <v>25</v>
      </c>
      <c r="O367" t="str">
        <f t="shared" si="6"/>
        <v>1952-D Wheat Penny</v>
      </c>
      <c r="S367" t="str" cm="1">
        <f t="array" ref="S367">_xlfn.REGEXEXTRACT(E367, "[0-9]{1,5}")</f>
        <v>1952</v>
      </c>
      <c r="T367" t="s">
        <v>2482</v>
      </c>
      <c r="U367" t="s">
        <v>3896</v>
      </c>
    </row>
    <row r="368" spans="1:21">
      <c r="A368" s="136">
        <v>1</v>
      </c>
      <c r="B368" s="233">
        <v>1952</v>
      </c>
      <c r="C368" s="234" t="s">
        <v>13</v>
      </c>
      <c r="D368" s="234" t="s">
        <v>4920</v>
      </c>
      <c r="E368" s="244" t="s">
        <v>2979</v>
      </c>
      <c r="F368" s="244" t="s">
        <v>3753</v>
      </c>
      <c r="G368" s="235" t="s">
        <v>2580</v>
      </c>
      <c r="H368" s="236">
        <v>0.01</v>
      </c>
      <c r="I368" s="236">
        <v>0.15</v>
      </c>
      <c r="J368" s="233">
        <v>1</v>
      </c>
      <c r="K368" s="235"/>
      <c r="L368" s="235"/>
      <c r="M368" s="276"/>
      <c r="N368" s="279" t="s">
        <v>25</v>
      </c>
      <c r="O368" t="str">
        <f t="shared" si="6"/>
        <v>1952-D Wheat Penny</v>
      </c>
      <c r="S368" t="str" cm="1">
        <f t="array" ref="S368">_xlfn.REGEXEXTRACT(E368, "[0-9]{1,5}")</f>
        <v>1952</v>
      </c>
      <c r="T368" t="s">
        <v>2482</v>
      </c>
      <c r="U368" t="s">
        <v>3896</v>
      </c>
    </row>
    <row r="369" spans="1:21">
      <c r="A369" s="136">
        <v>1</v>
      </c>
      <c r="B369" s="233">
        <v>1952</v>
      </c>
      <c r="C369" s="234" t="s">
        <v>12</v>
      </c>
      <c r="D369" s="234" t="s">
        <v>4920</v>
      </c>
      <c r="E369" s="244" t="s">
        <v>2980</v>
      </c>
      <c r="F369" s="244" t="s">
        <v>3753</v>
      </c>
      <c r="G369" s="235" t="s">
        <v>2580</v>
      </c>
      <c r="H369" s="236">
        <v>0.01</v>
      </c>
      <c r="I369" s="236">
        <v>7.0000000000000007E-2</v>
      </c>
      <c r="J369" s="233">
        <v>1</v>
      </c>
      <c r="K369" s="235"/>
      <c r="L369" s="235"/>
      <c r="M369" s="276"/>
      <c r="N369" s="279" t="s">
        <v>25</v>
      </c>
      <c r="O369" t="str">
        <f t="shared" si="6"/>
        <v>1952-S Wheat Penny</v>
      </c>
      <c r="S369" t="str" cm="1">
        <f t="array" ref="S369">_xlfn.REGEXEXTRACT(E369, "[0-9]{1,5}")</f>
        <v>1952</v>
      </c>
      <c r="T369" t="s">
        <v>2482</v>
      </c>
      <c r="U369" t="s">
        <v>3896</v>
      </c>
    </row>
    <row r="370" spans="1:21">
      <c r="A370" s="136">
        <v>1</v>
      </c>
      <c r="B370" s="233">
        <v>1952</v>
      </c>
      <c r="C370" s="234" t="s">
        <v>12</v>
      </c>
      <c r="D370" s="234" t="s">
        <v>4920</v>
      </c>
      <c r="E370" s="244" t="s">
        <v>2981</v>
      </c>
      <c r="F370" s="244" t="s">
        <v>3753</v>
      </c>
      <c r="G370" s="235" t="s">
        <v>2580</v>
      </c>
      <c r="H370" s="236">
        <v>0.01</v>
      </c>
      <c r="I370" s="236">
        <v>0.1</v>
      </c>
      <c r="J370" s="233">
        <v>1</v>
      </c>
      <c r="K370" s="235"/>
      <c r="L370" s="235"/>
      <c r="M370" s="276"/>
      <c r="N370" s="279" t="s">
        <v>25</v>
      </c>
      <c r="O370" t="str">
        <f t="shared" si="6"/>
        <v>1952-S Wheat Penny</v>
      </c>
      <c r="S370" t="str" cm="1">
        <f t="array" ref="S370">_xlfn.REGEXEXTRACT(E370, "[0-9]{1,5}")</f>
        <v>1952</v>
      </c>
      <c r="T370" t="s">
        <v>2482</v>
      </c>
      <c r="U370" t="s">
        <v>3896</v>
      </c>
    </row>
    <row r="371" spans="1:21">
      <c r="A371" s="136">
        <v>1</v>
      </c>
      <c r="B371" s="233">
        <v>1952</v>
      </c>
      <c r="C371" s="234"/>
      <c r="D371" s="234" t="s">
        <v>4920</v>
      </c>
      <c r="E371" s="244" t="s">
        <v>2982</v>
      </c>
      <c r="F371" s="244" t="s">
        <v>3753</v>
      </c>
      <c r="G371" s="235" t="s">
        <v>2580</v>
      </c>
      <c r="H371" s="236">
        <v>0.01</v>
      </c>
      <c r="I371" s="236">
        <v>0.01</v>
      </c>
      <c r="J371" s="233">
        <v>1</v>
      </c>
      <c r="K371" s="235"/>
      <c r="L371" s="235"/>
      <c r="M371" s="276"/>
      <c r="N371" s="279" t="s">
        <v>25</v>
      </c>
      <c r="O371" t="str">
        <f t="shared" si="6"/>
        <v>1952 Wheat Penny</v>
      </c>
      <c r="S371" t="str" cm="1">
        <f t="array" ref="S371">_xlfn.REGEXEXTRACT(E371, "[0-9]{1,5}")</f>
        <v>1952</v>
      </c>
      <c r="T371" t="s">
        <v>2482</v>
      </c>
      <c r="U371" t="s">
        <v>3896</v>
      </c>
    </row>
    <row r="372" spans="1:21">
      <c r="A372" s="136">
        <v>1</v>
      </c>
      <c r="B372" s="233">
        <v>1952</v>
      </c>
      <c r="C372" s="234"/>
      <c r="D372" s="234" t="s">
        <v>4920</v>
      </c>
      <c r="E372" s="244" t="s">
        <v>2983</v>
      </c>
      <c r="F372" s="244" t="s">
        <v>3753</v>
      </c>
      <c r="G372" s="235" t="s">
        <v>2580</v>
      </c>
      <c r="H372" s="236">
        <v>0.01</v>
      </c>
      <c r="I372" s="236">
        <v>0.01</v>
      </c>
      <c r="J372" s="233">
        <v>1</v>
      </c>
      <c r="K372" s="235"/>
      <c r="L372" s="235"/>
      <c r="M372" s="276"/>
      <c r="N372" s="279" t="s">
        <v>25</v>
      </c>
      <c r="O372" t="str">
        <f t="shared" si="6"/>
        <v>1952 Wheat Penny</v>
      </c>
      <c r="S372" t="str" cm="1">
        <f t="array" ref="S372">_xlfn.REGEXEXTRACT(E372, "[0-9]{1,5}")</f>
        <v>1952</v>
      </c>
      <c r="T372" t="s">
        <v>2482</v>
      </c>
      <c r="U372" t="s">
        <v>3896</v>
      </c>
    </row>
    <row r="373" spans="1:21">
      <c r="A373" s="136">
        <v>1</v>
      </c>
      <c r="B373" s="233">
        <v>1952</v>
      </c>
      <c r="C373" s="234"/>
      <c r="D373" s="234" t="s">
        <v>4920</v>
      </c>
      <c r="E373" s="244" t="s">
        <v>2984</v>
      </c>
      <c r="F373" s="244" t="s">
        <v>3753</v>
      </c>
      <c r="G373" s="235" t="s">
        <v>2580</v>
      </c>
      <c r="H373" s="236">
        <v>0.01</v>
      </c>
      <c r="I373" s="236">
        <v>0.01</v>
      </c>
      <c r="J373" s="233">
        <v>1</v>
      </c>
      <c r="K373" s="235"/>
      <c r="L373" s="235"/>
      <c r="M373" s="276"/>
      <c r="N373" s="279" t="s">
        <v>25</v>
      </c>
      <c r="O373" t="str">
        <f t="shared" si="6"/>
        <v>1952 Wheat Penny</v>
      </c>
      <c r="S373" t="str" cm="1">
        <f t="array" ref="S373">_xlfn.REGEXEXTRACT(E373, "[0-9]{1,5}")</f>
        <v>1952</v>
      </c>
      <c r="T373" t="s">
        <v>2482</v>
      </c>
      <c r="U373" t="s">
        <v>3896</v>
      </c>
    </row>
    <row r="374" spans="1:21">
      <c r="A374" s="136">
        <v>1</v>
      </c>
      <c r="B374" s="233">
        <v>1952</v>
      </c>
      <c r="C374" s="234"/>
      <c r="D374" s="234" t="s">
        <v>4920</v>
      </c>
      <c r="E374" s="244" t="s">
        <v>2985</v>
      </c>
      <c r="F374" s="244" t="s">
        <v>3753</v>
      </c>
      <c r="G374" s="235" t="s">
        <v>2580</v>
      </c>
      <c r="H374" s="236">
        <v>0.01</v>
      </c>
      <c r="I374" s="236">
        <v>0.01</v>
      </c>
      <c r="J374" s="233">
        <v>1</v>
      </c>
      <c r="K374" s="235"/>
      <c r="L374" s="235"/>
      <c r="M374" s="276"/>
      <c r="N374" s="279" t="s">
        <v>25</v>
      </c>
      <c r="O374" t="str">
        <f t="shared" si="6"/>
        <v>1952 Wheat Penny</v>
      </c>
      <c r="S374" t="str" cm="1">
        <f t="array" ref="S374">_xlfn.REGEXEXTRACT(E374, "[0-9]{1,5}")</f>
        <v>1952</v>
      </c>
      <c r="T374" t="s">
        <v>2482</v>
      </c>
      <c r="U374" t="s">
        <v>3896</v>
      </c>
    </row>
    <row r="375" spans="1:21">
      <c r="A375" s="136">
        <v>1</v>
      </c>
      <c r="B375" s="233">
        <v>1952</v>
      </c>
      <c r="C375" s="234" t="s">
        <v>13</v>
      </c>
      <c r="D375" s="234" t="s">
        <v>4920</v>
      </c>
      <c r="E375" s="244" t="s">
        <v>2986</v>
      </c>
      <c r="F375" s="244" t="s">
        <v>3753</v>
      </c>
      <c r="G375" s="235" t="s">
        <v>2580</v>
      </c>
      <c r="H375" s="236">
        <v>0.01</v>
      </c>
      <c r="I375" s="236">
        <v>0.01</v>
      </c>
      <c r="J375" s="233">
        <v>1</v>
      </c>
      <c r="K375" s="235"/>
      <c r="L375" s="235"/>
      <c r="M375" s="276"/>
      <c r="N375" s="279" t="s">
        <v>25</v>
      </c>
      <c r="O375" t="str">
        <f t="shared" si="6"/>
        <v>1952-D Wheat Penny</v>
      </c>
      <c r="S375" t="str" cm="1">
        <f t="array" ref="S375">_xlfn.REGEXEXTRACT(E375, "[0-9]{1,5}")</f>
        <v>1952</v>
      </c>
      <c r="T375" t="s">
        <v>2482</v>
      </c>
      <c r="U375" t="s">
        <v>3896</v>
      </c>
    </row>
    <row r="376" spans="1:21">
      <c r="A376" s="136">
        <v>1</v>
      </c>
      <c r="B376" s="233">
        <v>1952</v>
      </c>
      <c r="C376" s="234" t="s">
        <v>13</v>
      </c>
      <c r="D376" s="234" t="s">
        <v>4920</v>
      </c>
      <c r="E376" s="244" t="s">
        <v>2987</v>
      </c>
      <c r="F376" s="244" t="s">
        <v>3753</v>
      </c>
      <c r="G376" s="235" t="s">
        <v>2580</v>
      </c>
      <c r="H376" s="236">
        <v>0.01</v>
      </c>
      <c r="I376" s="236">
        <v>0</v>
      </c>
      <c r="J376" s="233">
        <v>1</v>
      </c>
      <c r="K376" s="235"/>
      <c r="L376" s="235"/>
      <c r="M376" s="276"/>
      <c r="N376" s="279" t="s">
        <v>25</v>
      </c>
      <c r="O376" t="str">
        <f t="shared" si="6"/>
        <v>1952-D Wheat Penny</v>
      </c>
      <c r="S376" t="str" cm="1">
        <f t="array" ref="S376">_xlfn.REGEXEXTRACT(E376, "[0-9]{1,5}")</f>
        <v>1952</v>
      </c>
      <c r="T376" t="s">
        <v>2482</v>
      </c>
      <c r="U376" t="s">
        <v>3896</v>
      </c>
    </row>
    <row r="377" spans="1:21">
      <c r="A377" s="136">
        <v>1</v>
      </c>
      <c r="B377" s="233">
        <v>1953</v>
      </c>
      <c r="C377" s="234"/>
      <c r="D377" s="234" t="s">
        <v>4920</v>
      </c>
      <c r="E377" s="244" t="s">
        <v>2988</v>
      </c>
      <c r="F377" s="244" t="s">
        <v>3753</v>
      </c>
      <c r="G377" s="235" t="s">
        <v>2580</v>
      </c>
      <c r="H377" s="236">
        <v>0.01</v>
      </c>
      <c r="I377" s="236">
        <v>0.12</v>
      </c>
      <c r="J377" s="233">
        <v>1</v>
      </c>
      <c r="K377" s="235"/>
      <c r="L377" s="235"/>
      <c r="M377" s="276"/>
      <c r="N377" s="279" t="s">
        <v>25</v>
      </c>
      <c r="O377" t="str">
        <f t="shared" si="6"/>
        <v>1953 Wheat Penny</v>
      </c>
      <c r="S377" t="str" cm="1">
        <f t="array" ref="S377">_xlfn.REGEXEXTRACT(E377, "[0-9]{1,5}")</f>
        <v>1953</v>
      </c>
      <c r="T377" t="s">
        <v>2483</v>
      </c>
      <c r="U377" t="s">
        <v>3896</v>
      </c>
    </row>
    <row r="378" spans="1:21">
      <c r="A378" s="136">
        <v>1</v>
      </c>
      <c r="B378" s="233">
        <v>1953</v>
      </c>
      <c r="C378" s="234"/>
      <c r="D378" s="234" t="s">
        <v>4920</v>
      </c>
      <c r="E378" s="244" t="s">
        <v>2989</v>
      </c>
      <c r="F378" s="244" t="s">
        <v>3753</v>
      </c>
      <c r="G378" s="235" t="s">
        <v>2580</v>
      </c>
      <c r="H378" s="236">
        <v>0.01</v>
      </c>
      <c r="I378" s="236">
        <v>0.1</v>
      </c>
      <c r="J378" s="233">
        <v>1</v>
      </c>
      <c r="K378" s="235"/>
      <c r="L378" s="235"/>
      <c r="M378" s="276"/>
      <c r="N378" s="279" t="s">
        <v>25</v>
      </c>
      <c r="O378" t="str">
        <f t="shared" si="6"/>
        <v>1953 Wheat Penny</v>
      </c>
      <c r="S378" t="str" cm="1">
        <f t="array" ref="S378">_xlfn.REGEXEXTRACT(E378, "[0-9]{1,5}")</f>
        <v>1953</v>
      </c>
      <c r="T378" t="s">
        <v>2483</v>
      </c>
      <c r="U378" t="s">
        <v>3896</v>
      </c>
    </row>
    <row r="379" spans="1:21">
      <c r="A379" s="136">
        <v>1</v>
      </c>
      <c r="B379" s="233">
        <v>1953</v>
      </c>
      <c r="C379" s="234" t="s">
        <v>13</v>
      </c>
      <c r="D379" s="234" t="s">
        <v>4920</v>
      </c>
      <c r="E379" s="244" t="s">
        <v>2990</v>
      </c>
      <c r="F379" s="244" t="s">
        <v>3753</v>
      </c>
      <c r="G379" s="235" t="s">
        <v>2580</v>
      </c>
      <c r="H379" s="236">
        <v>0.01</v>
      </c>
      <c r="I379" s="236">
        <v>0.1</v>
      </c>
      <c r="J379" s="233">
        <v>1</v>
      </c>
      <c r="K379" s="235"/>
      <c r="L379" s="235"/>
      <c r="M379" s="276"/>
      <c r="N379" s="279" t="s">
        <v>25</v>
      </c>
      <c r="O379" t="str">
        <f t="shared" si="6"/>
        <v>1953-D Wheat Penny</v>
      </c>
      <c r="S379" t="str" cm="1">
        <f t="array" ref="S379">_xlfn.REGEXEXTRACT(E379, "[0-9]{1,5}")</f>
        <v>1953</v>
      </c>
      <c r="T379" t="s">
        <v>2483</v>
      </c>
      <c r="U379" t="s">
        <v>3896</v>
      </c>
    </row>
    <row r="380" spans="1:21">
      <c r="A380" s="136">
        <v>1</v>
      </c>
      <c r="B380" s="233">
        <v>1953</v>
      </c>
      <c r="C380" s="234" t="s">
        <v>13</v>
      </c>
      <c r="D380" s="234" t="s">
        <v>4920</v>
      </c>
      <c r="E380" s="244" t="s">
        <v>2991</v>
      </c>
      <c r="F380" s="244" t="s">
        <v>3753</v>
      </c>
      <c r="G380" s="235" t="s">
        <v>2580</v>
      </c>
      <c r="H380" s="236">
        <v>0.01</v>
      </c>
      <c r="I380" s="236">
        <v>0.1</v>
      </c>
      <c r="J380" s="233">
        <v>1</v>
      </c>
      <c r="K380" s="235"/>
      <c r="L380" s="235"/>
      <c r="M380" s="276"/>
      <c r="N380" s="279" t="s">
        <v>25</v>
      </c>
      <c r="O380" t="str">
        <f t="shared" si="6"/>
        <v>1953-D Wheat Penny</v>
      </c>
      <c r="S380" t="str" cm="1">
        <f t="array" ref="S380">_xlfn.REGEXEXTRACT(E380, "[0-9]{1,5}")</f>
        <v>1953</v>
      </c>
      <c r="T380" t="s">
        <v>2483</v>
      </c>
      <c r="U380" t="s">
        <v>3896</v>
      </c>
    </row>
    <row r="381" spans="1:21">
      <c r="A381" s="136">
        <v>1</v>
      </c>
      <c r="B381" s="233">
        <v>1953</v>
      </c>
      <c r="C381" s="234" t="s">
        <v>13</v>
      </c>
      <c r="D381" s="234" t="s">
        <v>4920</v>
      </c>
      <c r="E381" s="244" t="s">
        <v>2992</v>
      </c>
      <c r="F381" s="244" t="s">
        <v>3753</v>
      </c>
      <c r="G381" s="235" t="s">
        <v>2580</v>
      </c>
      <c r="H381" s="236">
        <v>0.01</v>
      </c>
      <c r="I381" s="236">
        <v>0.1</v>
      </c>
      <c r="J381" s="233">
        <v>1</v>
      </c>
      <c r="K381" s="235"/>
      <c r="L381" s="235"/>
      <c r="M381" s="276"/>
      <c r="N381" s="279" t="s">
        <v>25</v>
      </c>
      <c r="O381" t="str">
        <f t="shared" si="6"/>
        <v>1953-D Wheat Penny</v>
      </c>
      <c r="S381" t="str" cm="1">
        <f t="array" ref="S381">_xlfn.REGEXEXTRACT(E381, "[0-9]{1,5}")</f>
        <v>1953</v>
      </c>
      <c r="T381" t="s">
        <v>2483</v>
      </c>
      <c r="U381" t="s">
        <v>3896</v>
      </c>
    </row>
    <row r="382" spans="1:21">
      <c r="A382" s="136">
        <v>1</v>
      </c>
      <c r="B382" s="233">
        <v>1953</v>
      </c>
      <c r="C382" s="234" t="s">
        <v>13</v>
      </c>
      <c r="D382" s="234" t="s">
        <v>4920</v>
      </c>
      <c r="E382" s="244" t="s">
        <v>2993</v>
      </c>
      <c r="F382" s="244" t="s">
        <v>3753</v>
      </c>
      <c r="G382" s="235" t="s">
        <v>2580</v>
      </c>
      <c r="H382" s="236">
        <v>0.01</v>
      </c>
      <c r="I382" s="236">
        <v>0.1</v>
      </c>
      <c r="J382" s="233">
        <v>1</v>
      </c>
      <c r="K382" s="235"/>
      <c r="L382" s="235"/>
      <c r="M382" s="276"/>
      <c r="N382" s="279" t="s">
        <v>25</v>
      </c>
      <c r="O382" t="str">
        <f t="shared" si="6"/>
        <v>1953-D Wheat Penny</v>
      </c>
      <c r="S382" t="str" cm="1">
        <f t="array" ref="S382">_xlfn.REGEXEXTRACT(E382, "[0-9]{1,5}")</f>
        <v>1953</v>
      </c>
      <c r="T382" t="s">
        <v>2483</v>
      </c>
      <c r="U382" t="s">
        <v>3896</v>
      </c>
    </row>
    <row r="383" spans="1:21">
      <c r="A383" s="136">
        <v>1</v>
      </c>
      <c r="B383" s="233">
        <v>1953</v>
      </c>
      <c r="C383" s="234" t="s">
        <v>13</v>
      </c>
      <c r="D383" s="234" t="s">
        <v>4920</v>
      </c>
      <c r="E383" s="244" t="s">
        <v>2994</v>
      </c>
      <c r="F383" s="244" t="s">
        <v>3753</v>
      </c>
      <c r="G383" s="235" t="s">
        <v>2580</v>
      </c>
      <c r="H383" s="236">
        <v>0.01</v>
      </c>
      <c r="I383" s="236">
        <v>0.1</v>
      </c>
      <c r="J383" s="233">
        <v>1</v>
      </c>
      <c r="K383" s="235"/>
      <c r="L383" s="235"/>
      <c r="M383" s="276"/>
      <c r="N383" s="279" t="s">
        <v>25</v>
      </c>
      <c r="O383" t="str">
        <f t="shared" si="6"/>
        <v>1953-D Wheat Penny</v>
      </c>
      <c r="S383" t="str" cm="1">
        <f t="array" ref="S383">_xlfn.REGEXEXTRACT(E383, "[0-9]{1,5}")</f>
        <v>1953</v>
      </c>
      <c r="T383" t="s">
        <v>2483</v>
      </c>
      <c r="U383" t="s">
        <v>3896</v>
      </c>
    </row>
    <row r="384" spans="1:21">
      <c r="A384" s="136">
        <v>1</v>
      </c>
      <c r="B384" s="233">
        <v>1953</v>
      </c>
      <c r="C384" s="234" t="s">
        <v>12</v>
      </c>
      <c r="D384" s="234" t="s">
        <v>4920</v>
      </c>
      <c r="E384" s="244" t="s">
        <v>2995</v>
      </c>
      <c r="F384" s="244" t="s">
        <v>3753</v>
      </c>
      <c r="G384" s="235" t="s">
        <v>2580</v>
      </c>
      <c r="H384" s="236">
        <v>0.01</v>
      </c>
      <c r="I384" s="236">
        <v>0.15</v>
      </c>
      <c r="J384" s="233">
        <v>1</v>
      </c>
      <c r="K384" s="235"/>
      <c r="L384" s="235"/>
      <c r="M384" s="276"/>
      <c r="N384" s="279" t="s">
        <v>25</v>
      </c>
      <c r="O384" t="str">
        <f t="shared" si="6"/>
        <v>1953-S Wheat Penny</v>
      </c>
      <c r="S384" t="str" cm="1">
        <f t="array" ref="S384">_xlfn.REGEXEXTRACT(E384, "[0-9]{1,5}")</f>
        <v>1953</v>
      </c>
      <c r="T384" t="s">
        <v>2483</v>
      </c>
      <c r="U384" t="s">
        <v>3896</v>
      </c>
    </row>
    <row r="385" spans="1:21">
      <c r="A385" s="136">
        <v>1</v>
      </c>
      <c r="B385" s="233">
        <v>1953</v>
      </c>
      <c r="C385" s="234" t="s">
        <v>12</v>
      </c>
      <c r="D385" s="234" t="s">
        <v>4920</v>
      </c>
      <c r="E385" s="244" t="s">
        <v>2996</v>
      </c>
      <c r="F385" s="244" t="s">
        <v>3753</v>
      </c>
      <c r="G385" s="235" t="s">
        <v>2580</v>
      </c>
      <c r="H385" s="236">
        <v>0.01</v>
      </c>
      <c r="I385" s="236">
        <v>7.0000000000000007E-2</v>
      </c>
      <c r="J385" s="233">
        <v>1</v>
      </c>
      <c r="K385" s="235"/>
      <c r="L385" s="235"/>
      <c r="M385" s="276"/>
      <c r="N385" s="279" t="s">
        <v>25</v>
      </c>
      <c r="O385" t="str">
        <f t="shared" si="6"/>
        <v>1953-S Wheat Penny</v>
      </c>
      <c r="S385" t="str" cm="1">
        <f t="array" ref="S385">_xlfn.REGEXEXTRACT(E385, "[0-9]{1,5}")</f>
        <v>1953</v>
      </c>
      <c r="T385" t="s">
        <v>2483</v>
      </c>
      <c r="U385" t="s">
        <v>3896</v>
      </c>
    </row>
    <row r="386" spans="1:21">
      <c r="A386" s="136">
        <v>1</v>
      </c>
      <c r="B386" s="233">
        <v>1953</v>
      </c>
      <c r="C386" s="234" t="s">
        <v>13</v>
      </c>
      <c r="D386" s="234" t="s">
        <v>4920</v>
      </c>
      <c r="E386" s="244" t="s">
        <v>2997</v>
      </c>
      <c r="F386" s="244" t="s">
        <v>3753</v>
      </c>
      <c r="G386" s="235" t="s">
        <v>2580</v>
      </c>
      <c r="H386" s="236">
        <v>0.01</v>
      </c>
      <c r="I386" s="236">
        <v>0.01</v>
      </c>
      <c r="J386" s="233">
        <v>1</v>
      </c>
      <c r="K386" s="235"/>
      <c r="L386" s="235"/>
      <c r="M386" s="276"/>
      <c r="N386" s="279" t="s">
        <v>25</v>
      </c>
      <c r="O386" t="str">
        <f t="shared" si="6"/>
        <v>1953-D Wheat Penny</v>
      </c>
      <c r="S386" t="str" cm="1">
        <f t="array" ref="S386">_xlfn.REGEXEXTRACT(E386, "[0-9]{1,5}")</f>
        <v>1953</v>
      </c>
      <c r="T386" t="s">
        <v>2483</v>
      </c>
      <c r="U386" t="s">
        <v>3896</v>
      </c>
    </row>
    <row r="387" spans="1:21">
      <c r="A387" s="136">
        <v>1</v>
      </c>
      <c r="B387" s="233">
        <v>1953</v>
      </c>
      <c r="C387" s="234" t="s">
        <v>13</v>
      </c>
      <c r="D387" s="234" t="s">
        <v>4920</v>
      </c>
      <c r="E387" s="244" t="s">
        <v>2998</v>
      </c>
      <c r="F387" s="244" t="s">
        <v>3753</v>
      </c>
      <c r="G387" s="235" t="s">
        <v>2580</v>
      </c>
      <c r="H387" s="236">
        <v>0.01</v>
      </c>
      <c r="I387" s="236">
        <v>0.01</v>
      </c>
      <c r="J387" s="233">
        <v>1</v>
      </c>
      <c r="K387" s="235"/>
      <c r="L387" s="235"/>
      <c r="M387" s="276"/>
      <c r="N387" s="279" t="s">
        <v>25</v>
      </c>
      <c r="O387" t="str">
        <f t="shared" si="6"/>
        <v>1953-D Wheat Penny</v>
      </c>
      <c r="S387" t="str" cm="1">
        <f t="array" ref="S387">_xlfn.REGEXEXTRACT(E387, "[0-9]{1,5}")</f>
        <v>1953</v>
      </c>
      <c r="T387" t="s">
        <v>2483</v>
      </c>
      <c r="U387" t="s">
        <v>3896</v>
      </c>
    </row>
    <row r="388" spans="1:21">
      <c r="A388" s="136">
        <v>1</v>
      </c>
      <c r="B388" s="233">
        <v>1953</v>
      </c>
      <c r="C388" s="234"/>
      <c r="D388" s="234" t="s">
        <v>4920</v>
      </c>
      <c r="E388" s="244" t="s">
        <v>2999</v>
      </c>
      <c r="F388" s="244" t="s">
        <v>3753</v>
      </c>
      <c r="G388" s="235" t="s">
        <v>2580</v>
      </c>
      <c r="H388" s="236">
        <v>0.01</v>
      </c>
      <c r="I388" s="236">
        <v>0.01</v>
      </c>
      <c r="J388" s="233">
        <v>1</v>
      </c>
      <c r="K388" s="235"/>
      <c r="L388" s="235"/>
      <c r="M388" s="276"/>
      <c r="N388" s="279" t="s">
        <v>25</v>
      </c>
      <c r="O388" t="str">
        <f t="shared" ref="O388:O451" si="7">IF(C388&lt;&gt;"",B388&amp;"-"&amp;C388&amp;" "&amp;F388,B388&amp;" "&amp;F388)</f>
        <v>1953 Wheat Penny</v>
      </c>
      <c r="S388" t="str" cm="1">
        <f t="array" ref="S388">_xlfn.REGEXEXTRACT(E388, "[0-9]{1,5}")</f>
        <v>1953</v>
      </c>
      <c r="T388" t="s">
        <v>2483</v>
      </c>
      <c r="U388" t="s">
        <v>3896</v>
      </c>
    </row>
    <row r="389" spans="1:21">
      <c r="A389" s="136">
        <v>1</v>
      </c>
      <c r="B389" s="233">
        <v>1953</v>
      </c>
      <c r="C389" s="234" t="s">
        <v>13</v>
      </c>
      <c r="D389" s="234" t="s">
        <v>4920</v>
      </c>
      <c r="E389" s="244" t="s">
        <v>3000</v>
      </c>
      <c r="F389" s="244" t="s">
        <v>3753</v>
      </c>
      <c r="G389" s="235" t="s">
        <v>2580</v>
      </c>
      <c r="H389" s="236">
        <v>0.01</v>
      </c>
      <c r="I389" s="236">
        <v>0</v>
      </c>
      <c r="J389" s="233">
        <v>1</v>
      </c>
      <c r="K389" s="235"/>
      <c r="L389" s="235"/>
      <c r="M389" s="276"/>
      <c r="N389" s="279" t="s">
        <v>25</v>
      </c>
      <c r="O389" t="str">
        <f t="shared" si="7"/>
        <v>1953-D Wheat Penny</v>
      </c>
      <c r="S389" t="str" cm="1">
        <f t="array" ref="S389">_xlfn.REGEXEXTRACT(E389, "[0-9]{1,5}")</f>
        <v>1953</v>
      </c>
      <c r="T389" t="s">
        <v>2483</v>
      </c>
      <c r="U389" t="s">
        <v>3896</v>
      </c>
    </row>
    <row r="390" spans="1:21">
      <c r="A390" s="136">
        <v>1</v>
      </c>
      <c r="B390" s="233">
        <v>1954</v>
      </c>
      <c r="C390" s="234" t="s">
        <v>13</v>
      </c>
      <c r="D390" s="234" t="s">
        <v>4920</v>
      </c>
      <c r="E390" s="244" t="s">
        <v>3001</v>
      </c>
      <c r="F390" s="244" t="s">
        <v>3753</v>
      </c>
      <c r="G390" s="235" t="s">
        <v>2580</v>
      </c>
      <c r="H390" s="236">
        <v>0.01</v>
      </c>
      <c r="I390" s="236">
        <v>7.0000000000000007E-2</v>
      </c>
      <c r="J390" s="233">
        <v>1</v>
      </c>
      <c r="K390" s="235"/>
      <c r="L390" s="235"/>
      <c r="M390" s="276"/>
      <c r="N390" s="279" t="s">
        <v>25</v>
      </c>
      <c r="O390" t="str">
        <f t="shared" si="7"/>
        <v>1954-D Wheat Penny</v>
      </c>
      <c r="S390" t="str" cm="1">
        <f t="array" ref="S390">_xlfn.REGEXEXTRACT(E390, "[0-9]{1,5}")</f>
        <v>1954</v>
      </c>
      <c r="T390" t="s">
        <v>2484</v>
      </c>
      <c r="U390" t="s">
        <v>3896</v>
      </c>
    </row>
    <row r="391" spans="1:21">
      <c r="A391" s="136">
        <v>1</v>
      </c>
      <c r="B391" s="233">
        <v>1954</v>
      </c>
      <c r="C391" s="234"/>
      <c r="D391" s="234" t="s">
        <v>4920</v>
      </c>
      <c r="E391" s="244" t="s">
        <v>3002</v>
      </c>
      <c r="F391" s="244" t="s">
        <v>3753</v>
      </c>
      <c r="G391" s="235" t="s">
        <v>2580</v>
      </c>
      <c r="H391" s="236">
        <v>0.2</v>
      </c>
      <c r="I391" s="236">
        <v>0.01</v>
      </c>
      <c r="J391" s="233">
        <v>1</v>
      </c>
      <c r="K391" s="235"/>
      <c r="L391" s="235"/>
      <c r="M391" s="276"/>
      <c r="N391" s="279" t="s">
        <v>25</v>
      </c>
      <c r="O391" t="str">
        <f t="shared" si="7"/>
        <v>1954 Wheat Penny</v>
      </c>
      <c r="S391" t="str" cm="1">
        <f t="array" ref="S391">_xlfn.REGEXEXTRACT(E391, "[0-9]{1,5}")</f>
        <v>1954</v>
      </c>
      <c r="T391" t="s">
        <v>2484</v>
      </c>
      <c r="U391" t="s">
        <v>3896</v>
      </c>
    </row>
    <row r="392" spans="1:21">
      <c r="A392" s="136">
        <v>1</v>
      </c>
      <c r="B392" s="233">
        <v>1954</v>
      </c>
      <c r="C392" s="234" t="s">
        <v>12</v>
      </c>
      <c r="D392" s="234" t="s">
        <v>4920</v>
      </c>
      <c r="E392" s="244" t="s">
        <v>3003</v>
      </c>
      <c r="F392" s="244" t="s">
        <v>3753</v>
      </c>
      <c r="G392" s="235" t="s">
        <v>2580</v>
      </c>
      <c r="H392" s="236">
        <v>0.25</v>
      </c>
      <c r="I392" s="236">
        <v>0.01</v>
      </c>
      <c r="J392" s="233">
        <v>1</v>
      </c>
      <c r="K392" s="235"/>
      <c r="L392" s="235"/>
      <c r="M392" s="276"/>
      <c r="N392" s="279" t="s">
        <v>25</v>
      </c>
      <c r="O392" t="str">
        <f t="shared" si="7"/>
        <v>1954-S Wheat Penny</v>
      </c>
      <c r="S392" t="str" cm="1">
        <f t="array" ref="S392">_xlfn.REGEXEXTRACT(E392, "[0-9]{1,5}")</f>
        <v>1954</v>
      </c>
      <c r="T392" t="s">
        <v>2484</v>
      </c>
      <c r="U392" t="s">
        <v>3896</v>
      </c>
    </row>
    <row r="393" spans="1:21">
      <c r="A393" s="136">
        <v>1</v>
      </c>
      <c r="B393" s="233">
        <v>1954</v>
      </c>
      <c r="C393" s="234" t="s">
        <v>13</v>
      </c>
      <c r="D393" s="234" t="s">
        <v>4920</v>
      </c>
      <c r="E393" s="244" t="s">
        <v>3004</v>
      </c>
      <c r="F393" s="244" t="s">
        <v>3753</v>
      </c>
      <c r="G393" s="235" t="s">
        <v>2580</v>
      </c>
      <c r="H393" s="236">
        <v>0.01</v>
      </c>
      <c r="I393" s="236">
        <v>0.01</v>
      </c>
      <c r="J393" s="233">
        <v>1</v>
      </c>
      <c r="K393" s="235"/>
      <c r="L393" s="235"/>
      <c r="M393" s="276"/>
      <c r="N393" s="279" t="s">
        <v>25</v>
      </c>
      <c r="O393" t="str">
        <f t="shared" si="7"/>
        <v>1954-D Wheat Penny</v>
      </c>
      <c r="S393" t="str" cm="1">
        <f t="array" ref="S393">_xlfn.REGEXEXTRACT(E393, "[0-9]{1,5}")</f>
        <v>1954</v>
      </c>
      <c r="T393" t="s">
        <v>2484</v>
      </c>
      <c r="U393" t="s">
        <v>3896</v>
      </c>
    </row>
    <row r="394" spans="1:21">
      <c r="A394" s="136">
        <v>1</v>
      </c>
      <c r="B394" s="233">
        <v>1955</v>
      </c>
      <c r="C394" s="234"/>
      <c r="D394" s="234" t="s">
        <v>4920</v>
      </c>
      <c r="E394" s="244" t="s">
        <v>3005</v>
      </c>
      <c r="F394" s="244" t="s">
        <v>3753</v>
      </c>
      <c r="G394" s="235" t="s">
        <v>2580</v>
      </c>
      <c r="H394" s="236">
        <v>0.01</v>
      </c>
      <c r="I394" s="236">
        <v>0.15</v>
      </c>
      <c r="J394" s="233">
        <v>1</v>
      </c>
      <c r="K394" s="235"/>
      <c r="L394" s="235"/>
      <c r="M394" s="276"/>
      <c r="N394" s="279" t="s">
        <v>25</v>
      </c>
      <c r="O394" t="str">
        <f t="shared" si="7"/>
        <v>1955 Wheat Penny</v>
      </c>
      <c r="S394" t="str" cm="1">
        <f t="array" ref="S394">_xlfn.REGEXEXTRACT(E394, "[0-9]{1,5}")</f>
        <v>1955</v>
      </c>
      <c r="T394" t="s">
        <v>2485</v>
      </c>
      <c r="U394" t="s">
        <v>3896</v>
      </c>
    </row>
    <row r="395" spans="1:21">
      <c r="A395" s="136">
        <v>1</v>
      </c>
      <c r="B395" s="233">
        <v>1955</v>
      </c>
      <c r="C395" s="234"/>
      <c r="D395" s="234" t="s">
        <v>4920</v>
      </c>
      <c r="E395" s="244" t="s">
        <v>3006</v>
      </c>
      <c r="F395" s="244" t="s">
        <v>3753</v>
      </c>
      <c r="G395" s="235" t="s">
        <v>2580</v>
      </c>
      <c r="H395" s="236">
        <v>0.01</v>
      </c>
      <c r="I395" s="236">
        <v>0.15</v>
      </c>
      <c r="J395" s="233">
        <v>1</v>
      </c>
      <c r="K395" s="235"/>
      <c r="L395" s="235"/>
      <c r="M395" s="276"/>
      <c r="N395" s="279" t="s">
        <v>25</v>
      </c>
      <c r="O395" t="str">
        <f t="shared" si="7"/>
        <v>1955 Wheat Penny</v>
      </c>
      <c r="S395" t="str" cm="1">
        <f t="array" ref="S395">_xlfn.REGEXEXTRACT(E395, "[0-9]{1,5}")</f>
        <v>1955</v>
      </c>
      <c r="T395" t="s">
        <v>2485</v>
      </c>
      <c r="U395" t="s">
        <v>3896</v>
      </c>
    </row>
    <row r="396" spans="1:21">
      <c r="A396" s="136">
        <v>1</v>
      </c>
      <c r="B396" s="233">
        <v>1955</v>
      </c>
      <c r="C396" s="234" t="s">
        <v>13</v>
      </c>
      <c r="D396" s="234" t="s">
        <v>4920</v>
      </c>
      <c r="E396" s="244" t="s">
        <v>3007</v>
      </c>
      <c r="F396" s="244" t="s">
        <v>3753</v>
      </c>
      <c r="G396" s="235" t="s">
        <v>2580</v>
      </c>
      <c r="H396" s="236">
        <v>0.01</v>
      </c>
      <c r="I396" s="236">
        <v>0.1</v>
      </c>
      <c r="J396" s="233">
        <v>1</v>
      </c>
      <c r="K396" s="235"/>
      <c r="L396" s="235"/>
      <c r="M396" s="276"/>
      <c r="N396" s="279" t="s">
        <v>25</v>
      </c>
      <c r="O396" t="str">
        <f t="shared" si="7"/>
        <v>1955-D Wheat Penny</v>
      </c>
      <c r="S396" t="str" cm="1">
        <f t="array" ref="S396">_xlfn.REGEXEXTRACT(E396, "[0-9]{1,5}")</f>
        <v>1955</v>
      </c>
      <c r="T396" t="s">
        <v>2485</v>
      </c>
      <c r="U396" t="s">
        <v>3896</v>
      </c>
    </row>
    <row r="397" spans="1:21">
      <c r="A397" s="136">
        <v>1</v>
      </c>
      <c r="B397" s="233">
        <v>1955</v>
      </c>
      <c r="C397" s="234" t="s">
        <v>12</v>
      </c>
      <c r="D397" s="234" t="s">
        <v>4920</v>
      </c>
      <c r="E397" s="244" t="s">
        <v>3008</v>
      </c>
      <c r="F397" s="244" t="s">
        <v>3753</v>
      </c>
      <c r="G397" s="235" t="s">
        <v>2580</v>
      </c>
      <c r="H397" s="236">
        <v>0.01</v>
      </c>
      <c r="I397" s="236">
        <v>0</v>
      </c>
      <c r="J397" s="233">
        <v>1</v>
      </c>
      <c r="K397" s="235"/>
      <c r="L397" s="235"/>
      <c r="M397" s="276"/>
      <c r="N397" s="279" t="s">
        <v>25</v>
      </c>
      <c r="O397" t="str">
        <f t="shared" si="7"/>
        <v>1955-S Wheat Penny</v>
      </c>
      <c r="S397" t="str" cm="1">
        <f t="array" ref="S397">_xlfn.REGEXEXTRACT(E397, "[0-9]{1,5}")</f>
        <v>1955</v>
      </c>
      <c r="T397" t="s">
        <v>2485</v>
      </c>
      <c r="U397" t="s">
        <v>3896</v>
      </c>
    </row>
    <row r="398" spans="1:21">
      <c r="A398" s="136">
        <v>1</v>
      </c>
      <c r="B398" s="233">
        <v>1955</v>
      </c>
      <c r="C398" s="234"/>
      <c r="D398" s="234" t="s">
        <v>4920</v>
      </c>
      <c r="E398" s="244" t="s">
        <v>3009</v>
      </c>
      <c r="F398" s="244" t="s">
        <v>3753</v>
      </c>
      <c r="G398" s="235" t="s">
        <v>2580</v>
      </c>
      <c r="H398" s="236">
        <v>0.01</v>
      </c>
      <c r="I398" s="236">
        <v>0.01</v>
      </c>
      <c r="J398" s="233">
        <v>1</v>
      </c>
      <c r="K398" s="235"/>
      <c r="L398" s="235"/>
      <c r="M398" s="276"/>
      <c r="N398" s="279" t="s">
        <v>25</v>
      </c>
      <c r="O398" t="str">
        <f t="shared" si="7"/>
        <v>1955 Wheat Penny</v>
      </c>
      <c r="S398" t="str" cm="1">
        <f t="array" ref="S398">_xlfn.REGEXEXTRACT(E398, "[0-9]{1,5}")</f>
        <v>1955</v>
      </c>
      <c r="T398" t="s">
        <v>2485</v>
      </c>
      <c r="U398" t="s">
        <v>3896</v>
      </c>
    </row>
    <row r="399" spans="1:21">
      <c r="A399" s="136">
        <v>1</v>
      </c>
      <c r="B399" s="233">
        <v>1955</v>
      </c>
      <c r="C399" s="234"/>
      <c r="D399" s="234" t="s">
        <v>4920</v>
      </c>
      <c r="E399" s="244" t="s">
        <v>3010</v>
      </c>
      <c r="F399" s="244" t="s">
        <v>3753</v>
      </c>
      <c r="G399" s="235" t="s">
        <v>2580</v>
      </c>
      <c r="H399" s="236">
        <v>0.01</v>
      </c>
      <c r="I399" s="236">
        <v>0.01</v>
      </c>
      <c r="J399" s="233">
        <v>1</v>
      </c>
      <c r="K399" s="235"/>
      <c r="L399" s="235"/>
      <c r="M399" s="276"/>
      <c r="N399" s="279" t="s">
        <v>25</v>
      </c>
      <c r="O399" t="str">
        <f t="shared" si="7"/>
        <v>1955 Wheat Penny</v>
      </c>
      <c r="S399" t="str" cm="1">
        <f t="array" ref="S399">_xlfn.REGEXEXTRACT(E399, "[0-9]{1,5}")</f>
        <v>1955</v>
      </c>
      <c r="T399" t="s">
        <v>2485</v>
      </c>
      <c r="U399" t="s">
        <v>3896</v>
      </c>
    </row>
    <row r="400" spans="1:21">
      <c r="A400" s="136">
        <v>1</v>
      </c>
      <c r="B400" s="233">
        <v>1955</v>
      </c>
      <c r="C400" s="234"/>
      <c r="D400" s="234" t="s">
        <v>4920</v>
      </c>
      <c r="E400" s="244" t="s">
        <v>3011</v>
      </c>
      <c r="F400" s="244" t="s">
        <v>3753</v>
      </c>
      <c r="G400" s="235" t="s">
        <v>2580</v>
      </c>
      <c r="H400" s="236">
        <v>0.01</v>
      </c>
      <c r="I400" s="236">
        <v>0.01</v>
      </c>
      <c r="J400" s="233">
        <v>1</v>
      </c>
      <c r="K400" s="235"/>
      <c r="L400" s="235"/>
      <c r="M400" s="276"/>
      <c r="N400" s="279" t="s">
        <v>25</v>
      </c>
      <c r="O400" t="str">
        <f t="shared" si="7"/>
        <v>1955 Wheat Penny</v>
      </c>
      <c r="S400" t="str" cm="1">
        <f t="array" ref="S400">_xlfn.REGEXEXTRACT(E400, "[0-9]{1,5}")</f>
        <v>1955</v>
      </c>
      <c r="T400" t="s">
        <v>2485</v>
      </c>
      <c r="U400" t="s">
        <v>3896</v>
      </c>
    </row>
    <row r="401" spans="1:21">
      <c r="A401" s="136">
        <v>1</v>
      </c>
      <c r="B401" s="233">
        <v>1955</v>
      </c>
      <c r="C401" s="234"/>
      <c r="D401" s="234" t="s">
        <v>4920</v>
      </c>
      <c r="E401" s="244" t="s">
        <v>3012</v>
      </c>
      <c r="F401" s="244" t="s">
        <v>3753</v>
      </c>
      <c r="G401" s="235" t="s">
        <v>2580</v>
      </c>
      <c r="H401" s="236">
        <v>0.01</v>
      </c>
      <c r="I401" s="236">
        <v>0.01</v>
      </c>
      <c r="J401" s="233">
        <v>1</v>
      </c>
      <c r="K401" s="235"/>
      <c r="L401" s="235"/>
      <c r="M401" s="276"/>
      <c r="N401" s="279" t="s">
        <v>25</v>
      </c>
      <c r="O401" t="str">
        <f t="shared" si="7"/>
        <v>1955 Wheat Penny</v>
      </c>
      <c r="S401" t="str" cm="1">
        <f t="array" ref="S401">_xlfn.REGEXEXTRACT(E401, "[0-9]{1,5}")</f>
        <v>1955</v>
      </c>
      <c r="T401" t="s">
        <v>2485</v>
      </c>
      <c r="U401" t="s">
        <v>3896</v>
      </c>
    </row>
    <row r="402" spans="1:21">
      <c r="A402" s="136">
        <v>1</v>
      </c>
      <c r="B402" s="233">
        <v>1956</v>
      </c>
      <c r="C402" s="234"/>
      <c r="D402" s="234" t="s">
        <v>4920</v>
      </c>
      <c r="E402" s="244" t="s">
        <v>3013</v>
      </c>
      <c r="F402" s="244" t="s">
        <v>3753</v>
      </c>
      <c r="G402" s="235" t="s">
        <v>2580</v>
      </c>
      <c r="H402" s="236">
        <v>0.01</v>
      </c>
      <c r="I402" s="236">
        <v>0.12</v>
      </c>
      <c r="J402" s="233">
        <v>1</v>
      </c>
      <c r="K402" s="235"/>
      <c r="L402" s="235"/>
      <c r="M402" s="276"/>
      <c r="N402" s="279" t="s">
        <v>25</v>
      </c>
      <c r="O402" t="str">
        <f t="shared" si="7"/>
        <v>1956 Wheat Penny</v>
      </c>
      <c r="S402" t="str" cm="1">
        <f t="array" ref="S402">_xlfn.REGEXEXTRACT(E402, "[0-9]{1,5}")</f>
        <v>1956</v>
      </c>
      <c r="T402" t="s">
        <v>2486</v>
      </c>
      <c r="U402" t="s">
        <v>3896</v>
      </c>
    </row>
    <row r="403" spans="1:21">
      <c r="A403" s="136">
        <v>1</v>
      </c>
      <c r="B403" s="233">
        <v>1956</v>
      </c>
      <c r="C403" s="234"/>
      <c r="D403" s="234" t="s">
        <v>4920</v>
      </c>
      <c r="E403" s="244" t="s">
        <v>3014</v>
      </c>
      <c r="F403" s="244" t="s">
        <v>3753</v>
      </c>
      <c r="G403" s="235" t="s">
        <v>2580</v>
      </c>
      <c r="H403" s="236">
        <v>0.01</v>
      </c>
      <c r="I403" s="236">
        <v>0.12</v>
      </c>
      <c r="J403" s="233">
        <v>1</v>
      </c>
      <c r="K403" s="235"/>
      <c r="L403" s="235"/>
      <c r="M403" s="276"/>
      <c r="N403" s="279" t="s">
        <v>25</v>
      </c>
      <c r="O403" t="str">
        <f t="shared" si="7"/>
        <v>1956 Wheat Penny</v>
      </c>
      <c r="S403" t="str" cm="1">
        <f t="array" ref="S403">_xlfn.REGEXEXTRACT(E403, "[0-9]{1,5}")</f>
        <v>1956</v>
      </c>
      <c r="T403" t="s">
        <v>2486</v>
      </c>
      <c r="U403" t="s">
        <v>3896</v>
      </c>
    </row>
    <row r="404" spans="1:21">
      <c r="A404" s="136">
        <v>1</v>
      </c>
      <c r="B404" s="233">
        <v>1956</v>
      </c>
      <c r="C404" s="234"/>
      <c r="D404" s="234" t="s">
        <v>4920</v>
      </c>
      <c r="E404" s="244" t="s">
        <v>3015</v>
      </c>
      <c r="F404" s="244" t="s">
        <v>3753</v>
      </c>
      <c r="G404" s="235" t="s">
        <v>2580</v>
      </c>
      <c r="H404" s="236">
        <v>0.01</v>
      </c>
      <c r="I404" s="236">
        <v>0.12</v>
      </c>
      <c r="J404" s="233">
        <v>1</v>
      </c>
      <c r="K404" s="235"/>
      <c r="L404" s="235"/>
      <c r="M404" s="276"/>
      <c r="N404" s="279" t="s">
        <v>25</v>
      </c>
      <c r="O404" t="str">
        <f t="shared" si="7"/>
        <v>1956 Wheat Penny</v>
      </c>
      <c r="S404" t="str" cm="1">
        <f t="array" ref="S404">_xlfn.REGEXEXTRACT(E404, "[0-9]{1,5}")</f>
        <v>1956</v>
      </c>
      <c r="T404" t="s">
        <v>2486</v>
      </c>
      <c r="U404" t="s">
        <v>3896</v>
      </c>
    </row>
    <row r="405" spans="1:21">
      <c r="A405" s="136">
        <v>1</v>
      </c>
      <c r="B405" s="233">
        <v>1956</v>
      </c>
      <c r="C405" s="234"/>
      <c r="D405" s="234" t="s">
        <v>4920</v>
      </c>
      <c r="E405" s="244" t="s">
        <v>3016</v>
      </c>
      <c r="F405" s="244" t="s">
        <v>3753</v>
      </c>
      <c r="G405" s="235" t="s">
        <v>2580</v>
      </c>
      <c r="H405" s="236">
        <v>0.01</v>
      </c>
      <c r="I405" s="236">
        <v>0.1</v>
      </c>
      <c r="J405" s="233">
        <v>1</v>
      </c>
      <c r="K405" s="235"/>
      <c r="L405" s="235"/>
      <c r="M405" s="276"/>
      <c r="N405" s="279" t="s">
        <v>25</v>
      </c>
      <c r="O405" t="str">
        <f t="shared" si="7"/>
        <v>1956 Wheat Penny</v>
      </c>
      <c r="S405" t="str" cm="1">
        <f t="array" ref="S405">_xlfn.REGEXEXTRACT(E405, "[0-9]{1,5}")</f>
        <v>1956</v>
      </c>
      <c r="T405" t="s">
        <v>2486</v>
      </c>
      <c r="U405" t="s">
        <v>3896</v>
      </c>
    </row>
    <row r="406" spans="1:21">
      <c r="A406" s="136">
        <v>1</v>
      </c>
      <c r="B406" s="233">
        <v>1956</v>
      </c>
      <c r="C406" s="234"/>
      <c r="D406" s="234" t="s">
        <v>4920</v>
      </c>
      <c r="E406" s="244" t="s">
        <v>3017</v>
      </c>
      <c r="F406" s="244" t="s">
        <v>3753</v>
      </c>
      <c r="G406" s="235" t="s">
        <v>2580</v>
      </c>
      <c r="H406" s="236">
        <v>0.01</v>
      </c>
      <c r="I406" s="236">
        <v>0.12</v>
      </c>
      <c r="J406" s="233">
        <v>1</v>
      </c>
      <c r="K406" s="235"/>
      <c r="L406" s="235"/>
      <c r="M406" s="276"/>
      <c r="N406" s="279" t="s">
        <v>25</v>
      </c>
      <c r="O406" t="str">
        <f t="shared" si="7"/>
        <v>1956 Wheat Penny</v>
      </c>
      <c r="S406" t="str" cm="1">
        <f t="array" ref="S406">_xlfn.REGEXEXTRACT(E406, "[0-9]{1,5}")</f>
        <v>1956</v>
      </c>
      <c r="T406" t="s">
        <v>2486</v>
      </c>
      <c r="U406" t="s">
        <v>3896</v>
      </c>
    </row>
    <row r="407" spans="1:21">
      <c r="A407" s="136">
        <v>1</v>
      </c>
      <c r="B407" s="233">
        <v>1956</v>
      </c>
      <c r="C407" s="234" t="s">
        <v>13</v>
      </c>
      <c r="D407" s="234" t="s">
        <v>4920</v>
      </c>
      <c r="E407" s="244" t="s">
        <v>3018</v>
      </c>
      <c r="F407" s="244" t="s">
        <v>3753</v>
      </c>
      <c r="G407" s="235" t="s">
        <v>2580</v>
      </c>
      <c r="H407" s="236">
        <v>0.01</v>
      </c>
      <c r="I407" s="236">
        <v>0.12</v>
      </c>
      <c r="J407" s="233">
        <v>1</v>
      </c>
      <c r="K407" s="235"/>
      <c r="L407" s="235"/>
      <c r="M407" s="276"/>
      <c r="N407" s="279" t="s">
        <v>25</v>
      </c>
      <c r="O407" t="str">
        <f t="shared" si="7"/>
        <v>1956-D Wheat Penny</v>
      </c>
      <c r="S407" t="str" cm="1">
        <f t="array" ref="S407">_xlfn.REGEXEXTRACT(E407, "[0-9]{1,5}")</f>
        <v>1956</v>
      </c>
      <c r="T407" t="s">
        <v>2486</v>
      </c>
      <c r="U407" t="s">
        <v>3896</v>
      </c>
    </row>
    <row r="408" spans="1:21">
      <c r="A408" s="136">
        <v>1</v>
      </c>
      <c r="B408" s="233">
        <v>1956</v>
      </c>
      <c r="C408" s="234" t="s">
        <v>13</v>
      </c>
      <c r="D408" s="234" t="s">
        <v>4920</v>
      </c>
      <c r="E408" s="244" t="s">
        <v>3019</v>
      </c>
      <c r="F408" s="244" t="s">
        <v>3753</v>
      </c>
      <c r="G408" s="235" t="s">
        <v>2580</v>
      </c>
      <c r="H408" s="236">
        <v>0.01</v>
      </c>
      <c r="I408" s="236">
        <v>0.12</v>
      </c>
      <c r="J408" s="233">
        <v>1</v>
      </c>
      <c r="K408" s="235"/>
      <c r="L408" s="235"/>
      <c r="M408" s="276"/>
      <c r="N408" s="279" t="s">
        <v>25</v>
      </c>
      <c r="O408" t="str">
        <f t="shared" si="7"/>
        <v>1956-D Wheat Penny</v>
      </c>
      <c r="S408" t="str" cm="1">
        <f t="array" ref="S408">_xlfn.REGEXEXTRACT(E408, "[0-9]{1,5}")</f>
        <v>1956</v>
      </c>
      <c r="T408" t="s">
        <v>2486</v>
      </c>
      <c r="U408" t="s">
        <v>3896</v>
      </c>
    </row>
    <row r="409" spans="1:21">
      <c r="A409" s="136">
        <v>1</v>
      </c>
      <c r="B409" s="233">
        <v>1956</v>
      </c>
      <c r="C409" s="234" t="s">
        <v>13</v>
      </c>
      <c r="D409" s="234" t="s">
        <v>4920</v>
      </c>
      <c r="E409" s="244" t="s">
        <v>3020</v>
      </c>
      <c r="F409" s="244" t="s">
        <v>3753</v>
      </c>
      <c r="G409" s="235" t="s">
        <v>2580</v>
      </c>
      <c r="H409" s="236">
        <v>0.01</v>
      </c>
      <c r="I409" s="236">
        <v>0.12</v>
      </c>
      <c r="J409" s="233">
        <v>1</v>
      </c>
      <c r="K409" s="235"/>
      <c r="L409" s="235"/>
      <c r="M409" s="276"/>
      <c r="N409" s="279" t="s">
        <v>25</v>
      </c>
      <c r="O409" t="str">
        <f t="shared" si="7"/>
        <v>1956-D Wheat Penny</v>
      </c>
      <c r="S409" t="str" cm="1">
        <f t="array" ref="S409">_xlfn.REGEXEXTRACT(E409, "[0-9]{1,5}")</f>
        <v>1956</v>
      </c>
      <c r="T409" t="s">
        <v>2486</v>
      </c>
      <c r="U409" t="s">
        <v>3896</v>
      </c>
    </row>
    <row r="410" spans="1:21">
      <c r="A410" s="136">
        <v>1</v>
      </c>
      <c r="B410" s="233">
        <v>1956</v>
      </c>
      <c r="C410" s="234" t="s">
        <v>13</v>
      </c>
      <c r="D410" s="234" t="s">
        <v>4920</v>
      </c>
      <c r="E410" s="244" t="s">
        <v>3021</v>
      </c>
      <c r="F410" s="244" t="s">
        <v>3753</v>
      </c>
      <c r="G410" s="235" t="s">
        <v>2580</v>
      </c>
      <c r="H410" s="236">
        <v>0.01</v>
      </c>
      <c r="I410" s="236">
        <v>0.12</v>
      </c>
      <c r="J410" s="233">
        <v>1</v>
      </c>
      <c r="K410" s="235"/>
      <c r="L410" s="235"/>
      <c r="M410" s="276"/>
      <c r="N410" s="279" t="s">
        <v>25</v>
      </c>
      <c r="O410" t="str">
        <f t="shared" si="7"/>
        <v>1956-D Wheat Penny</v>
      </c>
      <c r="S410" t="str" cm="1">
        <f t="array" ref="S410">_xlfn.REGEXEXTRACT(E410, "[0-9]{1,5}")</f>
        <v>1956</v>
      </c>
      <c r="T410" t="s">
        <v>2486</v>
      </c>
      <c r="U410" t="s">
        <v>3896</v>
      </c>
    </row>
    <row r="411" spans="1:21">
      <c r="A411" s="136">
        <v>1</v>
      </c>
      <c r="B411" s="233">
        <v>1956</v>
      </c>
      <c r="C411" s="234" t="s">
        <v>13</v>
      </c>
      <c r="D411" s="234" t="s">
        <v>4920</v>
      </c>
      <c r="E411" s="244" t="s">
        <v>3022</v>
      </c>
      <c r="F411" s="244" t="s">
        <v>3753</v>
      </c>
      <c r="G411" s="235" t="s">
        <v>2580</v>
      </c>
      <c r="H411" s="236">
        <v>0.01</v>
      </c>
      <c r="I411" s="236">
        <v>0.1</v>
      </c>
      <c r="J411" s="233">
        <v>1</v>
      </c>
      <c r="K411" s="235"/>
      <c r="L411" s="235"/>
      <c r="M411" s="276"/>
      <c r="N411" s="279" t="s">
        <v>25</v>
      </c>
      <c r="O411" t="str">
        <f t="shared" si="7"/>
        <v>1956-D Wheat Penny</v>
      </c>
      <c r="S411" t="str" cm="1">
        <f t="array" ref="S411">_xlfn.REGEXEXTRACT(E411, "[0-9]{1,5}")</f>
        <v>1956</v>
      </c>
      <c r="T411" t="s">
        <v>2486</v>
      </c>
      <c r="U411" t="s">
        <v>3896</v>
      </c>
    </row>
    <row r="412" spans="1:21">
      <c r="A412" s="136">
        <v>1</v>
      </c>
      <c r="B412" s="233">
        <v>1956</v>
      </c>
      <c r="C412" s="234" t="s">
        <v>13</v>
      </c>
      <c r="D412" s="234" t="s">
        <v>4920</v>
      </c>
      <c r="E412" s="244" t="s">
        <v>3023</v>
      </c>
      <c r="F412" s="244" t="s">
        <v>3753</v>
      </c>
      <c r="G412" s="235" t="s">
        <v>2580</v>
      </c>
      <c r="H412" s="236">
        <v>0.01</v>
      </c>
      <c r="I412" s="236">
        <v>0.01</v>
      </c>
      <c r="J412" s="233">
        <v>1</v>
      </c>
      <c r="K412" s="235"/>
      <c r="L412" s="235"/>
      <c r="M412" s="276"/>
      <c r="N412" s="279" t="s">
        <v>25</v>
      </c>
      <c r="O412" t="str">
        <f t="shared" si="7"/>
        <v>1956-D Wheat Penny</v>
      </c>
      <c r="S412" t="str" cm="1">
        <f t="array" ref="S412">_xlfn.REGEXEXTRACT(E412, "[0-9]{1,5}")</f>
        <v>1956</v>
      </c>
      <c r="T412" t="s">
        <v>2486</v>
      </c>
      <c r="U412" t="s">
        <v>3896</v>
      </c>
    </row>
    <row r="413" spans="1:21">
      <c r="A413" s="136">
        <v>1</v>
      </c>
      <c r="B413" s="233">
        <v>1956</v>
      </c>
      <c r="C413" s="234" t="s">
        <v>13</v>
      </c>
      <c r="D413" s="234" t="s">
        <v>4920</v>
      </c>
      <c r="E413" s="244" t="s">
        <v>3024</v>
      </c>
      <c r="F413" s="244" t="s">
        <v>3753</v>
      </c>
      <c r="G413" s="235" t="s">
        <v>2580</v>
      </c>
      <c r="H413" s="236">
        <v>0.01</v>
      </c>
      <c r="I413" s="236">
        <v>0.01</v>
      </c>
      <c r="J413" s="233">
        <v>1</v>
      </c>
      <c r="K413" s="235"/>
      <c r="L413" s="235"/>
      <c r="M413" s="276"/>
      <c r="N413" s="279" t="s">
        <v>25</v>
      </c>
      <c r="O413" t="str">
        <f t="shared" si="7"/>
        <v>1956-D Wheat Penny</v>
      </c>
      <c r="S413" t="str" cm="1">
        <f t="array" ref="S413">_xlfn.REGEXEXTRACT(E413, "[0-9]{1,5}")</f>
        <v>1956</v>
      </c>
      <c r="T413" t="s">
        <v>2486</v>
      </c>
      <c r="U413" t="s">
        <v>3896</v>
      </c>
    </row>
    <row r="414" spans="1:21">
      <c r="A414" s="136">
        <v>1</v>
      </c>
      <c r="B414" s="233">
        <v>1956</v>
      </c>
      <c r="C414" s="234" t="s">
        <v>13</v>
      </c>
      <c r="D414" s="234" t="s">
        <v>4920</v>
      </c>
      <c r="E414" s="244" t="s">
        <v>3025</v>
      </c>
      <c r="F414" s="244" t="s">
        <v>3753</v>
      </c>
      <c r="G414" s="235" t="s">
        <v>2580</v>
      </c>
      <c r="H414" s="236">
        <v>0.01</v>
      </c>
      <c r="I414" s="236">
        <v>0.01</v>
      </c>
      <c r="J414" s="233">
        <v>1</v>
      </c>
      <c r="K414" s="235"/>
      <c r="L414" s="235"/>
      <c r="M414" s="276"/>
      <c r="N414" s="279" t="s">
        <v>25</v>
      </c>
      <c r="O414" t="str">
        <f t="shared" si="7"/>
        <v>1956-D Wheat Penny</v>
      </c>
      <c r="S414" t="str" cm="1">
        <f t="array" ref="S414">_xlfn.REGEXEXTRACT(E414, "[0-9]{1,5}")</f>
        <v>1956</v>
      </c>
      <c r="T414" t="s">
        <v>2486</v>
      </c>
      <c r="U414" t="s">
        <v>3896</v>
      </c>
    </row>
    <row r="415" spans="1:21">
      <c r="A415" s="136">
        <v>1</v>
      </c>
      <c r="B415" s="233">
        <v>1956</v>
      </c>
      <c r="C415" s="234" t="s">
        <v>13</v>
      </c>
      <c r="D415" s="234" t="s">
        <v>4920</v>
      </c>
      <c r="E415" s="244" t="s">
        <v>3026</v>
      </c>
      <c r="F415" s="244" t="s">
        <v>3753</v>
      </c>
      <c r="G415" s="235" t="s">
        <v>2580</v>
      </c>
      <c r="H415" s="236">
        <v>0.01</v>
      </c>
      <c r="I415" s="236">
        <v>0.01</v>
      </c>
      <c r="J415" s="233">
        <v>1</v>
      </c>
      <c r="K415" s="235"/>
      <c r="L415" s="235"/>
      <c r="M415" s="276"/>
      <c r="N415" s="279" t="s">
        <v>25</v>
      </c>
      <c r="O415" t="str">
        <f t="shared" si="7"/>
        <v>1956-D Wheat Penny</v>
      </c>
      <c r="S415" t="str" cm="1">
        <f t="array" ref="S415">_xlfn.REGEXEXTRACT(E415, "[0-9]{1,5}")</f>
        <v>1956</v>
      </c>
      <c r="T415" t="s">
        <v>2486</v>
      </c>
      <c r="U415" t="s">
        <v>3896</v>
      </c>
    </row>
    <row r="416" spans="1:21">
      <c r="A416" s="136">
        <v>1</v>
      </c>
      <c r="B416" s="233">
        <v>1956</v>
      </c>
      <c r="C416" s="234" t="s">
        <v>13</v>
      </c>
      <c r="D416" s="234" t="s">
        <v>4920</v>
      </c>
      <c r="E416" s="244" t="s">
        <v>3027</v>
      </c>
      <c r="F416" s="244" t="s">
        <v>3753</v>
      </c>
      <c r="G416" s="235" t="s">
        <v>2580</v>
      </c>
      <c r="H416" s="236">
        <v>0.01</v>
      </c>
      <c r="I416" s="236">
        <v>0.01</v>
      </c>
      <c r="J416" s="233">
        <v>1</v>
      </c>
      <c r="K416" s="235"/>
      <c r="L416" s="235"/>
      <c r="M416" s="276"/>
      <c r="N416" s="279" t="s">
        <v>25</v>
      </c>
      <c r="O416" t="str">
        <f t="shared" si="7"/>
        <v>1956-D Wheat Penny</v>
      </c>
      <c r="S416" t="str" cm="1">
        <f t="array" ref="S416">_xlfn.REGEXEXTRACT(E416, "[0-9]{1,5}")</f>
        <v>1956</v>
      </c>
      <c r="T416" t="s">
        <v>2486</v>
      </c>
      <c r="U416" t="s">
        <v>3896</v>
      </c>
    </row>
    <row r="417" spans="1:21">
      <c r="A417" s="136">
        <v>1</v>
      </c>
      <c r="B417" s="233">
        <v>1956</v>
      </c>
      <c r="C417" s="234" t="s">
        <v>13</v>
      </c>
      <c r="D417" s="234" t="s">
        <v>4920</v>
      </c>
      <c r="E417" s="244" t="s">
        <v>3028</v>
      </c>
      <c r="F417" s="244" t="s">
        <v>3753</v>
      </c>
      <c r="G417" s="235" t="s">
        <v>2580</v>
      </c>
      <c r="H417" s="236">
        <v>0.01</v>
      </c>
      <c r="I417" s="236">
        <v>0.01</v>
      </c>
      <c r="J417" s="233">
        <v>1</v>
      </c>
      <c r="K417" s="235"/>
      <c r="L417" s="235"/>
      <c r="M417" s="276"/>
      <c r="N417" s="279" t="s">
        <v>25</v>
      </c>
      <c r="O417" t="str">
        <f t="shared" si="7"/>
        <v>1956-D Wheat Penny</v>
      </c>
      <c r="S417" t="str" cm="1">
        <f t="array" ref="S417">_xlfn.REGEXEXTRACT(E417, "[0-9]{1,5}")</f>
        <v>1956</v>
      </c>
      <c r="T417" t="s">
        <v>2486</v>
      </c>
      <c r="U417" t="s">
        <v>3896</v>
      </c>
    </row>
    <row r="418" spans="1:21">
      <c r="A418" s="136">
        <v>1</v>
      </c>
      <c r="B418" s="233">
        <v>1956</v>
      </c>
      <c r="C418" s="234"/>
      <c r="D418" s="234" t="s">
        <v>4920</v>
      </c>
      <c r="E418" s="244" t="s">
        <v>3029</v>
      </c>
      <c r="F418" s="244" t="s">
        <v>3753</v>
      </c>
      <c r="G418" s="235" t="s">
        <v>2580</v>
      </c>
      <c r="H418" s="236">
        <v>0.01</v>
      </c>
      <c r="I418" s="236">
        <v>0.01</v>
      </c>
      <c r="J418" s="233">
        <v>1</v>
      </c>
      <c r="K418" s="235"/>
      <c r="L418" s="235"/>
      <c r="M418" s="276"/>
      <c r="N418" s="279" t="s">
        <v>25</v>
      </c>
      <c r="O418" t="str">
        <f t="shared" si="7"/>
        <v>1956 Wheat Penny</v>
      </c>
      <c r="S418" t="str" cm="1">
        <f t="array" ref="S418">_xlfn.REGEXEXTRACT(E418, "[0-9]{1,5}")</f>
        <v>1956</v>
      </c>
      <c r="T418" t="s">
        <v>2486</v>
      </c>
      <c r="U418" t="s">
        <v>3896</v>
      </c>
    </row>
    <row r="419" spans="1:21">
      <c r="A419" s="136">
        <v>1</v>
      </c>
      <c r="B419" s="233">
        <v>1956</v>
      </c>
      <c r="C419" s="234"/>
      <c r="D419" s="234" t="s">
        <v>4920</v>
      </c>
      <c r="E419" s="244" t="s">
        <v>3030</v>
      </c>
      <c r="F419" s="244" t="s">
        <v>3753</v>
      </c>
      <c r="G419" s="235" t="s">
        <v>2580</v>
      </c>
      <c r="H419" s="236">
        <v>0.01</v>
      </c>
      <c r="I419" s="236">
        <v>0.01</v>
      </c>
      <c r="J419" s="233">
        <v>1</v>
      </c>
      <c r="K419" s="235"/>
      <c r="L419" s="235"/>
      <c r="M419" s="276"/>
      <c r="N419" s="279" t="s">
        <v>25</v>
      </c>
      <c r="O419" t="str">
        <f t="shared" si="7"/>
        <v>1956 Wheat Penny</v>
      </c>
      <c r="S419" t="str" cm="1">
        <f t="array" ref="S419">_xlfn.REGEXEXTRACT(E419, "[0-9]{1,5}")</f>
        <v>1956</v>
      </c>
      <c r="T419" t="s">
        <v>2486</v>
      </c>
      <c r="U419" t="s">
        <v>3896</v>
      </c>
    </row>
    <row r="420" spans="1:21">
      <c r="A420" s="136">
        <v>1</v>
      </c>
      <c r="B420" s="233">
        <v>1956</v>
      </c>
      <c r="C420" s="234"/>
      <c r="D420" s="234" t="s">
        <v>4920</v>
      </c>
      <c r="E420" s="244" t="s">
        <v>3031</v>
      </c>
      <c r="F420" s="244" t="s">
        <v>3753</v>
      </c>
      <c r="G420" s="235" t="s">
        <v>2580</v>
      </c>
      <c r="H420" s="236">
        <v>0.01</v>
      </c>
      <c r="I420" s="236">
        <v>0.01</v>
      </c>
      <c r="J420" s="233">
        <v>1</v>
      </c>
      <c r="K420" s="235"/>
      <c r="L420" s="235"/>
      <c r="M420" s="276"/>
      <c r="N420" s="279" t="s">
        <v>25</v>
      </c>
      <c r="O420" t="str">
        <f t="shared" si="7"/>
        <v>1956 Wheat Penny</v>
      </c>
      <c r="S420" t="str" cm="1">
        <f t="array" ref="S420">_xlfn.REGEXEXTRACT(E420, "[0-9]{1,5}")</f>
        <v>1956</v>
      </c>
      <c r="T420" t="s">
        <v>2486</v>
      </c>
      <c r="U420" t="s">
        <v>3896</v>
      </c>
    </row>
    <row r="421" spans="1:21">
      <c r="A421" s="136">
        <v>1</v>
      </c>
      <c r="B421" s="233">
        <v>1956</v>
      </c>
      <c r="C421" s="234" t="s">
        <v>13</v>
      </c>
      <c r="D421" s="234" t="s">
        <v>4920</v>
      </c>
      <c r="E421" s="244" t="s">
        <v>3032</v>
      </c>
      <c r="F421" s="244" t="s">
        <v>3753</v>
      </c>
      <c r="G421" s="235" t="s">
        <v>2580</v>
      </c>
      <c r="H421" s="236">
        <v>0.01</v>
      </c>
      <c r="I421" s="236">
        <v>0.01</v>
      </c>
      <c r="J421" s="233">
        <v>1</v>
      </c>
      <c r="K421" s="235"/>
      <c r="L421" s="235"/>
      <c r="M421" s="276"/>
      <c r="N421" s="279" t="s">
        <v>25</v>
      </c>
      <c r="O421" t="str">
        <f t="shared" si="7"/>
        <v>1956-D Wheat Penny</v>
      </c>
      <c r="S421" t="str" cm="1">
        <f t="array" ref="S421">_xlfn.REGEXEXTRACT(E421, "[0-9]{1,5}")</f>
        <v>1956</v>
      </c>
      <c r="T421" t="s">
        <v>2486</v>
      </c>
      <c r="U421" t="s">
        <v>3896</v>
      </c>
    </row>
    <row r="422" spans="1:21">
      <c r="A422" s="136">
        <v>1</v>
      </c>
      <c r="B422" s="233">
        <v>1956</v>
      </c>
      <c r="C422" s="234" t="s">
        <v>13</v>
      </c>
      <c r="D422" s="234" t="s">
        <v>4920</v>
      </c>
      <c r="E422" s="244" t="s">
        <v>3033</v>
      </c>
      <c r="F422" s="244" t="s">
        <v>3753</v>
      </c>
      <c r="G422" s="235" t="s">
        <v>2580</v>
      </c>
      <c r="H422" s="236">
        <v>0.01</v>
      </c>
      <c r="I422" s="236">
        <v>0.01</v>
      </c>
      <c r="J422" s="233">
        <v>1</v>
      </c>
      <c r="K422" s="235"/>
      <c r="L422" s="235"/>
      <c r="M422" s="276"/>
      <c r="N422" s="279" t="s">
        <v>25</v>
      </c>
      <c r="O422" t="str">
        <f t="shared" si="7"/>
        <v>1956-D Wheat Penny</v>
      </c>
      <c r="S422" t="str" cm="1">
        <f t="array" ref="S422">_xlfn.REGEXEXTRACT(E422, "[0-9]{1,5}")</f>
        <v>1956</v>
      </c>
      <c r="T422" t="s">
        <v>2486</v>
      </c>
      <c r="U422" t="s">
        <v>3896</v>
      </c>
    </row>
    <row r="423" spans="1:21">
      <c r="A423" s="136">
        <v>1</v>
      </c>
      <c r="B423" s="233">
        <v>1956</v>
      </c>
      <c r="C423" s="234" t="s">
        <v>13</v>
      </c>
      <c r="D423" s="234" t="s">
        <v>4920</v>
      </c>
      <c r="E423" s="244" t="s">
        <v>3034</v>
      </c>
      <c r="F423" s="244" t="s">
        <v>3753</v>
      </c>
      <c r="G423" s="235" t="s">
        <v>2580</v>
      </c>
      <c r="H423" s="236">
        <v>0.01</v>
      </c>
      <c r="I423" s="236">
        <v>0.01</v>
      </c>
      <c r="J423" s="233">
        <v>1</v>
      </c>
      <c r="K423" s="235"/>
      <c r="L423" s="235"/>
      <c r="M423" s="276"/>
      <c r="N423" s="279" t="s">
        <v>25</v>
      </c>
      <c r="O423" t="str">
        <f t="shared" si="7"/>
        <v>1956-D Wheat Penny</v>
      </c>
      <c r="S423" t="str" cm="1">
        <f t="array" ref="S423">_xlfn.REGEXEXTRACT(E423, "[0-9]{1,5}")</f>
        <v>1956</v>
      </c>
      <c r="T423" t="s">
        <v>2486</v>
      </c>
      <c r="U423" t="s">
        <v>3896</v>
      </c>
    </row>
    <row r="424" spans="1:21">
      <c r="A424" s="136">
        <v>1</v>
      </c>
      <c r="B424" s="233">
        <v>1957</v>
      </c>
      <c r="C424" s="234"/>
      <c r="D424" s="234" t="s">
        <v>4920</v>
      </c>
      <c r="E424" s="244" t="s">
        <v>3035</v>
      </c>
      <c r="F424" s="244" t="s">
        <v>3753</v>
      </c>
      <c r="G424" s="235" t="s">
        <v>2580</v>
      </c>
      <c r="H424" s="236">
        <v>0.01</v>
      </c>
      <c r="I424" s="236">
        <v>0.12</v>
      </c>
      <c r="J424" s="233">
        <v>1</v>
      </c>
      <c r="K424" s="235"/>
      <c r="L424" s="235"/>
      <c r="M424" s="276"/>
      <c r="N424" s="279" t="s">
        <v>25</v>
      </c>
      <c r="O424" t="str">
        <f t="shared" si="7"/>
        <v>1957 Wheat Penny</v>
      </c>
      <c r="S424" t="str" cm="1">
        <f t="array" ref="S424">_xlfn.REGEXEXTRACT(E424, "[0-9]{1,5}")</f>
        <v>1957</v>
      </c>
      <c r="T424" t="s">
        <v>2487</v>
      </c>
      <c r="U424" t="s">
        <v>3896</v>
      </c>
    </row>
    <row r="425" spans="1:21">
      <c r="A425" s="136">
        <v>1</v>
      </c>
      <c r="B425" s="233">
        <v>1957</v>
      </c>
      <c r="C425" s="234"/>
      <c r="D425" s="234" t="s">
        <v>4920</v>
      </c>
      <c r="E425" s="244" t="s">
        <v>3036</v>
      </c>
      <c r="F425" s="244" t="s">
        <v>3753</v>
      </c>
      <c r="G425" s="235" t="s">
        <v>2580</v>
      </c>
      <c r="H425" s="236">
        <v>0.01</v>
      </c>
      <c r="I425" s="236">
        <v>0.12</v>
      </c>
      <c r="J425" s="233">
        <v>1</v>
      </c>
      <c r="K425" s="235"/>
      <c r="L425" s="235"/>
      <c r="M425" s="276"/>
      <c r="N425" s="279" t="s">
        <v>25</v>
      </c>
      <c r="O425" t="str">
        <f t="shared" si="7"/>
        <v>1957 Wheat Penny</v>
      </c>
      <c r="S425" t="str" cm="1">
        <f t="array" ref="S425">_xlfn.REGEXEXTRACT(E425, "[0-9]{1,5}")</f>
        <v>1957</v>
      </c>
      <c r="T425" t="s">
        <v>2487</v>
      </c>
      <c r="U425" t="s">
        <v>3896</v>
      </c>
    </row>
    <row r="426" spans="1:21">
      <c r="A426" s="136">
        <v>1</v>
      </c>
      <c r="B426" s="233">
        <v>1957</v>
      </c>
      <c r="C426" s="234" t="s">
        <v>13</v>
      </c>
      <c r="D426" s="234" t="s">
        <v>4920</v>
      </c>
      <c r="E426" s="244" t="s">
        <v>3037</v>
      </c>
      <c r="F426" s="244" t="s">
        <v>3753</v>
      </c>
      <c r="G426" s="235" t="s">
        <v>2580</v>
      </c>
      <c r="H426" s="236">
        <v>0.01</v>
      </c>
      <c r="I426" s="236">
        <v>0.1</v>
      </c>
      <c r="J426" s="233">
        <v>1</v>
      </c>
      <c r="K426" s="235"/>
      <c r="L426" s="235"/>
      <c r="M426" s="276"/>
      <c r="N426" s="279" t="s">
        <v>25</v>
      </c>
      <c r="O426" t="str">
        <f t="shared" si="7"/>
        <v>1957-D Wheat Penny</v>
      </c>
      <c r="S426" t="str" cm="1">
        <f t="array" ref="S426">_xlfn.REGEXEXTRACT(E426, "[0-9]{1,5}")</f>
        <v>1957</v>
      </c>
      <c r="T426" t="s">
        <v>2487</v>
      </c>
      <c r="U426" t="s">
        <v>3896</v>
      </c>
    </row>
    <row r="427" spans="1:21">
      <c r="A427" s="136">
        <v>1</v>
      </c>
      <c r="B427" s="233">
        <v>1957</v>
      </c>
      <c r="C427" s="234" t="s">
        <v>13</v>
      </c>
      <c r="D427" s="234" t="s">
        <v>4920</v>
      </c>
      <c r="E427" s="244" t="s">
        <v>3038</v>
      </c>
      <c r="F427" s="244" t="s">
        <v>3753</v>
      </c>
      <c r="G427" s="235" t="s">
        <v>2580</v>
      </c>
      <c r="H427" s="236">
        <v>0.01</v>
      </c>
      <c r="I427" s="236">
        <v>0.1</v>
      </c>
      <c r="J427" s="233">
        <v>1</v>
      </c>
      <c r="K427" s="235"/>
      <c r="L427" s="235"/>
      <c r="M427" s="276"/>
      <c r="N427" s="279" t="s">
        <v>25</v>
      </c>
      <c r="O427" t="str">
        <f t="shared" si="7"/>
        <v>1957-D Wheat Penny</v>
      </c>
      <c r="S427" t="str" cm="1">
        <f t="array" ref="S427">_xlfn.REGEXEXTRACT(E427, "[0-9]{1,5}")</f>
        <v>1957</v>
      </c>
      <c r="T427" t="s">
        <v>2487</v>
      </c>
      <c r="U427" t="s">
        <v>3896</v>
      </c>
    </row>
    <row r="428" spans="1:21">
      <c r="A428" s="136">
        <v>1</v>
      </c>
      <c r="B428" s="233">
        <v>1957</v>
      </c>
      <c r="C428" s="234" t="s">
        <v>13</v>
      </c>
      <c r="D428" s="234" t="s">
        <v>4920</v>
      </c>
      <c r="E428" s="244" t="s">
        <v>3039</v>
      </c>
      <c r="F428" s="244" t="s">
        <v>3753</v>
      </c>
      <c r="G428" s="235" t="s">
        <v>2580</v>
      </c>
      <c r="H428" s="236">
        <v>0.01</v>
      </c>
      <c r="I428" s="236">
        <v>0.1</v>
      </c>
      <c r="J428" s="233">
        <v>1</v>
      </c>
      <c r="K428" s="235"/>
      <c r="L428" s="235"/>
      <c r="M428" s="276"/>
      <c r="N428" s="279" t="s">
        <v>25</v>
      </c>
      <c r="O428" t="str">
        <f t="shared" si="7"/>
        <v>1957-D Wheat Penny</v>
      </c>
      <c r="S428" t="str" cm="1">
        <f t="array" ref="S428">_xlfn.REGEXEXTRACT(E428, "[0-9]{1,5}")</f>
        <v>1957</v>
      </c>
      <c r="T428" t="s">
        <v>2487</v>
      </c>
      <c r="U428" t="s">
        <v>3896</v>
      </c>
    </row>
    <row r="429" spans="1:21">
      <c r="A429" s="136">
        <v>1</v>
      </c>
      <c r="B429" s="233">
        <v>1957</v>
      </c>
      <c r="C429" s="234" t="s">
        <v>13</v>
      </c>
      <c r="D429" s="234" t="s">
        <v>4920</v>
      </c>
      <c r="E429" s="244" t="s">
        <v>3040</v>
      </c>
      <c r="F429" s="244" t="s">
        <v>3753</v>
      </c>
      <c r="G429" s="235" t="s">
        <v>2580</v>
      </c>
      <c r="H429" s="236">
        <v>0.01</v>
      </c>
      <c r="I429" s="236">
        <v>0.1</v>
      </c>
      <c r="J429" s="233">
        <v>1</v>
      </c>
      <c r="K429" s="235"/>
      <c r="L429" s="235"/>
      <c r="M429" s="276"/>
      <c r="N429" s="279" t="s">
        <v>25</v>
      </c>
      <c r="O429" t="str">
        <f t="shared" si="7"/>
        <v>1957-D Wheat Penny</v>
      </c>
      <c r="S429" t="str" cm="1">
        <f t="array" ref="S429">_xlfn.REGEXEXTRACT(E429, "[0-9]{1,5}")</f>
        <v>1957</v>
      </c>
      <c r="T429" t="s">
        <v>2487</v>
      </c>
      <c r="U429" t="s">
        <v>3896</v>
      </c>
    </row>
    <row r="430" spans="1:21">
      <c r="A430" s="136">
        <v>1</v>
      </c>
      <c r="B430" s="233">
        <v>1957</v>
      </c>
      <c r="C430" s="234" t="s">
        <v>13</v>
      </c>
      <c r="D430" s="234" t="s">
        <v>4920</v>
      </c>
      <c r="E430" s="244" t="s">
        <v>3041</v>
      </c>
      <c r="F430" s="244" t="s">
        <v>3753</v>
      </c>
      <c r="G430" s="235" t="s">
        <v>2580</v>
      </c>
      <c r="H430" s="236">
        <v>0.01</v>
      </c>
      <c r="I430" s="236">
        <v>0.1</v>
      </c>
      <c r="J430" s="233">
        <v>1</v>
      </c>
      <c r="K430" s="235"/>
      <c r="L430" s="235"/>
      <c r="M430" s="276"/>
      <c r="N430" s="279" t="s">
        <v>25</v>
      </c>
      <c r="O430" t="str">
        <f t="shared" si="7"/>
        <v>1957-D Wheat Penny</v>
      </c>
      <c r="S430" t="str" cm="1">
        <f t="array" ref="S430">_xlfn.REGEXEXTRACT(E430, "[0-9]{1,5}")</f>
        <v>1957</v>
      </c>
      <c r="T430" t="s">
        <v>2487</v>
      </c>
      <c r="U430" t="s">
        <v>3896</v>
      </c>
    </row>
    <row r="431" spans="1:21">
      <c r="A431" s="136">
        <v>1</v>
      </c>
      <c r="B431" s="233">
        <v>1957</v>
      </c>
      <c r="C431" s="234" t="s">
        <v>13</v>
      </c>
      <c r="D431" s="234" t="s">
        <v>4920</v>
      </c>
      <c r="E431" s="244" t="s">
        <v>3042</v>
      </c>
      <c r="F431" s="244" t="s">
        <v>3753</v>
      </c>
      <c r="G431" s="235" t="s">
        <v>2580</v>
      </c>
      <c r="H431" s="236">
        <v>0.01</v>
      </c>
      <c r="I431" s="236">
        <v>0.1</v>
      </c>
      <c r="J431" s="233">
        <v>1</v>
      </c>
      <c r="K431" s="235"/>
      <c r="L431" s="235"/>
      <c r="M431" s="276"/>
      <c r="N431" s="279" t="s">
        <v>25</v>
      </c>
      <c r="O431" t="str">
        <f t="shared" si="7"/>
        <v>1957-D Wheat Penny</v>
      </c>
      <c r="S431" t="str" cm="1">
        <f t="array" ref="S431">_xlfn.REGEXEXTRACT(E431, "[0-9]{1,5}")</f>
        <v>1957</v>
      </c>
      <c r="T431" t="s">
        <v>2487</v>
      </c>
      <c r="U431" t="s">
        <v>3896</v>
      </c>
    </row>
    <row r="432" spans="1:21">
      <c r="A432" s="136">
        <v>1</v>
      </c>
      <c r="B432" s="233">
        <v>1957</v>
      </c>
      <c r="C432" s="234" t="s">
        <v>13</v>
      </c>
      <c r="D432" s="234" t="s">
        <v>4920</v>
      </c>
      <c r="E432" s="244" t="s">
        <v>3043</v>
      </c>
      <c r="F432" s="244" t="s">
        <v>3753</v>
      </c>
      <c r="G432" s="235" t="s">
        <v>2580</v>
      </c>
      <c r="H432" s="236">
        <v>0.01</v>
      </c>
      <c r="I432" s="236">
        <v>0.1</v>
      </c>
      <c r="J432" s="233">
        <v>1</v>
      </c>
      <c r="K432" s="235"/>
      <c r="L432" s="235"/>
      <c r="M432" s="276"/>
      <c r="N432" s="279" t="s">
        <v>25</v>
      </c>
      <c r="O432" t="str">
        <f t="shared" si="7"/>
        <v>1957-D Wheat Penny</v>
      </c>
      <c r="S432" t="str" cm="1">
        <f t="array" ref="S432">_xlfn.REGEXEXTRACT(E432, "[0-9]{1,5}")</f>
        <v>1957</v>
      </c>
      <c r="T432" t="s">
        <v>2487</v>
      </c>
      <c r="U432" t="s">
        <v>3896</v>
      </c>
    </row>
    <row r="433" spans="1:21">
      <c r="A433" s="136">
        <v>1</v>
      </c>
      <c r="B433" s="233">
        <v>1957</v>
      </c>
      <c r="C433" s="234"/>
      <c r="D433" s="234" t="s">
        <v>4920</v>
      </c>
      <c r="E433" s="244" t="s">
        <v>3044</v>
      </c>
      <c r="F433" s="244" t="s">
        <v>3753</v>
      </c>
      <c r="G433" s="235" t="s">
        <v>2580</v>
      </c>
      <c r="H433" s="236">
        <v>0.01</v>
      </c>
      <c r="I433" s="236">
        <v>0.1</v>
      </c>
      <c r="J433" s="233">
        <v>1</v>
      </c>
      <c r="K433" s="235"/>
      <c r="L433" s="235"/>
      <c r="M433" s="276"/>
      <c r="N433" s="279" t="s">
        <v>25</v>
      </c>
      <c r="O433" t="str">
        <f t="shared" si="7"/>
        <v>1957 Wheat Penny</v>
      </c>
      <c r="S433" t="str" cm="1">
        <f t="array" ref="S433">_xlfn.REGEXEXTRACT(E433, "[0-9]{1,5}")</f>
        <v>1957</v>
      </c>
      <c r="T433" t="s">
        <v>2487</v>
      </c>
      <c r="U433" t="s">
        <v>3896</v>
      </c>
    </row>
    <row r="434" spans="1:21">
      <c r="A434" s="136">
        <v>1</v>
      </c>
      <c r="B434" s="233">
        <v>1957</v>
      </c>
      <c r="C434" s="234" t="s">
        <v>13</v>
      </c>
      <c r="D434" s="234" t="s">
        <v>4920</v>
      </c>
      <c r="E434" s="244" t="s">
        <v>3045</v>
      </c>
      <c r="F434" s="244" t="s">
        <v>3753</v>
      </c>
      <c r="G434" s="235" t="s">
        <v>2580</v>
      </c>
      <c r="H434" s="236">
        <v>0.01</v>
      </c>
      <c r="I434" s="236">
        <v>0.1</v>
      </c>
      <c r="J434" s="233">
        <v>1</v>
      </c>
      <c r="K434" s="235"/>
      <c r="L434" s="235"/>
      <c r="M434" s="276"/>
      <c r="N434" s="279" t="s">
        <v>25</v>
      </c>
      <c r="O434" t="str">
        <f t="shared" si="7"/>
        <v>1957-D Wheat Penny</v>
      </c>
      <c r="S434" t="str" cm="1">
        <f t="array" ref="S434">_xlfn.REGEXEXTRACT(E434, "[0-9]{1,5}")</f>
        <v>1957</v>
      </c>
      <c r="T434" t="s">
        <v>2487</v>
      </c>
      <c r="U434" t="s">
        <v>3896</v>
      </c>
    </row>
    <row r="435" spans="1:21">
      <c r="A435" s="136">
        <v>1</v>
      </c>
      <c r="B435" s="233">
        <v>1957</v>
      </c>
      <c r="C435" s="234" t="s">
        <v>13</v>
      </c>
      <c r="D435" s="234" t="s">
        <v>4920</v>
      </c>
      <c r="E435" s="244" t="s">
        <v>3046</v>
      </c>
      <c r="F435" s="244" t="s">
        <v>3753</v>
      </c>
      <c r="G435" s="235" t="s">
        <v>2580</v>
      </c>
      <c r="H435" s="236">
        <v>0.01</v>
      </c>
      <c r="I435" s="236">
        <v>0.1</v>
      </c>
      <c r="J435" s="233">
        <v>1</v>
      </c>
      <c r="K435" s="235"/>
      <c r="L435" s="235"/>
      <c r="M435" s="276"/>
      <c r="N435" s="279" t="s">
        <v>25</v>
      </c>
      <c r="O435" t="str">
        <f t="shared" si="7"/>
        <v>1957-D Wheat Penny</v>
      </c>
      <c r="S435" t="str" cm="1">
        <f t="array" ref="S435">_xlfn.REGEXEXTRACT(E435, "[0-9]{1,5}")</f>
        <v>1957</v>
      </c>
      <c r="T435" t="s">
        <v>2487</v>
      </c>
      <c r="U435" t="s">
        <v>3896</v>
      </c>
    </row>
    <row r="436" spans="1:21">
      <c r="A436" s="136">
        <v>1</v>
      </c>
      <c r="B436" s="233">
        <v>1957</v>
      </c>
      <c r="C436" s="234" t="s">
        <v>13</v>
      </c>
      <c r="D436" s="234" t="s">
        <v>4920</v>
      </c>
      <c r="E436" s="244" t="s">
        <v>3047</v>
      </c>
      <c r="F436" s="244" t="s">
        <v>3753</v>
      </c>
      <c r="G436" s="235" t="s">
        <v>2580</v>
      </c>
      <c r="H436" s="236">
        <v>0.01</v>
      </c>
      <c r="I436" s="236">
        <v>0.1</v>
      </c>
      <c r="J436" s="233">
        <v>1</v>
      </c>
      <c r="K436" s="235"/>
      <c r="L436" s="235"/>
      <c r="M436" s="276"/>
      <c r="N436" s="279" t="s">
        <v>25</v>
      </c>
      <c r="O436" t="str">
        <f t="shared" si="7"/>
        <v>1957-D Wheat Penny</v>
      </c>
      <c r="S436" t="str" cm="1">
        <f t="array" ref="S436">_xlfn.REGEXEXTRACT(E436, "[0-9]{1,5}")</f>
        <v>1957</v>
      </c>
      <c r="T436" t="s">
        <v>2487</v>
      </c>
      <c r="U436" t="s">
        <v>3896</v>
      </c>
    </row>
    <row r="437" spans="1:21">
      <c r="A437" s="136">
        <v>1</v>
      </c>
      <c r="B437" s="233">
        <v>1958</v>
      </c>
      <c r="C437" s="234" t="s">
        <v>13</v>
      </c>
      <c r="D437" s="234" t="s">
        <v>4920</v>
      </c>
      <c r="E437" s="244" t="s">
        <v>3048</v>
      </c>
      <c r="F437" s="244" t="s">
        <v>3753</v>
      </c>
      <c r="G437" s="235" t="s">
        <v>2580</v>
      </c>
      <c r="H437" s="236">
        <v>0.01</v>
      </c>
      <c r="I437" s="236">
        <v>0.01</v>
      </c>
      <c r="J437" s="233">
        <v>1</v>
      </c>
      <c r="K437" s="235"/>
      <c r="L437" s="235"/>
      <c r="M437" s="276"/>
      <c r="N437" s="279" t="s">
        <v>25</v>
      </c>
      <c r="O437" t="str">
        <f t="shared" si="7"/>
        <v>1958-D Wheat Penny</v>
      </c>
      <c r="S437" t="str" cm="1">
        <f t="array" ref="S437">_xlfn.REGEXEXTRACT(E437, "[0-9]{1,5}")</f>
        <v>1958</v>
      </c>
      <c r="T437" t="s">
        <v>2488</v>
      </c>
      <c r="U437" t="s">
        <v>3896</v>
      </c>
    </row>
    <row r="438" spans="1:21">
      <c r="A438" s="136">
        <v>1</v>
      </c>
      <c r="B438" s="233">
        <v>1958</v>
      </c>
      <c r="C438" s="234" t="s">
        <v>13</v>
      </c>
      <c r="D438" s="234" t="s">
        <v>4920</v>
      </c>
      <c r="E438" s="244" t="s">
        <v>3049</v>
      </c>
      <c r="F438" s="244" t="s">
        <v>3753</v>
      </c>
      <c r="G438" s="235" t="s">
        <v>2580</v>
      </c>
      <c r="H438" s="236">
        <v>0.01</v>
      </c>
      <c r="I438" s="236">
        <v>0.1</v>
      </c>
      <c r="J438" s="233">
        <v>1</v>
      </c>
      <c r="K438" s="235"/>
      <c r="L438" s="235"/>
      <c r="M438" s="276"/>
      <c r="N438" s="279" t="s">
        <v>25</v>
      </c>
      <c r="O438" t="str">
        <f t="shared" si="7"/>
        <v>1958-D Wheat Penny</v>
      </c>
      <c r="S438" t="str" cm="1">
        <f t="array" ref="S438">_xlfn.REGEXEXTRACT(E438, "[0-9]{1,5}")</f>
        <v>1958</v>
      </c>
      <c r="T438" t="s">
        <v>2488</v>
      </c>
      <c r="U438" t="s">
        <v>3896</v>
      </c>
    </row>
    <row r="439" spans="1:21">
      <c r="A439" s="136">
        <v>1</v>
      </c>
      <c r="B439" s="233">
        <v>1958</v>
      </c>
      <c r="C439" s="234"/>
      <c r="D439" s="234" t="s">
        <v>4920</v>
      </c>
      <c r="E439" s="244" t="s">
        <v>3050</v>
      </c>
      <c r="F439" s="244" t="s">
        <v>3753</v>
      </c>
      <c r="G439" s="235" t="s">
        <v>2580</v>
      </c>
      <c r="H439" s="236">
        <v>0.01</v>
      </c>
      <c r="I439" s="236">
        <v>0.1</v>
      </c>
      <c r="J439" s="233">
        <v>1</v>
      </c>
      <c r="K439" s="235"/>
      <c r="L439" s="235"/>
      <c r="M439" s="276"/>
      <c r="N439" s="279" t="s">
        <v>25</v>
      </c>
      <c r="O439" t="str">
        <f t="shared" si="7"/>
        <v>1958 Wheat Penny</v>
      </c>
      <c r="S439" t="str" cm="1">
        <f t="array" ref="S439">_xlfn.REGEXEXTRACT(E439, "[0-9]{1,5}")</f>
        <v>1958</v>
      </c>
      <c r="T439" t="s">
        <v>2488</v>
      </c>
      <c r="U439" t="s">
        <v>3896</v>
      </c>
    </row>
    <row r="440" spans="1:21">
      <c r="A440" s="136">
        <v>1</v>
      </c>
      <c r="B440" s="233">
        <v>1958</v>
      </c>
      <c r="C440" s="234"/>
      <c r="D440" s="234" t="s">
        <v>4920</v>
      </c>
      <c r="E440" s="244" t="s">
        <v>3051</v>
      </c>
      <c r="F440" s="244" t="s">
        <v>3753</v>
      </c>
      <c r="G440" s="235" t="s">
        <v>2580</v>
      </c>
      <c r="H440" s="236">
        <v>0.01</v>
      </c>
      <c r="I440" s="236">
        <v>0.1</v>
      </c>
      <c r="J440" s="233">
        <v>1</v>
      </c>
      <c r="K440" s="235"/>
      <c r="L440" s="235"/>
      <c r="M440" s="276"/>
      <c r="N440" s="279" t="s">
        <v>25</v>
      </c>
      <c r="O440" t="str">
        <f t="shared" si="7"/>
        <v>1958 Wheat Penny</v>
      </c>
      <c r="S440" t="str" cm="1">
        <f t="array" ref="S440">_xlfn.REGEXEXTRACT(E440, "[0-9]{1,5}")</f>
        <v>1958</v>
      </c>
      <c r="T440" t="s">
        <v>2488</v>
      </c>
      <c r="U440" t="s">
        <v>3896</v>
      </c>
    </row>
    <row r="441" spans="1:21">
      <c r="A441" s="136">
        <v>1</v>
      </c>
      <c r="B441" s="233">
        <v>1958</v>
      </c>
      <c r="C441" s="234" t="s">
        <v>13</v>
      </c>
      <c r="D441" s="234" t="s">
        <v>4920</v>
      </c>
      <c r="E441" s="244" t="s">
        <v>3052</v>
      </c>
      <c r="F441" s="244" t="s">
        <v>3753</v>
      </c>
      <c r="G441" s="235" t="s">
        <v>2580</v>
      </c>
      <c r="H441" s="236">
        <v>0.01</v>
      </c>
      <c r="I441" s="236">
        <v>0.1</v>
      </c>
      <c r="J441" s="233">
        <v>1</v>
      </c>
      <c r="K441" s="235"/>
      <c r="L441" s="235"/>
      <c r="M441" s="276"/>
      <c r="N441" s="279" t="s">
        <v>25</v>
      </c>
      <c r="O441" t="str">
        <f t="shared" si="7"/>
        <v>1958-D Wheat Penny</v>
      </c>
      <c r="S441" t="str" cm="1">
        <f t="array" ref="S441">_xlfn.REGEXEXTRACT(E441, "[0-9]{1,5}")</f>
        <v>1958</v>
      </c>
      <c r="T441" t="s">
        <v>2488</v>
      </c>
      <c r="U441" t="s">
        <v>3896</v>
      </c>
    </row>
    <row r="442" spans="1:21">
      <c r="A442" s="136">
        <v>1</v>
      </c>
      <c r="B442" s="233">
        <v>1958</v>
      </c>
      <c r="C442" s="234" t="s">
        <v>13</v>
      </c>
      <c r="D442" s="234" t="s">
        <v>4920</v>
      </c>
      <c r="E442" s="244" t="s">
        <v>3053</v>
      </c>
      <c r="F442" s="244" t="s">
        <v>3753</v>
      </c>
      <c r="G442" s="235" t="s">
        <v>2580</v>
      </c>
      <c r="H442" s="236">
        <v>0.01</v>
      </c>
      <c r="I442" s="236">
        <v>0.1</v>
      </c>
      <c r="J442" s="233">
        <v>1</v>
      </c>
      <c r="K442" s="235"/>
      <c r="L442" s="235"/>
      <c r="M442" s="276"/>
      <c r="N442" s="279" t="s">
        <v>25</v>
      </c>
      <c r="O442" t="str">
        <f t="shared" si="7"/>
        <v>1958-D Wheat Penny</v>
      </c>
      <c r="S442" t="str" cm="1">
        <f t="array" ref="S442">_xlfn.REGEXEXTRACT(E442, "[0-9]{1,5}")</f>
        <v>1958</v>
      </c>
      <c r="T442" t="s">
        <v>2488</v>
      </c>
      <c r="U442" t="s">
        <v>3896</v>
      </c>
    </row>
    <row r="443" spans="1:21">
      <c r="A443" s="136">
        <v>1</v>
      </c>
      <c r="B443" s="233">
        <v>1958</v>
      </c>
      <c r="C443" s="234"/>
      <c r="D443" s="234" t="s">
        <v>4920</v>
      </c>
      <c r="E443" s="244" t="s">
        <v>3054</v>
      </c>
      <c r="F443" s="244" t="s">
        <v>3753</v>
      </c>
      <c r="G443" s="235" t="s">
        <v>2580</v>
      </c>
      <c r="H443" s="236">
        <v>0.01</v>
      </c>
      <c r="I443" s="236">
        <v>0.01</v>
      </c>
      <c r="J443" s="233">
        <v>1</v>
      </c>
      <c r="K443" s="235"/>
      <c r="L443" s="235"/>
      <c r="M443" s="276"/>
      <c r="N443" s="279" t="s">
        <v>25</v>
      </c>
      <c r="O443" t="str">
        <f t="shared" si="7"/>
        <v>1958 Wheat Penny</v>
      </c>
      <c r="S443" t="str" cm="1">
        <f t="array" ref="S443">_xlfn.REGEXEXTRACT(E443, "[0-9]{1,5}")</f>
        <v>1958</v>
      </c>
      <c r="T443" t="s">
        <v>2488</v>
      </c>
      <c r="U443" t="s">
        <v>3896</v>
      </c>
    </row>
    <row r="444" spans="1:21">
      <c r="A444" s="136">
        <v>1</v>
      </c>
      <c r="B444" s="233">
        <v>1958</v>
      </c>
      <c r="C444" s="234" t="s">
        <v>13</v>
      </c>
      <c r="D444" s="234" t="s">
        <v>4920</v>
      </c>
      <c r="E444" s="244" t="s">
        <v>3055</v>
      </c>
      <c r="F444" s="244" t="s">
        <v>3753</v>
      </c>
      <c r="G444" s="235" t="s">
        <v>2580</v>
      </c>
      <c r="H444" s="236">
        <v>0.01</v>
      </c>
      <c r="I444" s="236">
        <v>0.01</v>
      </c>
      <c r="J444" s="233">
        <v>1</v>
      </c>
      <c r="K444" s="235"/>
      <c r="L444" s="235"/>
      <c r="M444" s="276"/>
      <c r="N444" s="279" t="s">
        <v>25</v>
      </c>
      <c r="O444" t="str">
        <f t="shared" si="7"/>
        <v>1958-D Wheat Penny</v>
      </c>
      <c r="S444" t="str" cm="1">
        <f t="array" ref="S444">_xlfn.REGEXEXTRACT(E444, "[0-9]{1,5}")</f>
        <v>1958</v>
      </c>
      <c r="T444" t="s">
        <v>2488</v>
      </c>
      <c r="U444" t="s">
        <v>3896</v>
      </c>
    </row>
    <row r="445" spans="1:21">
      <c r="A445" s="136">
        <v>1</v>
      </c>
      <c r="B445" s="233">
        <v>1958</v>
      </c>
      <c r="C445" s="234"/>
      <c r="D445" s="234" t="s">
        <v>4920</v>
      </c>
      <c r="E445" s="244" t="s">
        <v>3056</v>
      </c>
      <c r="F445" s="244" t="s">
        <v>3753</v>
      </c>
      <c r="G445" s="235" t="s">
        <v>2580</v>
      </c>
      <c r="H445" s="236">
        <v>0.01</v>
      </c>
      <c r="I445" s="236">
        <v>0.01</v>
      </c>
      <c r="J445" s="233">
        <v>1</v>
      </c>
      <c r="K445" s="235"/>
      <c r="L445" s="235"/>
      <c r="M445" s="276"/>
      <c r="N445" s="279" t="s">
        <v>25</v>
      </c>
      <c r="O445" t="str">
        <f t="shared" si="7"/>
        <v>1958 Wheat Penny</v>
      </c>
      <c r="S445" t="str" cm="1">
        <f t="array" ref="S445">_xlfn.REGEXEXTRACT(E445, "[0-9]{1,5}")</f>
        <v>1958</v>
      </c>
      <c r="T445" t="s">
        <v>2488</v>
      </c>
      <c r="U445" t="s">
        <v>3896</v>
      </c>
    </row>
    <row r="446" spans="1:21">
      <c r="A446" s="136">
        <v>1</v>
      </c>
      <c r="B446" s="233">
        <v>1959</v>
      </c>
      <c r="C446" s="234"/>
      <c r="D446" s="234" t="s">
        <v>4920</v>
      </c>
      <c r="E446" s="244" t="s">
        <v>3057</v>
      </c>
      <c r="F446" s="244" t="s">
        <v>4914</v>
      </c>
      <c r="G446" s="235" t="s">
        <v>2580</v>
      </c>
      <c r="H446" s="236">
        <v>0.01</v>
      </c>
      <c r="I446" s="236">
        <v>0.1</v>
      </c>
      <c r="J446" s="233">
        <v>1</v>
      </c>
      <c r="K446" s="235"/>
      <c r="L446" s="235"/>
      <c r="M446" s="276"/>
      <c r="N446" s="279" t="s">
        <v>25</v>
      </c>
      <c r="O446" t="str">
        <f t="shared" si="7"/>
        <v>1959 Memorial Penny</v>
      </c>
      <c r="S446" t="str" cm="1">
        <f t="array" ref="S446">_xlfn.REGEXEXTRACT(E446, "[0-9]{1,5}")</f>
        <v>1959</v>
      </c>
      <c r="T446" t="s">
        <v>2489</v>
      </c>
      <c r="U446" t="s">
        <v>3896</v>
      </c>
    </row>
    <row r="447" spans="1:21">
      <c r="A447" s="136">
        <v>1</v>
      </c>
      <c r="B447" s="233">
        <v>1959</v>
      </c>
      <c r="C447" s="234"/>
      <c r="D447" s="234" t="s">
        <v>4920</v>
      </c>
      <c r="E447" s="244" t="s">
        <v>3058</v>
      </c>
      <c r="F447" s="244" t="s">
        <v>4914</v>
      </c>
      <c r="G447" s="235" t="s">
        <v>2580</v>
      </c>
      <c r="H447" s="236">
        <v>0.01</v>
      </c>
      <c r="I447" s="236">
        <v>0.1</v>
      </c>
      <c r="J447" s="233">
        <v>1</v>
      </c>
      <c r="K447" s="235"/>
      <c r="L447" s="235"/>
      <c r="M447" s="276"/>
      <c r="N447" s="279" t="s">
        <v>25</v>
      </c>
      <c r="O447" t="str">
        <f t="shared" si="7"/>
        <v>1959 Memorial Penny</v>
      </c>
      <c r="S447" t="str" cm="1">
        <f t="array" ref="S447">_xlfn.REGEXEXTRACT(E447, "[0-9]{1,5}")</f>
        <v>1959</v>
      </c>
      <c r="T447" t="s">
        <v>2489</v>
      </c>
      <c r="U447" t="s">
        <v>3896</v>
      </c>
    </row>
    <row r="448" spans="1:21">
      <c r="A448" s="136">
        <v>1</v>
      </c>
      <c r="B448" s="233">
        <v>1959</v>
      </c>
      <c r="C448" s="234"/>
      <c r="D448" s="234" t="s">
        <v>4920</v>
      </c>
      <c r="E448" s="244" t="s">
        <v>3059</v>
      </c>
      <c r="F448" s="244" t="s">
        <v>4914</v>
      </c>
      <c r="G448" s="235" t="s">
        <v>2580</v>
      </c>
      <c r="H448" s="236">
        <v>0.01</v>
      </c>
      <c r="I448" s="236">
        <v>0.1</v>
      </c>
      <c r="J448" s="233">
        <v>1</v>
      </c>
      <c r="K448" s="235"/>
      <c r="L448" s="235"/>
      <c r="M448" s="276"/>
      <c r="N448" s="279" t="s">
        <v>25</v>
      </c>
      <c r="O448" t="str">
        <f t="shared" si="7"/>
        <v>1959 Memorial Penny</v>
      </c>
      <c r="S448" t="str" cm="1">
        <f t="array" ref="S448">_xlfn.REGEXEXTRACT(E448, "[0-9]{1,5}")</f>
        <v>1959</v>
      </c>
      <c r="T448" t="s">
        <v>2489</v>
      </c>
      <c r="U448" t="s">
        <v>3896</v>
      </c>
    </row>
    <row r="449" spans="1:21">
      <c r="A449" s="136">
        <v>1</v>
      </c>
      <c r="B449" s="233">
        <v>1959</v>
      </c>
      <c r="C449" s="234"/>
      <c r="D449" s="234" t="s">
        <v>4920</v>
      </c>
      <c r="E449" s="244" t="s">
        <v>3060</v>
      </c>
      <c r="F449" s="244" t="s">
        <v>4914</v>
      </c>
      <c r="G449" s="235" t="s">
        <v>2580</v>
      </c>
      <c r="H449" s="236">
        <v>0.01</v>
      </c>
      <c r="I449" s="236">
        <v>0.1</v>
      </c>
      <c r="J449" s="233">
        <v>1</v>
      </c>
      <c r="K449" s="235"/>
      <c r="L449" s="235"/>
      <c r="M449" s="276"/>
      <c r="N449" s="279" t="s">
        <v>25</v>
      </c>
      <c r="O449" t="str">
        <f t="shared" si="7"/>
        <v>1959 Memorial Penny</v>
      </c>
      <c r="S449" t="str" cm="1">
        <f t="array" ref="S449">_xlfn.REGEXEXTRACT(E449, "[0-9]{1,5}")</f>
        <v>1959</v>
      </c>
      <c r="T449" t="s">
        <v>2489</v>
      </c>
      <c r="U449" t="s">
        <v>3896</v>
      </c>
    </row>
    <row r="450" spans="1:21">
      <c r="A450" s="136">
        <v>1</v>
      </c>
      <c r="B450" s="233">
        <v>1959</v>
      </c>
      <c r="C450" s="234"/>
      <c r="D450" s="234" t="s">
        <v>4920</v>
      </c>
      <c r="E450" s="244" t="s">
        <v>3061</v>
      </c>
      <c r="F450" s="244" t="s">
        <v>4914</v>
      </c>
      <c r="G450" s="235" t="s">
        <v>2580</v>
      </c>
      <c r="H450" s="236">
        <v>0.01</v>
      </c>
      <c r="I450" s="236">
        <v>0.1</v>
      </c>
      <c r="J450" s="233">
        <v>1</v>
      </c>
      <c r="K450" s="235"/>
      <c r="L450" s="235"/>
      <c r="M450" s="276"/>
      <c r="N450" s="279" t="s">
        <v>25</v>
      </c>
      <c r="O450" t="str">
        <f t="shared" si="7"/>
        <v>1959 Memorial Penny</v>
      </c>
      <c r="S450" t="str" cm="1">
        <f t="array" ref="S450">_xlfn.REGEXEXTRACT(E450, "[0-9]{1,5}")</f>
        <v>1959</v>
      </c>
      <c r="T450" t="s">
        <v>2489</v>
      </c>
      <c r="U450" t="s">
        <v>3896</v>
      </c>
    </row>
    <row r="451" spans="1:21">
      <c r="A451" s="136">
        <v>1</v>
      </c>
      <c r="B451" s="233">
        <v>1959</v>
      </c>
      <c r="C451" s="234"/>
      <c r="D451" s="234" t="s">
        <v>4920</v>
      </c>
      <c r="E451" s="244" t="s">
        <v>3062</v>
      </c>
      <c r="F451" s="244" t="s">
        <v>4914</v>
      </c>
      <c r="G451" s="235" t="s">
        <v>2580</v>
      </c>
      <c r="H451" s="236">
        <v>0.01</v>
      </c>
      <c r="I451" s="236">
        <v>0.1</v>
      </c>
      <c r="J451" s="233">
        <v>1</v>
      </c>
      <c r="K451" s="235"/>
      <c r="L451" s="235"/>
      <c r="M451" s="276"/>
      <c r="N451" s="279" t="s">
        <v>25</v>
      </c>
      <c r="O451" t="str">
        <f t="shared" si="7"/>
        <v>1959 Memorial Penny</v>
      </c>
      <c r="S451" t="str" cm="1">
        <f t="array" ref="S451">_xlfn.REGEXEXTRACT(E451, "[0-9]{1,5}")</f>
        <v>1959</v>
      </c>
      <c r="T451" t="s">
        <v>2489</v>
      </c>
      <c r="U451" t="s">
        <v>3896</v>
      </c>
    </row>
    <row r="452" spans="1:21">
      <c r="A452" s="136">
        <v>1</v>
      </c>
      <c r="B452" s="233">
        <v>1959</v>
      </c>
      <c r="C452" s="234"/>
      <c r="D452" s="234" t="s">
        <v>4920</v>
      </c>
      <c r="E452" s="244" t="s">
        <v>3063</v>
      </c>
      <c r="F452" s="244" t="s">
        <v>4914</v>
      </c>
      <c r="G452" s="235" t="s">
        <v>2580</v>
      </c>
      <c r="H452" s="236">
        <v>0.01</v>
      </c>
      <c r="I452" s="236">
        <v>0.1</v>
      </c>
      <c r="J452" s="233">
        <v>1</v>
      </c>
      <c r="K452" s="235"/>
      <c r="L452" s="235"/>
      <c r="M452" s="276"/>
      <c r="N452" s="279" t="s">
        <v>25</v>
      </c>
      <c r="O452" t="str">
        <f t="shared" ref="O452:O515" si="8">IF(C452&lt;&gt;"",B452&amp;"-"&amp;C452&amp;" "&amp;F452,B452&amp;" "&amp;F452)</f>
        <v>1959 Memorial Penny</v>
      </c>
      <c r="S452" t="str" cm="1">
        <f t="array" ref="S452">_xlfn.REGEXEXTRACT(E452, "[0-9]{1,5}")</f>
        <v>1959</v>
      </c>
      <c r="T452" t="s">
        <v>2489</v>
      </c>
      <c r="U452" t="s">
        <v>3896</v>
      </c>
    </row>
    <row r="453" spans="1:21">
      <c r="A453" s="136">
        <v>1</v>
      </c>
      <c r="B453" s="233">
        <v>1959</v>
      </c>
      <c r="C453" s="234" t="s">
        <v>13</v>
      </c>
      <c r="D453" s="234" t="s">
        <v>4920</v>
      </c>
      <c r="E453" s="244" t="s">
        <v>3064</v>
      </c>
      <c r="F453" s="244" t="s">
        <v>4914</v>
      </c>
      <c r="G453" s="235" t="s">
        <v>2580</v>
      </c>
      <c r="H453" s="236">
        <v>0.01</v>
      </c>
      <c r="I453" s="236">
        <v>0.1</v>
      </c>
      <c r="J453" s="233">
        <v>1</v>
      </c>
      <c r="K453" s="235"/>
      <c r="L453" s="235"/>
      <c r="M453" s="276"/>
      <c r="N453" s="279" t="s">
        <v>25</v>
      </c>
      <c r="O453" t="str">
        <f t="shared" si="8"/>
        <v>1959-D Memorial Penny</v>
      </c>
      <c r="S453" t="str" cm="1">
        <f t="array" ref="S453">_xlfn.REGEXEXTRACT(E453, "[0-9]{1,5}")</f>
        <v>1959</v>
      </c>
      <c r="T453" t="s">
        <v>2489</v>
      </c>
      <c r="U453" t="s">
        <v>3896</v>
      </c>
    </row>
    <row r="454" spans="1:21">
      <c r="A454" s="136">
        <v>1</v>
      </c>
      <c r="B454" s="233">
        <v>1959</v>
      </c>
      <c r="C454" s="234" t="s">
        <v>13</v>
      </c>
      <c r="D454" s="234" t="s">
        <v>4920</v>
      </c>
      <c r="E454" s="244" t="s">
        <v>3065</v>
      </c>
      <c r="F454" s="244" t="s">
        <v>4914</v>
      </c>
      <c r="G454" s="235" t="s">
        <v>2580</v>
      </c>
      <c r="H454" s="236">
        <v>0.01</v>
      </c>
      <c r="I454" s="236">
        <v>0.1</v>
      </c>
      <c r="J454" s="233">
        <v>1</v>
      </c>
      <c r="K454" s="235"/>
      <c r="L454" s="235"/>
      <c r="M454" s="276"/>
      <c r="N454" s="279" t="s">
        <v>25</v>
      </c>
      <c r="O454" t="str">
        <f t="shared" si="8"/>
        <v>1959-D Memorial Penny</v>
      </c>
      <c r="S454" t="str" cm="1">
        <f t="array" ref="S454">_xlfn.REGEXEXTRACT(E454, "[0-9]{1,5}")</f>
        <v>1959</v>
      </c>
      <c r="T454" t="s">
        <v>2489</v>
      </c>
      <c r="U454" t="s">
        <v>3896</v>
      </c>
    </row>
    <row r="455" spans="1:21">
      <c r="A455" s="136">
        <v>1</v>
      </c>
      <c r="B455" s="233">
        <v>1959</v>
      </c>
      <c r="C455" s="234" t="s">
        <v>13</v>
      </c>
      <c r="D455" s="234" t="s">
        <v>4920</v>
      </c>
      <c r="E455" s="244" t="s">
        <v>3066</v>
      </c>
      <c r="F455" s="244" t="s">
        <v>4914</v>
      </c>
      <c r="G455" s="235" t="s">
        <v>2580</v>
      </c>
      <c r="H455" s="236">
        <v>0.01</v>
      </c>
      <c r="I455" s="236">
        <v>0.1</v>
      </c>
      <c r="J455" s="233">
        <v>1</v>
      </c>
      <c r="K455" s="235"/>
      <c r="L455" s="235"/>
      <c r="M455" s="276"/>
      <c r="N455" s="279" t="s">
        <v>25</v>
      </c>
      <c r="O455" t="str">
        <f t="shared" si="8"/>
        <v>1959-D Memorial Penny</v>
      </c>
      <c r="S455" t="str" cm="1">
        <f t="array" ref="S455">_xlfn.REGEXEXTRACT(E455, "[0-9]{1,5}")</f>
        <v>1959</v>
      </c>
      <c r="T455" t="s">
        <v>2489</v>
      </c>
      <c r="U455" t="s">
        <v>3896</v>
      </c>
    </row>
    <row r="456" spans="1:21">
      <c r="A456" s="136">
        <v>1</v>
      </c>
      <c r="B456" s="233">
        <v>1959</v>
      </c>
      <c r="C456" s="234" t="s">
        <v>13</v>
      </c>
      <c r="D456" s="234" t="s">
        <v>4920</v>
      </c>
      <c r="E456" s="244" t="s">
        <v>3067</v>
      </c>
      <c r="F456" s="244" t="s">
        <v>4914</v>
      </c>
      <c r="G456" s="235" t="s">
        <v>2580</v>
      </c>
      <c r="H456" s="236">
        <v>0.01</v>
      </c>
      <c r="I456" s="236">
        <v>0.1</v>
      </c>
      <c r="J456" s="233">
        <v>1</v>
      </c>
      <c r="K456" s="235"/>
      <c r="L456" s="235"/>
      <c r="M456" s="276"/>
      <c r="N456" s="279" t="s">
        <v>25</v>
      </c>
      <c r="O456" t="str">
        <f t="shared" si="8"/>
        <v>1959-D Memorial Penny</v>
      </c>
      <c r="S456" t="str" cm="1">
        <f t="array" ref="S456">_xlfn.REGEXEXTRACT(E456, "[0-9]{1,5}")</f>
        <v>1959</v>
      </c>
      <c r="T456" t="s">
        <v>2489</v>
      </c>
      <c r="U456" t="s">
        <v>3896</v>
      </c>
    </row>
    <row r="457" spans="1:21">
      <c r="A457" s="136">
        <v>1</v>
      </c>
      <c r="B457" s="233">
        <v>1959</v>
      </c>
      <c r="C457" s="234"/>
      <c r="D457" s="234" t="s">
        <v>4920</v>
      </c>
      <c r="E457" s="244" t="s">
        <v>3068</v>
      </c>
      <c r="F457" s="244" t="s">
        <v>4914</v>
      </c>
      <c r="G457" s="235" t="s">
        <v>2585</v>
      </c>
      <c r="H457" s="236">
        <v>0.01</v>
      </c>
      <c r="I457" s="236">
        <v>0.1</v>
      </c>
      <c r="J457" s="233">
        <v>1</v>
      </c>
      <c r="K457" s="235"/>
      <c r="L457" s="235"/>
      <c r="M457" s="276"/>
      <c r="N457" s="279" t="s">
        <v>25</v>
      </c>
      <c r="O457" t="str">
        <f t="shared" si="8"/>
        <v>1959 Memorial Penny</v>
      </c>
      <c r="S457" t="str" cm="1">
        <f t="array" ref="S457">_xlfn.REGEXEXTRACT(E457, "[0-9]{1,5}")</f>
        <v>1959</v>
      </c>
      <c r="T457" t="s">
        <v>2489</v>
      </c>
      <c r="U457" t="s">
        <v>3896</v>
      </c>
    </row>
    <row r="458" spans="1:21">
      <c r="A458" s="136">
        <v>1</v>
      </c>
      <c r="B458" s="233">
        <v>1959</v>
      </c>
      <c r="C458" s="234"/>
      <c r="D458" s="234" t="s">
        <v>4920</v>
      </c>
      <c r="E458" s="244" t="s">
        <v>3069</v>
      </c>
      <c r="F458" s="244" t="s">
        <v>4914</v>
      </c>
      <c r="G458" s="235"/>
      <c r="H458" s="236">
        <v>0.01</v>
      </c>
      <c r="I458" s="236">
        <v>0.01</v>
      </c>
      <c r="J458" s="233">
        <v>1</v>
      </c>
      <c r="K458" s="235"/>
      <c r="L458" s="235"/>
      <c r="M458" s="276"/>
      <c r="N458" s="279" t="s">
        <v>25</v>
      </c>
      <c r="O458" t="str">
        <f t="shared" si="8"/>
        <v>1959 Memorial Penny</v>
      </c>
      <c r="S458" t="str" cm="1">
        <f t="array" ref="S458">_xlfn.REGEXEXTRACT(E458, "[0-9]{1,5}")</f>
        <v>1959</v>
      </c>
      <c r="T458" t="s">
        <v>2489</v>
      </c>
      <c r="U458" t="s">
        <v>3896</v>
      </c>
    </row>
    <row r="459" spans="1:21">
      <c r="A459" s="136">
        <v>1</v>
      </c>
      <c r="B459" s="233">
        <v>1959</v>
      </c>
      <c r="C459" s="234"/>
      <c r="D459" s="234" t="s">
        <v>4920</v>
      </c>
      <c r="E459" s="244" t="s">
        <v>3070</v>
      </c>
      <c r="F459" s="244" t="s">
        <v>4914</v>
      </c>
      <c r="G459" s="235"/>
      <c r="H459" s="236">
        <v>0.01</v>
      </c>
      <c r="I459" s="236">
        <v>0.01</v>
      </c>
      <c r="J459" s="233">
        <v>1</v>
      </c>
      <c r="K459" s="235"/>
      <c r="L459" s="235"/>
      <c r="M459" s="276"/>
      <c r="N459" s="279" t="s">
        <v>25</v>
      </c>
      <c r="O459" t="str">
        <f t="shared" si="8"/>
        <v>1959 Memorial Penny</v>
      </c>
      <c r="S459" t="str" cm="1">
        <f t="array" ref="S459">_xlfn.REGEXEXTRACT(E459, "[0-9]{1,5}")</f>
        <v>1959</v>
      </c>
      <c r="T459" t="s">
        <v>2489</v>
      </c>
      <c r="U459" t="s">
        <v>3896</v>
      </c>
    </row>
    <row r="460" spans="1:21">
      <c r="A460" s="136">
        <v>1</v>
      </c>
      <c r="B460" s="233">
        <v>1959</v>
      </c>
      <c r="C460" s="234"/>
      <c r="D460" s="234" t="s">
        <v>4920</v>
      </c>
      <c r="E460" s="244" t="s">
        <v>3071</v>
      </c>
      <c r="F460" s="244" t="s">
        <v>4914</v>
      </c>
      <c r="G460" s="235" t="s">
        <v>2587</v>
      </c>
      <c r="H460" s="236">
        <v>0.01</v>
      </c>
      <c r="I460" s="236">
        <v>0.01</v>
      </c>
      <c r="J460" s="233">
        <v>1</v>
      </c>
      <c r="K460" s="235"/>
      <c r="L460" s="235"/>
      <c r="M460" s="276"/>
      <c r="N460" s="279" t="s">
        <v>25</v>
      </c>
      <c r="O460" t="str">
        <f t="shared" si="8"/>
        <v>1959 Memorial Penny</v>
      </c>
      <c r="S460" t="str" cm="1">
        <f t="array" ref="S460">_xlfn.REGEXEXTRACT(E460, "[0-9]{1,5}")</f>
        <v>1959</v>
      </c>
      <c r="T460" t="s">
        <v>2489</v>
      </c>
      <c r="U460" t="s">
        <v>3896</v>
      </c>
    </row>
    <row r="461" spans="1:21">
      <c r="A461" s="136">
        <v>1</v>
      </c>
      <c r="B461" s="233">
        <v>1960</v>
      </c>
      <c r="C461" s="234"/>
      <c r="D461" s="234" t="s">
        <v>4920</v>
      </c>
      <c r="E461" s="244" t="s">
        <v>3072</v>
      </c>
      <c r="F461" s="244" t="s">
        <v>4914</v>
      </c>
      <c r="G461" s="235"/>
      <c r="H461" s="236">
        <v>0.01</v>
      </c>
      <c r="I461" s="236">
        <v>0.01</v>
      </c>
      <c r="J461" s="233">
        <v>1</v>
      </c>
      <c r="K461" s="235"/>
      <c r="L461" s="235"/>
      <c r="M461" s="276"/>
      <c r="N461" s="279" t="s">
        <v>25</v>
      </c>
      <c r="O461" t="str">
        <f t="shared" si="8"/>
        <v>1960 Memorial Penny</v>
      </c>
      <c r="S461" t="str" cm="1">
        <f t="array" ref="S461">_xlfn.REGEXEXTRACT(E461, "[0-9]{1,5}")</f>
        <v>1960</v>
      </c>
      <c r="T461" t="s">
        <v>2490</v>
      </c>
      <c r="U461" t="s">
        <v>3896</v>
      </c>
    </row>
    <row r="462" spans="1:21">
      <c r="A462" s="136">
        <v>1</v>
      </c>
      <c r="B462" s="233">
        <v>1960</v>
      </c>
      <c r="C462" s="234"/>
      <c r="D462" s="234" t="s">
        <v>4920</v>
      </c>
      <c r="E462" s="244" t="s">
        <v>3073</v>
      </c>
      <c r="F462" s="244" t="s">
        <v>4914</v>
      </c>
      <c r="G462" s="235"/>
      <c r="H462" s="236">
        <v>0.01</v>
      </c>
      <c r="I462" s="236">
        <v>0.01</v>
      </c>
      <c r="J462" s="233">
        <v>1</v>
      </c>
      <c r="K462" s="235"/>
      <c r="L462" s="235"/>
      <c r="M462" s="276"/>
      <c r="N462" s="279" t="s">
        <v>25</v>
      </c>
      <c r="O462" t="str">
        <f t="shared" si="8"/>
        <v>1960 Memorial Penny</v>
      </c>
      <c r="S462" t="str" cm="1">
        <f t="array" ref="S462">_xlfn.REGEXEXTRACT(E462, "[0-9]{1,5}")</f>
        <v>1960</v>
      </c>
      <c r="T462" t="s">
        <v>2490</v>
      </c>
      <c r="U462" t="s">
        <v>3896</v>
      </c>
    </row>
    <row r="463" spans="1:21">
      <c r="A463" s="136">
        <v>1</v>
      </c>
      <c r="B463" s="233">
        <v>1960</v>
      </c>
      <c r="C463" s="234"/>
      <c r="D463" s="234" t="s">
        <v>4920</v>
      </c>
      <c r="E463" s="244" t="s">
        <v>3074</v>
      </c>
      <c r="F463" s="244" t="s">
        <v>4914</v>
      </c>
      <c r="G463" s="235"/>
      <c r="H463" s="236">
        <v>0.01</v>
      </c>
      <c r="I463" s="236">
        <v>0.01</v>
      </c>
      <c r="J463" s="233">
        <v>1</v>
      </c>
      <c r="K463" s="235"/>
      <c r="L463" s="235"/>
      <c r="M463" s="276"/>
      <c r="N463" s="279" t="s">
        <v>25</v>
      </c>
      <c r="O463" t="str">
        <f t="shared" si="8"/>
        <v>1960 Memorial Penny</v>
      </c>
      <c r="S463" t="str" cm="1">
        <f t="array" ref="S463">_xlfn.REGEXEXTRACT(E463, "[0-9]{1,5}")</f>
        <v>1960</v>
      </c>
      <c r="T463" t="s">
        <v>2490</v>
      </c>
      <c r="U463" t="s">
        <v>3896</v>
      </c>
    </row>
    <row r="464" spans="1:21">
      <c r="A464" s="136">
        <v>1</v>
      </c>
      <c r="B464" s="233">
        <v>1960</v>
      </c>
      <c r="C464" s="234"/>
      <c r="D464" s="234" t="s">
        <v>4920</v>
      </c>
      <c r="E464" s="244" t="s">
        <v>3075</v>
      </c>
      <c r="F464" s="244" t="s">
        <v>4914</v>
      </c>
      <c r="G464" s="235"/>
      <c r="H464" s="236">
        <v>0.01</v>
      </c>
      <c r="I464" s="236">
        <v>0.01</v>
      </c>
      <c r="J464" s="233">
        <v>1</v>
      </c>
      <c r="K464" s="235"/>
      <c r="L464" s="235"/>
      <c r="M464" s="276"/>
      <c r="N464" s="279" t="s">
        <v>25</v>
      </c>
      <c r="O464" t="str">
        <f t="shared" si="8"/>
        <v>1960 Memorial Penny</v>
      </c>
      <c r="S464" t="str" cm="1">
        <f t="array" ref="S464">_xlfn.REGEXEXTRACT(E464, "[0-9]{1,5}")</f>
        <v>1960</v>
      </c>
      <c r="T464" t="s">
        <v>2490</v>
      </c>
      <c r="U464" t="s">
        <v>3896</v>
      </c>
    </row>
    <row r="465" spans="1:21">
      <c r="A465" s="136">
        <v>1</v>
      </c>
      <c r="B465" s="233">
        <v>1960</v>
      </c>
      <c r="C465" s="234"/>
      <c r="D465" s="234" t="s">
        <v>4920</v>
      </c>
      <c r="E465" s="244" t="s">
        <v>3076</v>
      </c>
      <c r="F465" s="244" t="s">
        <v>4914</v>
      </c>
      <c r="G465" s="235"/>
      <c r="H465" s="236">
        <v>0.01</v>
      </c>
      <c r="I465" s="236">
        <v>0.01</v>
      </c>
      <c r="J465" s="233">
        <v>1</v>
      </c>
      <c r="K465" s="235"/>
      <c r="L465" s="235"/>
      <c r="M465" s="276"/>
      <c r="N465" s="279" t="s">
        <v>25</v>
      </c>
      <c r="O465" t="str">
        <f t="shared" si="8"/>
        <v>1960 Memorial Penny</v>
      </c>
      <c r="S465" t="str" cm="1">
        <f t="array" ref="S465">_xlfn.REGEXEXTRACT(E465, "[0-9]{1,5}")</f>
        <v>1960</v>
      </c>
      <c r="T465" t="s">
        <v>2490</v>
      </c>
      <c r="U465" t="s">
        <v>3896</v>
      </c>
    </row>
    <row r="466" spans="1:21">
      <c r="A466" s="136">
        <v>1</v>
      </c>
      <c r="B466" s="233">
        <v>1960</v>
      </c>
      <c r="C466" s="234"/>
      <c r="D466" s="234" t="s">
        <v>4920</v>
      </c>
      <c r="E466" s="244" t="s">
        <v>3077</v>
      </c>
      <c r="F466" s="244" t="s">
        <v>4914</v>
      </c>
      <c r="G466" s="235"/>
      <c r="H466" s="236">
        <v>0.01</v>
      </c>
      <c r="I466" s="236">
        <v>0.01</v>
      </c>
      <c r="J466" s="233">
        <v>1</v>
      </c>
      <c r="K466" s="235"/>
      <c r="L466" s="235"/>
      <c r="M466" s="276"/>
      <c r="N466" s="279" t="s">
        <v>25</v>
      </c>
      <c r="O466" t="str">
        <f t="shared" si="8"/>
        <v>1960 Memorial Penny</v>
      </c>
      <c r="S466" t="str" cm="1">
        <f t="array" ref="S466">_xlfn.REGEXEXTRACT(E466, "[0-9]{1,5}")</f>
        <v>1960</v>
      </c>
      <c r="T466" t="s">
        <v>2490</v>
      </c>
      <c r="U466" t="s">
        <v>3896</v>
      </c>
    </row>
    <row r="467" spans="1:21">
      <c r="A467" s="136">
        <v>1</v>
      </c>
      <c r="B467" s="233">
        <v>1960</v>
      </c>
      <c r="C467" s="234" t="s">
        <v>13</v>
      </c>
      <c r="D467" s="234" t="s">
        <v>4920</v>
      </c>
      <c r="E467" s="244" t="s">
        <v>3078</v>
      </c>
      <c r="F467" s="244" t="s">
        <v>4914</v>
      </c>
      <c r="G467" s="235"/>
      <c r="H467" s="236">
        <v>0.01</v>
      </c>
      <c r="I467" s="236">
        <v>0.01</v>
      </c>
      <c r="J467" s="233">
        <v>1</v>
      </c>
      <c r="K467" s="235"/>
      <c r="L467" s="235"/>
      <c r="M467" s="276"/>
      <c r="N467" s="279" t="s">
        <v>25</v>
      </c>
      <c r="O467" t="str">
        <f t="shared" si="8"/>
        <v>1960-D Memorial Penny</v>
      </c>
      <c r="S467" t="str" cm="1">
        <f t="array" ref="S467">_xlfn.REGEXEXTRACT(E467, "[0-9]{1,5}")</f>
        <v>1960</v>
      </c>
      <c r="T467" t="s">
        <v>2490</v>
      </c>
      <c r="U467" t="s">
        <v>3896</v>
      </c>
    </row>
    <row r="468" spans="1:21">
      <c r="A468" s="136">
        <v>1</v>
      </c>
      <c r="B468" s="233">
        <v>1960</v>
      </c>
      <c r="C468" s="234" t="s">
        <v>13</v>
      </c>
      <c r="D468" s="234" t="s">
        <v>4920</v>
      </c>
      <c r="E468" s="244" t="s">
        <v>3079</v>
      </c>
      <c r="F468" s="244" t="s">
        <v>4914</v>
      </c>
      <c r="G468" s="235"/>
      <c r="H468" s="236">
        <v>0.01</v>
      </c>
      <c r="I468" s="236">
        <v>0.01</v>
      </c>
      <c r="J468" s="233">
        <v>1</v>
      </c>
      <c r="K468" s="235"/>
      <c r="L468" s="235"/>
      <c r="M468" s="276"/>
      <c r="N468" s="279" t="s">
        <v>25</v>
      </c>
      <c r="O468" t="str">
        <f t="shared" si="8"/>
        <v>1960-D Memorial Penny</v>
      </c>
      <c r="S468" t="str" cm="1">
        <f t="array" ref="S468">_xlfn.REGEXEXTRACT(E468, "[0-9]{1,5}")</f>
        <v>1960</v>
      </c>
      <c r="T468" t="s">
        <v>2490</v>
      </c>
      <c r="U468" t="s">
        <v>3896</v>
      </c>
    </row>
    <row r="469" spans="1:21">
      <c r="A469" s="136">
        <v>1</v>
      </c>
      <c r="B469" s="233">
        <v>1960</v>
      </c>
      <c r="C469" s="234" t="s">
        <v>13</v>
      </c>
      <c r="D469" s="234" t="s">
        <v>4920</v>
      </c>
      <c r="E469" s="244" t="s">
        <v>3080</v>
      </c>
      <c r="F469" s="244" t="s">
        <v>4914</v>
      </c>
      <c r="G469" s="235"/>
      <c r="H469" s="236">
        <v>0.01</v>
      </c>
      <c r="I469" s="236">
        <v>0.01</v>
      </c>
      <c r="J469" s="233">
        <v>1</v>
      </c>
      <c r="K469" s="235"/>
      <c r="L469" s="235"/>
      <c r="M469" s="276"/>
      <c r="N469" s="279" t="s">
        <v>25</v>
      </c>
      <c r="O469" t="str">
        <f t="shared" si="8"/>
        <v>1960-D Memorial Penny</v>
      </c>
      <c r="S469" t="str" cm="1">
        <f t="array" ref="S469">_xlfn.REGEXEXTRACT(E469, "[0-9]{1,5}")</f>
        <v>1960</v>
      </c>
      <c r="T469" t="s">
        <v>2490</v>
      </c>
      <c r="U469" t="s">
        <v>3896</v>
      </c>
    </row>
    <row r="470" spans="1:21">
      <c r="A470" s="136">
        <v>1</v>
      </c>
      <c r="B470" s="233">
        <v>1960</v>
      </c>
      <c r="C470" s="234" t="s">
        <v>13</v>
      </c>
      <c r="D470" s="234" t="s">
        <v>4920</v>
      </c>
      <c r="E470" s="244" t="s">
        <v>3081</v>
      </c>
      <c r="F470" s="244" t="s">
        <v>4914</v>
      </c>
      <c r="G470" s="235"/>
      <c r="H470" s="236">
        <v>0.01</v>
      </c>
      <c r="I470" s="236">
        <v>0.01</v>
      </c>
      <c r="J470" s="233">
        <v>1</v>
      </c>
      <c r="K470" s="235"/>
      <c r="L470" s="235"/>
      <c r="M470" s="276"/>
      <c r="N470" s="279" t="s">
        <v>25</v>
      </c>
      <c r="O470" t="str">
        <f t="shared" si="8"/>
        <v>1960-D Memorial Penny</v>
      </c>
      <c r="S470" t="str" cm="1">
        <f t="array" ref="S470">_xlfn.REGEXEXTRACT(E470, "[0-9]{1,5}")</f>
        <v>1960</v>
      </c>
      <c r="T470" t="s">
        <v>2490</v>
      </c>
      <c r="U470" t="s">
        <v>3896</v>
      </c>
    </row>
    <row r="471" spans="1:21">
      <c r="A471" s="136">
        <v>1</v>
      </c>
      <c r="B471" s="233">
        <v>1960</v>
      </c>
      <c r="C471" s="234" t="s">
        <v>13</v>
      </c>
      <c r="D471" s="234" t="s">
        <v>4920</v>
      </c>
      <c r="E471" s="244" t="s">
        <v>3082</v>
      </c>
      <c r="F471" s="244" t="s">
        <v>4914</v>
      </c>
      <c r="G471" s="235"/>
      <c r="H471" s="236">
        <v>0.01</v>
      </c>
      <c r="I471" s="236">
        <v>0.01</v>
      </c>
      <c r="J471" s="233">
        <v>1</v>
      </c>
      <c r="K471" s="235"/>
      <c r="L471" s="235"/>
      <c r="M471" s="276"/>
      <c r="N471" s="279" t="s">
        <v>25</v>
      </c>
      <c r="O471" t="str">
        <f t="shared" si="8"/>
        <v>1960-D Memorial Penny</v>
      </c>
      <c r="S471" t="str" cm="1">
        <f t="array" ref="S471">_xlfn.REGEXEXTRACT(E471, "[0-9]{1,5}")</f>
        <v>1960</v>
      </c>
      <c r="T471" t="s">
        <v>2490</v>
      </c>
      <c r="U471" t="s">
        <v>3896</v>
      </c>
    </row>
    <row r="472" spans="1:21">
      <c r="A472" s="136">
        <v>1</v>
      </c>
      <c r="B472" s="233">
        <v>1961</v>
      </c>
      <c r="C472" s="234"/>
      <c r="D472" s="234" t="s">
        <v>4920</v>
      </c>
      <c r="E472" s="244" t="s">
        <v>3083</v>
      </c>
      <c r="F472" s="244" t="s">
        <v>4914</v>
      </c>
      <c r="G472" s="235"/>
      <c r="H472" s="236">
        <v>0.01</v>
      </c>
      <c r="I472" s="236">
        <v>0.01</v>
      </c>
      <c r="J472" s="233">
        <v>1</v>
      </c>
      <c r="K472" s="235"/>
      <c r="L472" s="235"/>
      <c r="M472" s="276"/>
      <c r="N472" s="279" t="s">
        <v>25</v>
      </c>
      <c r="O472" t="str">
        <f t="shared" si="8"/>
        <v>1961 Memorial Penny</v>
      </c>
      <c r="S472" t="str" cm="1">
        <f t="array" ref="S472">_xlfn.REGEXEXTRACT(E472, "[0-9]{1,5}")</f>
        <v>1961</v>
      </c>
      <c r="T472" t="s">
        <v>2491</v>
      </c>
      <c r="U472" t="s">
        <v>3896</v>
      </c>
    </row>
    <row r="473" spans="1:21">
      <c r="A473" s="136">
        <v>1</v>
      </c>
      <c r="B473" s="233">
        <v>1961</v>
      </c>
      <c r="C473" s="234"/>
      <c r="D473" s="234" t="s">
        <v>4920</v>
      </c>
      <c r="E473" s="244" t="s">
        <v>3084</v>
      </c>
      <c r="F473" s="244" t="s">
        <v>4914</v>
      </c>
      <c r="G473" s="235"/>
      <c r="H473" s="236">
        <v>0.01</v>
      </c>
      <c r="I473" s="236">
        <v>0.01</v>
      </c>
      <c r="J473" s="233">
        <v>1</v>
      </c>
      <c r="K473" s="235"/>
      <c r="L473" s="235"/>
      <c r="M473" s="276"/>
      <c r="N473" s="279" t="s">
        <v>25</v>
      </c>
      <c r="O473" t="str">
        <f t="shared" si="8"/>
        <v>1961 Memorial Penny</v>
      </c>
      <c r="S473" t="str" cm="1">
        <f t="array" ref="S473">_xlfn.REGEXEXTRACT(E473, "[0-9]{1,5}")</f>
        <v>1961</v>
      </c>
      <c r="T473" t="s">
        <v>2491</v>
      </c>
      <c r="U473" t="s">
        <v>3896</v>
      </c>
    </row>
    <row r="474" spans="1:21">
      <c r="A474" s="136">
        <v>1</v>
      </c>
      <c r="B474" s="233">
        <v>1961</v>
      </c>
      <c r="C474" s="234"/>
      <c r="D474" s="234" t="s">
        <v>4920</v>
      </c>
      <c r="E474" s="244" t="s">
        <v>3085</v>
      </c>
      <c r="F474" s="244" t="s">
        <v>4914</v>
      </c>
      <c r="G474" s="235"/>
      <c r="H474" s="236">
        <v>0.01</v>
      </c>
      <c r="I474" s="236">
        <v>0.01</v>
      </c>
      <c r="J474" s="233">
        <v>1</v>
      </c>
      <c r="K474" s="235"/>
      <c r="L474" s="235"/>
      <c r="M474" s="276"/>
      <c r="N474" s="279" t="s">
        <v>25</v>
      </c>
      <c r="O474" t="str">
        <f t="shared" si="8"/>
        <v>1961 Memorial Penny</v>
      </c>
      <c r="S474" t="str" cm="1">
        <f t="array" ref="S474">_xlfn.REGEXEXTRACT(E474, "[0-9]{1,5}")</f>
        <v>1961</v>
      </c>
      <c r="T474" t="s">
        <v>2491</v>
      </c>
      <c r="U474" t="s">
        <v>3896</v>
      </c>
    </row>
    <row r="475" spans="1:21">
      <c r="A475" s="136">
        <v>1</v>
      </c>
      <c r="B475" s="233">
        <v>1961</v>
      </c>
      <c r="C475" s="234" t="s">
        <v>13</v>
      </c>
      <c r="D475" s="234" t="s">
        <v>4920</v>
      </c>
      <c r="E475" s="244" t="s">
        <v>3086</v>
      </c>
      <c r="F475" s="244" t="s">
        <v>4914</v>
      </c>
      <c r="G475" s="235"/>
      <c r="H475" s="236">
        <v>0.01</v>
      </c>
      <c r="I475" s="236">
        <v>0.01</v>
      </c>
      <c r="J475" s="233">
        <v>1</v>
      </c>
      <c r="K475" s="235"/>
      <c r="L475" s="235"/>
      <c r="M475" s="276"/>
      <c r="N475" s="279" t="s">
        <v>25</v>
      </c>
      <c r="O475" t="str">
        <f t="shared" si="8"/>
        <v>1961-D Memorial Penny</v>
      </c>
      <c r="S475" t="str" cm="1">
        <f t="array" ref="S475">_xlfn.REGEXEXTRACT(E475, "[0-9]{1,5}")</f>
        <v>1961</v>
      </c>
      <c r="T475" t="s">
        <v>2491</v>
      </c>
      <c r="U475" t="s">
        <v>3896</v>
      </c>
    </row>
    <row r="476" spans="1:21">
      <c r="A476" s="136">
        <v>1</v>
      </c>
      <c r="B476" s="233">
        <v>1961</v>
      </c>
      <c r="C476" s="234" t="s">
        <v>13</v>
      </c>
      <c r="D476" s="234" t="s">
        <v>4920</v>
      </c>
      <c r="E476" s="244" t="s">
        <v>3087</v>
      </c>
      <c r="F476" s="244" t="s">
        <v>4914</v>
      </c>
      <c r="G476" s="235"/>
      <c r="H476" s="236">
        <v>0.01</v>
      </c>
      <c r="I476" s="236">
        <v>0.01</v>
      </c>
      <c r="J476" s="233">
        <v>1</v>
      </c>
      <c r="K476" s="235"/>
      <c r="L476" s="235"/>
      <c r="M476" s="276"/>
      <c r="N476" s="279" t="s">
        <v>25</v>
      </c>
      <c r="O476" t="str">
        <f t="shared" si="8"/>
        <v>1961-D Memorial Penny</v>
      </c>
      <c r="S476" t="str" cm="1">
        <f t="array" ref="S476">_xlfn.REGEXEXTRACT(E476, "[0-9]{1,5}")</f>
        <v>1961</v>
      </c>
      <c r="T476" t="s">
        <v>2491</v>
      </c>
      <c r="U476" t="s">
        <v>3896</v>
      </c>
    </row>
    <row r="477" spans="1:21">
      <c r="A477" s="136">
        <v>1</v>
      </c>
      <c r="B477" s="233">
        <v>1961</v>
      </c>
      <c r="C477" s="234" t="s">
        <v>13</v>
      </c>
      <c r="D477" s="234" t="s">
        <v>4920</v>
      </c>
      <c r="E477" s="244" t="s">
        <v>3088</v>
      </c>
      <c r="F477" s="244" t="s">
        <v>4914</v>
      </c>
      <c r="G477" s="235"/>
      <c r="H477" s="236">
        <v>0.01</v>
      </c>
      <c r="I477" s="236">
        <v>0.01</v>
      </c>
      <c r="J477" s="233">
        <v>1</v>
      </c>
      <c r="K477" s="235"/>
      <c r="L477" s="235"/>
      <c r="M477" s="276"/>
      <c r="N477" s="279" t="s">
        <v>25</v>
      </c>
      <c r="O477" t="str">
        <f t="shared" si="8"/>
        <v>1961-D Memorial Penny</v>
      </c>
      <c r="S477" t="str" cm="1">
        <f t="array" ref="S477">_xlfn.REGEXEXTRACT(E477, "[0-9]{1,5}")</f>
        <v>1961</v>
      </c>
      <c r="T477" t="s">
        <v>2491</v>
      </c>
      <c r="U477" t="s">
        <v>3896</v>
      </c>
    </row>
    <row r="478" spans="1:21">
      <c r="A478" s="136">
        <v>1</v>
      </c>
      <c r="B478" s="233">
        <v>1961</v>
      </c>
      <c r="C478" s="234" t="s">
        <v>13</v>
      </c>
      <c r="D478" s="234" t="s">
        <v>4920</v>
      </c>
      <c r="E478" s="244" t="s">
        <v>3089</v>
      </c>
      <c r="F478" s="244" t="s">
        <v>4914</v>
      </c>
      <c r="G478" s="235"/>
      <c r="H478" s="236">
        <v>0.01</v>
      </c>
      <c r="I478" s="236">
        <v>0.01</v>
      </c>
      <c r="J478" s="233">
        <v>1</v>
      </c>
      <c r="K478" s="235"/>
      <c r="L478" s="235"/>
      <c r="M478" s="276"/>
      <c r="N478" s="279" t="s">
        <v>25</v>
      </c>
      <c r="O478" t="str">
        <f t="shared" si="8"/>
        <v>1961-D Memorial Penny</v>
      </c>
      <c r="S478" t="str" cm="1">
        <f t="array" ref="S478">_xlfn.REGEXEXTRACT(E478, "[0-9]{1,5}")</f>
        <v>1961</v>
      </c>
      <c r="T478" t="s">
        <v>2491</v>
      </c>
      <c r="U478" t="s">
        <v>3896</v>
      </c>
    </row>
    <row r="479" spans="1:21">
      <c r="A479" s="136">
        <v>1</v>
      </c>
      <c r="B479" s="233">
        <v>1961</v>
      </c>
      <c r="C479" s="234" t="s">
        <v>13</v>
      </c>
      <c r="D479" s="234" t="s">
        <v>4920</v>
      </c>
      <c r="E479" s="244" t="s">
        <v>3090</v>
      </c>
      <c r="F479" s="244" t="s">
        <v>4914</v>
      </c>
      <c r="G479" s="235"/>
      <c r="H479" s="236">
        <v>0.01</v>
      </c>
      <c r="I479" s="236">
        <v>0.01</v>
      </c>
      <c r="J479" s="233">
        <v>1</v>
      </c>
      <c r="K479" s="235"/>
      <c r="L479" s="235"/>
      <c r="M479" s="276"/>
      <c r="N479" s="279" t="s">
        <v>25</v>
      </c>
      <c r="O479" t="str">
        <f t="shared" si="8"/>
        <v>1961-D Memorial Penny</v>
      </c>
      <c r="S479" t="str" cm="1">
        <f t="array" ref="S479">_xlfn.REGEXEXTRACT(E479, "[0-9]{1,5}")</f>
        <v>1961</v>
      </c>
      <c r="T479" t="s">
        <v>2491</v>
      </c>
      <c r="U479" t="s">
        <v>3896</v>
      </c>
    </row>
    <row r="480" spans="1:21">
      <c r="A480" s="136">
        <v>1</v>
      </c>
      <c r="B480" s="233">
        <v>1962</v>
      </c>
      <c r="C480" s="234"/>
      <c r="D480" s="234" t="s">
        <v>4920</v>
      </c>
      <c r="E480" s="244" t="s">
        <v>3091</v>
      </c>
      <c r="F480" s="244" t="s">
        <v>4914</v>
      </c>
      <c r="G480" s="235"/>
      <c r="H480" s="236">
        <v>0.01</v>
      </c>
      <c r="I480" s="236">
        <v>0.01</v>
      </c>
      <c r="J480" s="233">
        <v>1</v>
      </c>
      <c r="K480" s="235"/>
      <c r="L480" s="235"/>
      <c r="M480" s="276"/>
      <c r="N480" s="279" t="s">
        <v>25</v>
      </c>
      <c r="O480" t="str">
        <f t="shared" si="8"/>
        <v>1962 Memorial Penny</v>
      </c>
      <c r="S480" t="str" cm="1">
        <f t="array" ref="S480">_xlfn.REGEXEXTRACT(E480, "[0-9]{1,5}")</f>
        <v>1962</v>
      </c>
      <c r="T480" t="s">
        <v>2492</v>
      </c>
      <c r="U480" t="s">
        <v>3896</v>
      </c>
    </row>
    <row r="481" spans="1:21">
      <c r="A481" s="136">
        <v>1</v>
      </c>
      <c r="B481" s="233">
        <v>1962</v>
      </c>
      <c r="C481" s="234"/>
      <c r="D481" s="234" t="s">
        <v>4920</v>
      </c>
      <c r="E481" s="244" t="s">
        <v>3092</v>
      </c>
      <c r="F481" s="244" t="s">
        <v>4914</v>
      </c>
      <c r="G481" s="235"/>
      <c r="H481" s="236">
        <v>0.01</v>
      </c>
      <c r="I481" s="236">
        <v>0.01</v>
      </c>
      <c r="J481" s="233">
        <v>1</v>
      </c>
      <c r="K481" s="235"/>
      <c r="L481" s="235"/>
      <c r="M481" s="276"/>
      <c r="N481" s="279" t="s">
        <v>25</v>
      </c>
      <c r="O481" t="str">
        <f t="shared" si="8"/>
        <v>1962 Memorial Penny</v>
      </c>
      <c r="S481" t="str" cm="1">
        <f t="array" ref="S481">_xlfn.REGEXEXTRACT(E481, "[0-9]{1,5}")</f>
        <v>1962</v>
      </c>
      <c r="T481" t="s">
        <v>2492</v>
      </c>
      <c r="U481" t="s">
        <v>3896</v>
      </c>
    </row>
    <row r="482" spans="1:21">
      <c r="A482" s="136">
        <v>1</v>
      </c>
      <c r="B482" s="233">
        <v>1962</v>
      </c>
      <c r="C482" s="234"/>
      <c r="D482" s="234" t="s">
        <v>4920</v>
      </c>
      <c r="E482" s="244" t="s">
        <v>3093</v>
      </c>
      <c r="F482" s="244" t="s">
        <v>4914</v>
      </c>
      <c r="G482" s="235"/>
      <c r="H482" s="236">
        <v>0.01</v>
      </c>
      <c r="I482" s="236">
        <v>0.01</v>
      </c>
      <c r="J482" s="233">
        <v>1</v>
      </c>
      <c r="K482" s="235"/>
      <c r="L482" s="235"/>
      <c r="M482" s="276"/>
      <c r="N482" s="279" t="s">
        <v>25</v>
      </c>
      <c r="O482" t="str">
        <f t="shared" si="8"/>
        <v>1962 Memorial Penny</v>
      </c>
      <c r="S482" t="str" cm="1">
        <f t="array" ref="S482">_xlfn.REGEXEXTRACT(E482, "[0-9]{1,5}")</f>
        <v>1962</v>
      </c>
      <c r="T482" t="s">
        <v>2492</v>
      </c>
      <c r="U482" t="s">
        <v>3896</v>
      </c>
    </row>
    <row r="483" spans="1:21">
      <c r="A483" s="136">
        <v>1</v>
      </c>
      <c r="B483" s="233">
        <v>1962</v>
      </c>
      <c r="C483" s="234"/>
      <c r="D483" s="234" t="s">
        <v>4920</v>
      </c>
      <c r="E483" s="244" t="s">
        <v>3094</v>
      </c>
      <c r="F483" s="244" t="s">
        <v>4914</v>
      </c>
      <c r="G483" s="235"/>
      <c r="H483" s="236">
        <v>0.01</v>
      </c>
      <c r="I483" s="236">
        <v>0.01</v>
      </c>
      <c r="J483" s="233">
        <v>1</v>
      </c>
      <c r="K483" s="235"/>
      <c r="L483" s="235"/>
      <c r="M483" s="276"/>
      <c r="N483" s="279" t="s">
        <v>25</v>
      </c>
      <c r="O483" t="str">
        <f t="shared" si="8"/>
        <v>1962 Memorial Penny</v>
      </c>
      <c r="S483" t="str" cm="1">
        <f t="array" ref="S483">_xlfn.REGEXEXTRACT(E483, "[0-9]{1,5}")</f>
        <v>1962</v>
      </c>
      <c r="T483" t="s">
        <v>2492</v>
      </c>
      <c r="U483" t="s">
        <v>3896</v>
      </c>
    </row>
    <row r="484" spans="1:21">
      <c r="A484" s="136">
        <v>1</v>
      </c>
      <c r="B484" s="233">
        <v>1962</v>
      </c>
      <c r="C484" s="234"/>
      <c r="D484" s="234" t="s">
        <v>4920</v>
      </c>
      <c r="E484" s="244" t="s">
        <v>3095</v>
      </c>
      <c r="F484" s="244" t="s">
        <v>4914</v>
      </c>
      <c r="G484" s="235"/>
      <c r="H484" s="236">
        <v>0.01</v>
      </c>
      <c r="I484" s="236">
        <v>0.01</v>
      </c>
      <c r="J484" s="233">
        <v>1</v>
      </c>
      <c r="K484" s="235"/>
      <c r="L484" s="235"/>
      <c r="M484" s="276"/>
      <c r="N484" s="279" t="s">
        <v>25</v>
      </c>
      <c r="O484" t="str">
        <f t="shared" si="8"/>
        <v>1962 Memorial Penny</v>
      </c>
      <c r="S484" t="str" cm="1">
        <f t="array" ref="S484">_xlfn.REGEXEXTRACT(E484, "[0-9]{1,5}")</f>
        <v>1962</v>
      </c>
      <c r="T484" t="s">
        <v>2492</v>
      </c>
      <c r="U484" t="s">
        <v>3896</v>
      </c>
    </row>
    <row r="485" spans="1:21">
      <c r="A485" s="136">
        <v>1</v>
      </c>
      <c r="B485" s="233">
        <v>1962</v>
      </c>
      <c r="C485" s="234" t="s">
        <v>13</v>
      </c>
      <c r="D485" s="234" t="s">
        <v>4920</v>
      </c>
      <c r="E485" s="244" t="s">
        <v>3096</v>
      </c>
      <c r="F485" s="244" t="s">
        <v>4914</v>
      </c>
      <c r="G485" s="235"/>
      <c r="H485" s="236">
        <v>0.01</v>
      </c>
      <c r="I485" s="236">
        <v>0.01</v>
      </c>
      <c r="J485" s="233">
        <v>1</v>
      </c>
      <c r="K485" s="235"/>
      <c r="L485" s="235"/>
      <c r="M485" s="276"/>
      <c r="N485" s="279" t="s">
        <v>25</v>
      </c>
      <c r="O485" t="str">
        <f t="shared" si="8"/>
        <v>1962-D Memorial Penny</v>
      </c>
      <c r="S485" t="str" cm="1">
        <f t="array" ref="S485">_xlfn.REGEXEXTRACT(E485, "[0-9]{1,5}")</f>
        <v>1962</v>
      </c>
      <c r="T485" t="s">
        <v>2492</v>
      </c>
      <c r="U485" t="s">
        <v>3896</v>
      </c>
    </row>
    <row r="486" spans="1:21">
      <c r="A486" s="136">
        <v>1</v>
      </c>
      <c r="B486" s="233">
        <v>1962</v>
      </c>
      <c r="C486" s="234" t="s">
        <v>13</v>
      </c>
      <c r="D486" s="234" t="s">
        <v>4920</v>
      </c>
      <c r="E486" s="244" t="s">
        <v>3097</v>
      </c>
      <c r="F486" s="244" t="s">
        <v>4914</v>
      </c>
      <c r="G486" s="235"/>
      <c r="H486" s="236">
        <v>0.01</v>
      </c>
      <c r="I486" s="236">
        <v>0.01</v>
      </c>
      <c r="J486" s="233">
        <v>1</v>
      </c>
      <c r="K486" s="235"/>
      <c r="L486" s="235"/>
      <c r="M486" s="276"/>
      <c r="N486" s="279" t="s">
        <v>25</v>
      </c>
      <c r="O486" t="str">
        <f t="shared" si="8"/>
        <v>1962-D Memorial Penny</v>
      </c>
      <c r="S486" t="str" cm="1">
        <f t="array" ref="S486">_xlfn.REGEXEXTRACT(E486, "[0-9]{1,5}")</f>
        <v>1962</v>
      </c>
      <c r="T486" t="s">
        <v>2492</v>
      </c>
      <c r="U486" t="s">
        <v>3896</v>
      </c>
    </row>
    <row r="487" spans="1:21">
      <c r="A487" s="136">
        <v>1</v>
      </c>
      <c r="B487" s="233">
        <v>1962</v>
      </c>
      <c r="C487" s="234" t="s">
        <v>13</v>
      </c>
      <c r="D487" s="234" t="s">
        <v>4920</v>
      </c>
      <c r="E487" s="244" t="s">
        <v>3098</v>
      </c>
      <c r="F487" s="244" t="s">
        <v>4914</v>
      </c>
      <c r="G487" s="235"/>
      <c r="H487" s="236">
        <v>0.01</v>
      </c>
      <c r="I487" s="236">
        <v>0.01</v>
      </c>
      <c r="J487" s="233">
        <v>1</v>
      </c>
      <c r="K487" s="235"/>
      <c r="L487" s="235"/>
      <c r="M487" s="276"/>
      <c r="N487" s="279" t="s">
        <v>25</v>
      </c>
      <c r="O487" t="str">
        <f t="shared" si="8"/>
        <v>1962-D Memorial Penny</v>
      </c>
      <c r="S487" t="str" cm="1">
        <f t="array" ref="S487">_xlfn.REGEXEXTRACT(E487, "[0-9]{1,5}")</f>
        <v>1962</v>
      </c>
      <c r="T487" t="s">
        <v>2492</v>
      </c>
      <c r="U487" t="s">
        <v>3896</v>
      </c>
    </row>
    <row r="488" spans="1:21">
      <c r="A488" s="136">
        <v>1</v>
      </c>
      <c r="B488" s="233">
        <v>1962</v>
      </c>
      <c r="C488" s="234" t="s">
        <v>13</v>
      </c>
      <c r="D488" s="234" t="s">
        <v>4920</v>
      </c>
      <c r="E488" s="244" t="s">
        <v>3099</v>
      </c>
      <c r="F488" s="244" t="s">
        <v>4914</v>
      </c>
      <c r="G488" s="235"/>
      <c r="H488" s="236">
        <v>0.01</v>
      </c>
      <c r="I488" s="236">
        <v>0.01</v>
      </c>
      <c r="J488" s="233">
        <v>1</v>
      </c>
      <c r="K488" s="235"/>
      <c r="L488" s="235"/>
      <c r="M488" s="276"/>
      <c r="N488" s="279" t="s">
        <v>25</v>
      </c>
      <c r="O488" t="str">
        <f t="shared" si="8"/>
        <v>1962-D Memorial Penny</v>
      </c>
      <c r="S488" t="str" cm="1">
        <f t="array" ref="S488">_xlfn.REGEXEXTRACT(E488, "[0-9]{1,5}")</f>
        <v>1962</v>
      </c>
      <c r="T488" t="s">
        <v>2492</v>
      </c>
      <c r="U488" t="s">
        <v>3896</v>
      </c>
    </row>
    <row r="489" spans="1:21">
      <c r="A489" s="136">
        <v>1</v>
      </c>
      <c r="B489" s="233">
        <v>1962</v>
      </c>
      <c r="C489" s="234" t="s">
        <v>13</v>
      </c>
      <c r="D489" s="234" t="s">
        <v>4920</v>
      </c>
      <c r="E489" s="244" t="s">
        <v>3100</v>
      </c>
      <c r="F489" s="244" t="s">
        <v>4914</v>
      </c>
      <c r="G489" s="235"/>
      <c r="H489" s="236">
        <v>0.01</v>
      </c>
      <c r="I489" s="236">
        <v>0.01</v>
      </c>
      <c r="J489" s="233">
        <v>1</v>
      </c>
      <c r="K489" s="235"/>
      <c r="L489" s="235"/>
      <c r="M489" s="276"/>
      <c r="N489" s="279" t="s">
        <v>25</v>
      </c>
      <c r="O489" t="str">
        <f t="shared" si="8"/>
        <v>1962-D Memorial Penny</v>
      </c>
      <c r="S489" t="str" cm="1">
        <f t="array" ref="S489">_xlfn.REGEXEXTRACT(E489, "[0-9]{1,5}")</f>
        <v>1962</v>
      </c>
      <c r="T489" t="s">
        <v>2492</v>
      </c>
      <c r="U489" t="s">
        <v>3896</v>
      </c>
    </row>
    <row r="490" spans="1:21">
      <c r="A490" s="136">
        <v>1</v>
      </c>
      <c r="B490" s="233">
        <v>1962</v>
      </c>
      <c r="C490" s="234"/>
      <c r="D490" s="234" t="s">
        <v>4920</v>
      </c>
      <c r="E490" s="244" t="s">
        <v>3101</v>
      </c>
      <c r="F490" s="244" t="s">
        <v>4914</v>
      </c>
      <c r="G490" s="235" t="s">
        <v>2587</v>
      </c>
      <c r="H490" s="236">
        <v>0.01</v>
      </c>
      <c r="I490" s="236">
        <v>0.01</v>
      </c>
      <c r="J490" s="233">
        <v>1</v>
      </c>
      <c r="K490" s="235"/>
      <c r="L490" s="235"/>
      <c r="M490" s="276"/>
      <c r="N490" s="279" t="s">
        <v>25</v>
      </c>
      <c r="O490" t="str">
        <f t="shared" si="8"/>
        <v>1962 Memorial Penny</v>
      </c>
      <c r="S490" t="str" cm="1">
        <f t="array" ref="S490">_xlfn.REGEXEXTRACT(E490, "[0-9]{1,5}")</f>
        <v>1962</v>
      </c>
      <c r="T490" t="s">
        <v>2492</v>
      </c>
      <c r="U490" t="s">
        <v>3896</v>
      </c>
    </row>
    <row r="491" spans="1:21">
      <c r="A491" s="136">
        <v>1</v>
      </c>
      <c r="B491" s="233">
        <v>1962</v>
      </c>
      <c r="C491" s="234"/>
      <c r="D491" s="234" t="s">
        <v>4920</v>
      </c>
      <c r="E491" s="244" t="s">
        <v>3102</v>
      </c>
      <c r="F491" s="244" t="s">
        <v>4914</v>
      </c>
      <c r="G491" s="235" t="s">
        <v>2587</v>
      </c>
      <c r="H491" s="236">
        <v>0.01</v>
      </c>
      <c r="I491" s="236">
        <v>0.01</v>
      </c>
      <c r="J491" s="233">
        <v>1</v>
      </c>
      <c r="K491" s="235"/>
      <c r="L491" s="235"/>
      <c r="M491" s="276"/>
      <c r="N491" s="279" t="s">
        <v>25</v>
      </c>
      <c r="O491" t="str">
        <f t="shared" si="8"/>
        <v>1962 Memorial Penny</v>
      </c>
      <c r="S491" t="str" cm="1">
        <f t="array" ref="S491">_xlfn.REGEXEXTRACT(E491, "[0-9]{1,5}")</f>
        <v>1962</v>
      </c>
      <c r="T491" t="s">
        <v>2492</v>
      </c>
      <c r="U491" t="s">
        <v>3896</v>
      </c>
    </row>
    <row r="492" spans="1:21">
      <c r="A492" s="136">
        <v>1</v>
      </c>
      <c r="B492" s="233">
        <v>1962</v>
      </c>
      <c r="C492" s="234"/>
      <c r="D492" s="234" t="s">
        <v>4920</v>
      </c>
      <c r="E492" s="244" t="s">
        <v>3103</v>
      </c>
      <c r="F492" s="244" t="s">
        <v>4914</v>
      </c>
      <c r="G492" s="235"/>
      <c r="H492" s="236">
        <v>0.01</v>
      </c>
      <c r="I492" s="236">
        <v>0.01</v>
      </c>
      <c r="J492" s="233">
        <v>1</v>
      </c>
      <c r="K492" s="235"/>
      <c r="L492" s="235"/>
      <c r="M492" s="276"/>
      <c r="N492" s="279" t="s">
        <v>25</v>
      </c>
      <c r="O492" t="str">
        <f t="shared" si="8"/>
        <v>1962 Memorial Penny</v>
      </c>
      <c r="S492" t="str" cm="1">
        <f t="array" ref="S492">_xlfn.REGEXEXTRACT(E492, "[0-9]{1,5}")</f>
        <v>1962</v>
      </c>
      <c r="T492" t="s">
        <v>2492</v>
      </c>
      <c r="U492" t="s">
        <v>3896</v>
      </c>
    </row>
    <row r="493" spans="1:21">
      <c r="A493" s="136">
        <v>1</v>
      </c>
      <c r="B493" s="233">
        <v>1963</v>
      </c>
      <c r="C493" s="234"/>
      <c r="D493" s="234" t="s">
        <v>4920</v>
      </c>
      <c r="E493" s="244" t="s">
        <v>3104</v>
      </c>
      <c r="F493" s="244" t="s">
        <v>4914</v>
      </c>
      <c r="G493" s="235"/>
      <c r="H493" s="236">
        <v>0.01</v>
      </c>
      <c r="I493" s="236">
        <v>0.01</v>
      </c>
      <c r="J493" s="233">
        <v>1</v>
      </c>
      <c r="K493" s="235"/>
      <c r="L493" s="235"/>
      <c r="M493" s="276"/>
      <c r="N493" s="279" t="s">
        <v>25</v>
      </c>
      <c r="O493" t="str">
        <f t="shared" si="8"/>
        <v>1963 Memorial Penny</v>
      </c>
      <c r="S493" t="str" cm="1">
        <f t="array" ref="S493">_xlfn.REGEXEXTRACT(E493, "[0-9]{1,5}")</f>
        <v>1963</v>
      </c>
      <c r="T493" t="s">
        <v>2493</v>
      </c>
      <c r="U493" t="s">
        <v>3896</v>
      </c>
    </row>
    <row r="494" spans="1:21">
      <c r="A494" s="136">
        <v>1</v>
      </c>
      <c r="B494" s="233">
        <v>1963</v>
      </c>
      <c r="C494" s="234"/>
      <c r="D494" s="234" t="s">
        <v>4920</v>
      </c>
      <c r="E494" s="244" t="s">
        <v>3105</v>
      </c>
      <c r="F494" s="244" t="s">
        <v>4914</v>
      </c>
      <c r="G494" s="235"/>
      <c r="H494" s="236">
        <v>0.01</v>
      </c>
      <c r="I494" s="236">
        <v>0.01</v>
      </c>
      <c r="J494" s="233">
        <v>1</v>
      </c>
      <c r="K494" s="235"/>
      <c r="L494" s="235"/>
      <c r="M494" s="276"/>
      <c r="N494" s="279" t="s">
        <v>25</v>
      </c>
      <c r="O494" t="str">
        <f t="shared" si="8"/>
        <v>1963 Memorial Penny</v>
      </c>
      <c r="S494" t="str" cm="1">
        <f t="array" ref="S494">_xlfn.REGEXEXTRACT(E494, "[0-9]{1,5}")</f>
        <v>1963</v>
      </c>
      <c r="T494" t="s">
        <v>2493</v>
      </c>
      <c r="U494" t="s">
        <v>3896</v>
      </c>
    </row>
    <row r="495" spans="1:21">
      <c r="A495" s="136">
        <v>1</v>
      </c>
      <c r="B495" s="233">
        <v>1963</v>
      </c>
      <c r="C495" s="234"/>
      <c r="D495" s="234" t="s">
        <v>4920</v>
      </c>
      <c r="E495" s="244" t="s">
        <v>3106</v>
      </c>
      <c r="F495" s="244" t="s">
        <v>4914</v>
      </c>
      <c r="G495" s="235"/>
      <c r="H495" s="236">
        <v>0.01</v>
      </c>
      <c r="I495" s="236">
        <v>0.01</v>
      </c>
      <c r="J495" s="233">
        <v>1</v>
      </c>
      <c r="K495" s="235"/>
      <c r="L495" s="235"/>
      <c r="M495" s="276"/>
      <c r="N495" s="279" t="s">
        <v>25</v>
      </c>
      <c r="O495" t="str">
        <f t="shared" si="8"/>
        <v>1963 Memorial Penny</v>
      </c>
      <c r="S495" t="str" cm="1">
        <f t="array" ref="S495">_xlfn.REGEXEXTRACT(E495, "[0-9]{1,5}")</f>
        <v>1963</v>
      </c>
      <c r="T495" t="s">
        <v>2493</v>
      </c>
      <c r="U495" t="s">
        <v>3896</v>
      </c>
    </row>
    <row r="496" spans="1:21">
      <c r="A496" s="136">
        <v>1</v>
      </c>
      <c r="B496" s="233">
        <v>1963</v>
      </c>
      <c r="C496" s="234"/>
      <c r="D496" s="234" t="s">
        <v>4920</v>
      </c>
      <c r="E496" s="244" t="s">
        <v>3107</v>
      </c>
      <c r="F496" s="244" t="s">
        <v>4914</v>
      </c>
      <c r="G496" s="235"/>
      <c r="H496" s="236">
        <v>0.01</v>
      </c>
      <c r="I496" s="236">
        <v>0.01</v>
      </c>
      <c r="J496" s="233">
        <v>1</v>
      </c>
      <c r="K496" s="235"/>
      <c r="L496" s="235"/>
      <c r="M496" s="276"/>
      <c r="N496" s="279" t="s">
        <v>25</v>
      </c>
      <c r="O496" t="str">
        <f t="shared" si="8"/>
        <v>1963 Memorial Penny</v>
      </c>
      <c r="S496" t="str" cm="1">
        <f t="array" ref="S496">_xlfn.REGEXEXTRACT(E496, "[0-9]{1,5}")</f>
        <v>1963</v>
      </c>
      <c r="T496" t="s">
        <v>2493</v>
      </c>
      <c r="U496" t="s">
        <v>3896</v>
      </c>
    </row>
    <row r="497" spans="1:21">
      <c r="A497" s="136">
        <v>1</v>
      </c>
      <c r="B497" s="233">
        <v>1963</v>
      </c>
      <c r="C497" s="234"/>
      <c r="D497" s="234" t="s">
        <v>4920</v>
      </c>
      <c r="E497" s="244" t="s">
        <v>3108</v>
      </c>
      <c r="F497" s="244" t="s">
        <v>4914</v>
      </c>
      <c r="G497" s="235"/>
      <c r="H497" s="236">
        <v>0.01</v>
      </c>
      <c r="I497" s="236">
        <v>0.01</v>
      </c>
      <c r="J497" s="233">
        <v>1</v>
      </c>
      <c r="K497" s="235"/>
      <c r="L497" s="235"/>
      <c r="M497" s="276"/>
      <c r="N497" s="279" t="s">
        <v>25</v>
      </c>
      <c r="O497" t="str">
        <f t="shared" si="8"/>
        <v>1963 Memorial Penny</v>
      </c>
      <c r="S497" t="str" cm="1">
        <f t="array" ref="S497">_xlfn.REGEXEXTRACT(E497, "[0-9]{1,5}")</f>
        <v>1963</v>
      </c>
      <c r="T497" t="s">
        <v>2493</v>
      </c>
      <c r="U497" t="s">
        <v>3896</v>
      </c>
    </row>
    <row r="498" spans="1:21">
      <c r="A498" s="136">
        <v>1</v>
      </c>
      <c r="B498" s="233">
        <v>1963</v>
      </c>
      <c r="C498" s="234"/>
      <c r="D498" s="234" t="s">
        <v>4920</v>
      </c>
      <c r="E498" s="244" t="s">
        <v>3109</v>
      </c>
      <c r="F498" s="244" t="s">
        <v>4914</v>
      </c>
      <c r="G498" s="235"/>
      <c r="H498" s="236">
        <v>0.01</v>
      </c>
      <c r="I498" s="236">
        <v>0.01</v>
      </c>
      <c r="J498" s="233">
        <v>1</v>
      </c>
      <c r="K498" s="235"/>
      <c r="L498" s="235"/>
      <c r="M498" s="276"/>
      <c r="N498" s="279" t="s">
        <v>25</v>
      </c>
      <c r="O498" t="str">
        <f t="shared" si="8"/>
        <v>1963 Memorial Penny</v>
      </c>
      <c r="S498" t="str" cm="1">
        <f t="array" ref="S498">_xlfn.REGEXEXTRACT(E498, "[0-9]{1,5}")</f>
        <v>1963</v>
      </c>
      <c r="T498" t="s">
        <v>2493</v>
      </c>
      <c r="U498" t="s">
        <v>3896</v>
      </c>
    </row>
    <row r="499" spans="1:21">
      <c r="A499" s="136">
        <v>1</v>
      </c>
      <c r="B499" s="233">
        <v>1963</v>
      </c>
      <c r="C499" s="234"/>
      <c r="D499" s="234" t="s">
        <v>4920</v>
      </c>
      <c r="E499" s="244" t="s">
        <v>3110</v>
      </c>
      <c r="F499" s="244" t="s">
        <v>4914</v>
      </c>
      <c r="G499" s="235"/>
      <c r="H499" s="236">
        <v>0.01</v>
      </c>
      <c r="I499" s="236">
        <v>0.01</v>
      </c>
      <c r="J499" s="233">
        <v>1</v>
      </c>
      <c r="K499" s="235"/>
      <c r="L499" s="235"/>
      <c r="M499" s="276"/>
      <c r="N499" s="279" t="s">
        <v>25</v>
      </c>
      <c r="O499" t="str">
        <f t="shared" si="8"/>
        <v>1963 Memorial Penny</v>
      </c>
      <c r="S499" t="str" cm="1">
        <f t="array" ref="S499">_xlfn.REGEXEXTRACT(E499, "[0-9]{1,5}")</f>
        <v>1963</v>
      </c>
      <c r="T499" t="s">
        <v>2493</v>
      </c>
      <c r="U499" t="s">
        <v>3896</v>
      </c>
    </row>
    <row r="500" spans="1:21">
      <c r="A500" s="136">
        <v>1</v>
      </c>
      <c r="B500" s="233">
        <v>1963</v>
      </c>
      <c r="C500" s="234"/>
      <c r="D500" s="234" t="s">
        <v>4920</v>
      </c>
      <c r="E500" s="244" t="s">
        <v>3111</v>
      </c>
      <c r="F500" s="244" t="s">
        <v>4914</v>
      </c>
      <c r="G500" s="235"/>
      <c r="H500" s="236">
        <v>0.01</v>
      </c>
      <c r="I500" s="236">
        <v>0.01</v>
      </c>
      <c r="J500" s="233">
        <v>1</v>
      </c>
      <c r="K500" s="235"/>
      <c r="L500" s="235"/>
      <c r="M500" s="276"/>
      <c r="N500" s="279" t="s">
        <v>25</v>
      </c>
      <c r="O500" t="str">
        <f t="shared" si="8"/>
        <v>1963 Memorial Penny</v>
      </c>
      <c r="S500" t="str" cm="1">
        <f t="array" ref="S500">_xlfn.REGEXEXTRACT(E500, "[0-9]{1,5}")</f>
        <v>1963</v>
      </c>
      <c r="T500" t="s">
        <v>2493</v>
      </c>
      <c r="U500" t="s">
        <v>3896</v>
      </c>
    </row>
    <row r="501" spans="1:21">
      <c r="A501" s="136">
        <v>1</v>
      </c>
      <c r="B501" s="233">
        <v>1963</v>
      </c>
      <c r="C501" s="234"/>
      <c r="D501" s="234" t="s">
        <v>4920</v>
      </c>
      <c r="E501" s="244" t="s">
        <v>3112</v>
      </c>
      <c r="F501" s="244" t="s">
        <v>4914</v>
      </c>
      <c r="G501" s="235"/>
      <c r="H501" s="236">
        <v>0.01</v>
      </c>
      <c r="I501" s="236">
        <v>0.01</v>
      </c>
      <c r="J501" s="233">
        <v>1</v>
      </c>
      <c r="K501" s="235"/>
      <c r="L501" s="235"/>
      <c r="M501" s="276"/>
      <c r="N501" s="279" t="s">
        <v>25</v>
      </c>
      <c r="O501" t="str">
        <f t="shared" si="8"/>
        <v>1963 Memorial Penny</v>
      </c>
      <c r="S501" t="str" cm="1">
        <f t="array" ref="S501">_xlfn.REGEXEXTRACT(E501, "[0-9]{1,5}")</f>
        <v>1963</v>
      </c>
      <c r="T501" t="s">
        <v>2493</v>
      </c>
      <c r="U501" t="s">
        <v>3896</v>
      </c>
    </row>
    <row r="502" spans="1:21">
      <c r="A502" s="136">
        <v>1</v>
      </c>
      <c r="B502" s="233">
        <v>1963</v>
      </c>
      <c r="C502" s="234" t="s">
        <v>13</v>
      </c>
      <c r="D502" s="234" t="s">
        <v>4920</v>
      </c>
      <c r="E502" s="244" t="s">
        <v>3113</v>
      </c>
      <c r="F502" s="244" t="s">
        <v>4914</v>
      </c>
      <c r="G502" s="235"/>
      <c r="H502" s="236">
        <v>0.01</v>
      </c>
      <c r="I502" s="236">
        <v>0.01</v>
      </c>
      <c r="J502" s="233">
        <v>1</v>
      </c>
      <c r="K502" s="235"/>
      <c r="L502" s="235"/>
      <c r="M502" s="276"/>
      <c r="N502" s="279" t="s">
        <v>25</v>
      </c>
      <c r="O502" t="str">
        <f t="shared" si="8"/>
        <v>1963-D Memorial Penny</v>
      </c>
      <c r="S502" t="str" cm="1">
        <f t="array" ref="S502">_xlfn.REGEXEXTRACT(E502, "[0-9]{1,5}")</f>
        <v>1963</v>
      </c>
      <c r="T502" t="s">
        <v>2493</v>
      </c>
      <c r="U502" t="s">
        <v>3896</v>
      </c>
    </row>
    <row r="503" spans="1:21">
      <c r="A503" s="136">
        <v>1</v>
      </c>
      <c r="B503" s="233">
        <v>1963</v>
      </c>
      <c r="C503" s="234" t="s">
        <v>13</v>
      </c>
      <c r="D503" s="234" t="s">
        <v>4920</v>
      </c>
      <c r="E503" s="244" t="s">
        <v>3114</v>
      </c>
      <c r="F503" s="244" t="s">
        <v>4914</v>
      </c>
      <c r="G503" s="235"/>
      <c r="H503" s="236">
        <v>0.01</v>
      </c>
      <c r="I503" s="236">
        <v>0.01</v>
      </c>
      <c r="J503" s="233">
        <v>1</v>
      </c>
      <c r="K503" s="235"/>
      <c r="L503" s="235"/>
      <c r="M503" s="276"/>
      <c r="N503" s="279" t="s">
        <v>25</v>
      </c>
      <c r="O503" t="str">
        <f t="shared" si="8"/>
        <v>1963-D Memorial Penny</v>
      </c>
      <c r="S503" t="str" cm="1">
        <f t="array" ref="S503">_xlfn.REGEXEXTRACT(E503, "[0-9]{1,5}")</f>
        <v>1963</v>
      </c>
      <c r="T503" t="s">
        <v>2493</v>
      </c>
      <c r="U503" t="s">
        <v>3896</v>
      </c>
    </row>
    <row r="504" spans="1:21">
      <c r="A504" s="136">
        <v>1</v>
      </c>
      <c r="B504" s="233">
        <v>1963</v>
      </c>
      <c r="C504" s="234" t="s">
        <v>13</v>
      </c>
      <c r="D504" s="234" t="s">
        <v>4920</v>
      </c>
      <c r="E504" s="244" t="s">
        <v>3115</v>
      </c>
      <c r="F504" s="244" t="s">
        <v>4914</v>
      </c>
      <c r="G504" s="235"/>
      <c r="H504" s="236">
        <v>0.01</v>
      </c>
      <c r="I504" s="236">
        <v>0.01</v>
      </c>
      <c r="J504" s="233">
        <v>1</v>
      </c>
      <c r="K504" s="235"/>
      <c r="L504" s="235"/>
      <c r="M504" s="276"/>
      <c r="N504" s="279" t="s">
        <v>25</v>
      </c>
      <c r="O504" t="str">
        <f t="shared" si="8"/>
        <v>1963-D Memorial Penny</v>
      </c>
      <c r="S504" t="str" cm="1">
        <f t="array" ref="S504">_xlfn.REGEXEXTRACT(E504, "[0-9]{1,5}")</f>
        <v>1963</v>
      </c>
      <c r="T504" t="s">
        <v>2493</v>
      </c>
      <c r="U504" t="s">
        <v>3896</v>
      </c>
    </row>
    <row r="505" spans="1:21">
      <c r="A505" s="136">
        <v>1</v>
      </c>
      <c r="B505" s="233">
        <v>1963</v>
      </c>
      <c r="C505" s="234" t="s">
        <v>13</v>
      </c>
      <c r="D505" s="234" t="s">
        <v>4920</v>
      </c>
      <c r="E505" s="244" t="s">
        <v>3116</v>
      </c>
      <c r="F505" s="244" t="s">
        <v>4914</v>
      </c>
      <c r="G505" s="235"/>
      <c r="H505" s="236">
        <v>0.01</v>
      </c>
      <c r="I505" s="236">
        <v>0.01</v>
      </c>
      <c r="J505" s="233">
        <v>1</v>
      </c>
      <c r="K505" s="235"/>
      <c r="L505" s="235"/>
      <c r="M505" s="276"/>
      <c r="N505" s="279" t="s">
        <v>25</v>
      </c>
      <c r="O505" t="str">
        <f t="shared" si="8"/>
        <v>1963-D Memorial Penny</v>
      </c>
      <c r="S505" t="str" cm="1">
        <f t="array" ref="S505">_xlfn.REGEXEXTRACT(E505, "[0-9]{1,5}")</f>
        <v>1963</v>
      </c>
      <c r="T505" t="s">
        <v>2493</v>
      </c>
      <c r="U505" t="s">
        <v>3896</v>
      </c>
    </row>
    <row r="506" spans="1:21">
      <c r="A506" s="136">
        <v>1</v>
      </c>
      <c r="B506" s="233">
        <v>1963</v>
      </c>
      <c r="C506" s="234" t="s">
        <v>13</v>
      </c>
      <c r="D506" s="234" t="s">
        <v>4920</v>
      </c>
      <c r="E506" s="244" t="s">
        <v>3117</v>
      </c>
      <c r="F506" s="244" t="s">
        <v>4914</v>
      </c>
      <c r="G506" s="235"/>
      <c r="H506" s="236">
        <v>0.01</v>
      </c>
      <c r="I506" s="236">
        <v>0.01</v>
      </c>
      <c r="J506" s="233">
        <v>1</v>
      </c>
      <c r="K506" s="235"/>
      <c r="L506" s="235"/>
      <c r="M506" s="276"/>
      <c r="N506" s="279" t="s">
        <v>25</v>
      </c>
      <c r="O506" t="str">
        <f t="shared" si="8"/>
        <v>1963-D Memorial Penny</v>
      </c>
      <c r="S506" t="str" cm="1">
        <f t="array" ref="S506">_xlfn.REGEXEXTRACT(E506, "[0-9]{1,5}")</f>
        <v>1963</v>
      </c>
      <c r="T506" t="s">
        <v>2493</v>
      </c>
      <c r="U506" t="s">
        <v>3896</v>
      </c>
    </row>
    <row r="507" spans="1:21">
      <c r="A507" s="136">
        <v>1</v>
      </c>
      <c r="B507" s="233">
        <v>1963</v>
      </c>
      <c r="C507" s="234" t="s">
        <v>13</v>
      </c>
      <c r="D507" s="234" t="s">
        <v>4920</v>
      </c>
      <c r="E507" s="244" t="s">
        <v>3118</v>
      </c>
      <c r="F507" s="244" t="s">
        <v>4914</v>
      </c>
      <c r="G507" s="235"/>
      <c r="H507" s="236">
        <v>0.01</v>
      </c>
      <c r="I507" s="236">
        <v>0.01</v>
      </c>
      <c r="J507" s="233">
        <v>1</v>
      </c>
      <c r="K507" s="235"/>
      <c r="L507" s="235"/>
      <c r="M507" s="276"/>
      <c r="N507" s="279" t="s">
        <v>25</v>
      </c>
      <c r="O507" t="str">
        <f t="shared" si="8"/>
        <v>1963-D Memorial Penny</v>
      </c>
      <c r="S507" t="str" cm="1">
        <f t="array" ref="S507">_xlfn.REGEXEXTRACT(E507, "[0-9]{1,5}")</f>
        <v>1963</v>
      </c>
      <c r="T507" t="s">
        <v>2493</v>
      </c>
      <c r="U507" t="s">
        <v>3896</v>
      </c>
    </row>
    <row r="508" spans="1:21">
      <c r="A508" s="136">
        <v>1</v>
      </c>
      <c r="B508" s="233">
        <v>1964</v>
      </c>
      <c r="C508" s="234" t="s">
        <v>13</v>
      </c>
      <c r="D508" s="234" t="s">
        <v>4920</v>
      </c>
      <c r="E508" s="244" t="s">
        <v>3119</v>
      </c>
      <c r="F508" s="244" t="s">
        <v>4914</v>
      </c>
      <c r="G508" s="235"/>
      <c r="H508" s="236">
        <v>0.01</v>
      </c>
      <c r="I508" s="236">
        <v>0.01</v>
      </c>
      <c r="J508" s="233">
        <v>1</v>
      </c>
      <c r="K508" s="235"/>
      <c r="L508" s="235"/>
      <c r="M508" s="276"/>
      <c r="N508" s="279" t="s">
        <v>25</v>
      </c>
      <c r="O508" t="str">
        <f t="shared" si="8"/>
        <v>1964-D Memorial Penny</v>
      </c>
      <c r="S508" t="str" cm="1">
        <f t="array" ref="S508">_xlfn.REGEXEXTRACT(E508, "[0-9]{1,5}")</f>
        <v>1964</v>
      </c>
      <c r="T508" t="s">
        <v>2494</v>
      </c>
      <c r="U508" t="s">
        <v>3896</v>
      </c>
    </row>
    <row r="509" spans="1:21">
      <c r="A509" s="136">
        <v>1</v>
      </c>
      <c r="B509" s="233">
        <v>1964</v>
      </c>
      <c r="C509" s="234" t="s">
        <v>13</v>
      </c>
      <c r="D509" s="234" t="s">
        <v>4920</v>
      </c>
      <c r="E509" s="244" t="s">
        <v>3120</v>
      </c>
      <c r="F509" s="244" t="s">
        <v>4914</v>
      </c>
      <c r="G509" s="235"/>
      <c r="H509" s="236">
        <v>0.01</v>
      </c>
      <c r="I509" s="236">
        <v>0.01</v>
      </c>
      <c r="J509" s="233">
        <v>1</v>
      </c>
      <c r="K509" s="235"/>
      <c r="L509" s="235"/>
      <c r="M509" s="276"/>
      <c r="N509" s="279" t="s">
        <v>25</v>
      </c>
      <c r="O509" t="str">
        <f t="shared" si="8"/>
        <v>1964-D Memorial Penny</v>
      </c>
      <c r="S509" t="str" cm="1">
        <f t="array" ref="S509">_xlfn.REGEXEXTRACT(E509, "[0-9]{1,5}")</f>
        <v>1964</v>
      </c>
      <c r="T509" t="s">
        <v>2494</v>
      </c>
      <c r="U509" t="s">
        <v>3896</v>
      </c>
    </row>
    <row r="510" spans="1:21">
      <c r="A510" s="136">
        <v>1</v>
      </c>
      <c r="B510" s="233">
        <v>1964</v>
      </c>
      <c r="C510" s="234"/>
      <c r="D510" s="234" t="s">
        <v>4920</v>
      </c>
      <c r="E510" s="244" t="s">
        <v>3121</v>
      </c>
      <c r="F510" s="244" t="s">
        <v>4914</v>
      </c>
      <c r="G510" s="235"/>
      <c r="H510" s="236">
        <v>0.01</v>
      </c>
      <c r="I510" s="236">
        <v>0.01</v>
      </c>
      <c r="J510" s="233">
        <v>1</v>
      </c>
      <c r="K510" s="235"/>
      <c r="L510" s="235"/>
      <c r="M510" s="276"/>
      <c r="N510" s="279" t="s">
        <v>25</v>
      </c>
      <c r="O510" t="str">
        <f t="shared" si="8"/>
        <v>1964 Memorial Penny</v>
      </c>
      <c r="S510" t="str" cm="1">
        <f t="array" ref="S510">_xlfn.REGEXEXTRACT(E510, "[0-9]{1,5}")</f>
        <v>1964</v>
      </c>
      <c r="T510" t="s">
        <v>2494</v>
      </c>
      <c r="U510" t="s">
        <v>3896</v>
      </c>
    </row>
    <row r="511" spans="1:21">
      <c r="A511" s="136">
        <v>1</v>
      </c>
      <c r="B511" s="233">
        <v>1964</v>
      </c>
      <c r="C511" s="234" t="s">
        <v>13</v>
      </c>
      <c r="D511" s="234" t="s">
        <v>4920</v>
      </c>
      <c r="E511" s="244" t="s">
        <v>3122</v>
      </c>
      <c r="F511" s="244" t="s">
        <v>4914</v>
      </c>
      <c r="G511" s="235"/>
      <c r="H511" s="236">
        <v>0.01</v>
      </c>
      <c r="I511" s="236">
        <v>0.01</v>
      </c>
      <c r="J511" s="233">
        <v>1</v>
      </c>
      <c r="K511" s="235"/>
      <c r="L511" s="235"/>
      <c r="M511" s="276"/>
      <c r="N511" s="279" t="s">
        <v>25</v>
      </c>
      <c r="O511" t="str">
        <f t="shared" si="8"/>
        <v>1964-D Memorial Penny</v>
      </c>
      <c r="S511" t="str" cm="1">
        <f t="array" ref="S511">_xlfn.REGEXEXTRACT(E511, "[0-9]{1,5}")</f>
        <v>1964</v>
      </c>
      <c r="T511" t="s">
        <v>2494</v>
      </c>
      <c r="U511" t="s">
        <v>3896</v>
      </c>
    </row>
    <row r="512" spans="1:21">
      <c r="A512" s="136">
        <v>1</v>
      </c>
      <c r="B512" s="233">
        <v>1964</v>
      </c>
      <c r="C512" s="234"/>
      <c r="D512" s="234" t="s">
        <v>4920</v>
      </c>
      <c r="E512" s="244" t="s">
        <v>3123</v>
      </c>
      <c r="F512" s="244" t="s">
        <v>4914</v>
      </c>
      <c r="G512" s="235"/>
      <c r="H512" s="236">
        <v>0.01</v>
      </c>
      <c r="I512" s="236">
        <v>0.01</v>
      </c>
      <c r="J512" s="233">
        <v>1</v>
      </c>
      <c r="K512" s="235"/>
      <c r="L512" s="235"/>
      <c r="M512" s="276"/>
      <c r="N512" s="279" t="s">
        <v>25</v>
      </c>
      <c r="O512" t="str">
        <f t="shared" si="8"/>
        <v>1964 Memorial Penny</v>
      </c>
      <c r="S512" t="str" cm="1">
        <f t="array" ref="S512">_xlfn.REGEXEXTRACT(E512, "[0-9]{1,5}")</f>
        <v>1964</v>
      </c>
      <c r="T512" t="s">
        <v>2494</v>
      </c>
      <c r="U512" t="s">
        <v>3896</v>
      </c>
    </row>
    <row r="513" spans="1:21">
      <c r="A513" s="136">
        <v>1</v>
      </c>
      <c r="B513" s="233">
        <v>1964</v>
      </c>
      <c r="C513" s="234"/>
      <c r="D513" s="234" t="s">
        <v>4920</v>
      </c>
      <c r="E513" s="244" t="s">
        <v>3124</v>
      </c>
      <c r="F513" s="244" t="s">
        <v>4914</v>
      </c>
      <c r="G513" s="235"/>
      <c r="H513" s="236">
        <v>0.01</v>
      </c>
      <c r="I513" s="236">
        <v>0.01</v>
      </c>
      <c r="J513" s="233">
        <v>1</v>
      </c>
      <c r="K513" s="235"/>
      <c r="L513" s="235"/>
      <c r="M513" s="276"/>
      <c r="N513" s="279" t="s">
        <v>25</v>
      </c>
      <c r="O513" t="str">
        <f t="shared" si="8"/>
        <v>1964 Memorial Penny</v>
      </c>
      <c r="S513" t="str" cm="1">
        <f t="array" ref="S513">_xlfn.REGEXEXTRACT(E513, "[0-9]{1,5}")</f>
        <v>1964</v>
      </c>
      <c r="T513" t="s">
        <v>2494</v>
      </c>
      <c r="U513" t="s">
        <v>3896</v>
      </c>
    </row>
    <row r="514" spans="1:21">
      <c r="A514" s="136">
        <v>1</v>
      </c>
      <c r="B514" s="233">
        <v>1964</v>
      </c>
      <c r="C514" s="234"/>
      <c r="D514" s="234" t="s">
        <v>4920</v>
      </c>
      <c r="E514" s="244" t="s">
        <v>3125</v>
      </c>
      <c r="F514" s="244" t="s">
        <v>4914</v>
      </c>
      <c r="G514" s="235"/>
      <c r="H514" s="236">
        <v>0.01</v>
      </c>
      <c r="I514" s="236">
        <v>0.01</v>
      </c>
      <c r="J514" s="233">
        <v>1</v>
      </c>
      <c r="K514" s="235"/>
      <c r="L514" s="235"/>
      <c r="M514" s="276"/>
      <c r="N514" s="279" t="s">
        <v>25</v>
      </c>
      <c r="O514" t="str">
        <f t="shared" si="8"/>
        <v>1964 Memorial Penny</v>
      </c>
      <c r="S514" t="str" cm="1">
        <f t="array" ref="S514">_xlfn.REGEXEXTRACT(E514, "[0-9]{1,5}")</f>
        <v>1964</v>
      </c>
      <c r="T514" t="s">
        <v>2494</v>
      </c>
      <c r="U514" t="s">
        <v>3896</v>
      </c>
    </row>
    <row r="515" spans="1:21">
      <c r="A515" s="136">
        <v>1</v>
      </c>
      <c r="B515" s="233">
        <v>1964</v>
      </c>
      <c r="C515" s="234"/>
      <c r="D515" s="234" t="s">
        <v>4920</v>
      </c>
      <c r="E515" s="244" t="s">
        <v>3126</v>
      </c>
      <c r="F515" s="244" t="s">
        <v>4914</v>
      </c>
      <c r="G515" s="235"/>
      <c r="H515" s="236">
        <v>0.01</v>
      </c>
      <c r="I515" s="236">
        <v>0.01</v>
      </c>
      <c r="J515" s="233">
        <v>1</v>
      </c>
      <c r="K515" s="235"/>
      <c r="L515" s="235"/>
      <c r="M515" s="276"/>
      <c r="N515" s="279" t="s">
        <v>25</v>
      </c>
      <c r="O515" t="str">
        <f t="shared" si="8"/>
        <v>1964 Memorial Penny</v>
      </c>
      <c r="S515" t="str" cm="1">
        <f t="array" ref="S515">_xlfn.REGEXEXTRACT(E515, "[0-9]{1,5}")</f>
        <v>1964</v>
      </c>
      <c r="T515" t="s">
        <v>2494</v>
      </c>
      <c r="U515" t="s">
        <v>3896</v>
      </c>
    </row>
    <row r="516" spans="1:21">
      <c r="A516" s="136">
        <v>1</v>
      </c>
      <c r="B516" s="233">
        <v>1964</v>
      </c>
      <c r="C516" s="234" t="s">
        <v>13</v>
      </c>
      <c r="D516" s="234" t="s">
        <v>4920</v>
      </c>
      <c r="E516" s="244" t="s">
        <v>3127</v>
      </c>
      <c r="F516" s="244" t="s">
        <v>4914</v>
      </c>
      <c r="G516" s="235"/>
      <c r="H516" s="236">
        <v>0.01</v>
      </c>
      <c r="I516" s="236">
        <v>0.01</v>
      </c>
      <c r="J516" s="233">
        <v>1</v>
      </c>
      <c r="K516" s="235"/>
      <c r="L516" s="235"/>
      <c r="M516" s="276"/>
      <c r="N516" s="279" t="s">
        <v>25</v>
      </c>
      <c r="O516" t="str">
        <f t="shared" ref="O516:O579" si="9">IF(C516&lt;&gt;"",B516&amp;"-"&amp;C516&amp;" "&amp;F516,B516&amp;" "&amp;F516)</f>
        <v>1964-D Memorial Penny</v>
      </c>
      <c r="S516" t="str" cm="1">
        <f t="array" ref="S516">_xlfn.REGEXEXTRACT(E516, "[0-9]{1,5}")</f>
        <v>1964</v>
      </c>
      <c r="T516" t="s">
        <v>2494</v>
      </c>
      <c r="U516" t="s">
        <v>3896</v>
      </c>
    </row>
    <row r="517" spans="1:21">
      <c r="A517" s="136">
        <v>1</v>
      </c>
      <c r="B517" s="233">
        <v>1964</v>
      </c>
      <c r="C517" s="234" t="s">
        <v>13</v>
      </c>
      <c r="D517" s="234" t="s">
        <v>4920</v>
      </c>
      <c r="E517" s="244" t="s">
        <v>3128</v>
      </c>
      <c r="F517" s="244" t="s">
        <v>4914</v>
      </c>
      <c r="G517" s="235"/>
      <c r="H517" s="236">
        <v>0.01</v>
      </c>
      <c r="I517" s="236">
        <v>0.01</v>
      </c>
      <c r="J517" s="233">
        <v>1</v>
      </c>
      <c r="K517" s="235"/>
      <c r="L517" s="235"/>
      <c r="M517" s="276"/>
      <c r="N517" s="279" t="s">
        <v>25</v>
      </c>
      <c r="O517" t="str">
        <f t="shared" si="9"/>
        <v>1964-D Memorial Penny</v>
      </c>
      <c r="S517" t="str" cm="1">
        <f t="array" ref="S517">_xlfn.REGEXEXTRACT(E517, "[0-9]{1,5}")</f>
        <v>1964</v>
      </c>
      <c r="T517" t="s">
        <v>2494</v>
      </c>
      <c r="U517" t="s">
        <v>3896</v>
      </c>
    </row>
    <row r="518" spans="1:21">
      <c r="A518" s="136">
        <v>1</v>
      </c>
      <c r="B518" s="233">
        <v>1964</v>
      </c>
      <c r="C518" s="234" t="s">
        <v>13</v>
      </c>
      <c r="D518" s="234" t="s">
        <v>4920</v>
      </c>
      <c r="E518" s="244" t="s">
        <v>3129</v>
      </c>
      <c r="F518" s="244" t="s">
        <v>4914</v>
      </c>
      <c r="G518" s="235"/>
      <c r="H518" s="236">
        <v>0.01</v>
      </c>
      <c r="I518" s="236">
        <v>0.01</v>
      </c>
      <c r="J518" s="233">
        <v>1</v>
      </c>
      <c r="K518" s="235"/>
      <c r="L518" s="235"/>
      <c r="M518" s="276"/>
      <c r="N518" s="279" t="s">
        <v>25</v>
      </c>
      <c r="O518" t="str">
        <f t="shared" si="9"/>
        <v>1964-D Memorial Penny</v>
      </c>
      <c r="S518" t="str" cm="1">
        <f t="array" ref="S518">_xlfn.REGEXEXTRACT(E518, "[0-9]{1,5}")</f>
        <v>1964</v>
      </c>
      <c r="T518" t="s">
        <v>2494</v>
      </c>
      <c r="U518" t="s">
        <v>3896</v>
      </c>
    </row>
    <row r="519" spans="1:21">
      <c r="A519" s="136">
        <v>1</v>
      </c>
      <c r="B519" s="233">
        <v>1964</v>
      </c>
      <c r="C519" s="234" t="s">
        <v>13</v>
      </c>
      <c r="D519" s="234" t="s">
        <v>4920</v>
      </c>
      <c r="E519" s="244" t="s">
        <v>3130</v>
      </c>
      <c r="F519" s="244" t="s">
        <v>4914</v>
      </c>
      <c r="G519" s="235" t="s">
        <v>2587</v>
      </c>
      <c r="H519" s="236">
        <v>0.01</v>
      </c>
      <c r="I519" s="236">
        <v>0.01</v>
      </c>
      <c r="J519" s="233">
        <v>1</v>
      </c>
      <c r="K519" s="235"/>
      <c r="L519" s="235"/>
      <c r="M519" s="276"/>
      <c r="N519" s="279" t="s">
        <v>25</v>
      </c>
      <c r="O519" t="str">
        <f t="shared" si="9"/>
        <v>1964-D Memorial Penny</v>
      </c>
      <c r="S519" t="str" cm="1">
        <f t="array" ref="S519">_xlfn.REGEXEXTRACT(E519, "[0-9]{1,5}")</f>
        <v>1964</v>
      </c>
      <c r="T519" t="s">
        <v>2494</v>
      </c>
      <c r="U519" t="s">
        <v>3896</v>
      </c>
    </row>
    <row r="520" spans="1:21">
      <c r="A520" s="136">
        <v>1</v>
      </c>
      <c r="B520" s="233">
        <v>1964</v>
      </c>
      <c r="C520" s="234"/>
      <c r="D520" s="234" t="s">
        <v>4920</v>
      </c>
      <c r="E520" s="244" t="s">
        <v>3131</v>
      </c>
      <c r="F520" s="244" t="s">
        <v>4914</v>
      </c>
      <c r="G520" s="235" t="s">
        <v>2587</v>
      </c>
      <c r="H520" s="236">
        <v>0.01</v>
      </c>
      <c r="I520" s="236">
        <v>0.01</v>
      </c>
      <c r="J520" s="233">
        <v>1</v>
      </c>
      <c r="K520" s="235"/>
      <c r="L520" s="235"/>
      <c r="M520" s="276"/>
      <c r="N520" s="279" t="s">
        <v>25</v>
      </c>
      <c r="O520" t="str">
        <f t="shared" si="9"/>
        <v>1964 Memorial Penny</v>
      </c>
      <c r="S520" t="str" cm="1">
        <f t="array" ref="S520">_xlfn.REGEXEXTRACT(E520, "[0-9]{1,5}")</f>
        <v>1964</v>
      </c>
      <c r="T520" t="s">
        <v>2494</v>
      </c>
      <c r="U520" t="s">
        <v>3896</v>
      </c>
    </row>
    <row r="521" spans="1:21">
      <c r="A521" s="136">
        <v>1</v>
      </c>
      <c r="B521" s="233">
        <v>1964</v>
      </c>
      <c r="C521" s="234" t="s">
        <v>13</v>
      </c>
      <c r="D521" s="234" t="s">
        <v>4920</v>
      </c>
      <c r="E521" s="244" t="s">
        <v>3132</v>
      </c>
      <c r="F521" s="244" t="s">
        <v>4914</v>
      </c>
      <c r="G521" s="235" t="s">
        <v>2587</v>
      </c>
      <c r="H521" s="236">
        <v>0.01</v>
      </c>
      <c r="I521" s="236">
        <v>0.01</v>
      </c>
      <c r="J521" s="233">
        <v>1</v>
      </c>
      <c r="K521" s="235"/>
      <c r="L521" s="235"/>
      <c r="M521" s="276"/>
      <c r="N521" s="279" t="s">
        <v>25</v>
      </c>
      <c r="O521" t="str">
        <f t="shared" si="9"/>
        <v>1964-D Memorial Penny</v>
      </c>
      <c r="S521" t="str" cm="1">
        <f t="array" ref="S521">_xlfn.REGEXEXTRACT(E521, "[0-9]{1,5}")</f>
        <v>1964</v>
      </c>
      <c r="T521" t="s">
        <v>2494</v>
      </c>
      <c r="U521" t="s">
        <v>3896</v>
      </c>
    </row>
    <row r="522" spans="1:21">
      <c r="A522" s="136">
        <v>1</v>
      </c>
      <c r="B522" s="233">
        <v>1964</v>
      </c>
      <c r="C522" s="234" t="s">
        <v>13</v>
      </c>
      <c r="D522" s="234" t="s">
        <v>4920</v>
      </c>
      <c r="E522" s="244" t="s">
        <v>3133</v>
      </c>
      <c r="F522" s="244" t="s">
        <v>4914</v>
      </c>
      <c r="G522" s="235" t="s">
        <v>2587</v>
      </c>
      <c r="H522" s="236">
        <v>0.01</v>
      </c>
      <c r="I522" s="236">
        <v>0.01</v>
      </c>
      <c r="J522" s="233">
        <v>1</v>
      </c>
      <c r="K522" s="235"/>
      <c r="L522" s="235"/>
      <c r="M522" s="276"/>
      <c r="N522" s="279" t="s">
        <v>25</v>
      </c>
      <c r="O522" t="str">
        <f t="shared" si="9"/>
        <v>1964-D Memorial Penny</v>
      </c>
      <c r="S522" t="str" cm="1">
        <f t="array" ref="S522">_xlfn.REGEXEXTRACT(E522, "[0-9]{1,5}")</f>
        <v>1964</v>
      </c>
      <c r="T522" t="s">
        <v>2494</v>
      </c>
      <c r="U522" t="s">
        <v>3896</v>
      </c>
    </row>
    <row r="523" spans="1:21">
      <c r="A523" s="136">
        <v>1</v>
      </c>
      <c r="B523" s="233">
        <v>1964</v>
      </c>
      <c r="C523" s="234" t="s">
        <v>13</v>
      </c>
      <c r="D523" s="234" t="s">
        <v>4920</v>
      </c>
      <c r="E523" s="244" t="s">
        <v>3134</v>
      </c>
      <c r="F523" s="244" t="s">
        <v>4914</v>
      </c>
      <c r="G523" s="235" t="s">
        <v>2587</v>
      </c>
      <c r="H523" s="236">
        <v>0.01</v>
      </c>
      <c r="I523" s="236">
        <v>0.01</v>
      </c>
      <c r="J523" s="233">
        <v>1</v>
      </c>
      <c r="K523" s="235"/>
      <c r="L523" s="235"/>
      <c r="M523" s="276"/>
      <c r="N523" s="279" t="s">
        <v>25</v>
      </c>
      <c r="O523" t="str">
        <f t="shared" si="9"/>
        <v>1964-D Memorial Penny</v>
      </c>
      <c r="S523" t="str" cm="1">
        <f t="array" ref="S523">_xlfn.REGEXEXTRACT(E523, "[0-9]{1,5}")</f>
        <v>1964</v>
      </c>
      <c r="T523" t="s">
        <v>2494</v>
      </c>
      <c r="U523" t="s">
        <v>3896</v>
      </c>
    </row>
    <row r="524" spans="1:21">
      <c r="A524" s="136">
        <v>1</v>
      </c>
      <c r="B524" s="233">
        <v>1964</v>
      </c>
      <c r="C524" s="234"/>
      <c r="D524" s="234" t="s">
        <v>4920</v>
      </c>
      <c r="E524" s="244" t="s">
        <v>3135</v>
      </c>
      <c r="F524" s="244" t="s">
        <v>4914</v>
      </c>
      <c r="G524" s="235" t="s">
        <v>2587</v>
      </c>
      <c r="H524" s="236">
        <v>0.01</v>
      </c>
      <c r="I524" s="236">
        <v>0.01</v>
      </c>
      <c r="J524" s="233">
        <v>1</v>
      </c>
      <c r="K524" s="235"/>
      <c r="L524" s="235"/>
      <c r="M524" s="276"/>
      <c r="N524" s="279" t="s">
        <v>25</v>
      </c>
      <c r="O524" t="str">
        <f t="shared" si="9"/>
        <v>1964 Memorial Penny</v>
      </c>
      <c r="S524" t="str" cm="1">
        <f t="array" ref="S524">_xlfn.REGEXEXTRACT(E524, "[0-9]{1,5}")</f>
        <v>1964</v>
      </c>
      <c r="T524" t="s">
        <v>2494</v>
      </c>
      <c r="U524" t="s">
        <v>3896</v>
      </c>
    </row>
    <row r="525" spans="1:21">
      <c r="A525" s="136">
        <v>1</v>
      </c>
      <c r="B525" s="233">
        <v>1965</v>
      </c>
      <c r="C525" s="234"/>
      <c r="D525" s="234" t="s">
        <v>4920</v>
      </c>
      <c r="E525" s="244" t="s">
        <v>3136</v>
      </c>
      <c r="F525" s="244" t="s">
        <v>4914</v>
      </c>
      <c r="G525" s="235"/>
      <c r="H525" s="236">
        <v>0.01</v>
      </c>
      <c r="I525" s="236">
        <v>0.01</v>
      </c>
      <c r="J525" s="233">
        <v>1</v>
      </c>
      <c r="K525" s="235"/>
      <c r="L525" s="235"/>
      <c r="M525" s="276"/>
      <c r="N525" s="279" t="s">
        <v>25</v>
      </c>
      <c r="O525" t="str">
        <f t="shared" si="9"/>
        <v>1965 Memorial Penny</v>
      </c>
      <c r="S525" t="str" cm="1">
        <f t="array" ref="S525">_xlfn.REGEXEXTRACT(E525, "[0-9]{1,5}")</f>
        <v>1965</v>
      </c>
      <c r="T525" t="s">
        <v>2495</v>
      </c>
      <c r="U525" t="s">
        <v>3896</v>
      </c>
    </row>
    <row r="526" spans="1:21">
      <c r="A526" s="136">
        <v>1</v>
      </c>
      <c r="B526" s="233">
        <v>1965</v>
      </c>
      <c r="C526" s="234"/>
      <c r="D526" s="234" t="s">
        <v>4920</v>
      </c>
      <c r="E526" s="244" t="s">
        <v>3137</v>
      </c>
      <c r="F526" s="244" t="s">
        <v>4914</v>
      </c>
      <c r="G526" s="235"/>
      <c r="H526" s="236">
        <v>0.01</v>
      </c>
      <c r="I526" s="236">
        <v>0.01</v>
      </c>
      <c r="J526" s="233">
        <v>1</v>
      </c>
      <c r="K526" s="235"/>
      <c r="L526" s="235"/>
      <c r="M526" s="276"/>
      <c r="N526" s="279" t="s">
        <v>25</v>
      </c>
      <c r="O526" t="str">
        <f t="shared" si="9"/>
        <v>1965 Memorial Penny</v>
      </c>
      <c r="S526" t="str" cm="1">
        <f t="array" ref="S526">_xlfn.REGEXEXTRACT(E526, "[0-9]{1,5}")</f>
        <v>1965</v>
      </c>
      <c r="T526" t="s">
        <v>2495</v>
      </c>
      <c r="U526" t="s">
        <v>3896</v>
      </c>
    </row>
    <row r="527" spans="1:21">
      <c r="A527" s="136">
        <v>1</v>
      </c>
      <c r="B527" s="233">
        <v>1965</v>
      </c>
      <c r="C527" s="234"/>
      <c r="D527" s="234" t="s">
        <v>4920</v>
      </c>
      <c r="E527" s="244" t="s">
        <v>3138</v>
      </c>
      <c r="F527" s="244" t="s">
        <v>4914</v>
      </c>
      <c r="G527" s="235"/>
      <c r="H527" s="236">
        <v>0.01</v>
      </c>
      <c r="I527" s="236">
        <v>0.01</v>
      </c>
      <c r="J527" s="233">
        <v>1</v>
      </c>
      <c r="K527" s="235"/>
      <c r="L527" s="235"/>
      <c r="M527" s="276"/>
      <c r="N527" s="279" t="s">
        <v>25</v>
      </c>
      <c r="O527" t="str">
        <f t="shared" si="9"/>
        <v>1965 Memorial Penny</v>
      </c>
      <c r="S527" t="str" cm="1">
        <f t="array" ref="S527">_xlfn.REGEXEXTRACT(E527, "[0-9]{1,5}")</f>
        <v>1965</v>
      </c>
      <c r="T527" t="s">
        <v>2495</v>
      </c>
      <c r="U527" t="s">
        <v>3896</v>
      </c>
    </row>
    <row r="528" spans="1:21">
      <c r="A528" s="136">
        <v>1</v>
      </c>
      <c r="B528" s="233">
        <v>1965</v>
      </c>
      <c r="C528" s="234"/>
      <c r="D528" s="234" t="s">
        <v>4920</v>
      </c>
      <c r="E528" s="244" t="s">
        <v>3139</v>
      </c>
      <c r="F528" s="244" t="s">
        <v>4914</v>
      </c>
      <c r="G528" s="235" t="s">
        <v>2587</v>
      </c>
      <c r="H528" s="236">
        <v>0.01</v>
      </c>
      <c r="I528" s="236">
        <v>0.01</v>
      </c>
      <c r="J528" s="233">
        <v>1</v>
      </c>
      <c r="K528" s="235"/>
      <c r="L528" s="235"/>
      <c r="M528" s="276"/>
      <c r="N528" s="279" t="s">
        <v>25</v>
      </c>
      <c r="O528" t="str">
        <f t="shared" si="9"/>
        <v>1965 Memorial Penny</v>
      </c>
      <c r="S528" t="str" cm="1">
        <f t="array" ref="S528">_xlfn.REGEXEXTRACT(E528, "[0-9]{1,5}")</f>
        <v>1965</v>
      </c>
      <c r="T528" t="s">
        <v>2495</v>
      </c>
      <c r="U528" t="s">
        <v>3896</v>
      </c>
    </row>
    <row r="529" spans="1:21">
      <c r="A529" s="136">
        <v>1</v>
      </c>
      <c r="B529" s="233">
        <v>1965</v>
      </c>
      <c r="C529" s="234"/>
      <c r="D529" s="234" t="s">
        <v>4920</v>
      </c>
      <c r="E529" s="244" t="s">
        <v>3140</v>
      </c>
      <c r="F529" s="244" t="s">
        <v>4914</v>
      </c>
      <c r="G529" s="235" t="s">
        <v>2587</v>
      </c>
      <c r="H529" s="236">
        <v>0.01</v>
      </c>
      <c r="I529" s="236">
        <v>0.01</v>
      </c>
      <c r="J529" s="233">
        <v>1</v>
      </c>
      <c r="K529" s="235"/>
      <c r="L529" s="235"/>
      <c r="M529" s="276"/>
      <c r="N529" s="279" t="s">
        <v>25</v>
      </c>
      <c r="O529" t="str">
        <f t="shared" si="9"/>
        <v>1965 Memorial Penny</v>
      </c>
      <c r="S529" t="str" cm="1">
        <f t="array" ref="S529">_xlfn.REGEXEXTRACT(E529, "[0-9]{1,5}")</f>
        <v>1965</v>
      </c>
      <c r="T529" t="s">
        <v>2495</v>
      </c>
      <c r="U529" t="s">
        <v>3896</v>
      </c>
    </row>
    <row r="530" spans="1:21">
      <c r="A530" s="136">
        <v>1</v>
      </c>
      <c r="B530" s="233">
        <v>1966</v>
      </c>
      <c r="C530" s="234"/>
      <c r="D530" s="234" t="s">
        <v>4920</v>
      </c>
      <c r="E530" s="244" t="s">
        <v>3141</v>
      </c>
      <c r="F530" s="244" t="s">
        <v>4914</v>
      </c>
      <c r="G530" s="235"/>
      <c r="H530" s="236">
        <v>0.01</v>
      </c>
      <c r="I530" s="236">
        <v>0.01</v>
      </c>
      <c r="J530" s="233">
        <v>1</v>
      </c>
      <c r="K530" s="235"/>
      <c r="L530" s="235"/>
      <c r="M530" s="276"/>
      <c r="N530" s="279" t="s">
        <v>25</v>
      </c>
      <c r="O530" t="str">
        <f t="shared" si="9"/>
        <v>1966 Memorial Penny</v>
      </c>
      <c r="S530" t="str" cm="1">
        <f t="array" ref="S530">_xlfn.REGEXEXTRACT(E530, "[0-9]{1,5}")</f>
        <v>1966</v>
      </c>
      <c r="T530" t="s">
        <v>2496</v>
      </c>
      <c r="U530" t="s">
        <v>3896</v>
      </c>
    </row>
    <row r="531" spans="1:21">
      <c r="A531" s="136">
        <v>1</v>
      </c>
      <c r="B531" s="233">
        <v>1966</v>
      </c>
      <c r="C531" s="234"/>
      <c r="D531" s="234" t="s">
        <v>4920</v>
      </c>
      <c r="E531" s="244" t="s">
        <v>3142</v>
      </c>
      <c r="F531" s="244" t="s">
        <v>4914</v>
      </c>
      <c r="G531" s="235"/>
      <c r="H531" s="236">
        <v>0.01</v>
      </c>
      <c r="I531" s="236">
        <v>0.01</v>
      </c>
      <c r="J531" s="233">
        <v>1</v>
      </c>
      <c r="K531" s="235"/>
      <c r="L531" s="235"/>
      <c r="M531" s="276"/>
      <c r="N531" s="279" t="s">
        <v>25</v>
      </c>
      <c r="O531" t="str">
        <f t="shared" si="9"/>
        <v>1966 Memorial Penny</v>
      </c>
      <c r="S531" t="str" cm="1">
        <f t="array" ref="S531">_xlfn.REGEXEXTRACT(E531, "[0-9]{1,5}")</f>
        <v>1966</v>
      </c>
      <c r="T531" t="s">
        <v>2496</v>
      </c>
      <c r="U531" t="s">
        <v>3896</v>
      </c>
    </row>
    <row r="532" spans="1:21">
      <c r="A532" s="136">
        <v>1</v>
      </c>
      <c r="B532" s="233">
        <v>1966</v>
      </c>
      <c r="C532" s="234"/>
      <c r="D532" s="234" t="s">
        <v>4920</v>
      </c>
      <c r="E532" s="244" t="s">
        <v>3143</v>
      </c>
      <c r="F532" s="244" t="s">
        <v>4914</v>
      </c>
      <c r="G532" s="235"/>
      <c r="H532" s="236">
        <v>0.01</v>
      </c>
      <c r="I532" s="236">
        <v>0.01</v>
      </c>
      <c r="J532" s="233">
        <v>1</v>
      </c>
      <c r="K532" s="235"/>
      <c r="L532" s="235"/>
      <c r="M532" s="276"/>
      <c r="N532" s="279" t="s">
        <v>25</v>
      </c>
      <c r="O532" t="str">
        <f t="shared" si="9"/>
        <v>1966 Memorial Penny</v>
      </c>
      <c r="S532" t="str" cm="1">
        <f t="array" ref="S532">_xlfn.REGEXEXTRACT(E532, "[0-9]{1,5}")</f>
        <v>1966</v>
      </c>
      <c r="T532" t="s">
        <v>2496</v>
      </c>
      <c r="U532" t="s">
        <v>3896</v>
      </c>
    </row>
    <row r="533" spans="1:21">
      <c r="A533" s="136">
        <v>1</v>
      </c>
      <c r="B533" s="233">
        <v>1966</v>
      </c>
      <c r="C533" s="234"/>
      <c r="D533" s="234" t="s">
        <v>4920</v>
      </c>
      <c r="E533" s="244" t="s">
        <v>3144</v>
      </c>
      <c r="F533" s="244" t="s">
        <v>4914</v>
      </c>
      <c r="G533" s="235"/>
      <c r="H533" s="236">
        <v>0.01</v>
      </c>
      <c r="I533" s="236">
        <v>0.01</v>
      </c>
      <c r="J533" s="233">
        <v>1</v>
      </c>
      <c r="K533" s="235"/>
      <c r="L533" s="235"/>
      <c r="M533" s="276"/>
      <c r="N533" s="279" t="s">
        <v>25</v>
      </c>
      <c r="O533" t="str">
        <f t="shared" si="9"/>
        <v>1966 Memorial Penny</v>
      </c>
      <c r="S533" t="str" cm="1">
        <f t="array" ref="S533">_xlfn.REGEXEXTRACT(E533, "[0-9]{1,5}")</f>
        <v>1966</v>
      </c>
      <c r="T533" t="s">
        <v>2496</v>
      </c>
      <c r="U533" t="s">
        <v>3896</v>
      </c>
    </row>
    <row r="534" spans="1:21">
      <c r="A534" s="136">
        <v>1</v>
      </c>
      <c r="B534" s="233">
        <v>1966</v>
      </c>
      <c r="C534" s="234"/>
      <c r="D534" s="234" t="s">
        <v>4920</v>
      </c>
      <c r="E534" s="244" t="s">
        <v>3145</v>
      </c>
      <c r="F534" s="244" t="s">
        <v>4914</v>
      </c>
      <c r="G534" s="235"/>
      <c r="H534" s="236">
        <v>0.01</v>
      </c>
      <c r="I534" s="236">
        <v>0.01</v>
      </c>
      <c r="J534" s="233">
        <v>1</v>
      </c>
      <c r="K534" s="235"/>
      <c r="L534" s="235"/>
      <c r="M534" s="276"/>
      <c r="N534" s="279" t="s">
        <v>25</v>
      </c>
      <c r="O534" t="str">
        <f t="shared" si="9"/>
        <v>1966 Memorial Penny</v>
      </c>
      <c r="S534" t="str" cm="1">
        <f t="array" ref="S534">_xlfn.REGEXEXTRACT(E534, "[0-9]{1,5}")</f>
        <v>1966</v>
      </c>
      <c r="T534" t="s">
        <v>2496</v>
      </c>
      <c r="U534" t="s">
        <v>3896</v>
      </c>
    </row>
    <row r="535" spans="1:21">
      <c r="A535" s="136">
        <v>1</v>
      </c>
      <c r="B535" s="233">
        <v>1967</v>
      </c>
      <c r="C535" s="234"/>
      <c r="D535" s="234" t="s">
        <v>4920</v>
      </c>
      <c r="E535" s="244" t="s">
        <v>3146</v>
      </c>
      <c r="F535" s="244" t="s">
        <v>4914</v>
      </c>
      <c r="G535" s="235"/>
      <c r="H535" s="236">
        <v>0.01</v>
      </c>
      <c r="I535" s="236">
        <v>0.01</v>
      </c>
      <c r="J535" s="233">
        <v>1</v>
      </c>
      <c r="K535" s="235"/>
      <c r="L535" s="235"/>
      <c r="M535" s="276"/>
      <c r="N535" s="279" t="s">
        <v>25</v>
      </c>
      <c r="O535" t="str">
        <f t="shared" si="9"/>
        <v>1967 Memorial Penny</v>
      </c>
      <c r="S535" t="str" cm="1">
        <f t="array" ref="S535">_xlfn.REGEXEXTRACT(E535, "[0-9]{1,5}")</f>
        <v>1967</v>
      </c>
      <c r="T535" t="s">
        <v>2497</v>
      </c>
      <c r="U535" t="s">
        <v>3896</v>
      </c>
    </row>
    <row r="536" spans="1:21">
      <c r="A536" s="136">
        <v>1</v>
      </c>
      <c r="B536" s="233">
        <v>1967</v>
      </c>
      <c r="C536" s="234"/>
      <c r="D536" s="234" t="s">
        <v>4920</v>
      </c>
      <c r="E536" s="244" t="s">
        <v>3147</v>
      </c>
      <c r="F536" s="244" t="s">
        <v>4914</v>
      </c>
      <c r="G536" s="235"/>
      <c r="H536" s="236">
        <v>0.01</v>
      </c>
      <c r="I536" s="236">
        <v>0.01</v>
      </c>
      <c r="J536" s="233">
        <v>1</v>
      </c>
      <c r="K536" s="235"/>
      <c r="L536" s="235"/>
      <c r="M536" s="276"/>
      <c r="N536" s="279" t="s">
        <v>25</v>
      </c>
      <c r="O536" t="str">
        <f t="shared" si="9"/>
        <v>1967 Memorial Penny</v>
      </c>
      <c r="S536" t="str" cm="1">
        <f t="array" ref="S536">_xlfn.REGEXEXTRACT(E536, "[0-9]{1,5}")</f>
        <v>1967</v>
      </c>
      <c r="T536" t="s">
        <v>2497</v>
      </c>
      <c r="U536" t="s">
        <v>3896</v>
      </c>
    </row>
    <row r="537" spans="1:21">
      <c r="A537" s="136">
        <v>1</v>
      </c>
      <c r="B537" s="233">
        <v>1967</v>
      </c>
      <c r="C537" s="234"/>
      <c r="D537" s="234" t="s">
        <v>4920</v>
      </c>
      <c r="E537" s="244" t="s">
        <v>3148</v>
      </c>
      <c r="F537" s="244" t="s">
        <v>4914</v>
      </c>
      <c r="G537" s="235"/>
      <c r="H537" s="236">
        <v>0.01</v>
      </c>
      <c r="I537" s="236">
        <v>0.01</v>
      </c>
      <c r="J537" s="233">
        <v>1</v>
      </c>
      <c r="K537" s="235"/>
      <c r="L537" s="235"/>
      <c r="M537" s="276"/>
      <c r="N537" s="279" t="s">
        <v>25</v>
      </c>
      <c r="O537" t="str">
        <f t="shared" si="9"/>
        <v>1967 Memorial Penny</v>
      </c>
      <c r="S537" t="str" cm="1">
        <f t="array" ref="S537">_xlfn.REGEXEXTRACT(E537, "[0-9]{1,5}")</f>
        <v>1967</v>
      </c>
      <c r="T537" t="s">
        <v>2497</v>
      </c>
      <c r="U537" t="s">
        <v>3896</v>
      </c>
    </row>
    <row r="538" spans="1:21">
      <c r="A538" s="136">
        <v>1</v>
      </c>
      <c r="B538" s="233">
        <v>1967</v>
      </c>
      <c r="C538" s="234"/>
      <c r="D538" s="234" t="s">
        <v>4920</v>
      </c>
      <c r="E538" s="244" t="s">
        <v>3149</v>
      </c>
      <c r="F538" s="244" t="s">
        <v>4914</v>
      </c>
      <c r="G538" s="235"/>
      <c r="H538" s="236">
        <v>0.01</v>
      </c>
      <c r="I538" s="236">
        <v>0.01</v>
      </c>
      <c r="J538" s="233">
        <v>1</v>
      </c>
      <c r="K538" s="235"/>
      <c r="L538" s="235"/>
      <c r="M538" s="276"/>
      <c r="N538" s="279" t="s">
        <v>25</v>
      </c>
      <c r="O538" t="str">
        <f t="shared" si="9"/>
        <v>1967 Memorial Penny</v>
      </c>
      <c r="S538" t="str" cm="1">
        <f t="array" ref="S538">_xlfn.REGEXEXTRACT(E538, "[0-9]{1,5}")</f>
        <v>1967</v>
      </c>
      <c r="T538" t="s">
        <v>2497</v>
      </c>
      <c r="U538" t="s">
        <v>3896</v>
      </c>
    </row>
    <row r="539" spans="1:21">
      <c r="A539" s="136">
        <v>1</v>
      </c>
      <c r="B539" s="233">
        <v>1967</v>
      </c>
      <c r="C539" s="234"/>
      <c r="D539" s="234" t="s">
        <v>4920</v>
      </c>
      <c r="E539" s="244" t="s">
        <v>3150</v>
      </c>
      <c r="F539" s="244" t="s">
        <v>4914</v>
      </c>
      <c r="G539" s="235" t="s">
        <v>2587</v>
      </c>
      <c r="H539" s="236">
        <v>0.01</v>
      </c>
      <c r="I539" s="236">
        <v>0.01</v>
      </c>
      <c r="J539" s="233">
        <v>1</v>
      </c>
      <c r="K539" s="235"/>
      <c r="L539" s="235"/>
      <c r="M539" s="276"/>
      <c r="N539" s="279" t="s">
        <v>25</v>
      </c>
      <c r="O539" t="str">
        <f t="shared" si="9"/>
        <v>1967 Memorial Penny</v>
      </c>
      <c r="S539" t="str" cm="1">
        <f t="array" ref="S539">_xlfn.REGEXEXTRACT(E539, "[0-9]{1,5}")</f>
        <v>1967</v>
      </c>
      <c r="T539" t="s">
        <v>2497</v>
      </c>
      <c r="U539" t="s">
        <v>3896</v>
      </c>
    </row>
    <row r="540" spans="1:21">
      <c r="A540" s="136">
        <v>1</v>
      </c>
      <c r="B540" s="233">
        <v>1967</v>
      </c>
      <c r="C540" s="234"/>
      <c r="D540" s="234" t="s">
        <v>4920</v>
      </c>
      <c r="E540" s="244" t="s">
        <v>3151</v>
      </c>
      <c r="F540" s="244" t="s">
        <v>4914</v>
      </c>
      <c r="G540" s="235" t="s">
        <v>2587</v>
      </c>
      <c r="H540" s="236">
        <v>0.01</v>
      </c>
      <c r="I540" s="236">
        <v>0.01</v>
      </c>
      <c r="J540" s="233">
        <v>1</v>
      </c>
      <c r="K540" s="235"/>
      <c r="L540" s="235"/>
      <c r="M540" s="276"/>
      <c r="N540" s="279" t="s">
        <v>25</v>
      </c>
      <c r="O540" t="str">
        <f t="shared" si="9"/>
        <v>1967 Memorial Penny</v>
      </c>
      <c r="S540" t="str" cm="1">
        <f t="array" ref="S540">_xlfn.REGEXEXTRACT(E540, "[0-9]{1,5}")</f>
        <v>1967</v>
      </c>
      <c r="T540" t="s">
        <v>2497</v>
      </c>
      <c r="U540" t="s">
        <v>3896</v>
      </c>
    </row>
    <row r="541" spans="1:21">
      <c r="A541" s="136">
        <v>1</v>
      </c>
      <c r="B541" s="233">
        <v>1968</v>
      </c>
      <c r="C541" s="234"/>
      <c r="D541" s="234" t="s">
        <v>4920</v>
      </c>
      <c r="E541" s="244" t="s">
        <v>3152</v>
      </c>
      <c r="F541" s="244" t="s">
        <v>4914</v>
      </c>
      <c r="G541" s="235"/>
      <c r="H541" s="236">
        <v>0.01</v>
      </c>
      <c r="I541" s="236">
        <v>0.01</v>
      </c>
      <c r="J541" s="233">
        <v>1</v>
      </c>
      <c r="K541" s="235"/>
      <c r="L541" s="235"/>
      <c r="M541" s="276"/>
      <c r="N541" s="279" t="s">
        <v>25</v>
      </c>
      <c r="O541" t="str">
        <f t="shared" si="9"/>
        <v>1968 Memorial Penny</v>
      </c>
      <c r="S541" t="str" cm="1">
        <f t="array" ref="S541">_xlfn.REGEXEXTRACT(E541, "[0-9]{1,5}")</f>
        <v>1968</v>
      </c>
      <c r="T541" t="s">
        <v>4184</v>
      </c>
      <c r="U541" t="s">
        <v>3896</v>
      </c>
    </row>
    <row r="542" spans="1:21">
      <c r="A542" s="136">
        <v>1</v>
      </c>
      <c r="B542" s="233">
        <v>1968</v>
      </c>
      <c r="C542" s="234" t="s">
        <v>13</v>
      </c>
      <c r="D542" s="234" t="s">
        <v>4920</v>
      </c>
      <c r="E542" s="244" t="s">
        <v>3153</v>
      </c>
      <c r="F542" s="244" t="s">
        <v>4914</v>
      </c>
      <c r="G542" s="235"/>
      <c r="H542" s="236">
        <v>0.01</v>
      </c>
      <c r="I542" s="236">
        <v>0.01</v>
      </c>
      <c r="J542" s="233">
        <v>1</v>
      </c>
      <c r="K542" s="235"/>
      <c r="L542" s="235"/>
      <c r="M542" s="276"/>
      <c r="N542" s="279" t="s">
        <v>25</v>
      </c>
      <c r="O542" t="str">
        <f t="shared" si="9"/>
        <v>1968-D Memorial Penny</v>
      </c>
      <c r="S542" t="str" cm="1">
        <f t="array" ref="S542">_xlfn.REGEXEXTRACT(E542, "[0-9]{1,5}")</f>
        <v>1968</v>
      </c>
      <c r="T542" t="s">
        <v>4184</v>
      </c>
      <c r="U542" t="s">
        <v>3896</v>
      </c>
    </row>
    <row r="543" spans="1:21">
      <c r="A543" s="136">
        <v>1</v>
      </c>
      <c r="B543" s="233">
        <v>1968</v>
      </c>
      <c r="C543" s="234" t="s">
        <v>13</v>
      </c>
      <c r="D543" s="234" t="s">
        <v>4920</v>
      </c>
      <c r="E543" s="244" t="s">
        <v>3154</v>
      </c>
      <c r="F543" s="244" t="s">
        <v>4914</v>
      </c>
      <c r="G543" s="235"/>
      <c r="H543" s="236">
        <v>0.01</v>
      </c>
      <c r="I543" s="236">
        <v>0.01</v>
      </c>
      <c r="J543" s="233">
        <v>1</v>
      </c>
      <c r="K543" s="235"/>
      <c r="L543" s="235"/>
      <c r="M543" s="276"/>
      <c r="N543" s="279" t="s">
        <v>25</v>
      </c>
      <c r="O543" t="str">
        <f t="shared" si="9"/>
        <v>1968-D Memorial Penny</v>
      </c>
      <c r="S543" t="str" cm="1">
        <f t="array" ref="S543">_xlfn.REGEXEXTRACT(E543, "[0-9]{1,5}")</f>
        <v>1968</v>
      </c>
      <c r="T543" t="s">
        <v>4184</v>
      </c>
      <c r="U543" t="s">
        <v>3896</v>
      </c>
    </row>
    <row r="544" spans="1:21">
      <c r="A544" s="136">
        <v>1</v>
      </c>
      <c r="B544" s="233">
        <v>1968</v>
      </c>
      <c r="C544" s="234" t="s">
        <v>13</v>
      </c>
      <c r="D544" s="234" t="s">
        <v>4920</v>
      </c>
      <c r="E544" s="244" t="s">
        <v>3155</v>
      </c>
      <c r="F544" s="244" t="s">
        <v>4914</v>
      </c>
      <c r="G544" s="235"/>
      <c r="H544" s="236">
        <v>0.01</v>
      </c>
      <c r="I544" s="236">
        <v>0.01</v>
      </c>
      <c r="J544" s="233">
        <v>1</v>
      </c>
      <c r="K544" s="235"/>
      <c r="L544" s="235"/>
      <c r="M544" s="276"/>
      <c r="N544" s="279" t="s">
        <v>25</v>
      </c>
      <c r="O544" t="str">
        <f t="shared" si="9"/>
        <v>1968-D Memorial Penny</v>
      </c>
      <c r="S544" t="str" cm="1">
        <f t="array" ref="S544">_xlfn.REGEXEXTRACT(E544, "[0-9]{1,5}")</f>
        <v>1968</v>
      </c>
      <c r="T544" t="s">
        <v>4184</v>
      </c>
      <c r="U544" t="s">
        <v>3896</v>
      </c>
    </row>
    <row r="545" spans="1:21">
      <c r="A545" s="136">
        <v>1</v>
      </c>
      <c r="B545" s="233">
        <v>1968</v>
      </c>
      <c r="C545" s="234"/>
      <c r="D545" s="234" t="s">
        <v>4920</v>
      </c>
      <c r="E545" s="244" t="s">
        <v>3156</v>
      </c>
      <c r="F545" s="244" t="s">
        <v>4914</v>
      </c>
      <c r="G545" s="235"/>
      <c r="H545" s="236">
        <v>0.01</v>
      </c>
      <c r="I545" s="236">
        <v>0.01</v>
      </c>
      <c r="J545" s="233">
        <v>1</v>
      </c>
      <c r="K545" s="235"/>
      <c r="L545" s="235"/>
      <c r="M545" s="276"/>
      <c r="N545" s="279" t="s">
        <v>25</v>
      </c>
      <c r="O545" t="str">
        <f t="shared" si="9"/>
        <v>1968 Memorial Penny</v>
      </c>
      <c r="S545" t="str" cm="1">
        <f t="array" ref="S545">_xlfn.REGEXEXTRACT(E545, "[0-9]{1,5}")</f>
        <v>1968</v>
      </c>
      <c r="T545" t="s">
        <v>4184</v>
      </c>
      <c r="U545" t="s">
        <v>3896</v>
      </c>
    </row>
    <row r="546" spans="1:21">
      <c r="A546" s="136">
        <v>1</v>
      </c>
      <c r="B546" s="233">
        <v>1968</v>
      </c>
      <c r="C546" s="234"/>
      <c r="D546" s="234" t="s">
        <v>4920</v>
      </c>
      <c r="E546" s="244" t="s">
        <v>3157</v>
      </c>
      <c r="F546" s="244" t="s">
        <v>4914</v>
      </c>
      <c r="G546" s="235"/>
      <c r="H546" s="236">
        <v>0.01</v>
      </c>
      <c r="I546" s="236">
        <v>0.01</v>
      </c>
      <c r="J546" s="233">
        <v>1</v>
      </c>
      <c r="K546" s="235"/>
      <c r="L546" s="235"/>
      <c r="M546" s="276"/>
      <c r="N546" s="279" t="s">
        <v>25</v>
      </c>
      <c r="O546" t="str">
        <f t="shared" si="9"/>
        <v>1968 Memorial Penny</v>
      </c>
      <c r="S546" t="str" cm="1">
        <f t="array" ref="S546">_xlfn.REGEXEXTRACT(E546, "[0-9]{1,5}")</f>
        <v>1968</v>
      </c>
      <c r="T546" t="s">
        <v>4184</v>
      </c>
      <c r="U546" t="s">
        <v>3896</v>
      </c>
    </row>
    <row r="547" spans="1:21">
      <c r="A547" s="136">
        <v>1</v>
      </c>
      <c r="B547" s="233">
        <v>1968</v>
      </c>
      <c r="C547" s="234" t="s">
        <v>13</v>
      </c>
      <c r="D547" s="234" t="s">
        <v>4920</v>
      </c>
      <c r="E547" s="244" t="s">
        <v>3158</v>
      </c>
      <c r="F547" s="244" t="s">
        <v>4914</v>
      </c>
      <c r="G547" s="235"/>
      <c r="H547" s="236">
        <v>0.01</v>
      </c>
      <c r="I547" s="236">
        <v>0.01</v>
      </c>
      <c r="J547" s="233">
        <v>1</v>
      </c>
      <c r="K547" s="235"/>
      <c r="L547" s="235"/>
      <c r="M547" s="276"/>
      <c r="N547" s="279" t="s">
        <v>25</v>
      </c>
      <c r="O547" t="str">
        <f t="shared" si="9"/>
        <v>1968-D Memorial Penny</v>
      </c>
      <c r="S547" t="str" cm="1">
        <f t="array" ref="S547">_xlfn.REGEXEXTRACT(E547, "[0-9]{1,5}")</f>
        <v>1968</v>
      </c>
      <c r="T547" t="s">
        <v>4184</v>
      </c>
      <c r="U547" t="s">
        <v>3896</v>
      </c>
    </row>
    <row r="548" spans="1:21">
      <c r="A548" s="136">
        <v>1</v>
      </c>
      <c r="B548" s="233">
        <v>1968</v>
      </c>
      <c r="C548" s="234"/>
      <c r="D548" s="234" t="s">
        <v>4920</v>
      </c>
      <c r="E548" s="244" t="s">
        <v>3159</v>
      </c>
      <c r="F548" s="244" t="s">
        <v>4914</v>
      </c>
      <c r="G548" s="235"/>
      <c r="H548" s="236">
        <v>0.01</v>
      </c>
      <c r="I548" s="236">
        <v>0.01</v>
      </c>
      <c r="J548" s="233">
        <v>1</v>
      </c>
      <c r="K548" s="235"/>
      <c r="L548" s="235"/>
      <c r="M548" s="276"/>
      <c r="N548" s="279" t="s">
        <v>25</v>
      </c>
      <c r="O548" t="str">
        <f t="shared" si="9"/>
        <v>1968 Memorial Penny</v>
      </c>
      <c r="S548" t="str" cm="1">
        <f t="array" ref="S548">_xlfn.REGEXEXTRACT(E548, "[0-9]{1,5}")</f>
        <v>1968</v>
      </c>
      <c r="T548" t="s">
        <v>4184</v>
      </c>
      <c r="U548" t="s">
        <v>3896</v>
      </c>
    </row>
    <row r="549" spans="1:21">
      <c r="A549" s="136">
        <v>1</v>
      </c>
      <c r="B549" s="233">
        <v>1968</v>
      </c>
      <c r="C549" s="234" t="s">
        <v>13</v>
      </c>
      <c r="D549" s="234" t="s">
        <v>4920</v>
      </c>
      <c r="E549" s="244" t="s">
        <v>3160</v>
      </c>
      <c r="F549" s="244" t="s">
        <v>4914</v>
      </c>
      <c r="G549" s="235"/>
      <c r="H549" s="236">
        <v>0.01</v>
      </c>
      <c r="I549" s="236">
        <v>0.01</v>
      </c>
      <c r="J549" s="233">
        <v>1</v>
      </c>
      <c r="K549" s="235"/>
      <c r="L549" s="235"/>
      <c r="M549" s="276"/>
      <c r="N549" s="279" t="s">
        <v>25</v>
      </c>
      <c r="O549" t="str">
        <f t="shared" si="9"/>
        <v>1968-D Memorial Penny</v>
      </c>
      <c r="S549" t="str" cm="1">
        <f t="array" ref="S549">_xlfn.REGEXEXTRACT(E549, "[0-9]{1,5}")</f>
        <v>1968</v>
      </c>
      <c r="T549" t="s">
        <v>4184</v>
      </c>
      <c r="U549" t="s">
        <v>3896</v>
      </c>
    </row>
    <row r="550" spans="1:21">
      <c r="A550" s="136">
        <v>1</v>
      </c>
      <c r="B550" s="233">
        <v>1968</v>
      </c>
      <c r="C550" s="234" t="s">
        <v>13</v>
      </c>
      <c r="D550" s="234" t="s">
        <v>4920</v>
      </c>
      <c r="E550" s="244" t="s">
        <v>3161</v>
      </c>
      <c r="F550" s="244" t="s">
        <v>4914</v>
      </c>
      <c r="G550" s="235"/>
      <c r="H550" s="236">
        <v>0.01</v>
      </c>
      <c r="I550" s="236">
        <v>0.01</v>
      </c>
      <c r="J550" s="233">
        <v>1</v>
      </c>
      <c r="K550" s="235"/>
      <c r="L550" s="235"/>
      <c r="M550" s="276"/>
      <c r="N550" s="279" t="s">
        <v>25</v>
      </c>
      <c r="O550" t="str">
        <f t="shared" si="9"/>
        <v>1968-D Memorial Penny</v>
      </c>
      <c r="S550" t="str" cm="1">
        <f t="array" ref="S550">_xlfn.REGEXEXTRACT(E550, "[0-9]{1,5}")</f>
        <v>1968</v>
      </c>
      <c r="T550" t="s">
        <v>4184</v>
      </c>
      <c r="U550" t="s">
        <v>3896</v>
      </c>
    </row>
    <row r="551" spans="1:21">
      <c r="A551" s="136">
        <v>1</v>
      </c>
      <c r="B551" s="233">
        <v>1968</v>
      </c>
      <c r="C551" s="234"/>
      <c r="D551" s="234" t="s">
        <v>4920</v>
      </c>
      <c r="E551" s="244" t="s">
        <v>3162</v>
      </c>
      <c r="F551" s="244" t="s">
        <v>4914</v>
      </c>
      <c r="G551" s="235"/>
      <c r="H551" s="236">
        <v>0.01</v>
      </c>
      <c r="I551" s="236">
        <v>0.01</v>
      </c>
      <c r="J551" s="233">
        <v>1</v>
      </c>
      <c r="K551" s="235"/>
      <c r="L551" s="235"/>
      <c r="M551" s="276"/>
      <c r="N551" s="279" t="s">
        <v>25</v>
      </c>
      <c r="O551" t="str">
        <f t="shared" si="9"/>
        <v>1968 Memorial Penny</v>
      </c>
      <c r="S551" t="str" cm="1">
        <f t="array" ref="S551">_xlfn.REGEXEXTRACT(E551, "[0-9]{1,5}")</f>
        <v>1968</v>
      </c>
      <c r="T551" t="s">
        <v>4184</v>
      </c>
      <c r="U551" t="s">
        <v>3896</v>
      </c>
    </row>
    <row r="552" spans="1:21">
      <c r="A552" s="136">
        <v>1</v>
      </c>
      <c r="B552" s="233">
        <v>1968</v>
      </c>
      <c r="C552" s="234" t="s">
        <v>13</v>
      </c>
      <c r="D552" s="234" t="s">
        <v>4920</v>
      </c>
      <c r="E552" s="244" t="s">
        <v>3163</v>
      </c>
      <c r="F552" s="244" t="s">
        <v>4914</v>
      </c>
      <c r="G552" s="235"/>
      <c r="H552" s="236">
        <v>0.01</v>
      </c>
      <c r="I552" s="236">
        <v>0.01</v>
      </c>
      <c r="J552" s="233">
        <v>1</v>
      </c>
      <c r="K552" s="235"/>
      <c r="L552" s="235"/>
      <c r="M552" s="276"/>
      <c r="N552" s="279" t="s">
        <v>25</v>
      </c>
      <c r="O552" t="str">
        <f t="shared" si="9"/>
        <v>1968-D Memorial Penny</v>
      </c>
      <c r="S552" t="str" cm="1">
        <f t="array" ref="S552">_xlfn.REGEXEXTRACT(E552, "[0-9]{1,5}")</f>
        <v>1968</v>
      </c>
      <c r="T552" t="s">
        <v>4184</v>
      </c>
      <c r="U552" t="s">
        <v>3896</v>
      </c>
    </row>
    <row r="553" spans="1:21">
      <c r="A553" s="136">
        <v>1</v>
      </c>
      <c r="B553" s="233">
        <v>1968</v>
      </c>
      <c r="C553" s="234" t="s">
        <v>12</v>
      </c>
      <c r="D553" s="234" t="s">
        <v>4920</v>
      </c>
      <c r="E553" s="244" t="s">
        <v>3164</v>
      </c>
      <c r="F553" s="244" t="s">
        <v>4914</v>
      </c>
      <c r="G553" s="235"/>
      <c r="H553" s="236">
        <v>0.5</v>
      </c>
      <c r="I553" s="236">
        <v>0.01</v>
      </c>
      <c r="J553" s="233">
        <v>1</v>
      </c>
      <c r="K553" s="235"/>
      <c r="L553" s="235"/>
      <c r="M553" s="276"/>
      <c r="N553" s="279" t="s">
        <v>25</v>
      </c>
      <c r="O553" t="str">
        <f t="shared" si="9"/>
        <v>1968-S Memorial Penny</v>
      </c>
      <c r="S553" t="str" cm="1">
        <f t="array" ref="S553">_xlfn.REGEXEXTRACT(E553, "[0-9]{1,5}")</f>
        <v>1968</v>
      </c>
      <c r="T553" t="s">
        <v>4184</v>
      </c>
      <c r="U553" t="s">
        <v>3896</v>
      </c>
    </row>
    <row r="554" spans="1:21">
      <c r="A554" s="136">
        <v>1</v>
      </c>
      <c r="B554" s="233">
        <v>1968</v>
      </c>
      <c r="C554" s="234"/>
      <c r="D554" s="234" t="s">
        <v>4920</v>
      </c>
      <c r="E554" s="244" t="s">
        <v>3165</v>
      </c>
      <c r="F554" s="244" t="s">
        <v>4914</v>
      </c>
      <c r="G554" s="235" t="s">
        <v>2587</v>
      </c>
      <c r="H554" s="236">
        <v>0.01</v>
      </c>
      <c r="I554" s="236">
        <v>0.01</v>
      </c>
      <c r="J554" s="233">
        <v>1</v>
      </c>
      <c r="K554" s="235"/>
      <c r="L554" s="235"/>
      <c r="M554" s="276"/>
      <c r="N554" s="279" t="s">
        <v>25</v>
      </c>
      <c r="O554" t="str">
        <f t="shared" si="9"/>
        <v>1968 Memorial Penny</v>
      </c>
      <c r="S554" t="str" cm="1">
        <f t="array" ref="S554">_xlfn.REGEXEXTRACT(E554, "[0-9]{1,5}")</f>
        <v>1968</v>
      </c>
      <c r="T554" t="s">
        <v>4184</v>
      </c>
      <c r="U554" t="s">
        <v>3896</v>
      </c>
    </row>
    <row r="555" spans="1:21">
      <c r="A555" s="136">
        <v>1</v>
      </c>
      <c r="B555" s="233">
        <v>1968</v>
      </c>
      <c r="C555" s="234"/>
      <c r="D555" s="234" t="s">
        <v>4920</v>
      </c>
      <c r="E555" s="244" t="s">
        <v>3166</v>
      </c>
      <c r="F555" s="244" t="s">
        <v>4914</v>
      </c>
      <c r="G555" s="235" t="s">
        <v>2587</v>
      </c>
      <c r="H555" s="236">
        <v>0.01</v>
      </c>
      <c r="I555" s="236">
        <v>0.01</v>
      </c>
      <c r="J555" s="233">
        <v>1</v>
      </c>
      <c r="K555" s="235"/>
      <c r="L555" s="235"/>
      <c r="M555" s="276"/>
      <c r="N555" s="279" t="s">
        <v>25</v>
      </c>
      <c r="O555" t="str">
        <f t="shared" si="9"/>
        <v>1968 Memorial Penny</v>
      </c>
      <c r="S555" t="str" cm="1">
        <f t="array" ref="S555">_xlfn.REGEXEXTRACT(E555, "[0-9]{1,5}")</f>
        <v>1968</v>
      </c>
      <c r="T555" t="s">
        <v>4184</v>
      </c>
      <c r="U555" t="s">
        <v>3896</v>
      </c>
    </row>
    <row r="556" spans="1:21">
      <c r="A556" s="136">
        <v>1</v>
      </c>
      <c r="B556" s="233">
        <v>1968</v>
      </c>
      <c r="C556" s="234" t="s">
        <v>12</v>
      </c>
      <c r="D556" s="234" t="s">
        <v>4920</v>
      </c>
      <c r="E556" s="244" t="s">
        <v>3167</v>
      </c>
      <c r="F556" s="244" t="s">
        <v>4914</v>
      </c>
      <c r="G556" s="235" t="s">
        <v>2584</v>
      </c>
      <c r="H556" s="236">
        <v>0.75</v>
      </c>
      <c r="I556" s="236">
        <v>0.75</v>
      </c>
      <c r="J556" s="233">
        <v>1</v>
      </c>
      <c r="K556" s="235"/>
      <c r="L556" s="235"/>
      <c r="M556" s="276"/>
      <c r="N556" s="279" t="s">
        <v>25</v>
      </c>
      <c r="O556" t="str">
        <f t="shared" si="9"/>
        <v>1968-S Memorial Penny</v>
      </c>
      <c r="S556" t="str" cm="1">
        <f t="array" ref="S556">_xlfn.REGEXEXTRACT(E556, "[0-9]{1,5}")</f>
        <v>1968</v>
      </c>
      <c r="T556" t="s">
        <v>4184</v>
      </c>
      <c r="U556" t="s">
        <v>3896</v>
      </c>
    </row>
    <row r="557" spans="1:21">
      <c r="A557" s="136">
        <v>1</v>
      </c>
      <c r="B557" s="233">
        <v>1968</v>
      </c>
      <c r="C557" s="234" t="s">
        <v>12</v>
      </c>
      <c r="D557" s="234" t="s">
        <v>4920</v>
      </c>
      <c r="E557" s="244" t="s">
        <v>3168</v>
      </c>
      <c r="F557" s="244" t="s">
        <v>4914</v>
      </c>
      <c r="G557" s="235" t="s">
        <v>2586</v>
      </c>
      <c r="H557" s="236">
        <v>0.25</v>
      </c>
      <c r="I557" s="236">
        <v>0.25</v>
      </c>
      <c r="J557" s="233">
        <v>1</v>
      </c>
      <c r="K557" s="235"/>
      <c r="L557" s="235"/>
      <c r="M557" s="276"/>
      <c r="N557" s="279" t="s">
        <v>25</v>
      </c>
      <c r="O557" t="str">
        <f t="shared" si="9"/>
        <v>1968-S Memorial Penny</v>
      </c>
      <c r="S557" t="str" cm="1">
        <f t="array" ref="S557">_xlfn.REGEXEXTRACT(E557, "[0-9]{1,5}")</f>
        <v>1968</v>
      </c>
      <c r="T557" t="s">
        <v>4184</v>
      </c>
      <c r="U557" t="s">
        <v>3896</v>
      </c>
    </row>
    <row r="558" spans="1:21">
      <c r="A558" s="136">
        <v>1</v>
      </c>
      <c r="B558" s="233">
        <v>1969</v>
      </c>
      <c r="C558" s="234"/>
      <c r="D558" s="234" t="s">
        <v>4920</v>
      </c>
      <c r="E558" s="244" t="s">
        <v>3169</v>
      </c>
      <c r="F558" s="244" t="s">
        <v>4914</v>
      </c>
      <c r="G558" s="235"/>
      <c r="H558" s="236">
        <v>0.01</v>
      </c>
      <c r="I558" s="236">
        <v>0.01</v>
      </c>
      <c r="J558" s="233">
        <v>1</v>
      </c>
      <c r="K558" s="235"/>
      <c r="L558" s="235"/>
      <c r="M558" s="276"/>
      <c r="N558" s="279" t="s">
        <v>25</v>
      </c>
      <c r="O558" t="str">
        <f t="shared" si="9"/>
        <v>1969 Memorial Penny</v>
      </c>
      <c r="S558" t="str" cm="1">
        <f t="array" ref="S558">_xlfn.REGEXEXTRACT(E558, "[0-9]{1,5}")</f>
        <v>1969</v>
      </c>
      <c r="T558" t="s">
        <v>4185</v>
      </c>
      <c r="U558" t="s">
        <v>3896</v>
      </c>
    </row>
    <row r="559" spans="1:21">
      <c r="A559" s="136">
        <v>1</v>
      </c>
      <c r="B559" s="233">
        <v>1969</v>
      </c>
      <c r="C559" s="234"/>
      <c r="D559" s="234" t="s">
        <v>4920</v>
      </c>
      <c r="E559" s="244" t="s">
        <v>3170</v>
      </c>
      <c r="F559" s="244" t="s">
        <v>4914</v>
      </c>
      <c r="G559" s="235"/>
      <c r="H559" s="236">
        <v>0.01</v>
      </c>
      <c r="I559" s="236">
        <v>0.01</v>
      </c>
      <c r="J559" s="233">
        <v>1</v>
      </c>
      <c r="K559" s="235"/>
      <c r="L559" s="235"/>
      <c r="M559" s="276"/>
      <c r="N559" s="279" t="s">
        <v>25</v>
      </c>
      <c r="O559" t="str">
        <f t="shared" si="9"/>
        <v>1969 Memorial Penny</v>
      </c>
      <c r="S559" t="str" cm="1">
        <f t="array" ref="S559">_xlfn.REGEXEXTRACT(E559, "[0-9]{1,5}")</f>
        <v>1969</v>
      </c>
      <c r="T559" t="s">
        <v>4185</v>
      </c>
      <c r="U559" t="s">
        <v>3896</v>
      </c>
    </row>
    <row r="560" spans="1:21">
      <c r="A560" s="136">
        <v>1</v>
      </c>
      <c r="B560" s="233">
        <v>1969</v>
      </c>
      <c r="C560" s="234"/>
      <c r="D560" s="234" t="s">
        <v>4920</v>
      </c>
      <c r="E560" s="244" t="s">
        <v>3171</v>
      </c>
      <c r="F560" s="244" t="s">
        <v>4914</v>
      </c>
      <c r="G560" s="235"/>
      <c r="H560" s="236">
        <v>0.01</v>
      </c>
      <c r="I560" s="236">
        <v>0.01</v>
      </c>
      <c r="J560" s="233">
        <v>1</v>
      </c>
      <c r="K560" s="235"/>
      <c r="L560" s="235"/>
      <c r="M560" s="276"/>
      <c r="N560" s="279" t="s">
        <v>25</v>
      </c>
      <c r="O560" t="str">
        <f t="shared" si="9"/>
        <v>1969 Memorial Penny</v>
      </c>
      <c r="S560" t="str" cm="1">
        <f t="array" ref="S560">_xlfn.REGEXEXTRACT(E560, "[0-9]{1,5}")</f>
        <v>1969</v>
      </c>
      <c r="T560" t="s">
        <v>4185</v>
      </c>
      <c r="U560" t="s">
        <v>3896</v>
      </c>
    </row>
    <row r="561" spans="1:21">
      <c r="A561" s="136">
        <v>1</v>
      </c>
      <c r="B561" s="233">
        <v>1969</v>
      </c>
      <c r="C561" s="234"/>
      <c r="D561" s="234" t="s">
        <v>4920</v>
      </c>
      <c r="E561" s="244" t="s">
        <v>3172</v>
      </c>
      <c r="F561" s="244" t="s">
        <v>4914</v>
      </c>
      <c r="G561" s="235"/>
      <c r="H561" s="236">
        <v>0.01</v>
      </c>
      <c r="I561" s="236">
        <v>0.01</v>
      </c>
      <c r="J561" s="233">
        <v>1</v>
      </c>
      <c r="K561" s="235"/>
      <c r="L561" s="235"/>
      <c r="M561" s="276"/>
      <c r="N561" s="279" t="s">
        <v>25</v>
      </c>
      <c r="O561" t="str">
        <f t="shared" si="9"/>
        <v>1969 Memorial Penny</v>
      </c>
      <c r="S561" t="str" cm="1">
        <f t="array" ref="S561">_xlfn.REGEXEXTRACT(E561, "[0-9]{1,5}")</f>
        <v>1969</v>
      </c>
      <c r="T561" t="s">
        <v>4185</v>
      </c>
      <c r="U561" t="s">
        <v>3896</v>
      </c>
    </row>
    <row r="562" spans="1:21">
      <c r="A562" s="136">
        <v>1</v>
      </c>
      <c r="B562" s="233">
        <v>1969</v>
      </c>
      <c r="C562" s="234" t="s">
        <v>13</v>
      </c>
      <c r="D562" s="234" t="s">
        <v>4920</v>
      </c>
      <c r="E562" s="244" t="s">
        <v>3173</v>
      </c>
      <c r="F562" s="244" t="s">
        <v>4914</v>
      </c>
      <c r="G562" s="235"/>
      <c r="H562" s="236">
        <v>0.01</v>
      </c>
      <c r="I562" s="236">
        <v>0.01</v>
      </c>
      <c r="J562" s="233">
        <v>1</v>
      </c>
      <c r="K562" s="235"/>
      <c r="L562" s="235"/>
      <c r="M562" s="276"/>
      <c r="N562" s="279" t="s">
        <v>25</v>
      </c>
      <c r="O562" t="str">
        <f t="shared" si="9"/>
        <v>1969-D Memorial Penny</v>
      </c>
      <c r="S562" t="str" cm="1">
        <f t="array" ref="S562">_xlfn.REGEXEXTRACT(E562, "[0-9]{1,5}")</f>
        <v>1969</v>
      </c>
      <c r="T562" t="s">
        <v>4185</v>
      </c>
      <c r="U562" t="s">
        <v>3896</v>
      </c>
    </row>
    <row r="563" spans="1:21">
      <c r="A563" s="136">
        <v>1</v>
      </c>
      <c r="B563" s="233">
        <v>1969</v>
      </c>
      <c r="C563" s="234" t="s">
        <v>13</v>
      </c>
      <c r="D563" s="234" t="s">
        <v>4920</v>
      </c>
      <c r="E563" s="244" t="s">
        <v>3174</v>
      </c>
      <c r="F563" s="244" t="s">
        <v>4914</v>
      </c>
      <c r="G563" s="235"/>
      <c r="H563" s="236">
        <v>0.01</v>
      </c>
      <c r="I563" s="236">
        <v>0.01</v>
      </c>
      <c r="J563" s="233">
        <v>1</v>
      </c>
      <c r="K563" s="235"/>
      <c r="L563" s="235"/>
      <c r="M563" s="276"/>
      <c r="N563" s="279" t="s">
        <v>25</v>
      </c>
      <c r="O563" t="str">
        <f t="shared" si="9"/>
        <v>1969-D Memorial Penny</v>
      </c>
      <c r="S563" t="str" cm="1">
        <f t="array" ref="S563">_xlfn.REGEXEXTRACT(E563, "[0-9]{1,5}")</f>
        <v>1969</v>
      </c>
      <c r="T563" t="s">
        <v>4185</v>
      </c>
      <c r="U563" t="s">
        <v>3896</v>
      </c>
    </row>
    <row r="564" spans="1:21">
      <c r="A564" s="136">
        <v>1</v>
      </c>
      <c r="B564" s="233">
        <v>1969</v>
      </c>
      <c r="C564" s="234"/>
      <c r="D564" s="234" t="s">
        <v>4920</v>
      </c>
      <c r="E564" s="244" t="s">
        <v>3175</v>
      </c>
      <c r="F564" s="244" t="s">
        <v>4914</v>
      </c>
      <c r="G564" s="235"/>
      <c r="H564" s="236">
        <v>0.01</v>
      </c>
      <c r="I564" s="236">
        <v>0.01</v>
      </c>
      <c r="J564" s="233">
        <v>1</v>
      </c>
      <c r="K564" s="235"/>
      <c r="L564" s="235"/>
      <c r="M564" s="276"/>
      <c r="N564" s="279" t="s">
        <v>25</v>
      </c>
      <c r="O564" t="str">
        <f t="shared" si="9"/>
        <v>1969 Memorial Penny</v>
      </c>
      <c r="S564" t="str" cm="1">
        <f t="array" ref="S564">_xlfn.REGEXEXTRACT(E564, "[0-9]{1,5}")</f>
        <v>1969</v>
      </c>
      <c r="T564" t="s">
        <v>4185</v>
      </c>
      <c r="U564" t="s">
        <v>3896</v>
      </c>
    </row>
    <row r="565" spans="1:21">
      <c r="A565" s="136">
        <v>1</v>
      </c>
      <c r="B565" s="233">
        <v>1969</v>
      </c>
      <c r="C565" s="234" t="s">
        <v>13</v>
      </c>
      <c r="D565" s="234" t="s">
        <v>4920</v>
      </c>
      <c r="E565" s="244" t="s">
        <v>3176</v>
      </c>
      <c r="F565" s="244" t="s">
        <v>4914</v>
      </c>
      <c r="G565" s="235"/>
      <c r="H565" s="236">
        <v>0.01</v>
      </c>
      <c r="I565" s="236">
        <v>0.01</v>
      </c>
      <c r="J565" s="233">
        <v>1</v>
      </c>
      <c r="K565" s="235"/>
      <c r="L565" s="235"/>
      <c r="M565" s="276"/>
      <c r="N565" s="279" t="s">
        <v>25</v>
      </c>
      <c r="O565" t="str">
        <f t="shared" si="9"/>
        <v>1969-D Memorial Penny</v>
      </c>
      <c r="S565" t="str" cm="1">
        <f t="array" ref="S565">_xlfn.REGEXEXTRACT(E565, "[0-9]{1,5}")</f>
        <v>1969</v>
      </c>
      <c r="T565" t="s">
        <v>4185</v>
      </c>
      <c r="U565" t="s">
        <v>3896</v>
      </c>
    </row>
    <row r="566" spans="1:21">
      <c r="A566" s="136">
        <v>1</v>
      </c>
      <c r="B566" s="233">
        <v>1969</v>
      </c>
      <c r="C566" s="234" t="s">
        <v>13</v>
      </c>
      <c r="D566" s="234" t="s">
        <v>4920</v>
      </c>
      <c r="E566" s="244" t="s">
        <v>3177</v>
      </c>
      <c r="F566" s="244" t="s">
        <v>4914</v>
      </c>
      <c r="G566" s="235"/>
      <c r="H566" s="236">
        <v>0.01</v>
      </c>
      <c r="I566" s="236">
        <v>0.01</v>
      </c>
      <c r="J566" s="233">
        <v>1</v>
      </c>
      <c r="K566" s="235"/>
      <c r="L566" s="235"/>
      <c r="M566" s="276"/>
      <c r="N566" s="279" t="s">
        <v>25</v>
      </c>
      <c r="O566" t="str">
        <f t="shared" si="9"/>
        <v>1969-D Memorial Penny</v>
      </c>
      <c r="S566" t="str" cm="1">
        <f t="array" ref="S566">_xlfn.REGEXEXTRACT(E566, "[0-9]{1,5}")</f>
        <v>1969</v>
      </c>
      <c r="T566" t="s">
        <v>4185</v>
      </c>
      <c r="U566" t="s">
        <v>3896</v>
      </c>
    </row>
    <row r="567" spans="1:21">
      <c r="A567" s="136">
        <v>1</v>
      </c>
      <c r="B567" s="233">
        <v>1969</v>
      </c>
      <c r="C567" s="234" t="s">
        <v>13</v>
      </c>
      <c r="D567" s="234" t="s">
        <v>4920</v>
      </c>
      <c r="E567" s="244" t="s">
        <v>3178</v>
      </c>
      <c r="F567" s="244" t="s">
        <v>4914</v>
      </c>
      <c r="G567" s="235"/>
      <c r="H567" s="236">
        <v>0.01</v>
      </c>
      <c r="I567" s="236">
        <v>0.01</v>
      </c>
      <c r="J567" s="233">
        <v>1</v>
      </c>
      <c r="K567" s="235"/>
      <c r="L567" s="235"/>
      <c r="M567" s="276"/>
      <c r="N567" s="279" t="s">
        <v>25</v>
      </c>
      <c r="O567" t="str">
        <f t="shared" si="9"/>
        <v>1969-D Memorial Penny</v>
      </c>
      <c r="S567" t="str" cm="1">
        <f t="array" ref="S567">_xlfn.REGEXEXTRACT(E567, "[0-9]{1,5}")</f>
        <v>1969</v>
      </c>
      <c r="T567" t="s">
        <v>4185</v>
      </c>
      <c r="U567" t="s">
        <v>3896</v>
      </c>
    </row>
    <row r="568" spans="1:21">
      <c r="A568" s="136">
        <v>1</v>
      </c>
      <c r="B568" s="233">
        <v>1969</v>
      </c>
      <c r="C568" s="234" t="s">
        <v>12</v>
      </c>
      <c r="D568" s="234" t="s">
        <v>4920</v>
      </c>
      <c r="E568" s="244" t="s">
        <v>3179</v>
      </c>
      <c r="F568" s="244" t="s">
        <v>5207</v>
      </c>
      <c r="G568" s="235"/>
      <c r="H568" s="236">
        <v>0.01</v>
      </c>
      <c r="I568" s="236">
        <v>0.01</v>
      </c>
      <c r="J568" s="233">
        <v>1</v>
      </c>
      <c r="K568" s="235"/>
      <c r="L568" s="235"/>
      <c r="M568" s="276"/>
      <c r="N568" s="279" t="s">
        <v>25</v>
      </c>
      <c r="O568" t="str">
        <f t="shared" si="9"/>
        <v>1969-S Memorial Penny Proof</v>
      </c>
      <c r="S568" t="str" cm="1">
        <f t="array" ref="S568">_xlfn.REGEXEXTRACT(E568, "[0-9]{1,5}")</f>
        <v>1969</v>
      </c>
      <c r="T568" t="s">
        <v>4185</v>
      </c>
      <c r="U568" t="s">
        <v>3896</v>
      </c>
    </row>
    <row r="569" spans="1:21">
      <c r="A569" s="136">
        <v>1</v>
      </c>
      <c r="B569" s="233">
        <v>1969</v>
      </c>
      <c r="C569" s="234" t="s">
        <v>12</v>
      </c>
      <c r="D569" s="234" t="s">
        <v>4920</v>
      </c>
      <c r="E569" s="244" t="s">
        <v>3180</v>
      </c>
      <c r="F569" s="244" t="s">
        <v>5207</v>
      </c>
      <c r="G569" s="235" t="s">
        <v>2586</v>
      </c>
      <c r="H569" s="236">
        <v>0.5</v>
      </c>
      <c r="I569" s="236">
        <v>0.5</v>
      </c>
      <c r="J569" s="233">
        <v>1</v>
      </c>
      <c r="K569" s="235"/>
      <c r="L569" s="235"/>
      <c r="M569" s="276"/>
      <c r="N569" s="279" t="s">
        <v>25</v>
      </c>
      <c r="O569" t="str">
        <f t="shared" si="9"/>
        <v>1969-S Memorial Penny Proof</v>
      </c>
      <c r="S569" t="str" cm="1">
        <f t="array" ref="S569">_xlfn.REGEXEXTRACT(E569, "[0-9]{1,5}")</f>
        <v>1969</v>
      </c>
      <c r="T569" t="s">
        <v>4185</v>
      </c>
      <c r="U569" t="s">
        <v>3896</v>
      </c>
    </row>
    <row r="570" spans="1:21">
      <c r="A570" s="136">
        <v>1</v>
      </c>
      <c r="B570" s="233">
        <v>1970</v>
      </c>
      <c r="C570" s="234"/>
      <c r="D570" s="234" t="s">
        <v>4920</v>
      </c>
      <c r="E570" s="244" t="s">
        <v>3181</v>
      </c>
      <c r="F570" s="244" t="s">
        <v>4914</v>
      </c>
      <c r="G570" s="235"/>
      <c r="H570" s="236">
        <v>0.01</v>
      </c>
      <c r="I570" s="236">
        <v>0</v>
      </c>
      <c r="J570" s="233">
        <v>1</v>
      </c>
      <c r="K570" s="237"/>
      <c r="L570" s="235"/>
      <c r="M570" s="276"/>
      <c r="N570" s="279" t="s">
        <v>25</v>
      </c>
      <c r="O570" t="str">
        <f t="shared" si="9"/>
        <v>1970 Memorial Penny</v>
      </c>
      <c r="S570" t="str" cm="1">
        <f t="array" ref="S570">_xlfn.REGEXEXTRACT(E570, "[0-9]{1,5}")</f>
        <v>1970</v>
      </c>
      <c r="T570" t="s">
        <v>4186</v>
      </c>
      <c r="U570" t="s">
        <v>3896</v>
      </c>
    </row>
    <row r="571" spans="1:21">
      <c r="A571" s="136">
        <v>1</v>
      </c>
      <c r="B571" s="233">
        <v>1970</v>
      </c>
      <c r="C571" s="234"/>
      <c r="D571" s="234" t="s">
        <v>4920</v>
      </c>
      <c r="E571" s="244" t="s">
        <v>3182</v>
      </c>
      <c r="F571" s="244" t="s">
        <v>4914</v>
      </c>
      <c r="G571" s="235"/>
      <c r="H571" s="236">
        <v>0.01</v>
      </c>
      <c r="I571" s="236">
        <v>0</v>
      </c>
      <c r="J571" s="233">
        <v>1</v>
      </c>
      <c r="K571" s="237"/>
      <c r="L571" s="235"/>
      <c r="M571" s="276"/>
      <c r="N571" s="279" t="s">
        <v>25</v>
      </c>
      <c r="O571" t="str">
        <f t="shared" si="9"/>
        <v>1970 Memorial Penny</v>
      </c>
      <c r="S571" t="str" cm="1">
        <f t="array" ref="S571">_xlfn.REGEXEXTRACT(E571, "[0-9]{1,5}")</f>
        <v>1970</v>
      </c>
      <c r="T571" t="s">
        <v>4186</v>
      </c>
      <c r="U571" t="s">
        <v>3896</v>
      </c>
    </row>
    <row r="572" spans="1:21">
      <c r="A572" s="136">
        <v>1</v>
      </c>
      <c r="B572" s="233">
        <v>1970</v>
      </c>
      <c r="C572" s="234"/>
      <c r="D572" s="234" t="s">
        <v>4920</v>
      </c>
      <c r="E572" s="244" t="s">
        <v>3183</v>
      </c>
      <c r="F572" s="244" t="s">
        <v>4914</v>
      </c>
      <c r="G572" s="235"/>
      <c r="H572" s="236">
        <v>0.01</v>
      </c>
      <c r="I572" s="236">
        <v>0</v>
      </c>
      <c r="J572" s="233">
        <v>1</v>
      </c>
      <c r="K572" s="237"/>
      <c r="L572" s="235"/>
      <c r="M572" s="276"/>
      <c r="N572" s="279" t="s">
        <v>25</v>
      </c>
      <c r="O572" t="str">
        <f t="shared" si="9"/>
        <v>1970 Memorial Penny</v>
      </c>
      <c r="S572" t="str" cm="1">
        <f t="array" ref="S572">_xlfn.REGEXEXTRACT(E572, "[0-9]{1,5}")</f>
        <v>1970</v>
      </c>
      <c r="T572" t="s">
        <v>4186</v>
      </c>
      <c r="U572" t="s">
        <v>3896</v>
      </c>
    </row>
    <row r="573" spans="1:21">
      <c r="A573" s="136">
        <v>1</v>
      </c>
      <c r="B573" s="233">
        <v>1970</v>
      </c>
      <c r="C573" s="234"/>
      <c r="D573" s="234" t="s">
        <v>4920</v>
      </c>
      <c r="E573" s="244" t="s">
        <v>3184</v>
      </c>
      <c r="F573" s="244" t="s">
        <v>4914</v>
      </c>
      <c r="G573" s="235"/>
      <c r="H573" s="236">
        <v>0.01</v>
      </c>
      <c r="I573" s="236">
        <v>0</v>
      </c>
      <c r="J573" s="233">
        <v>1</v>
      </c>
      <c r="K573" s="237"/>
      <c r="L573" s="235"/>
      <c r="M573" s="276"/>
      <c r="N573" s="279" t="s">
        <v>25</v>
      </c>
      <c r="O573" t="str">
        <f t="shared" si="9"/>
        <v>1970 Memorial Penny</v>
      </c>
      <c r="S573" t="str" cm="1">
        <f t="array" ref="S573">_xlfn.REGEXEXTRACT(E573, "[0-9]{1,5}")</f>
        <v>1970</v>
      </c>
      <c r="T573" t="s">
        <v>4186</v>
      </c>
      <c r="U573" t="s">
        <v>3896</v>
      </c>
    </row>
    <row r="574" spans="1:21">
      <c r="A574" s="136">
        <v>1</v>
      </c>
      <c r="B574" s="233">
        <v>1970</v>
      </c>
      <c r="C574" s="234"/>
      <c r="D574" s="234" t="s">
        <v>4920</v>
      </c>
      <c r="E574" s="244" t="s">
        <v>3185</v>
      </c>
      <c r="F574" s="244" t="s">
        <v>4914</v>
      </c>
      <c r="G574" s="235"/>
      <c r="H574" s="236">
        <v>0.01</v>
      </c>
      <c r="I574" s="236">
        <v>0</v>
      </c>
      <c r="J574" s="233">
        <v>1</v>
      </c>
      <c r="K574" s="237"/>
      <c r="L574" s="235"/>
      <c r="M574" s="276"/>
      <c r="N574" s="279" t="s">
        <v>25</v>
      </c>
      <c r="O574" t="str">
        <f t="shared" si="9"/>
        <v>1970 Memorial Penny</v>
      </c>
      <c r="S574" t="str" cm="1">
        <f t="array" ref="S574">_xlfn.REGEXEXTRACT(E574, "[0-9]{1,5}")</f>
        <v>1970</v>
      </c>
      <c r="T574" t="s">
        <v>4186</v>
      </c>
      <c r="U574" t="s">
        <v>3896</v>
      </c>
    </row>
    <row r="575" spans="1:21">
      <c r="A575" s="136">
        <v>1</v>
      </c>
      <c r="B575" s="233">
        <v>1970</v>
      </c>
      <c r="C575" s="234" t="s">
        <v>13</v>
      </c>
      <c r="D575" s="234" t="s">
        <v>4920</v>
      </c>
      <c r="E575" s="244" t="s">
        <v>3186</v>
      </c>
      <c r="F575" s="244" t="s">
        <v>4914</v>
      </c>
      <c r="G575" s="235"/>
      <c r="H575" s="236">
        <v>0.01</v>
      </c>
      <c r="I575" s="236">
        <v>0</v>
      </c>
      <c r="J575" s="233">
        <v>1</v>
      </c>
      <c r="K575" s="237"/>
      <c r="L575" s="235"/>
      <c r="M575" s="276"/>
      <c r="N575" s="279" t="s">
        <v>25</v>
      </c>
      <c r="O575" t="str">
        <f t="shared" si="9"/>
        <v>1970-D Memorial Penny</v>
      </c>
      <c r="S575" t="str" cm="1">
        <f t="array" ref="S575">_xlfn.REGEXEXTRACT(E575, "[0-9]{1,5}")</f>
        <v>1970</v>
      </c>
      <c r="T575" t="s">
        <v>4186</v>
      </c>
      <c r="U575" t="s">
        <v>3896</v>
      </c>
    </row>
    <row r="576" spans="1:21">
      <c r="A576" s="136">
        <v>1</v>
      </c>
      <c r="B576" s="233">
        <v>1970</v>
      </c>
      <c r="C576" s="234" t="s">
        <v>13</v>
      </c>
      <c r="D576" s="234" t="s">
        <v>4920</v>
      </c>
      <c r="E576" s="244" t="s">
        <v>3187</v>
      </c>
      <c r="F576" s="244" t="s">
        <v>4914</v>
      </c>
      <c r="G576" s="235"/>
      <c r="H576" s="236">
        <v>0.01</v>
      </c>
      <c r="I576" s="236">
        <v>0</v>
      </c>
      <c r="J576" s="233">
        <v>1</v>
      </c>
      <c r="K576" s="237"/>
      <c r="L576" s="235"/>
      <c r="M576" s="276"/>
      <c r="N576" s="279" t="s">
        <v>25</v>
      </c>
      <c r="O576" t="str">
        <f t="shared" si="9"/>
        <v>1970-D Memorial Penny</v>
      </c>
      <c r="S576" t="str" cm="1">
        <f t="array" ref="S576">_xlfn.REGEXEXTRACT(E576, "[0-9]{1,5}")</f>
        <v>1970</v>
      </c>
      <c r="T576" t="s">
        <v>4186</v>
      </c>
      <c r="U576" t="s">
        <v>3896</v>
      </c>
    </row>
    <row r="577" spans="1:25">
      <c r="A577" s="136">
        <v>1</v>
      </c>
      <c r="B577" s="233">
        <v>1970</v>
      </c>
      <c r="C577" s="234" t="s">
        <v>13</v>
      </c>
      <c r="D577" s="234" t="s">
        <v>4920</v>
      </c>
      <c r="E577" s="244" t="s">
        <v>3188</v>
      </c>
      <c r="F577" s="244" t="s">
        <v>4914</v>
      </c>
      <c r="G577" s="235"/>
      <c r="H577" s="236">
        <v>0.01</v>
      </c>
      <c r="I577" s="236">
        <v>0</v>
      </c>
      <c r="J577" s="233">
        <v>1</v>
      </c>
      <c r="K577" s="237"/>
      <c r="L577" s="235"/>
      <c r="M577" s="276"/>
      <c r="N577" s="279" t="s">
        <v>25</v>
      </c>
      <c r="O577" t="str">
        <f t="shared" si="9"/>
        <v>1970-D Memorial Penny</v>
      </c>
      <c r="S577" t="str" cm="1">
        <f t="array" ref="S577">_xlfn.REGEXEXTRACT(E577, "[0-9]{1,5}")</f>
        <v>1970</v>
      </c>
      <c r="T577" t="s">
        <v>4186</v>
      </c>
      <c r="U577" t="s">
        <v>3896</v>
      </c>
    </row>
    <row r="578" spans="1:25">
      <c r="A578" s="136">
        <v>1</v>
      </c>
      <c r="B578" s="233">
        <v>1970</v>
      </c>
      <c r="C578" s="234" t="s">
        <v>13</v>
      </c>
      <c r="D578" s="234" t="s">
        <v>4920</v>
      </c>
      <c r="E578" s="244" t="s">
        <v>3189</v>
      </c>
      <c r="F578" s="244" t="s">
        <v>4914</v>
      </c>
      <c r="G578" s="235"/>
      <c r="H578" s="236">
        <v>0.01</v>
      </c>
      <c r="I578" s="236">
        <v>0</v>
      </c>
      <c r="J578" s="233">
        <v>1</v>
      </c>
      <c r="K578" s="237"/>
      <c r="L578" s="235"/>
      <c r="M578" s="276"/>
      <c r="N578" s="279" t="s">
        <v>25</v>
      </c>
      <c r="O578" t="str">
        <f t="shared" si="9"/>
        <v>1970-D Memorial Penny</v>
      </c>
      <c r="S578" t="str" cm="1">
        <f t="array" ref="S578">_xlfn.REGEXEXTRACT(E578, "[0-9]{1,5}")</f>
        <v>1970</v>
      </c>
      <c r="T578" t="s">
        <v>4186</v>
      </c>
      <c r="U578" t="s">
        <v>3896</v>
      </c>
    </row>
    <row r="579" spans="1:25">
      <c r="A579" s="136">
        <v>1</v>
      </c>
      <c r="B579" s="233">
        <v>1970</v>
      </c>
      <c r="C579" s="234" t="s">
        <v>13</v>
      </c>
      <c r="D579" s="234" t="s">
        <v>4920</v>
      </c>
      <c r="E579" s="244" t="s">
        <v>3190</v>
      </c>
      <c r="F579" s="244" t="s">
        <v>4914</v>
      </c>
      <c r="G579" s="235"/>
      <c r="H579" s="236">
        <v>0.01</v>
      </c>
      <c r="I579" s="236">
        <v>0</v>
      </c>
      <c r="J579" s="233">
        <v>1</v>
      </c>
      <c r="K579" s="237"/>
      <c r="L579" s="235"/>
      <c r="M579" s="276"/>
      <c r="N579" s="279" t="s">
        <v>25</v>
      </c>
      <c r="O579" t="str">
        <f t="shared" si="9"/>
        <v>1970-D Memorial Penny</v>
      </c>
      <c r="S579" t="str" cm="1">
        <f t="array" ref="S579">_xlfn.REGEXEXTRACT(E579, "[0-9]{1,5}")</f>
        <v>1970</v>
      </c>
      <c r="T579" t="s">
        <v>4186</v>
      </c>
      <c r="U579" t="s">
        <v>3896</v>
      </c>
    </row>
    <row r="580" spans="1:25">
      <c r="A580" s="136">
        <v>1</v>
      </c>
      <c r="B580" s="233">
        <v>1970</v>
      </c>
      <c r="C580" s="234" t="s">
        <v>12</v>
      </c>
      <c r="D580" s="234" t="s">
        <v>4920</v>
      </c>
      <c r="E580" s="244" t="s">
        <v>3191</v>
      </c>
      <c r="F580" s="244" t="s">
        <v>4914</v>
      </c>
      <c r="G580" s="235"/>
      <c r="H580" s="236">
        <v>0.01</v>
      </c>
      <c r="I580" s="236">
        <v>0.01</v>
      </c>
      <c r="J580" s="233">
        <v>1</v>
      </c>
      <c r="K580" s="237"/>
      <c r="L580" s="235"/>
      <c r="M580" s="276"/>
      <c r="N580" s="279" t="s">
        <v>25</v>
      </c>
      <c r="O580" t="str">
        <f t="shared" ref="O580:O643" si="10">IF(C580&lt;&gt;"",B580&amp;"-"&amp;C580&amp;" "&amp;F580,B580&amp;" "&amp;F580)</f>
        <v>1970-S Memorial Penny</v>
      </c>
      <c r="S580" t="str" cm="1">
        <f t="array" ref="S580">_xlfn.REGEXEXTRACT(E580, "[0-9]{1,5}")</f>
        <v>1970</v>
      </c>
      <c r="T580" t="s">
        <v>4186</v>
      </c>
      <c r="U580" t="s">
        <v>3896</v>
      </c>
    </row>
    <row r="581" spans="1:25">
      <c r="A581" s="136">
        <v>1</v>
      </c>
      <c r="B581" s="233">
        <v>1970</v>
      </c>
      <c r="C581" s="234"/>
      <c r="D581" s="234" t="s">
        <v>4920</v>
      </c>
      <c r="E581" s="244" t="s">
        <v>3192</v>
      </c>
      <c r="F581" s="244" t="s">
        <v>4914</v>
      </c>
      <c r="G581" s="235" t="s">
        <v>2587</v>
      </c>
      <c r="H581" s="236">
        <v>0.01</v>
      </c>
      <c r="I581" s="236">
        <v>0.01</v>
      </c>
      <c r="J581" s="233">
        <v>1</v>
      </c>
      <c r="K581" s="237"/>
      <c r="L581" s="235"/>
      <c r="M581" s="276"/>
      <c r="N581" s="279" t="s">
        <v>25</v>
      </c>
      <c r="O581" t="str">
        <f t="shared" si="10"/>
        <v>1970 Memorial Penny</v>
      </c>
      <c r="S581" t="str" cm="1">
        <f t="array" ref="S581">_xlfn.REGEXEXTRACT(E581, "[0-9]{1,5}")</f>
        <v>1970</v>
      </c>
      <c r="T581" t="s">
        <v>4186</v>
      </c>
      <c r="U581" t="s">
        <v>3896</v>
      </c>
    </row>
    <row r="582" spans="1:25">
      <c r="A582" s="136">
        <v>1</v>
      </c>
      <c r="B582" s="233">
        <v>1970</v>
      </c>
      <c r="C582" s="234" t="s">
        <v>12</v>
      </c>
      <c r="D582" s="234" t="s">
        <v>4920</v>
      </c>
      <c r="E582" s="244" t="s">
        <v>3193</v>
      </c>
      <c r="F582" s="244" t="s">
        <v>4914</v>
      </c>
      <c r="G582" s="235" t="s">
        <v>2583</v>
      </c>
      <c r="H582" s="236">
        <v>0.4</v>
      </c>
      <c r="I582" s="236">
        <v>64</v>
      </c>
      <c r="J582" s="233">
        <v>1</v>
      </c>
      <c r="K582" s="237"/>
      <c r="L582" s="235"/>
      <c r="M582" s="276"/>
      <c r="N582" s="279" t="s">
        <v>25</v>
      </c>
      <c r="O582" t="str">
        <f t="shared" si="10"/>
        <v>1970-S Memorial Penny</v>
      </c>
      <c r="S582" t="str" cm="1">
        <f t="array" ref="S582">_xlfn.REGEXEXTRACT(E582, "[0-9]{1,5}")</f>
        <v>1970</v>
      </c>
      <c r="T582" t="s">
        <v>4186</v>
      </c>
      <c r="U582" t="s">
        <v>3896</v>
      </c>
    </row>
    <row r="583" spans="1:25">
      <c r="A583" s="136">
        <v>1</v>
      </c>
      <c r="B583" s="233">
        <v>1971</v>
      </c>
      <c r="C583" s="234"/>
      <c r="D583" s="234" t="s">
        <v>4920</v>
      </c>
      <c r="E583" s="244" t="s">
        <v>3194</v>
      </c>
      <c r="F583" s="244" t="s">
        <v>4914</v>
      </c>
      <c r="G583" s="235"/>
      <c r="H583" s="236">
        <v>0.01</v>
      </c>
      <c r="I583" s="236">
        <v>0</v>
      </c>
      <c r="J583" s="233">
        <v>1</v>
      </c>
      <c r="K583" s="237"/>
      <c r="L583" s="235"/>
      <c r="M583" s="276"/>
      <c r="N583" s="279" t="s">
        <v>25</v>
      </c>
      <c r="O583" t="str">
        <f t="shared" si="10"/>
        <v>1971 Memorial Penny</v>
      </c>
      <c r="S583" t="str" cm="1">
        <f t="array" ref="S583">_xlfn.REGEXEXTRACT(E583, "[0-9]{1,5}")</f>
        <v>1971</v>
      </c>
      <c r="T583" t="s">
        <v>2498</v>
      </c>
      <c r="U583" t="s">
        <v>3896</v>
      </c>
    </row>
    <row r="584" spans="1:25">
      <c r="A584" s="136">
        <v>1</v>
      </c>
      <c r="B584" s="233">
        <v>1971</v>
      </c>
      <c r="C584" s="234"/>
      <c r="D584" s="234" t="s">
        <v>4920</v>
      </c>
      <c r="E584" s="244" t="s">
        <v>3195</v>
      </c>
      <c r="F584" s="244" t="s">
        <v>4914</v>
      </c>
      <c r="G584" s="235"/>
      <c r="H584" s="236">
        <v>0.01</v>
      </c>
      <c r="I584" s="236">
        <v>0</v>
      </c>
      <c r="J584" s="233">
        <v>1</v>
      </c>
      <c r="K584" s="237"/>
      <c r="L584" s="235"/>
      <c r="M584" s="276"/>
      <c r="N584" s="279" t="s">
        <v>25</v>
      </c>
      <c r="O584" t="str">
        <f t="shared" si="10"/>
        <v>1971 Memorial Penny</v>
      </c>
      <c r="S584" t="str" cm="1">
        <f t="array" ref="S584">_xlfn.REGEXEXTRACT(E584, "[0-9]{1,5}")</f>
        <v>1971</v>
      </c>
      <c r="T584" t="s">
        <v>2498</v>
      </c>
      <c r="U584" t="s">
        <v>3896</v>
      </c>
    </row>
    <row r="585" spans="1:25">
      <c r="A585" s="136">
        <v>1</v>
      </c>
      <c r="B585" s="233">
        <v>1971</v>
      </c>
      <c r="C585" s="234"/>
      <c r="D585" s="234" t="s">
        <v>4920</v>
      </c>
      <c r="E585" s="244" t="s">
        <v>3196</v>
      </c>
      <c r="F585" s="244" t="s">
        <v>4914</v>
      </c>
      <c r="G585" s="235"/>
      <c r="H585" s="236">
        <v>0.01</v>
      </c>
      <c r="I585" s="236">
        <v>0</v>
      </c>
      <c r="J585" s="233">
        <v>1</v>
      </c>
      <c r="K585" s="237"/>
      <c r="L585" s="235"/>
      <c r="M585" s="276"/>
      <c r="N585" s="279" t="s">
        <v>25</v>
      </c>
      <c r="O585" t="str">
        <f t="shared" si="10"/>
        <v>1971 Memorial Penny</v>
      </c>
      <c r="S585" t="str" cm="1">
        <f t="array" ref="S585">_xlfn.REGEXEXTRACT(E585, "[0-9]{1,5}")</f>
        <v>1971</v>
      </c>
      <c r="T585" t="s">
        <v>2498</v>
      </c>
      <c r="U585" t="s">
        <v>3896</v>
      </c>
    </row>
    <row r="586" spans="1:25">
      <c r="A586" s="136">
        <v>1</v>
      </c>
      <c r="B586" s="233">
        <v>1971</v>
      </c>
      <c r="C586" s="234"/>
      <c r="D586" s="234" t="s">
        <v>4920</v>
      </c>
      <c r="E586" s="244" t="s">
        <v>3197</v>
      </c>
      <c r="F586" s="244" t="s">
        <v>4914</v>
      </c>
      <c r="G586" s="235"/>
      <c r="H586" s="236">
        <v>0.01</v>
      </c>
      <c r="I586" s="236">
        <v>0</v>
      </c>
      <c r="J586" s="233">
        <v>1</v>
      </c>
      <c r="K586" s="237"/>
      <c r="L586" s="235"/>
      <c r="M586" s="276"/>
      <c r="N586" s="279" t="s">
        <v>25</v>
      </c>
      <c r="O586" t="str">
        <f t="shared" si="10"/>
        <v>1971 Memorial Penny</v>
      </c>
      <c r="S586" t="str" cm="1">
        <f t="array" ref="S586">_xlfn.REGEXEXTRACT(E586, "[0-9]{1,5}")</f>
        <v>1971</v>
      </c>
      <c r="T586" t="s">
        <v>2498</v>
      </c>
      <c r="U586" t="s">
        <v>3896</v>
      </c>
    </row>
    <row r="587" spans="1:25">
      <c r="A587" s="136">
        <v>1</v>
      </c>
      <c r="B587" s="233">
        <v>1971</v>
      </c>
      <c r="C587" s="234"/>
      <c r="D587" s="234" t="s">
        <v>4920</v>
      </c>
      <c r="E587" s="244" t="s">
        <v>3198</v>
      </c>
      <c r="F587" s="244" t="s">
        <v>4914</v>
      </c>
      <c r="G587" s="235"/>
      <c r="H587" s="236">
        <v>0.01</v>
      </c>
      <c r="I587" s="236">
        <v>0</v>
      </c>
      <c r="J587" s="233">
        <v>1</v>
      </c>
      <c r="K587" s="237"/>
      <c r="L587" s="235"/>
      <c r="M587" s="276"/>
      <c r="N587" s="279" t="s">
        <v>25</v>
      </c>
      <c r="O587" t="str">
        <f t="shared" si="10"/>
        <v>1971 Memorial Penny</v>
      </c>
      <c r="S587" t="str" cm="1">
        <f t="array" ref="S587">_xlfn.REGEXEXTRACT(E587, "[0-9]{1,5}")</f>
        <v>1971</v>
      </c>
      <c r="T587" t="s">
        <v>2498</v>
      </c>
      <c r="U587" t="s">
        <v>3896</v>
      </c>
    </row>
    <row r="588" spans="1:25">
      <c r="A588" s="136">
        <v>1</v>
      </c>
      <c r="B588" s="233">
        <v>1971</v>
      </c>
      <c r="C588" s="234" t="s">
        <v>13</v>
      </c>
      <c r="D588" s="234" t="s">
        <v>4920</v>
      </c>
      <c r="E588" s="244" t="s">
        <v>3199</v>
      </c>
      <c r="F588" s="244" t="s">
        <v>4914</v>
      </c>
      <c r="G588" s="235"/>
      <c r="H588" s="236">
        <v>0.01</v>
      </c>
      <c r="I588" s="236">
        <v>0</v>
      </c>
      <c r="J588" s="233">
        <v>1</v>
      </c>
      <c r="K588" s="237"/>
      <c r="L588" s="235"/>
      <c r="M588" s="276"/>
      <c r="N588" s="279" t="s">
        <v>25</v>
      </c>
      <c r="O588" t="str">
        <f t="shared" si="10"/>
        <v>1971-D Memorial Penny</v>
      </c>
      <c r="S588" t="str" cm="1">
        <f t="array" ref="S588">_xlfn.REGEXEXTRACT(E588, "[0-9]{1,5}")</f>
        <v>1971</v>
      </c>
      <c r="T588" t="s">
        <v>2498</v>
      </c>
      <c r="U588" t="s">
        <v>3896</v>
      </c>
    </row>
    <row r="589" spans="1:25">
      <c r="A589" s="136">
        <v>1</v>
      </c>
      <c r="B589" s="233">
        <v>1971</v>
      </c>
      <c r="C589" s="234" t="s">
        <v>13</v>
      </c>
      <c r="D589" s="234" t="s">
        <v>4920</v>
      </c>
      <c r="E589" s="244" t="s">
        <v>3200</v>
      </c>
      <c r="F589" s="244" t="s">
        <v>4914</v>
      </c>
      <c r="G589" s="235"/>
      <c r="H589" s="236">
        <v>0.01</v>
      </c>
      <c r="I589" s="236">
        <v>0</v>
      </c>
      <c r="J589" s="233">
        <v>1</v>
      </c>
      <c r="K589" s="237"/>
      <c r="L589" s="235"/>
      <c r="M589" s="276"/>
      <c r="N589" s="279" t="s">
        <v>25</v>
      </c>
      <c r="O589" t="str">
        <f t="shared" si="10"/>
        <v>1971-D Memorial Penny</v>
      </c>
      <c r="S589" t="str" cm="1">
        <f t="array" ref="S589">_xlfn.REGEXEXTRACT(E589, "[0-9]{1,5}")</f>
        <v>1971</v>
      </c>
      <c r="T589" t="s">
        <v>2498</v>
      </c>
      <c r="U589" t="s">
        <v>3896</v>
      </c>
    </row>
    <row r="590" spans="1:25">
      <c r="A590" s="136">
        <v>1</v>
      </c>
      <c r="B590" s="233">
        <v>1971</v>
      </c>
      <c r="C590" s="234" t="s">
        <v>13</v>
      </c>
      <c r="D590" s="234" t="s">
        <v>4920</v>
      </c>
      <c r="E590" s="244" t="s">
        <v>3201</v>
      </c>
      <c r="F590" s="244" t="s">
        <v>4914</v>
      </c>
      <c r="G590" s="235"/>
      <c r="H590" s="236">
        <v>0.01</v>
      </c>
      <c r="I590" s="236">
        <v>0</v>
      </c>
      <c r="J590" s="233">
        <v>1</v>
      </c>
      <c r="K590" s="237"/>
      <c r="L590" s="235"/>
      <c r="M590" s="276"/>
      <c r="N590" s="279" t="s">
        <v>25</v>
      </c>
      <c r="O590" t="str">
        <f t="shared" si="10"/>
        <v>1971-D Memorial Penny</v>
      </c>
      <c r="S590" t="str" cm="1">
        <f t="array" ref="S590">_xlfn.REGEXEXTRACT(E590, "[0-9]{1,5}")</f>
        <v>1971</v>
      </c>
      <c r="T590" t="s">
        <v>2498</v>
      </c>
      <c r="U590" t="s">
        <v>3896</v>
      </c>
    </row>
    <row r="591" spans="1:25">
      <c r="A591" s="136">
        <v>1</v>
      </c>
      <c r="B591" s="233">
        <v>1971</v>
      </c>
      <c r="C591" s="234" t="s">
        <v>13</v>
      </c>
      <c r="D591" s="234" t="s">
        <v>4920</v>
      </c>
      <c r="E591" s="244" t="s">
        <v>3202</v>
      </c>
      <c r="F591" s="244" t="s">
        <v>4914</v>
      </c>
      <c r="G591" s="235"/>
      <c r="H591" s="236">
        <v>0.01</v>
      </c>
      <c r="I591" s="236">
        <v>0</v>
      </c>
      <c r="J591" s="233">
        <v>1</v>
      </c>
      <c r="K591" s="237"/>
      <c r="L591" s="235"/>
      <c r="M591" s="276"/>
      <c r="N591" s="279" t="s">
        <v>25</v>
      </c>
      <c r="O591" t="str">
        <f t="shared" si="10"/>
        <v>1971-D Memorial Penny</v>
      </c>
      <c r="S591" t="str" cm="1">
        <f t="array" ref="S591">_xlfn.REGEXEXTRACT(E591, "[0-9]{1,5}")</f>
        <v>1971</v>
      </c>
      <c r="T591" t="s">
        <v>2498</v>
      </c>
      <c r="U591" t="s">
        <v>3896</v>
      </c>
    </row>
    <row r="592" spans="1:25">
      <c r="A592" s="136">
        <v>1</v>
      </c>
      <c r="B592" s="233">
        <v>1971</v>
      </c>
      <c r="C592" s="234" t="s">
        <v>22</v>
      </c>
      <c r="D592" s="234" t="s">
        <v>4920</v>
      </c>
      <c r="E592" s="244" t="s">
        <v>3203</v>
      </c>
      <c r="F592" s="244" t="s">
        <v>5207</v>
      </c>
      <c r="G592" s="235" t="s">
        <v>2584</v>
      </c>
      <c r="H592" s="236">
        <v>1</v>
      </c>
      <c r="I592" s="236">
        <v>1.5</v>
      </c>
      <c r="J592" s="233">
        <v>1</v>
      </c>
      <c r="K592" s="237"/>
      <c r="L592" s="235"/>
      <c r="M592" s="276"/>
      <c r="N592" s="279" t="s">
        <v>25</v>
      </c>
      <c r="O592" t="str">
        <f t="shared" si="10"/>
        <v>1971-S  Memorial Penny Proof</v>
      </c>
      <c r="S592" t="str" cm="1">
        <f t="array" ref="S592">_xlfn.REGEXEXTRACT(E592, "[0-9]{1,5}")</f>
        <v>1971</v>
      </c>
      <c r="T592" t="s">
        <v>2498</v>
      </c>
      <c r="U592" t="s">
        <v>3896</v>
      </c>
      <c r="Y592" t="s">
        <v>5209</v>
      </c>
    </row>
    <row r="593" spans="1:21">
      <c r="A593" s="136">
        <v>1</v>
      </c>
      <c r="B593" s="233">
        <v>1971</v>
      </c>
      <c r="C593" s="234" t="s">
        <v>13</v>
      </c>
      <c r="D593" s="234" t="s">
        <v>4920</v>
      </c>
      <c r="E593" s="244" t="s">
        <v>3204</v>
      </c>
      <c r="F593" s="244" t="s">
        <v>4914</v>
      </c>
      <c r="G593" s="235"/>
      <c r="H593" s="236">
        <v>0.01</v>
      </c>
      <c r="I593" s="236">
        <v>0</v>
      </c>
      <c r="J593" s="233">
        <v>1</v>
      </c>
      <c r="K593" s="237"/>
      <c r="L593" s="235"/>
      <c r="M593" s="276"/>
      <c r="N593" s="279" t="s">
        <v>25</v>
      </c>
      <c r="O593" t="str">
        <f t="shared" si="10"/>
        <v>1971-D Memorial Penny</v>
      </c>
      <c r="S593" t="str" cm="1">
        <f t="array" ref="S593">_xlfn.REGEXEXTRACT(E593, "[0-9]{1,5}")</f>
        <v>1971</v>
      </c>
      <c r="T593" t="s">
        <v>2498</v>
      </c>
      <c r="U593" t="s">
        <v>3896</v>
      </c>
    </row>
    <row r="594" spans="1:21">
      <c r="A594" s="136">
        <v>1</v>
      </c>
      <c r="B594" s="233">
        <v>1971</v>
      </c>
      <c r="C594" s="234" t="s">
        <v>12</v>
      </c>
      <c r="D594" s="234" t="s">
        <v>4920</v>
      </c>
      <c r="E594" s="244" t="s">
        <v>3205</v>
      </c>
      <c r="F594" s="244" t="s">
        <v>4914</v>
      </c>
      <c r="G594" s="235"/>
      <c r="H594" s="236">
        <v>0.01</v>
      </c>
      <c r="I594" s="236">
        <v>0.01</v>
      </c>
      <c r="J594" s="233">
        <v>1</v>
      </c>
      <c r="K594" s="237"/>
      <c r="L594" s="235"/>
      <c r="M594" s="276"/>
      <c r="N594" s="279" t="s">
        <v>25</v>
      </c>
      <c r="O594" t="str">
        <f t="shared" si="10"/>
        <v>1971-S Memorial Penny</v>
      </c>
      <c r="S594" t="str" cm="1">
        <f t="array" ref="S594">_xlfn.REGEXEXTRACT(E594, "[0-9]{1,5}")</f>
        <v>1971</v>
      </c>
      <c r="T594" t="s">
        <v>2498</v>
      </c>
      <c r="U594" t="s">
        <v>3896</v>
      </c>
    </row>
    <row r="595" spans="1:21">
      <c r="A595" s="136">
        <v>1</v>
      </c>
      <c r="B595" s="233">
        <v>1972</v>
      </c>
      <c r="C595" s="234"/>
      <c r="D595" s="234" t="s">
        <v>4920</v>
      </c>
      <c r="E595" s="244" t="s">
        <v>3206</v>
      </c>
      <c r="F595" s="244" t="s">
        <v>4914</v>
      </c>
      <c r="G595" s="235"/>
      <c r="H595" s="236">
        <v>0.01</v>
      </c>
      <c r="I595" s="236">
        <v>0</v>
      </c>
      <c r="J595" s="233">
        <v>1</v>
      </c>
      <c r="K595" s="237"/>
      <c r="L595" s="235"/>
      <c r="M595" s="276"/>
      <c r="N595" s="279" t="s">
        <v>25</v>
      </c>
      <c r="O595" t="str">
        <f t="shared" si="10"/>
        <v>1972 Memorial Penny</v>
      </c>
      <c r="S595" t="str" cm="1">
        <f t="array" ref="S595">_xlfn.REGEXEXTRACT(E595, "[0-9]{1,5}")</f>
        <v>1972</v>
      </c>
      <c r="T595" t="s">
        <v>2500</v>
      </c>
      <c r="U595" t="s">
        <v>3896</v>
      </c>
    </row>
    <row r="596" spans="1:21">
      <c r="A596" s="136">
        <v>1</v>
      </c>
      <c r="B596" s="233">
        <v>1972</v>
      </c>
      <c r="C596" s="234"/>
      <c r="D596" s="234" t="s">
        <v>4920</v>
      </c>
      <c r="E596" s="244" t="s">
        <v>3207</v>
      </c>
      <c r="F596" s="244" t="s">
        <v>4914</v>
      </c>
      <c r="G596" s="235"/>
      <c r="H596" s="236">
        <v>0.01</v>
      </c>
      <c r="I596" s="236">
        <v>0</v>
      </c>
      <c r="J596" s="233">
        <v>1</v>
      </c>
      <c r="K596" s="237"/>
      <c r="L596" s="235"/>
      <c r="M596" s="276"/>
      <c r="N596" s="279" t="s">
        <v>25</v>
      </c>
      <c r="O596" t="str">
        <f t="shared" si="10"/>
        <v>1972 Memorial Penny</v>
      </c>
      <c r="S596" t="str" cm="1">
        <f t="array" ref="S596">_xlfn.REGEXEXTRACT(E596, "[0-9]{1,5}")</f>
        <v>1972</v>
      </c>
      <c r="T596" t="s">
        <v>2500</v>
      </c>
      <c r="U596" t="s">
        <v>3896</v>
      </c>
    </row>
    <row r="597" spans="1:21">
      <c r="A597" s="136">
        <v>1</v>
      </c>
      <c r="B597" s="233">
        <v>1972</v>
      </c>
      <c r="C597" s="234" t="s">
        <v>13</v>
      </c>
      <c r="D597" s="234" t="s">
        <v>4920</v>
      </c>
      <c r="E597" s="244" t="s">
        <v>3208</v>
      </c>
      <c r="F597" s="244" t="s">
        <v>4914</v>
      </c>
      <c r="G597" s="235"/>
      <c r="H597" s="236">
        <v>0.01</v>
      </c>
      <c r="I597" s="236">
        <v>0</v>
      </c>
      <c r="J597" s="233">
        <v>1</v>
      </c>
      <c r="K597" s="237"/>
      <c r="L597" s="235"/>
      <c r="M597" s="276"/>
      <c r="N597" s="279" t="s">
        <v>25</v>
      </c>
      <c r="O597" t="str">
        <f t="shared" si="10"/>
        <v>1972-D Memorial Penny</v>
      </c>
      <c r="S597" t="str" cm="1">
        <f t="array" ref="S597">_xlfn.REGEXEXTRACT(E597, "[0-9]{1,5}")</f>
        <v>1972</v>
      </c>
      <c r="T597" t="s">
        <v>2500</v>
      </c>
      <c r="U597" t="s">
        <v>3896</v>
      </c>
    </row>
    <row r="598" spans="1:21">
      <c r="A598" s="136">
        <v>1</v>
      </c>
      <c r="B598" s="233">
        <v>1972</v>
      </c>
      <c r="C598" s="234" t="s">
        <v>13</v>
      </c>
      <c r="D598" s="234" t="s">
        <v>4920</v>
      </c>
      <c r="E598" s="244" t="s">
        <v>3209</v>
      </c>
      <c r="F598" s="244" t="s">
        <v>4914</v>
      </c>
      <c r="G598" s="235"/>
      <c r="H598" s="236">
        <v>0.01</v>
      </c>
      <c r="I598" s="236">
        <v>0</v>
      </c>
      <c r="J598" s="233">
        <v>1</v>
      </c>
      <c r="K598" s="237"/>
      <c r="L598" s="235"/>
      <c r="M598" s="276"/>
      <c r="N598" s="279" t="s">
        <v>25</v>
      </c>
      <c r="O598" t="str">
        <f t="shared" si="10"/>
        <v>1972-D Memorial Penny</v>
      </c>
      <c r="S598" t="str" cm="1">
        <f t="array" ref="S598">_xlfn.REGEXEXTRACT(E598, "[0-9]{1,5}")</f>
        <v>1972</v>
      </c>
      <c r="T598" t="s">
        <v>2500</v>
      </c>
      <c r="U598" t="s">
        <v>3896</v>
      </c>
    </row>
    <row r="599" spans="1:21">
      <c r="A599" s="136">
        <v>1</v>
      </c>
      <c r="B599" s="233">
        <v>1972</v>
      </c>
      <c r="C599" s="234" t="s">
        <v>13</v>
      </c>
      <c r="D599" s="234" t="s">
        <v>4920</v>
      </c>
      <c r="E599" s="244" t="s">
        <v>3210</v>
      </c>
      <c r="F599" s="244" t="s">
        <v>4914</v>
      </c>
      <c r="G599" s="235"/>
      <c r="H599" s="236">
        <v>0.01</v>
      </c>
      <c r="I599" s="236">
        <v>0</v>
      </c>
      <c r="J599" s="233">
        <v>1</v>
      </c>
      <c r="K599" s="237"/>
      <c r="L599" s="235"/>
      <c r="M599" s="276"/>
      <c r="N599" s="279" t="s">
        <v>25</v>
      </c>
      <c r="O599" t="str">
        <f t="shared" si="10"/>
        <v>1972-D Memorial Penny</v>
      </c>
      <c r="S599" t="str" cm="1">
        <f t="array" ref="S599">_xlfn.REGEXEXTRACT(E599, "[0-9]{1,5}")</f>
        <v>1972</v>
      </c>
      <c r="T599" t="s">
        <v>2500</v>
      </c>
      <c r="U599" t="s">
        <v>3896</v>
      </c>
    </row>
    <row r="600" spans="1:21">
      <c r="A600" s="136">
        <v>1</v>
      </c>
      <c r="B600" s="233">
        <v>1972</v>
      </c>
      <c r="C600" s="234" t="s">
        <v>13</v>
      </c>
      <c r="D600" s="234" t="s">
        <v>4920</v>
      </c>
      <c r="E600" s="244" t="s">
        <v>3211</v>
      </c>
      <c r="F600" s="244" t="s">
        <v>4914</v>
      </c>
      <c r="G600" s="235"/>
      <c r="H600" s="236">
        <v>0.01</v>
      </c>
      <c r="I600" s="236">
        <v>0</v>
      </c>
      <c r="J600" s="233">
        <v>1</v>
      </c>
      <c r="K600" s="237"/>
      <c r="L600" s="235"/>
      <c r="M600" s="276"/>
      <c r="N600" s="279" t="s">
        <v>25</v>
      </c>
      <c r="O600" t="str">
        <f t="shared" si="10"/>
        <v>1972-D Memorial Penny</v>
      </c>
      <c r="S600" t="str" cm="1">
        <f t="array" ref="S600">_xlfn.REGEXEXTRACT(E600, "[0-9]{1,5}")</f>
        <v>1972</v>
      </c>
      <c r="T600" t="s">
        <v>2500</v>
      </c>
      <c r="U600" t="s">
        <v>3896</v>
      </c>
    </row>
    <row r="601" spans="1:21">
      <c r="A601" s="136">
        <v>1</v>
      </c>
      <c r="B601" s="233">
        <v>1972</v>
      </c>
      <c r="C601" s="234"/>
      <c r="D601" s="234" t="s">
        <v>4920</v>
      </c>
      <c r="E601" s="244" t="s">
        <v>3212</v>
      </c>
      <c r="F601" s="244" t="s">
        <v>4914</v>
      </c>
      <c r="G601" s="235"/>
      <c r="H601" s="236">
        <v>0.01</v>
      </c>
      <c r="I601" s="236">
        <v>0</v>
      </c>
      <c r="J601" s="233">
        <v>1</v>
      </c>
      <c r="K601" s="237"/>
      <c r="L601" s="235"/>
      <c r="M601" s="276"/>
      <c r="N601" s="279" t="s">
        <v>25</v>
      </c>
      <c r="O601" t="str">
        <f t="shared" si="10"/>
        <v>1972 Memorial Penny</v>
      </c>
      <c r="S601" t="str" cm="1">
        <f t="array" ref="S601">_xlfn.REGEXEXTRACT(E601, "[0-9]{1,5}")</f>
        <v>1972</v>
      </c>
      <c r="T601" t="s">
        <v>2500</v>
      </c>
      <c r="U601" t="s">
        <v>3896</v>
      </c>
    </row>
    <row r="602" spans="1:21">
      <c r="A602" s="136">
        <v>1</v>
      </c>
      <c r="B602" s="233">
        <v>1972</v>
      </c>
      <c r="C602" s="234"/>
      <c r="D602" s="234" t="s">
        <v>4920</v>
      </c>
      <c r="E602" s="244" t="s">
        <v>3213</v>
      </c>
      <c r="F602" s="244" t="s">
        <v>4914</v>
      </c>
      <c r="G602" s="235"/>
      <c r="H602" s="236">
        <v>0.01</v>
      </c>
      <c r="I602" s="236">
        <v>0</v>
      </c>
      <c r="J602" s="233">
        <v>1</v>
      </c>
      <c r="K602" s="237"/>
      <c r="L602" s="235"/>
      <c r="M602" s="276"/>
      <c r="N602" s="279" t="s">
        <v>25</v>
      </c>
      <c r="O602" t="str">
        <f t="shared" si="10"/>
        <v>1972 Memorial Penny</v>
      </c>
      <c r="S602" t="str" cm="1">
        <f t="array" ref="S602">_xlfn.REGEXEXTRACT(E602, "[0-9]{1,5}")</f>
        <v>1972</v>
      </c>
      <c r="T602" t="s">
        <v>2500</v>
      </c>
      <c r="U602" t="s">
        <v>3896</v>
      </c>
    </row>
    <row r="603" spans="1:21">
      <c r="A603" s="136">
        <v>1</v>
      </c>
      <c r="B603" s="233">
        <v>1972</v>
      </c>
      <c r="C603" s="234"/>
      <c r="D603" s="234" t="s">
        <v>4920</v>
      </c>
      <c r="E603" s="244" t="s">
        <v>3214</v>
      </c>
      <c r="F603" s="244" t="s">
        <v>4914</v>
      </c>
      <c r="G603" s="235" t="s">
        <v>2587</v>
      </c>
      <c r="H603" s="236">
        <v>0.01</v>
      </c>
      <c r="I603" s="236">
        <v>0.01</v>
      </c>
      <c r="J603" s="233">
        <v>1</v>
      </c>
      <c r="K603" s="237"/>
      <c r="L603" s="235"/>
      <c r="M603" s="276"/>
      <c r="N603" s="279" t="s">
        <v>25</v>
      </c>
      <c r="O603" t="str">
        <f t="shared" si="10"/>
        <v>1972 Memorial Penny</v>
      </c>
      <c r="S603" t="str" cm="1">
        <f t="array" ref="S603">_xlfn.REGEXEXTRACT(E603, "[0-9]{1,5}")</f>
        <v>1972</v>
      </c>
      <c r="T603" t="s">
        <v>2500</v>
      </c>
      <c r="U603" t="s">
        <v>3896</v>
      </c>
    </row>
    <row r="604" spans="1:21">
      <c r="A604" s="136">
        <v>1</v>
      </c>
      <c r="B604" s="233">
        <v>1972</v>
      </c>
      <c r="C604" s="234" t="s">
        <v>12</v>
      </c>
      <c r="D604" s="234" t="s">
        <v>4920</v>
      </c>
      <c r="E604" s="244" t="s">
        <v>3215</v>
      </c>
      <c r="F604" s="244" t="s">
        <v>5207</v>
      </c>
      <c r="G604" s="235" t="s">
        <v>2584</v>
      </c>
      <c r="H604" s="236">
        <v>0.9</v>
      </c>
      <c r="I604" s="236">
        <v>0.9</v>
      </c>
      <c r="J604" s="233">
        <v>1</v>
      </c>
      <c r="K604" s="237"/>
      <c r="L604" s="235"/>
      <c r="M604" s="276"/>
      <c r="N604" s="279" t="s">
        <v>25</v>
      </c>
      <c r="O604" t="str">
        <f t="shared" si="10"/>
        <v>1972-S Memorial Penny Proof</v>
      </c>
      <c r="S604" t="str" cm="1">
        <f t="array" ref="S604">_xlfn.REGEXEXTRACT(E604, "[0-9]{1,5}")</f>
        <v>1972</v>
      </c>
      <c r="T604" t="s">
        <v>2500</v>
      </c>
      <c r="U604" t="s">
        <v>3896</v>
      </c>
    </row>
    <row r="605" spans="1:21">
      <c r="A605" s="136">
        <v>1</v>
      </c>
      <c r="B605" s="233">
        <v>1972</v>
      </c>
      <c r="C605" s="234" t="s">
        <v>12</v>
      </c>
      <c r="D605" s="234" t="s">
        <v>4920</v>
      </c>
      <c r="E605" s="244" t="s">
        <v>3216</v>
      </c>
      <c r="F605" s="244" t="s">
        <v>5207</v>
      </c>
      <c r="G605" s="235" t="s">
        <v>2584</v>
      </c>
      <c r="H605" s="236">
        <v>0.25</v>
      </c>
      <c r="I605" s="236">
        <v>0.25</v>
      </c>
      <c r="J605" s="233">
        <v>1</v>
      </c>
      <c r="K605" s="237"/>
      <c r="L605" s="235"/>
      <c r="M605" s="276"/>
      <c r="N605" s="279" t="s">
        <v>25</v>
      </c>
      <c r="O605" t="str">
        <f t="shared" si="10"/>
        <v>1972-S Memorial Penny Proof</v>
      </c>
      <c r="S605" t="str" cm="1">
        <f t="array" ref="S605">_xlfn.REGEXEXTRACT(E605, "[0-9]{1,5}")</f>
        <v>1972</v>
      </c>
      <c r="T605" t="s">
        <v>2500</v>
      </c>
      <c r="U605" t="s">
        <v>3896</v>
      </c>
    </row>
    <row r="606" spans="1:21">
      <c r="A606" s="136">
        <v>1</v>
      </c>
      <c r="B606" s="233">
        <v>1973</v>
      </c>
      <c r="C606" s="234"/>
      <c r="D606" s="234" t="s">
        <v>4920</v>
      </c>
      <c r="E606" s="244" t="s">
        <v>3218</v>
      </c>
      <c r="F606" s="244" t="s">
        <v>4914</v>
      </c>
      <c r="G606" s="235"/>
      <c r="H606" s="236">
        <v>0.01</v>
      </c>
      <c r="I606" s="236">
        <v>0</v>
      </c>
      <c r="J606" s="233">
        <v>1</v>
      </c>
      <c r="K606" s="237"/>
      <c r="L606" s="235"/>
      <c r="M606" s="276"/>
      <c r="N606" s="279" t="s">
        <v>25</v>
      </c>
      <c r="O606" t="str">
        <f t="shared" si="10"/>
        <v>1973 Memorial Penny</v>
      </c>
      <c r="S606" t="str" cm="1">
        <f t="array" ref="S606">_xlfn.REGEXEXTRACT(E606, "[0-9]{1,5}")</f>
        <v>1973</v>
      </c>
      <c r="T606" t="s">
        <v>2502</v>
      </c>
      <c r="U606" t="s">
        <v>3896</v>
      </c>
    </row>
    <row r="607" spans="1:21">
      <c r="A607" s="136">
        <v>1</v>
      </c>
      <c r="B607" s="233">
        <v>1973</v>
      </c>
      <c r="C607" s="234"/>
      <c r="D607" s="234" t="s">
        <v>4920</v>
      </c>
      <c r="E607" s="244" t="s">
        <v>3219</v>
      </c>
      <c r="F607" s="244" t="s">
        <v>4914</v>
      </c>
      <c r="G607" s="235"/>
      <c r="H607" s="236">
        <v>0.01</v>
      </c>
      <c r="I607" s="236">
        <v>0</v>
      </c>
      <c r="J607" s="233">
        <v>1</v>
      </c>
      <c r="K607" s="237"/>
      <c r="L607" s="235"/>
      <c r="M607" s="276"/>
      <c r="N607" s="279" t="s">
        <v>25</v>
      </c>
      <c r="O607" t="str">
        <f t="shared" si="10"/>
        <v>1973 Memorial Penny</v>
      </c>
      <c r="S607" t="str" cm="1">
        <f t="array" ref="S607">_xlfn.REGEXEXTRACT(E607, "[0-9]{1,5}")</f>
        <v>1973</v>
      </c>
      <c r="T607" t="s">
        <v>2502</v>
      </c>
      <c r="U607" t="s">
        <v>3896</v>
      </c>
    </row>
    <row r="608" spans="1:21">
      <c r="A608" s="136">
        <v>1</v>
      </c>
      <c r="B608" s="233">
        <v>1973</v>
      </c>
      <c r="C608" s="234"/>
      <c r="D608" s="234" t="s">
        <v>4920</v>
      </c>
      <c r="E608" s="244" t="s">
        <v>3220</v>
      </c>
      <c r="F608" s="244" t="s">
        <v>4914</v>
      </c>
      <c r="G608" s="235"/>
      <c r="H608" s="236">
        <v>0.01</v>
      </c>
      <c r="I608" s="236">
        <v>0</v>
      </c>
      <c r="J608" s="233">
        <v>1</v>
      </c>
      <c r="K608" s="237"/>
      <c r="L608" s="235"/>
      <c r="M608" s="276"/>
      <c r="N608" s="279" t="s">
        <v>25</v>
      </c>
      <c r="O608" t="str">
        <f t="shared" si="10"/>
        <v>1973 Memorial Penny</v>
      </c>
      <c r="S608" t="str" cm="1">
        <f t="array" ref="S608">_xlfn.REGEXEXTRACT(E608, "[0-9]{1,5}")</f>
        <v>1973</v>
      </c>
      <c r="T608" t="s">
        <v>2502</v>
      </c>
      <c r="U608" t="s">
        <v>3896</v>
      </c>
    </row>
    <row r="609" spans="1:21">
      <c r="A609" s="136">
        <v>1</v>
      </c>
      <c r="B609" s="233">
        <v>1973</v>
      </c>
      <c r="C609" s="234"/>
      <c r="D609" s="234" t="s">
        <v>4920</v>
      </c>
      <c r="E609" s="244" t="s">
        <v>3221</v>
      </c>
      <c r="F609" s="244" t="s">
        <v>4914</v>
      </c>
      <c r="G609" s="235"/>
      <c r="H609" s="236">
        <v>0.01</v>
      </c>
      <c r="I609" s="236">
        <v>0</v>
      </c>
      <c r="J609" s="233">
        <v>1</v>
      </c>
      <c r="K609" s="237"/>
      <c r="L609" s="235"/>
      <c r="M609" s="276"/>
      <c r="N609" s="279" t="s">
        <v>25</v>
      </c>
      <c r="O609" t="str">
        <f t="shared" si="10"/>
        <v>1973 Memorial Penny</v>
      </c>
      <c r="S609" t="str" cm="1">
        <f t="array" ref="S609">_xlfn.REGEXEXTRACT(E609, "[0-9]{1,5}")</f>
        <v>1973</v>
      </c>
      <c r="T609" t="s">
        <v>2502</v>
      </c>
      <c r="U609" t="s">
        <v>3896</v>
      </c>
    </row>
    <row r="610" spans="1:21">
      <c r="A610" s="136">
        <v>1</v>
      </c>
      <c r="B610" s="233">
        <v>1973</v>
      </c>
      <c r="C610" s="234" t="s">
        <v>13</v>
      </c>
      <c r="D610" s="234" t="s">
        <v>4920</v>
      </c>
      <c r="E610" s="244" t="s">
        <v>3222</v>
      </c>
      <c r="F610" s="244" t="s">
        <v>4914</v>
      </c>
      <c r="G610" s="235"/>
      <c r="H610" s="236">
        <v>0.01</v>
      </c>
      <c r="I610" s="236">
        <v>0</v>
      </c>
      <c r="J610" s="233">
        <v>1</v>
      </c>
      <c r="K610" s="237"/>
      <c r="L610" s="235"/>
      <c r="M610" s="276"/>
      <c r="N610" s="279" t="s">
        <v>25</v>
      </c>
      <c r="O610" t="str">
        <f t="shared" si="10"/>
        <v>1973-D Memorial Penny</v>
      </c>
      <c r="S610" t="str" cm="1">
        <f t="array" ref="S610">_xlfn.REGEXEXTRACT(E610, "[0-9]{1,5}")</f>
        <v>1973</v>
      </c>
      <c r="T610" t="s">
        <v>2502</v>
      </c>
      <c r="U610" t="s">
        <v>3896</v>
      </c>
    </row>
    <row r="611" spans="1:21">
      <c r="A611" s="136">
        <v>1</v>
      </c>
      <c r="B611" s="233">
        <v>1973</v>
      </c>
      <c r="C611" s="234"/>
      <c r="D611" s="234" t="s">
        <v>4920</v>
      </c>
      <c r="E611" s="244" t="s">
        <v>3223</v>
      </c>
      <c r="F611" s="244" t="s">
        <v>4914</v>
      </c>
      <c r="G611" s="235"/>
      <c r="H611" s="236">
        <v>0.01</v>
      </c>
      <c r="I611" s="236">
        <v>0</v>
      </c>
      <c r="J611" s="233">
        <v>1</v>
      </c>
      <c r="K611" s="237"/>
      <c r="L611" s="235"/>
      <c r="M611" s="276"/>
      <c r="N611" s="279" t="s">
        <v>25</v>
      </c>
      <c r="O611" t="str">
        <f t="shared" si="10"/>
        <v>1973 Memorial Penny</v>
      </c>
      <c r="S611" t="str" cm="1">
        <f t="array" ref="S611">_xlfn.REGEXEXTRACT(E611, "[0-9]{1,5}")</f>
        <v>1973</v>
      </c>
      <c r="T611" t="s">
        <v>2502</v>
      </c>
      <c r="U611" t="s">
        <v>3896</v>
      </c>
    </row>
    <row r="612" spans="1:21">
      <c r="A612" s="136">
        <v>1</v>
      </c>
      <c r="B612" s="233">
        <v>1973</v>
      </c>
      <c r="C612" s="234" t="s">
        <v>13</v>
      </c>
      <c r="D612" s="234" t="s">
        <v>4920</v>
      </c>
      <c r="E612" s="244" t="s">
        <v>3224</v>
      </c>
      <c r="F612" s="244" t="s">
        <v>4914</v>
      </c>
      <c r="G612" s="235"/>
      <c r="H612" s="236">
        <v>0.01</v>
      </c>
      <c r="I612" s="236">
        <v>0</v>
      </c>
      <c r="J612" s="233">
        <v>1</v>
      </c>
      <c r="K612" s="237"/>
      <c r="L612" s="235"/>
      <c r="M612" s="276"/>
      <c r="N612" s="279" t="s">
        <v>25</v>
      </c>
      <c r="O612" t="str">
        <f t="shared" si="10"/>
        <v>1973-D Memorial Penny</v>
      </c>
      <c r="S612" t="str" cm="1">
        <f t="array" ref="S612">_xlfn.REGEXEXTRACT(E612, "[0-9]{1,5}")</f>
        <v>1973</v>
      </c>
      <c r="T612" t="s">
        <v>2502</v>
      </c>
      <c r="U612" t="s">
        <v>3896</v>
      </c>
    </row>
    <row r="613" spans="1:21">
      <c r="A613" s="136">
        <v>1</v>
      </c>
      <c r="B613" s="233">
        <v>1973</v>
      </c>
      <c r="C613" s="234" t="s">
        <v>13</v>
      </c>
      <c r="D613" s="234" t="s">
        <v>4920</v>
      </c>
      <c r="E613" s="244" t="s">
        <v>3225</v>
      </c>
      <c r="F613" s="244" t="s">
        <v>4914</v>
      </c>
      <c r="G613" s="235"/>
      <c r="H613" s="236">
        <v>0.01</v>
      </c>
      <c r="I613" s="236">
        <v>0</v>
      </c>
      <c r="J613" s="233">
        <v>1</v>
      </c>
      <c r="K613" s="237"/>
      <c r="L613" s="235"/>
      <c r="M613" s="276"/>
      <c r="N613" s="279" t="s">
        <v>25</v>
      </c>
      <c r="O613" t="str">
        <f t="shared" si="10"/>
        <v>1973-D Memorial Penny</v>
      </c>
      <c r="S613" t="str" cm="1">
        <f t="array" ref="S613">_xlfn.REGEXEXTRACT(E613, "[0-9]{1,5}")</f>
        <v>1973</v>
      </c>
      <c r="T613" t="s">
        <v>2502</v>
      </c>
      <c r="U613" t="s">
        <v>3896</v>
      </c>
    </row>
    <row r="614" spans="1:21">
      <c r="A614" s="136">
        <v>1</v>
      </c>
      <c r="B614" s="233">
        <v>1973</v>
      </c>
      <c r="C614" s="234" t="s">
        <v>13</v>
      </c>
      <c r="D614" s="234" t="s">
        <v>4920</v>
      </c>
      <c r="E614" s="244" t="s">
        <v>3226</v>
      </c>
      <c r="F614" s="244" t="s">
        <v>4914</v>
      </c>
      <c r="G614" s="235"/>
      <c r="H614" s="236">
        <v>0.01</v>
      </c>
      <c r="I614" s="236">
        <v>0</v>
      </c>
      <c r="J614" s="233">
        <v>1</v>
      </c>
      <c r="K614" s="237"/>
      <c r="L614" s="235"/>
      <c r="M614" s="276"/>
      <c r="N614" s="279" t="s">
        <v>25</v>
      </c>
      <c r="O614" t="str">
        <f t="shared" si="10"/>
        <v>1973-D Memorial Penny</v>
      </c>
      <c r="S614" t="str" cm="1">
        <f t="array" ref="S614">_xlfn.REGEXEXTRACT(E614, "[0-9]{1,5}")</f>
        <v>1973</v>
      </c>
      <c r="T614" t="s">
        <v>2502</v>
      </c>
      <c r="U614" t="s">
        <v>3896</v>
      </c>
    </row>
    <row r="615" spans="1:21">
      <c r="A615" s="136">
        <v>1</v>
      </c>
      <c r="B615" s="233">
        <v>1973</v>
      </c>
      <c r="C615" s="234" t="s">
        <v>13</v>
      </c>
      <c r="D615" s="234" t="s">
        <v>4920</v>
      </c>
      <c r="E615" s="244" t="s">
        <v>3227</v>
      </c>
      <c r="F615" s="244" t="s">
        <v>4914</v>
      </c>
      <c r="G615" s="235"/>
      <c r="H615" s="236">
        <v>0.01</v>
      </c>
      <c r="I615" s="236">
        <v>0</v>
      </c>
      <c r="J615" s="233">
        <v>1</v>
      </c>
      <c r="K615" s="237"/>
      <c r="L615" s="235"/>
      <c r="M615" s="276"/>
      <c r="N615" s="279" t="s">
        <v>25</v>
      </c>
      <c r="O615" t="str">
        <f t="shared" si="10"/>
        <v>1973-D Memorial Penny</v>
      </c>
      <c r="S615" t="str" cm="1">
        <f t="array" ref="S615">_xlfn.REGEXEXTRACT(E615, "[0-9]{1,5}")</f>
        <v>1973</v>
      </c>
      <c r="T615" t="s">
        <v>2502</v>
      </c>
      <c r="U615" t="s">
        <v>3896</v>
      </c>
    </row>
    <row r="616" spans="1:21">
      <c r="A616" s="136">
        <v>1</v>
      </c>
      <c r="B616" s="233">
        <v>1973</v>
      </c>
      <c r="C616" s="234" t="s">
        <v>12</v>
      </c>
      <c r="D616" s="234" t="s">
        <v>4920</v>
      </c>
      <c r="E616" s="244" t="s">
        <v>3228</v>
      </c>
      <c r="F616" s="244" t="s">
        <v>4914</v>
      </c>
      <c r="G616" s="235"/>
      <c r="H616" s="236">
        <v>0.01</v>
      </c>
      <c r="I616" s="236">
        <v>0.01</v>
      </c>
      <c r="J616" s="233">
        <v>1</v>
      </c>
      <c r="K616" s="237"/>
      <c r="L616" s="235"/>
      <c r="M616" s="276"/>
      <c r="N616" s="279" t="s">
        <v>25</v>
      </c>
      <c r="O616" t="str">
        <f t="shared" si="10"/>
        <v>1973-S Memorial Penny</v>
      </c>
      <c r="S616" t="str" cm="1">
        <f t="array" ref="S616">_xlfn.REGEXEXTRACT(E616, "[0-9]{1,5}")</f>
        <v>1973</v>
      </c>
      <c r="T616" t="s">
        <v>2502</v>
      </c>
      <c r="U616" t="s">
        <v>3896</v>
      </c>
    </row>
    <row r="617" spans="1:21">
      <c r="A617" s="136">
        <v>1</v>
      </c>
      <c r="B617" s="233">
        <v>1973</v>
      </c>
      <c r="C617" s="234" t="s">
        <v>12</v>
      </c>
      <c r="D617" s="234" t="s">
        <v>4920</v>
      </c>
      <c r="E617" s="244" t="s">
        <v>3229</v>
      </c>
      <c r="F617" s="244" t="s">
        <v>4914</v>
      </c>
      <c r="G617" s="235" t="s">
        <v>2586</v>
      </c>
      <c r="H617" s="236">
        <v>0.3</v>
      </c>
      <c r="I617" s="236">
        <v>0.3</v>
      </c>
      <c r="J617" s="233">
        <v>1</v>
      </c>
      <c r="K617" s="237"/>
      <c r="L617" s="235"/>
      <c r="M617" s="276"/>
      <c r="N617" s="279" t="s">
        <v>25</v>
      </c>
      <c r="O617" t="str">
        <f t="shared" si="10"/>
        <v>1973-S Memorial Penny</v>
      </c>
      <c r="S617" t="str" cm="1">
        <f t="array" ref="S617">_xlfn.REGEXEXTRACT(E617, "[0-9]{1,5}")</f>
        <v>1973</v>
      </c>
      <c r="T617" t="s">
        <v>2502</v>
      </c>
      <c r="U617" t="s">
        <v>3896</v>
      </c>
    </row>
    <row r="618" spans="1:21">
      <c r="A618" s="136">
        <v>1</v>
      </c>
      <c r="B618" s="233">
        <v>1973</v>
      </c>
      <c r="C618" s="234"/>
      <c r="D618" s="234" t="s">
        <v>4920</v>
      </c>
      <c r="E618" s="235" t="s">
        <v>3230</v>
      </c>
      <c r="F618" s="244" t="s">
        <v>4914</v>
      </c>
      <c r="G618" s="235"/>
      <c r="H618" s="236">
        <v>0.01</v>
      </c>
      <c r="I618" s="236">
        <v>28</v>
      </c>
      <c r="J618" s="233">
        <v>1</v>
      </c>
      <c r="K618" s="237" t="s">
        <v>2115</v>
      </c>
      <c r="L618" s="235"/>
      <c r="M618" s="276"/>
      <c r="N618" s="279" t="s">
        <v>25</v>
      </c>
      <c r="O618" t="str">
        <f t="shared" si="10"/>
        <v>1973 Memorial Penny</v>
      </c>
      <c r="S618" t="str" cm="1">
        <f t="array" ref="S618">_xlfn.REGEXEXTRACT(E618, "[0-9]{1,5}")</f>
        <v>1973</v>
      </c>
      <c r="T618" t="s">
        <v>2502</v>
      </c>
      <c r="U618" t="s">
        <v>3896</v>
      </c>
    </row>
    <row r="619" spans="1:21">
      <c r="A619" s="136">
        <v>1</v>
      </c>
      <c r="B619" s="233">
        <v>1973</v>
      </c>
      <c r="C619" s="234"/>
      <c r="D619" s="234" t="s">
        <v>4920</v>
      </c>
      <c r="E619" s="235" t="s">
        <v>3231</v>
      </c>
      <c r="F619" s="244" t="s">
        <v>4914</v>
      </c>
      <c r="G619" s="235"/>
      <c r="H619" s="236">
        <v>0.01</v>
      </c>
      <c r="I619" s="236">
        <v>28</v>
      </c>
      <c r="J619" s="233">
        <v>1</v>
      </c>
      <c r="K619" s="237" t="s">
        <v>2115</v>
      </c>
      <c r="L619" s="235"/>
      <c r="M619" s="276"/>
      <c r="N619" s="279" t="s">
        <v>25</v>
      </c>
      <c r="O619" t="str">
        <f t="shared" si="10"/>
        <v>1973 Memorial Penny</v>
      </c>
      <c r="S619" t="str" cm="1">
        <f t="array" ref="S619">_xlfn.REGEXEXTRACT(E619, "[0-9]{1,5}")</f>
        <v>1973</v>
      </c>
      <c r="T619" t="s">
        <v>2502</v>
      </c>
      <c r="U619" t="s">
        <v>3896</v>
      </c>
    </row>
    <row r="620" spans="1:21">
      <c r="A620" s="136">
        <v>1</v>
      </c>
      <c r="B620" s="233">
        <v>1973</v>
      </c>
      <c r="C620" s="234"/>
      <c r="D620" s="234" t="s">
        <v>4920</v>
      </c>
      <c r="E620" s="235" t="s">
        <v>3217</v>
      </c>
      <c r="F620" s="244" t="s">
        <v>4914</v>
      </c>
      <c r="G620" s="235"/>
      <c r="H620" s="236">
        <v>0.01</v>
      </c>
      <c r="I620" s="236">
        <v>28</v>
      </c>
      <c r="J620" s="233">
        <v>1</v>
      </c>
      <c r="K620" s="237" t="s">
        <v>2115</v>
      </c>
      <c r="L620" s="235"/>
      <c r="M620" s="276"/>
      <c r="N620" s="279" t="s">
        <v>25</v>
      </c>
      <c r="O620" t="str">
        <f t="shared" si="10"/>
        <v>1973 Memorial Penny</v>
      </c>
      <c r="S620" t="str" cm="1">
        <f t="array" ref="S620">_xlfn.REGEXEXTRACT(E620, "[0-9]{1,5}")</f>
        <v>1973</v>
      </c>
      <c r="T620" t="s">
        <v>2502</v>
      </c>
      <c r="U620" t="s">
        <v>3896</v>
      </c>
    </row>
    <row r="621" spans="1:21">
      <c r="A621" s="136">
        <v>1</v>
      </c>
      <c r="B621" s="233">
        <v>1974</v>
      </c>
      <c r="C621" s="234"/>
      <c r="D621" s="234" t="s">
        <v>4920</v>
      </c>
      <c r="E621" s="244" t="s">
        <v>3232</v>
      </c>
      <c r="F621" s="244" t="s">
        <v>4914</v>
      </c>
      <c r="G621" s="235"/>
      <c r="H621" s="236">
        <v>0.01</v>
      </c>
      <c r="I621" s="236">
        <v>0</v>
      </c>
      <c r="J621" s="233">
        <v>1</v>
      </c>
      <c r="K621" s="237"/>
      <c r="L621" s="235"/>
      <c r="M621" s="276"/>
      <c r="N621" s="279" t="s">
        <v>25</v>
      </c>
      <c r="O621" t="str">
        <f t="shared" si="10"/>
        <v>1974 Memorial Penny</v>
      </c>
      <c r="S621" t="str" cm="1">
        <f t="array" ref="S621">_xlfn.REGEXEXTRACT(E621, "[0-9]{1,5}")</f>
        <v>1974</v>
      </c>
      <c r="T621" t="s">
        <v>2504</v>
      </c>
      <c r="U621" t="s">
        <v>3896</v>
      </c>
    </row>
    <row r="622" spans="1:21">
      <c r="A622" s="136">
        <v>1</v>
      </c>
      <c r="B622" s="233">
        <v>1974</v>
      </c>
      <c r="C622" s="234" t="s">
        <v>13</v>
      </c>
      <c r="D622" s="234" t="s">
        <v>4920</v>
      </c>
      <c r="E622" s="244" t="s">
        <v>3233</v>
      </c>
      <c r="F622" s="244" t="s">
        <v>4914</v>
      </c>
      <c r="G622" s="235"/>
      <c r="H622" s="236">
        <v>0.01</v>
      </c>
      <c r="I622" s="236">
        <v>0</v>
      </c>
      <c r="J622" s="233">
        <v>1</v>
      </c>
      <c r="K622" s="237"/>
      <c r="L622" s="235"/>
      <c r="M622" s="276"/>
      <c r="N622" s="279" t="s">
        <v>25</v>
      </c>
      <c r="O622" t="str">
        <f t="shared" si="10"/>
        <v>1974-D Memorial Penny</v>
      </c>
      <c r="S622" t="str" cm="1">
        <f t="array" ref="S622">_xlfn.REGEXEXTRACT(E622, "[0-9]{1,5}")</f>
        <v>1974</v>
      </c>
      <c r="T622" t="s">
        <v>2504</v>
      </c>
      <c r="U622" t="s">
        <v>3896</v>
      </c>
    </row>
    <row r="623" spans="1:21">
      <c r="A623" s="136">
        <v>1</v>
      </c>
      <c r="B623" s="233">
        <v>1974</v>
      </c>
      <c r="C623" s="234"/>
      <c r="D623" s="234" t="s">
        <v>4920</v>
      </c>
      <c r="E623" s="244" t="s">
        <v>3234</v>
      </c>
      <c r="F623" s="244" t="s">
        <v>4914</v>
      </c>
      <c r="G623" s="235"/>
      <c r="H623" s="236">
        <v>0.01</v>
      </c>
      <c r="I623" s="236">
        <v>0</v>
      </c>
      <c r="J623" s="233">
        <v>1</v>
      </c>
      <c r="K623" s="237"/>
      <c r="L623" s="235"/>
      <c r="M623" s="276"/>
      <c r="N623" s="279" t="s">
        <v>25</v>
      </c>
      <c r="O623" t="str">
        <f t="shared" si="10"/>
        <v>1974 Memorial Penny</v>
      </c>
      <c r="S623" t="str" cm="1">
        <f t="array" ref="S623">_xlfn.REGEXEXTRACT(E623, "[0-9]{1,5}")</f>
        <v>1974</v>
      </c>
      <c r="T623" t="s">
        <v>2504</v>
      </c>
      <c r="U623" t="s">
        <v>3896</v>
      </c>
    </row>
    <row r="624" spans="1:21">
      <c r="A624" s="136">
        <v>1</v>
      </c>
      <c r="B624" s="233">
        <v>1974</v>
      </c>
      <c r="C624" s="234"/>
      <c r="D624" s="234" t="s">
        <v>4920</v>
      </c>
      <c r="E624" s="244" t="s">
        <v>3235</v>
      </c>
      <c r="F624" s="244" t="s">
        <v>4914</v>
      </c>
      <c r="G624" s="235"/>
      <c r="H624" s="236">
        <v>0.01</v>
      </c>
      <c r="I624" s="236">
        <v>0</v>
      </c>
      <c r="J624" s="233">
        <v>1</v>
      </c>
      <c r="K624" s="237"/>
      <c r="L624" s="235"/>
      <c r="M624" s="276"/>
      <c r="N624" s="279" t="s">
        <v>25</v>
      </c>
      <c r="O624" t="str">
        <f t="shared" si="10"/>
        <v>1974 Memorial Penny</v>
      </c>
      <c r="S624" t="str" cm="1">
        <f t="array" ref="S624">_xlfn.REGEXEXTRACT(E624, "[0-9]{1,5}")</f>
        <v>1974</v>
      </c>
      <c r="T624" t="s">
        <v>2504</v>
      </c>
      <c r="U624" t="s">
        <v>3896</v>
      </c>
    </row>
    <row r="625" spans="1:21">
      <c r="A625" s="136">
        <v>1</v>
      </c>
      <c r="B625" s="233">
        <v>1974</v>
      </c>
      <c r="C625" s="234"/>
      <c r="D625" s="234" t="s">
        <v>4920</v>
      </c>
      <c r="E625" s="244" t="s">
        <v>3236</v>
      </c>
      <c r="F625" s="244" t="s">
        <v>4914</v>
      </c>
      <c r="G625" s="235"/>
      <c r="H625" s="236">
        <v>0.01</v>
      </c>
      <c r="I625" s="236">
        <v>0</v>
      </c>
      <c r="J625" s="233">
        <v>1</v>
      </c>
      <c r="K625" s="237"/>
      <c r="L625" s="235"/>
      <c r="M625" s="276"/>
      <c r="N625" s="279" t="s">
        <v>25</v>
      </c>
      <c r="O625" t="str">
        <f t="shared" si="10"/>
        <v>1974 Memorial Penny</v>
      </c>
      <c r="S625" t="str" cm="1">
        <f t="array" ref="S625">_xlfn.REGEXEXTRACT(E625, "[0-9]{1,5}")</f>
        <v>1974</v>
      </c>
      <c r="T625" t="s">
        <v>2504</v>
      </c>
      <c r="U625" t="s">
        <v>3896</v>
      </c>
    </row>
    <row r="626" spans="1:21">
      <c r="A626" s="136">
        <v>1</v>
      </c>
      <c r="B626" s="233">
        <v>1974</v>
      </c>
      <c r="C626" s="234"/>
      <c r="D626" s="234" t="s">
        <v>4920</v>
      </c>
      <c r="E626" s="244" t="s">
        <v>3237</v>
      </c>
      <c r="F626" s="244" t="s">
        <v>4914</v>
      </c>
      <c r="G626" s="235"/>
      <c r="H626" s="236">
        <v>0.01</v>
      </c>
      <c r="I626" s="236">
        <v>0</v>
      </c>
      <c r="J626" s="233">
        <v>1</v>
      </c>
      <c r="K626" s="237"/>
      <c r="L626" s="235"/>
      <c r="M626" s="276"/>
      <c r="N626" s="279" t="s">
        <v>25</v>
      </c>
      <c r="O626" t="str">
        <f t="shared" si="10"/>
        <v>1974 Memorial Penny</v>
      </c>
      <c r="S626" t="str" cm="1">
        <f t="array" ref="S626">_xlfn.REGEXEXTRACT(E626, "[0-9]{1,5}")</f>
        <v>1974</v>
      </c>
      <c r="T626" t="s">
        <v>2504</v>
      </c>
      <c r="U626" t="s">
        <v>3896</v>
      </c>
    </row>
    <row r="627" spans="1:21">
      <c r="A627" s="136">
        <v>1</v>
      </c>
      <c r="B627" s="233">
        <v>1974</v>
      </c>
      <c r="C627" s="234" t="s">
        <v>13</v>
      </c>
      <c r="D627" s="234" t="s">
        <v>4920</v>
      </c>
      <c r="E627" s="244" t="s">
        <v>3238</v>
      </c>
      <c r="F627" s="244" t="s">
        <v>4914</v>
      </c>
      <c r="G627" s="235"/>
      <c r="H627" s="236">
        <v>0.01</v>
      </c>
      <c r="I627" s="236">
        <v>0</v>
      </c>
      <c r="J627" s="233">
        <v>1</v>
      </c>
      <c r="K627" s="237"/>
      <c r="L627" s="235"/>
      <c r="M627" s="276"/>
      <c r="N627" s="279" t="s">
        <v>25</v>
      </c>
      <c r="O627" t="str">
        <f t="shared" si="10"/>
        <v>1974-D Memorial Penny</v>
      </c>
      <c r="S627" t="str" cm="1">
        <f t="array" ref="S627">_xlfn.REGEXEXTRACT(E627, "[0-9]{1,5}")</f>
        <v>1974</v>
      </c>
      <c r="T627" t="s">
        <v>2504</v>
      </c>
      <c r="U627" t="s">
        <v>3896</v>
      </c>
    </row>
    <row r="628" spans="1:21">
      <c r="A628" s="136">
        <v>1</v>
      </c>
      <c r="B628" s="233">
        <v>1974</v>
      </c>
      <c r="C628" s="234" t="s">
        <v>13</v>
      </c>
      <c r="D628" s="234" t="s">
        <v>4920</v>
      </c>
      <c r="E628" s="244" t="s">
        <v>3239</v>
      </c>
      <c r="F628" s="244" t="s">
        <v>4914</v>
      </c>
      <c r="G628" s="235"/>
      <c r="H628" s="236">
        <v>0.01</v>
      </c>
      <c r="I628" s="236">
        <v>0</v>
      </c>
      <c r="J628" s="233">
        <v>1</v>
      </c>
      <c r="K628" s="237"/>
      <c r="L628" s="235"/>
      <c r="M628" s="276"/>
      <c r="N628" s="279" t="s">
        <v>25</v>
      </c>
      <c r="O628" t="str">
        <f t="shared" si="10"/>
        <v>1974-D Memorial Penny</v>
      </c>
      <c r="S628" t="str" cm="1">
        <f t="array" ref="S628">_xlfn.REGEXEXTRACT(E628, "[0-9]{1,5}")</f>
        <v>1974</v>
      </c>
      <c r="T628" t="s">
        <v>2504</v>
      </c>
      <c r="U628" t="s">
        <v>3896</v>
      </c>
    </row>
    <row r="629" spans="1:21">
      <c r="A629" s="136">
        <v>1</v>
      </c>
      <c r="B629" s="233">
        <v>1974</v>
      </c>
      <c r="C629" s="234" t="s">
        <v>13</v>
      </c>
      <c r="D629" s="234" t="s">
        <v>4920</v>
      </c>
      <c r="E629" s="244" t="s">
        <v>3240</v>
      </c>
      <c r="F629" s="244" t="s">
        <v>4914</v>
      </c>
      <c r="G629" s="235"/>
      <c r="H629" s="236">
        <v>0.01</v>
      </c>
      <c r="I629" s="236">
        <v>0</v>
      </c>
      <c r="J629" s="233">
        <v>1</v>
      </c>
      <c r="K629" s="237"/>
      <c r="L629" s="235"/>
      <c r="M629" s="276"/>
      <c r="N629" s="279" t="s">
        <v>25</v>
      </c>
      <c r="O629" t="str">
        <f t="shared" si="10"/>
        <v>1974-D Memorial Penny</v>
      </c>
      <c r="S629" t="str" cm="1">
        <f t="array" ref="S629">_xlfn.REGEXEXTRACT(E629, "[0-9]{1,5}")</f>
        <v>1974</v>
      </c>
      <c r="T629" t="s">
        <v>2504</v>
      </c>
      <c r="U629" t="s">
        <v>3896</v>
      </c>
    </row>
    <row r="630" spans="1:21">
      <c r="A630" s="136">
        <v>1</v>
      </c>
      <c r="B630" s="233">
        <v>1974</v>
      </c>
      <c r="C630" s="234" t="s">
        <v>12</v>
      </c>
      <c r="D630" s="234" t="s">
        <v>4920</v>
      </c>
      <c r="E630" s="244" t="s">
        <v>3241</v>
      </c>
      <c r="F630" s="244" t="s">
        <v>4914</v>
      </c>
      <c r="G630" s="235"/>
      <c r="H630" s="236">
        <v>0.01</v>
      </c>
      <c r="I630" s="236">
        <v>0.01</v>
      </c>
      <c r="J630" s="233">
        <v>1</v>
      </c>
      <c r="K630" s="237"/>
      <c r="L630" s="235"/>
      <c r="M630" s="276"/>
      <c r="N630" s="279" t="s">
        <v>25</v>
      </c>
      <c r="O630" t="str">
        <f t="shared" si="10"/>
        <v>1974-S Memorial Penny</v>
      </c>
      <c r="S630" t="str" cm="1">
        <f t="array" ref="S630">_xlfn.REGEXEXTRACT(E630, "[0-9]{1,5}")</f>
        <v>1974</v>
      </c>
      <c r="T630" t="s">
        <v>2504</v>
      </c>
      <c r="U630" t="s">
        <v>3896</v>
      </c>
    </row>
    <row r="631" spans="1:21">
      <c r="A631" s="136">
        <v>1</v>
      </c>
      <c r="B631" s="233">
        <v>1974</v>
      </c>
      <c r="C631" s="234" t="s">
        <v>12</v>
      </c>
      <c r="D631" s="234" t="s">
        <v>4920</v>
      </c>
      <c r="E631" s="244" t="s">
        <v>3242</v>
      </c>
      <c r="F631" s="244" t="s">
        <v>4914</v>
      </c>
      <c r="G631" s="235"/>
      <c r="H631" s="236">
        <v>0.01</v>
      </c>
      <c r="I631" s="236">
        <v>0.01</v>
      </c>
      <c r="J631" s="233">
        <v>1</v>
      </c>
      <c r="K631" s="237"/>
      <c r="L631" s="235"/>
      <c r="M631" s="276"/>
      <c r="N631" s="279" t="s">
        <v>25</v>
      </c>
      <c r="O631" t="str">
        <f t="shared" si="10"/>
        <v>1974-S Memorial Penny</v>
      </c>
      <c r="S631" t="str" cm="1">
        <f t="array" ref="S631">_xlfn.REGEXEXTRACT(E631, "[0-9]{1,5}")</f>
        <v>1974</v>
      </c>
      <c r="T631" t="s">
        <v>2504</v>
      </c>
      <c r="U631" t="s">
        <v>3896</v>
      </c>
    </row>
    <row r="632" spans="1:21">
      <c r="A632" s="136">
        <v>1</v>
      </c>
      <c r="B632" s="233">
        <v>1974</v>
      </c>
      <c r="C632" s="234" t="s">
        <v>12</v>
      </c>
      <c r="D632" s="234" t="s">
        <v>4920</v>
      </c>
      <c r="E632" s="244" t="s">
        <v>3243</v>
      </c>
      <c r="F632" s="244" t="s">
        <v>4914</v>
      </c>
      <c r="G632" s="235"/>
      <c r="H632" s="236">
        <v>0.01</v>
      </c>
      <c r="I632" s="236">
        <v>0.01</v>
      </c>
      <c r="J632" s="233">
        <v>1</v>
      </c>
      <c r="K632" s="237"/>
      <c r="L632" s="235"/>
      <c r="M632" s="276"/>
      <c r="N632" s="279" t="s">
        <v>25</v>
      </c>
      <c r="O632" t="str">
        <f t="shared" si="10"/>
        <v>1974-S Memorial Penny</v>
      </c>
      <c r="S632" t="str" cm="1">
        <f t="array" ref="S632">_xlfn.REGEXEXTRACT(E632, "[0-9]{1,5}")</f>
        <v>1974</v>
      </c>
      <c r="T632" t="s">
        <v>2504</v>
      </c>
      <c r="U632" t="s">
        <v>3896</v>
      </c>
    </row>
    <row r="633" spans="1:21">
      <c r="A633" s="136">
        <v>1</v>
      </c>
      <c r="B633" s="233">
        <v>1974</v>
      </c>
      <c r="C633" s="234" t="s">
        <v>12</v>
      </c>
      <c r="D633" s="234" t="s">
        <v>4920</v>
      </c>
      <c r="E633" s="244" t="s">
        <v>3244</v>
      </c>
      <c r="F633" s="244" t="s">
        <v>4914</v>
      </c>
      <c r="G633" s="235" t="s">
        <v>2587</v>
      </c>
      <c r="H633" s="236">
        <v>0.03</v>
      </c>
      <c r="I633" s="236">
        <v>0.03</v>
      </c>
      <c r="J633" s="233">
        <v>3</v>
      </c>
      <c r="K633" s="237"/>
      <c r="L633" s="235"/>
      <c r="M633" s="276"/>
      <c r="N633" s="279" t="s">
        <v>25</v>
      </c>
      <c r="O633" t="str">
        <f t="shared" si="10"/>
        <v>1974-S Memorial Penny</v>
      </c>
      <c r="S633" t="str" cm="1">
        <f t="array" ref="S633">_xlfn.REGEXEXTRACT(E633, "[0-9]{1,5}")</f>
        <v>1974</v>
      </c>
      <c r="T633" t="s">
        <v>2504</v>
      </c>
      <c r="U633" t="s">
        <v>3896</v>
      </c>
    </row>
    <row r="634" spans="1:21">
      <c r="A634" s="136">
        <v>1</v>
      </c>
      <c r="B634" s="233">
        <v>1974</v>
      </c>
      <c r="C634" s="234" t="s">
        <v>12</v>
      </c>
      <c r="D634" s="234" t="s">
        <v>4920</v>
      </c>
      <c r="E634" s="244" t="s">
        <v>3245</v>
      </c>
      <c r="F634" s="244" t="s">
        <v>4914</v>
      </c>
      <c r="G634" s="235" t="s">
        <v>2587</v>
      </c>
      <c r="H634" s="236">
        <v>0.03</v>
      </c>
      <c r="I634" s="236">
        <v>0.03</v>
      </c>
      <c r="J634" s="233">
        <v>3</v>
      </c>
      <c r="K634" s="237"/>
      <c r="L634" s="235"/>
      <c r="M634" s="276"/>
      <c r="N634" s="279" t="s">
        <v>25</v>
      </c>
      <c r="O634" t="str">
        <f t="shared" si="10"/>
        <v>1974-S Memorial Penny</v>
      </c>
      <c r="S634" t="str" cm="1">
        <f t="array" ref="S634">_xlfn.REGEXEXTRACT(E634, "[0-9]{1,5}")</f>
        <v>1974</v>
      </c>
      <c r="T634" t="s">
        <v>2504</v>
      </c>
      <c r="U634" t="s">
        <v>3896</v>
      </c>
    </row>
    <row r="635" spans="1:21">
      <c r="A635" s="136">
        <v>1</v>
      </c>
      <c r="B635" s="233">
        <v>1974</v>
      </c>
      <c r="C635" s="234"/>
      <c r="D635" s="234" t="s">
        <v>4920</v>
      </c>
      <c r="E635" s="244" t="s">
        <v>3246</v>
      </c>
      <c r="F635" s="244" t="s">
        <v>4914</v>
      </c>
      <c r="G635" s="235" t="s">
        <v>2587</v>
      </c>
      <c r="H635" s="236">
        <v>0.01</v>
      </c>
      <c r="I635" s="236">
        <v>0.01</v>
      </c>
      <c r="J635" s="233">
        <v>1</v>
      </c>
      <c r="K635" s="237"/>
      <c r="L635" s="235"/>
      <c r="M635" s="276"/>
      <c r="N635" s="279" t="s">
        <v>25</v>
      </c>
      <c r="O635" t="str">
        <f t="shared" si="10"/>
        <v>1974 Memorial Penny</v>
      </c>
      <c r="S635" t="str" cm="1">
        <f t="array" ref="S635">_xlfn.REGEXEXTRACT(E635, "[0-9]{1,5}")</f>
        <v>1974</v>
      </c>
      <c r="T635" t="s">
        <v>2504</v>
      </c>
      <c r="U635" t="s">
        <v>3896</v>
      </c>
    </row>
    <row r="636" spans="1:21">
      <c r="A636" s="136">
        <v>1</v>
      </c>
      <c r="B636" s="233">
        <v>1975</v>
      </c>
      <c r="C636" s="234"/>
      <c r="D636" s="234" t="s">
        <v>4920</v>
      </c>
      <c r="E636" s="244" t="s">
        <v>3247</v>
      </c>
      <c r="F636" s="244" t="s">
        <v>4914</v>
      </c>
      <c r="G636" s="235"/>
      <c r="H636" s="236">
        <v>0.01</v>
      </c>
      <c r="I636" s="236">
        <v>0</v>
      </c>
      <c r="J636" s="233">
        <v>1</v>
      </c>
      <c r="K636" s="237"/>
      <c r="L636" s="235"/>
      <c r="M636" s="276"/>
      <c r="N636" s="279" t="s">
        <v>25</v>
      </c>
      <c r="O636" t="str">
        <f t="shared" si="10"/>
        <v>1975 Memorial Penny</v>
      </c>
      <c r="S636" t="str" cm="1">
        <f t="array" ref="S636">_xlfn.REGEXEXTRACT(E636, "[0-9]{1,5}")</f>
        <v>1975</v>
      </c>
      <c r="T636" t="s">
        <v>2506</v>
      </c>
      <c r="U636" t="s">
        <v>3896</v>
      </c>
    </row>
    <row r="637" spans="1:21">
      <c r="A637" s="136">
        <v>1</v>
      </c>
      <c r="B637" s="233">
        <v>1975</v>
      </c>
      <c r="C637" s="234"/>
      <c r="D637" s="234" t="s">
        <v>4920</v>
      </c>
      <c r="E637" s="244" t="s">
        <v>3248</v>
      </c>
      <c r="F637" s="244" t="s">
        <v>4914</v>
      </c>
      <c r="G637" s="235"/>
      <c r="H637" s="236">
        <v>0.01</v>
      </c>
      <c r="I637" s="236">
        <v>0</v>
      </c>
      <c r="J637" s="233">
        <v>1</v>
      </c>
      <c r="K637" s="237"/>
      <c r="L637" s="235"/>
      <c r="M637" s="276"/>
      <c r="N637" s="279" t="s">
        <v>25</v>
      </c>
      <c r="O637" t="str">
        <f t="shared" si="10"/>
        <v>1975 Memorial Penny</v>
      </c>
      <c r="S637" t="str" cm="1">
        <f t="array" ref="S637">_xlfn.REGEXEXTRACT(E637, "[0-9]{1,5}")</f>
        <v>1975</v>
      </c>
      <c r="T637" t="s">
        <v>2506</v>
      </c>
      <c r="U637" t="s">
        <v>3896</v>
      </c>
    </row>
    <row r="638" spans="1:21">
      <c r="A638" s="136">
        <v>1</v>
      </c>
      <c r="B638" s="233">
        <v>1975</v>
      </c>
      <c r="C638" s="234"/>
      <c r="D638" s="234" t="s">
        <v>4920</v>
      </c>
      <c r="E638" s="244" t="s">
        <v>3249</v>
      </c>
      <c r="F638" s="244" t="s">
        <v>4914</v>
      </c>
      <c r="G638" s="235"/>
      <c r="H638" s="236">
        <v>0.01</v>
      </c>
      <c r="I638" s="236">
        <v>0</v>
      </c>
      <c r="J638" s="233">
        <v>1</v>
      </c>
      <c r="K638" s="237"/>
      <c r="L638" s="235"/>
      <c r="M638" s="276"/>
      <c r="N638" s="279" t="s">
        <v>25</v>
      </c>
      <c r="O638" t="str">
        <f t="shared" si="10"/>
        <v>1975 Memorial Penny</v>
      </c>
      <c r="S638" t="str" cm="1">
        <f t="array" ref="S638">_xlfn.REGEXEXTRACT(E638, "[0-9]{1,5}")</f>
        <v>1975</v>
      </c>
      <c r="T638" t="s">
        <v>2506</v>
      </c>
      <c r="U638" t="s">
        <v>3896</v>
      </c>
    </row>
    <row r="639" spans="1:21">
      <c r="A639" s="136">
        <v>1</v>
      </c>
      <c r="B639" s="233">
        <v>1975</v>
      </c>
      <c r="C639" s="234"/>
      <c r="D639" s="234" t="s">
        <v>4920</v>
      </c>
      <c r="E639" s="244" t="s">
        <v>3250</v>
      </c>
      <c r="F639" s="244" t="s">
        <v>4914</v>
      </c>
      <c r="G639" s="235"/>
      <c r="H639" s="236">
        <v>0.01</v>
      </c>
      <c r="I639" s="236">
        <v>0</v>
      </c>
      <c r="J639" s="233">
        <v>1</v>
      </c>
      <c r="K639" s="237"/>
      <c r="L639" s="235"/>
      <c r="M639" s="276"/>
      <c r="N639" s="279" t="s">
        <v>25</v>
      </c>
      <c r="O639" t="str">
        <f t="shared" si="10"/>
        <v>1975 Memorial Penny</v>
      </c>
      <c r="S639" t="str" cm="1">
        <f t="array" ref="S639">_xlfn.REGEXEXTRACT(E639, "[0-9]{1,5}")</f>
        <v>1975</v>
      </c>
      <c r="T639" t="s">
        <v>2506</v>
      </c>
      <c r="U639" t="s">
        <v>3896</v>
      </c>
    </row>
    <row r="640" spans="1:21">
      <c r="A640" s="136">
        <v>1</v>
      </c>
      <c r="B640" s="233">
        <v>1975</v>
      </c>
      <c r="C640" s="234"/>
      <c r="D640" s="234" t="s">
        <v>4920</v>
      </c>
      <c r="E640" s="244" t="s">
        <v>3251</v>
      </c>
      <c r="F640" s="244" t="s">
        <v>4914</v>
      </c>
      <c r="G640" s="235"/>
      <c r="H640" s="236">
        <v>0.01</v>
      </c>
      <c r="I640" s="236">
        <v>0</v>
      </c>
      <c r="J640" s="233">
        <v>1</v>
      </c>
      <c r="K640" s="237"/>
      <c r="L640" s="235"/>
      <c r="M640" s="276"/>
      <c r="N640" s="279" t="s">
        <v>25</v>
      </c>
      <c r="O640" t="str">
        <f t="shared" si="10"/>
        <v>1975 Memorial Penny</v>
      </c>
      <c r="S640" t="str" cm="1">
        <f t="array" ref="S640">_xlfn.REGEXEXTRACT(E640, "[0-9]{1,5}")</f>
        <v>1975</v>
      </c>
      <c r="T640" t="s">
        <v>2506</v>
      </c>
      <c r="U640" t="s">
        <v>3896</v>
      </c>
    </row>
    <row r="641" spans="1:21">
      <c r="A641" s="136">
        <v>1</v>
      </c>
      <c r="B641" s="233">
        <v>1975</v>
      </c>
      <c r="C641" s="234" t="s">
        <v>13</v>
      </c>
      <c r="D641" s="234" t="s">
        <v>4920</v>
      </c>
      <c r="E641" s="244" t="s">
        <v>3252</v>
      </c>
      <c r="F641" s="244" t="s">
        <v>4914</v>
      </c>
      <c r="G641" s="235"/>
      <c r="H641" s="236">
        <v>0.01</v>
      </c>
      <c r="I641" s="236">
        <v>0</v>
      </c>
      <c r="J641" s="233">
        <v>1</v>
      </c>
      <c r="K641" s="237"/>
      <c r="L641" s="235"/>
      <c r="M641" s="276"/>
      <c r="N641" s="279" t="s">
        <v>25</v>
      </c>
      <c r="O641" t="str">
        <f t="shared" si="10"/>
        <v>1975-D Memorial Penny</v>
      </c>
      <c r="S641" t="str" cm="1">
        <f t="array" ref="S641">_xlfn.REGEXEXTRACT(E641, "[0-9]{1,5}")</f>
        <v>1975</v>
      </c>
      <c r="T641" t="s">
        <v>2506</v>
      </c>
      <c r="U641" t="s">
        <v>3896</v>
      </c>
    </row>
    <row r="642" spans="1:21">
      <c r="A642" s="136">
        <v>1</v>
      </c>
      <c r="B642" s="233">
        <v>1975</v>
      </c>
      <c r="C642" s="234" t="s">
        <v>13</v>
      </c>
      <c r="D642" s="234" t="s">
        <v>4920</v>
      </c>
      <c r="E642" s="244" t="s">
        <v>3253</v>
      </c>
      <c r="F642" s="244" t="s">
        <v>4914</v>
      </c>
      <c r="G642" s="235"/>
      <c r="H642" s="236">
        <v>0.01</v>
      </c>
      <c r="I642" s="236">
        <v>0</v>
      </c>
      <c r="J642" s="233">
        <v>1</v>
      </c>
      <c r="K642" s="237"/>
      <c r="L642" s="235"/>
      <c r="M642" s="276"/>
      <c r="N642" s="279" t="s">
        <v>25</v>
      </c>
      <c r="O642" t="str">
        <f t="shared" si="10"/>
        <v>1975-D Memorial Penny</v>
      </c>
      <c r="S642" t="str" cm="1">
        <f t="array" ref="S642">_xlfn.REGEXEXTRACT(E642, "[0-9]{1,5}")</f>
        <v>1975</v>
      </c>
      <c r="T642" t="s">
        <v>2506</v>
      </c>
      <c r="U642" t="s">
        <v>3896</v>
      </c>
    </row>
    <row r="643" spans="1:21">
      <c r="A643" s="136">
        <v>1</v>
      </c>
      <c r="B643" s="233">
        <v>1975</v>
      </c>
      <c r="C643" s="234" t="s">
        <v>13</v>
      </c>
      <c r="D643" s="234" t="s">
        <v>4920</v>
      </c>
      <c r="E643" s="244" t="s">
        <v>3254</v>
      </c>
      <c r="F643" s="244" t="s">
        <v>4914</v>
      </c>
      <c r="G643" s="235"/>
      <c r="H643" s="236"/>
      <c r="I643" s="236"/>
      <c r="J643" s="233"/>
      <c r="K643" s="237"/>
      <c r="L643" s="235"/>
      <c r="M643" s="276"/>
      <c r="N643" s="279"/>
      <c r="O643" t="str">
        <f t="shared" si="10"/>
        <v>1975-D Memorial Penny</v>
      </c>
      <c r="S643" t="str" cm="1">
        <f t="array" ref="S643">_xlfn.REGEXEXTRACT(E643, "[0-9]{1,5}")</f>
        <v>1975</v>
      </c>
      <c r="T643" t="s">
        <v>2506</v>
      </c>
      <c r="U643" t="s">
        <v>3896</v>
      </c>
    </row>
    <row r="644" spans="1:21">
      <c r="A644" s="136">
        <v>1</v>
      </c>
      <c r="B644" s="233">
        <v>1975</v>
      </c>
      <c r="C644" s="234" t="s">
        <v>13</v>
      </c>
      <c r="D644" s="234" t="s">
        <v>4920</v>
      </c>
      <c r="E644" s="244" t="s">
        <v>3255</v>
      </c>
      <c r="F644" s="244" t="s">
        <v>4914</v>
      </c>
      <c r="G644" s="235"/>
      <c r="H644" s="236">
        <v>0.01</v>
      </c>
      <c r="I644" s="236">
        <v>0</v>
      </c>
      <c r="J644" s="233">
        <v>1</v>
      </c>
      <c r="K644" s="237"/>
      <c r="L644" s="235"/>
      <c r="M644" s="276"/>
      <c r="N644" s="279" t="s">
        <v>25</v>
      </c>
      <c r="O644" t="str">
        <f t="shared" ref="O644:O707" si="11">IF(C644&lt;&gt;"",B644&amp;"-"&amp;C644&amp;" "&amp;F644,B644&amp;" "&amp;F644)</f>
        <v>1975-D Memorial Penny</v>
      </c>
      <c r="S644" t="str" cm="1">
        <f t="array" ref="S644">_xlfn.REGEXEXTRACT(E644, "[0-9]{1,5}")</f>
        <v>1975</v>
      </c>
      <c r="T644" t="s">
        <v>2506</v>
      </c>
      <c r="U644" t="s">
        <v>3896</v>
      </c>
    </row>
    <row r="645" spans="1:21">
      <c r="A645" s="136">
        <v>1</v>
      </c>
      <c r="B645" s="233">
        <v>1975</v>
      </c>
      <c r="C645" s="234" t="s">
        <v>13</v>
      </c>
      <c r="D645" s="234" t="s">
        <v>4920</v>
      </c>
      <c r="E645" s="244" t="s">
        <v>3256</v>
      </c>
      <c r="F645" s="244" t="s">
        <v>4914</v>
      </c>
      <c r="G645" s="235"/>
      <c r="H645" s="236">
        <v>0.01</v>
      </c>
      <c r="I645" s="236">
        <v>0</v>
      </c>
      <c r="J645" s="233">
        <v>1</v>
      </c>
      <c r="K645" s="237"/>
      <c r="L645" s="235"/>
      <c r="M645" s="276"/>
      <c r="N645" s="279" t="s">
        <v>25</v>
      </c>
      <c r="O645" t="str">
        <f t="shared" si="11"/>
        <v>1975-D Memorial Penny</v>
      </c>
      <c r="S645" t="str" cm="1">
        <f t="array" ref="S645">_xlfn.REGEXEXTRACT(E645, "[0-9]{1,5}")</f>
        <v>1975</v>
      </c>
      <c r="T645" t="s">
        <v>2506</v>
      </c>
      <c r="U645" t="s">
        <v>3896</v>
      </c>
    </row>
    <row r="646" spans="1:21">
      <c r="A646" s="136">
        <v>1</v>
      </c>
      <c r="B646" s="233">
        <v>1975</v>
      </c>
      <c r="C646" s="234" t="s">
        <v>12</v>
      </c>
      <c r="D646" s="234" t="s">
        <v>4920</v>
      </c>
      <c r="E646" s="244" t="s">
        <v>3257</v>
      </c>
      <c r="F646" s="244" t="s">
        <v>5207</v>
      </c>
      <c r="G646" s="235" t="s">
        <v>2584</v>
      </c>
      <c r="H646" s="236">
        <v>1.5</v>
      </c>
      <c r="I646" s="236">
        <v>0.01</v>
      </c>
      <c r="J646" s="233">
        <v>1</v>
      </c>
      <c r="K646" s="237"/>
      <c r="L646" s="235"/>
      <c r="M646" s="276"/>
      <c r="N646" s="279" t="s">
        <v>25</v>
      </c>
      <c r="O646" t="str">
        <f t="shared" si="11"/>
        <v>1975-S Memorial Penny Proof</v>
      </c>
      <c r="S646" t="str" cm="1">
        <f t="array" ref="S646">_xlfn.REGEXEXTRACT(E646, "[0-9]{1,5}")</f>
        <v>1975</v>
      </c>
      <c r="T646" t="s">
        <v>2506</v>
      </c>
      <c r="U646" t="s">
        <v>3896</v>
      </c>
    </row>
    <row r="647" spans="1:21">
      <c r="A647" s="136">
        <v>1</v>
      </c>
      <c r="B647" s="233">
        <v>1975</v>
      </c>
      <c r="C647" s="234" t="s">
        <v>12</v>
      </c>
      <c r="D647" s="234" t="s">
        <v>4920</v>
      </c>
      <c r="E647" s="244" t="s">
        <v>3258</v>
      </c>
      <c r="F647" s="244" t="s">
        <v>5207</v>
      </c>
      <c r="G647" s="235" t="s">
        <v>2584</v>
      </c>
      <c r="H647" s="236">
        <v>2.25</v>
      </c>
      <c r="I647" s="236">
        <v>3.98</v>
      </c>
      <c r="J647" s="233">
        <v>1</v>
      </c>
      <c r="K647" s="237"/>
      <c r="L647" s="235"/>
      <c r="M647" s="276"/>
      <c r="N647" s="279" t="s">
        <v>25</v>
      </c>
      <c r="O647" t="str">
        <f t="shared" si="11"/>
        <v>1975-S Memorial Penny Proof</v>
      </c>
      <c r="S647" t="str" cm="1">
        <f t="array" ref="S647">_xlfn.REGEXEXTRACT(E647, "[0-9]{1,5}")</f>
        <v>1975</v>
      </c>
      <c r="T647" t="s">
        <v>2506</v>
      </c>
      <c r="U647" t="s">
        <v>3896</v>
      </c>
    </row>
    <row r="648" spans="1:21">
      <c r="A648" s="136">
        <v>1</v>
      </c>
      <c r="B648" s="233">
        <v>1976</v>
      </c>
      <c r="C648" s="234"/>
      <c r="D648" s="234" t="s">
        <v>4920</v>
      </c>
      <c r="E648" s="244" t="s">
        <v>3259</v>
      </c>
      <c r="F648" s="244" t="s">
        <v>4914</v>
      </c>
      <c r="G648" s="235"/>
      <c r="H648" s="236">
        <v>0.01</v>
      </c>
      <c r="I648" s="236">
        <v>0</v>
      </c>
      <c r="J648" s="233">
        <v>1</v>
      </c>
      <c r="K648" s="237"/>
      <c r="L648" s="235"/>
      <c r="M648" s="276"/>
      <c r="N648" s="279" t="s">
        <v>25</v>
      </c>
      <c r="O648" t="str">
        <f t="shared" si="11"/>
        <v>1976 Memorial Penny</v>
      </c>
      <c r="S648" t="str" cm="1">
        <f t="array" ref="S648">_xlfn.REGEXEXTRACT(E648, "[0-9]{1,5}")</f>
        <v>1976</v>
      </c>
      <c r="T648" t="s">
        <v>2508</v>
      </c>
      <c r="U648" t="s">
        <v>3896</v>
      </c>
    </row>
    <row r="649" spans="1:21">
      <c r="A649" s="136">
        <v>1</v>
      </c>
      <c r="B649" s="233">
        <v>1976</v>
      </c>
      <c r="C649" s="234"/>
      <c r="D649" s="234" t="s">
        <v>4920</v>
      </c>
      <c r="E649" s="244" t="s">
        <v>3260</v>
      </c>
      <c r="F649" s="244" t="s">
        <v>4914</v>
      </c>
      <c r="G649" s="235"/>
      <c r="H649" s="236">
        <v>0.01</v>
      </c>
      <c r="I649" s="236">
        <v>0</v>
      </c>
      <c r="J649" s="233">
        <v>1</v>
      </c>
      <c r="K649" s="237"/>
      <c r="L649" s="235"/>
      <c r="M649" s="276"/>
      <c r="N649" s="279" t="s">
        <v>25</v>
      </c>
      <c r="O649" t="str">
        <f t="shared" si="11"/>
        <v>1976 Memorial Penny</v>
      </c>
      <c r="S649" t="str" cm="1">
        <f t="array" ref="S649">_xlfn.REGEXEXTRACT(E649, "[0-9]{1,5}")</f>
        <v>1976</v>
      </c>
      <c r="T649" t="s">
        <v>2508</v>
      </c>
      <c r="U649" t="s">
        <v>3896</v>
      </c>
    </row>
    <row r="650" spans="1:21">
      <c r="A650" s="136">
        <v>1</v>
      </c>
      <c r="B650" s="233">
        <v>1976</v>
      </c>
      <c r="C650" s="234"/>
      <c r="D650" s="234" t="s">
        <v>4920</v>
      </c>
      <c r="E650" s="244" t="s">
        <v>3261</v>
      </c>
      <c r="F650" s="244" t="s">
        <v>4914</v>
      </c>
      <c r="G650" s="235"/>
      <c r="H650" s="236">
        <v>0.01</v>
      </c>
      <c r="I650" s="236">
        <v>0</v>
      </c>
      <c r="J650" s="233">
        <v>1</v>
      </c>
      <c r="K650" s="237"/>
      <c r="L650" s="235"/>
      <c r="M650" s="276"/>
      <c r="N650" s="279" t="s">
        <v>25</v>
      </c>
      <c r="O650" t="str">
        <f t="shared" si="11"/>
        <v>1976 Memorial Penny</v>
      </c>
      <c r="S650" t="str" cm="1">
        <f t="array" ref="S650">_xlfn.REGEXEXTRACT(E650, "[0-9]{1,5}")</f>
        <v>1976</v>
      </c>
      <c r="T650" t="s">
        <v>2508</v>
      </c>
      <c r="U650" t="s">
        <v>3896</v>
      </c>
    </row>
    <row r="651" spans="1:21">
      <c r="A651" s="136">
        <v>1</v>
      </c>
      <c r="B651" s="233">
        <v>1976</v>
      </c>
      <c r="C651" s="234"/>
      <c r="D651" s="234" t="s">
        <v>4920</v>
      </c>
      <c r="E651" s="244" t="s">
        <v>3262</v>
      </c>
      <c r="F651" s="244" t="s">
        <v>4914</v>
      </c>
      <c r="G651" s="235"/>
      <c r="H651" s="236">
        <v>0.01</v>
      </c>
      <c r="I651" s="236">
        <v>0</v>
      </c>
      <c r="J651" s="233">
        <v>1</v>
      </c>
      <c r="K651" s="237"/>
      <c r="L651" s="235"/>
      <c r="M651" s="276"/>
      <c r="N651" s="279" t="s">
        <v>25</v>
      </c>
      <c r="O651" t="str">
        <f t="shared" si="11"/>
        <v>1976 Memorial Penny</v>
      </c>
      <c r="S651" t="str" cm="1">
        <f t="array" ref="S651">_xlfn.REGEXEXTRACT(E651, "[0-9]{1,5}")</f>
        <v>1976</v>
      </c>
      <c r="T651" t="s">
        <v>2508</v>
      </c>
      <c r="U651" t="s">
        <v>3896</v>
      </c>
    </row>
    <row r="652" spans="1:21">
      <c r="A652" s="136">
        <v>1</v>
      </c>
      <c r="B652" s="233">
        <v>1976</v>
      </c>
      <c r="C652" s="234" t="s">
        <v>13</v>
      </c>
      <c r="D652" s="234" t="s">
        <v>4920</v>
      </c>
      <c r="E652" s="244" t="s">
        <v>3263</v>
      </c>
      <c r="F652" s="244" t="s">
        <v>4914</v>
      </c>
      <c r="G652" s="235"/>
      <c r="H652" s="236">
        <v>0.01</v>
      </c>
      <c r="I652" s="236">
        <v>0</v>
      </c>
      <c r="J652" s="233">
        <v>1</v>
      </c>
      <c r="K652" s="237"/>
      <c r="L652" s="235"/>
      <c r="M652" s="276"/>
      <c r="N652" s="279" t="s">
        <v>25</v>
      </c>
      <c r="O652" t="str">
        <f t="shared" si="11"/>
        <v>1976-D Memorial Penny</v>
      </c>
      <c r="S652" t="str" cm="1">
        <f t="array" ref="S652">_xlfn.REGEXEXTRACT(E652, "[0-9]{1,5}")</f>
        <v>1976</v>
      </c>
      <c r="T652" t="s">
        <v>2508</v>
      </c>
      <c r="U652" t="s">
        <v>3896</v>
      </c>
    </row>
    <row r="653" spans="1:21">
      <c r="A653" s="136">
        <v>1</v>
      </c>
      <c r="B653" s="233">
        <v>1976</v>
      </c>
      <c r="C653" s="234" t="s">
        <v>13</v>
      </c>
      <c r="D653" s="234" t="s">
        <v>4920</v>
      </c>
      <c r="E653" s="244" t="s">
        <v>3264</v>
      </c>
      <c r="F653" s="244" t="s">
        <v>4914</v>
      </c>
      <c r="G653" s="235"/>
      <c r="H653" s="236">
        <v>0.01</v>
      </c>
      <c r="I653" s="236">
        <v>0</v>
      </c>
      <c r="J653" s="233">
        <v>1</v>
      </c>
      <c r="K653" s="237"/>
      <c r="L653" s="235"/>
      <c r="M653" s="276"/>
      <c r="N653" s="279" t="s">
        <v>25</v>
      </c>
      <c r="O653" t="str">
        <f t="shared" si="11"/>
        <v>1976-D Memorial Penny</v>
      </c>
      <c r="S653" t="str" cm="1">
        <f t="array" ref="S653">_xlfn.REGEXEXTRACT(E653, "[0-9]{1,5}")</f>
        <v>1976</v>
      </c>
      <c r="T653" t="s">
        <v>2508</v>
      </c>
      <c r="U653" t="s">
        <v>3896</v>
      </c>
    </row>
    <row r="654" spans="1:21">
      <c r="A654" s="136">
        <v>1</v>
      </c>
      <c r="B654" s="233">
        <v>1976</v>
      </c>
      <c r="C654" s="234" t="s">
        <v>13</v>
      </c>
      <c r="D654" s="234" t="s">
        <v>4920</v>
      </c>
      <c r="E654" s="244" t="s">
        <v>3265</v>
      </c>
      <c r="F654" s="244" t="s">
        <v>4914</v>
      </c>
      <c r="G654" s="235"/>
      <c r="H654" s="236">
        <v>0.01</v>
      </c>
      <c r="I654" s="236">
        <v>0</v>
      </c>
      <c r="J654" s="233">
        <v>1</v>
      </c>
      <c r="K654" s="237"/>
      <c r="L654" s="235"/>
      <c r="M654" s="276"/>
      <c r="N654" s="279" t="s">
        <v>25</v>
      </c>
      <c r="O654" t="str">
        <f t="shared" si="11"/>
        <v>1976-D Memorial Penny</v>
      </c>
      <c r="S654" t="str" cm="1">
        <f t="array" ref="S654">_xlfn.REGEXEXTRACT(E654, "[0-9]{1,5}")</f>
        <v>1976</v>
      </c>
      <c r="T654" t="s">
        <v>2508</v>
      </c>
      <c r="U654" t="s">
        <v>3896</v>
      </c>
    </row>
    <row r="655" spans="1:21">
      <c r="A655" s="136">
        <v>1</v>
      </c>
      <c r="B655" s="233">
        <v>1976</v>
      </c>
      <c r="C655" s="234"/>
      <c r="D655" s="234" t="s">
        <v>4920</v>
      </c>
      <c r="E655" s="244" t="s">
        <v>3266</v>
      </c>
      <c r="F655" s="244" t="s">
        <v>4914</v>
      </c>
      <c r="G655" s="235"/>
      <c r="H655" s="236">
        <v>0.01</v>
      </c>
      <c r="I655" s="236">
        <v>0</v>
      </c>
      <c r="J655" s="233">
        <v>1</v>
      </c>
      <c r="K655" s="237"/>
      <c r="L655" s="235"/>
      <c r="M655" s="276"/>
      <c r="N655" s="279" t="s">
        <v>25</v>
      </c>
      <c r="O655" t="str">
        <f t="shared" si="11"/>
        <v>1976 Memorial Penny</v>
      </c>
      <c r="S655" t="str" cm="1">
        <f t="array" ref="S655">_xlfn.REGEXEXTRACT(E655, "[0-9]{1,5}")</f>
        <v>1976</v>
      </c>
      <c r="T655" t="s">
        <v>2508</v>
      </c>
      <c r="U655" t="s">
        <v>3896</v>
      </c>
    </row>
    <row r="656" spans="1:21">
      <c r="A656" s="136">
        <v>1</v>
      </c>
      <c r="B656" s="233">
        <v>1976</v>
      </c>
      <c r="C656" s="234" t="s">
        <v>12</v>
      </c>
      <c r="D656" s="234" t="s">
        <v>4920</v>
      </c>
      <c r="E656" s="244" t="s">
        <v>3267</v>
      </c>
      <c r="F656" s="244" t="s">
        <v>5207</v>
      </c>
      <c r="G656" s="235" t="s">
        <v>2584</v>
      </c>
      <c r="H656" s="236">
        <v>0.5</v>
      </c>
      <c r="I656" s="236">
        <v>0.01</v>
      </c>
      <c r="J656" s="233">
        <v>1</v>
      </c>
      <c r="K656" s="237"/>
      <c r="L656" s="235"/>
      <c r="M656" s="276"/>
      <c r="N656" s="279" t="s">
        <v>25</v>
      </c>
      <c r="O656" t="str">
        <f t="shared" si="11"/>
        <v>1976-S Memorial Penny Proof</v>
      </c>
      <c r="S656" t="str" cm="1">
        <f t="array" ref="S656">_xlfn.REGEXEXTRACT(E656, "[0-9]{1,5}")</f>
        <v>1976</v>
      </c>
      <c r="T656" t="s">
        <v>2508</v>
      </c>
      <c r="U656" t="s">
        <v>3896</v>
      </c>
    </row>
    <row r="657" spans="1:21">
      <c r="A657" s="136">
        <v>1</v>
      </c>
      <c r="B657" s="233">
        <v>1976</v>
      </c>
      <c r="C657" s="234"/>
      <c r="D657" s="234" t="s">
        <v>4920</v>
      </c>
      <c r="E657" s="244" t="s">
        <v>3268</v>
      </c>
      <c r="F657" s="244" t="s">
        <v>4914</v>
      </c>
      <c r="G657" s="235" t="s">
        <v>2579</v>
      </c>
      <c r="H657" s="236">
        <v>0.01</v>
      </c>
      <c r="I657" s="236">
        <v>0.01</v>
      </c>
      <c r="J657" s="233">
        <v>1</v>
      </c>
      <c r="K657" s="237"/>
      <c r="L657" s="235"/>
      <c r="M657" s="276"/>
      <c r="N657" s="279" t="s">
        <v>25</v>
      </c>
      <c r="O657" t="str">
        <f t="shared" si="11"/>
        <v>1976 Memorial Penny</v>
      </c>
      <c r="S657" t="str" cm="1">
        <f t="array" ref="S657">_xlfn.REGEXEXTRACT(E657, "[0-9]{1,5}")</f>
        <v>1976</v>
      </c>
      <c r="T657" t="s">
        <v>2508</v>
      </c>
      <c r="U657" t="s">
        <v>3896</v>
      </c>
    </row>
    <row r="658" spans="1:21">
      <c r="A658" s="136">
        <v>1</v>
      </c>
      <c r="B658" s="233">
        <v>1976</v>
      </c>
      <c r="C658" s="234" t="s">
        <v>12</v>
      </c>
      <c r="D658" s="234" t="s">
        <v>4920</v>
      </c>
      <c r="E658" s="244" t="s">
        <v>3269</v>
      </c>
      <c r="F658" s="244" t="s">
        <v>5207</v>
      </c>
      <c r="G658" s="235" t="s">
        <v>2584</v>
      </c>
      <c r="H658" s="236">
        <v>1.5</v>
      </c>
      <c r="I658" s="236">
        <v>3.6</v>
      </c>
      <c r="J658" s="233">
        <v>1</v>
      </c>
      <c r="K658" s="237"/>
      <c r="L658" s="235"/>
      <c r="M658" s="276"/>
      <c r="N658" s="279" t="s">
        <v>25</v>
      </c>
      <c r="O658" t="str">
        <f t="shared" si="11"/>
        <v>1976-S Memorial Penny Proof</v>
      </c>
      <c r="S658" t="str" cm="1">
        <f t="array" ref="S658">_xlfn.REGEXEXTRACT(E658, "[0-9]{1,5}")</f>
        <v>1976</v>
      </c>
      <c r="T658" t="s">
        <v>2508</v>
      </c>
      <c r="U658" t="s">
        <v>3896</v>
      </c>
    </row>
    <row r="659" spans="1:21">
      <c r="A659" s="136">
        <v>1</v>
      </c>
      <c r="B659" s="233">
        <v>1977</v>
      </c>
      <c r="C659" s="234"/>
      <c r="D659" s="234" t="s">
        <v>4920</v>
      </c>
      <c r="E659" s="244" t="s">
        <v>3270</v>
      </c>
      <c r="F659" s="244" t="s">
        <v>4914</v>
      </c>
      <c r="G659" s="235" t="s">
        <v>2579</v>
      </c>
      <c r="H659" s="236">
        <v>0.01</v>
      </c>
      <c r="I659" s="236">
        <v>0</v>
      </c>
      <c r="J659" s="233">
        <v>1</v>
      </c>
      <c r="K659" s="237"/>
      <c r="L659" s="235"/>
      <c r="M659" s="276"/>
      <c r="N659" s="279" t="s">
        <v>25</v>
      </c>
      <c r="O659" t="str">
        <f t="shared" si="11"/>
        <v>1977 Memorial Penny</v>
      </c>
      <c r="S659" t="str" cm="1">
        <f t="array" ref="S659">_xlfn.REGEXEXTRACT(E659, "[0-9]{1,5}")</f>
        <v>1977</v>
      </c>
      <c r="T659" t="s">
        <v>2510</v>
      </c>
      <c r="U659" t="s">
        <v>3896</v>
      </c>
    </row>
    <row r="660" spans="1:21">
      <c r="A660" s="136">
        <v>1</v>
      </c>
      <c r="B660" s="233">
        <v>1977</v>
      </c>
      <c r="C660" s="234"/>
      <c r="D660" s="234" t="s">
        <v>4920</v>
      </c>
      <c r="E660" s="244" t="s">
        <v>3271</v>
      </c>
      <c r="F660" s="244" t="s">
        <v>4914</v>
      </c>
      <c r="G660" s="235" t="s">
        <v>2579</v>
      </c>
      <c r="H660" s="236">
        <v>0.01</v>
      </c>
      <c r="I660" s="236">
        <v>0</v>
      </c>
      <c r="J660" s="233">
        <v>1</v>
      </c>
      <c r="K660" s="237"/>
      <c r="L660" s="235"/>
      <c r="M660" s="276"/>
      <c r="N660" s="279" t="s">
        <v>25</v>
      </c>
      <c r="O660" t="str">
        <f t="shared" si="11"/>
        <v>1977 Memorial Penny</v>
      </c>
      <c r="S660" t="str" cm="1">
        <f t="array" ref="S660">_xlfn.REGEXEXTRACT(E660, "[0-9]{1,5}")</f>
        <v>1977</v>
      </c>
      <c r="T660" t="s">
        <v>2510</v>
      </c>
      <c r="U660" t="s">
        <v>3896</v>
      </c>
    </row>
    <row r="661" spans="1:21">
      <c r="A661" s="136">
        <v>1</v>
      </c>
      <c r="B661" s="233">
        <v>1977</v>
      </c>
      <c r="C661" s="234"/>
      <c r="D661" s="234" t="s">
        <v>4920</v>
      </c>
      <c r="E661" s="244" t="s">
        <v>3272</v>
      </c>
      <c r="F661" s="244" t="s">
        <v>4914</v>
      </c>
      <c r="G661" s="235" t="s">
        <v>2579</v>
      </c>
      <c r="H661" s="236">
        <v>0.01</v>
      </c>
      <c r="I661" s="236">
        <v>0</v>
      </c>
      <c r="J661" s="233">
        <v>1</v>
      </c>
      <c r="K661" s="237"/>
      <c r="L661" s="235"/>
      <c r="M661" s="276"/>
      <c r="N661" s="279" t="s">
        <v>25</v>
      </c>
      <c r="O661" t="str">
        <f t="shared" si="11"/>
        <v>1977 Memorial Penny</v>
      </c>
      <c r="S661" t="str" cm="1">
        <f t="array" ref="S661">_xlfn.REGEXEXTRACT(E661, "[0-9]{1,5}")</f>
        <v>1977</v>
      </c>
      <c r="T661" t="s">
        <v>2510</v>
      </c>
      <c r="U661" t="s">
        <v>3896</v>
      </c>
    </row>
    <row r="662" spans="1:21">
      <c r="A662" s="136">
        <v>1</v>
      </c>
      <c r="B662" s="233">
        <v>1977</v>
      </c>
      <c r="C662" s="234"/>
      <c r="D662" s="234" t="s">
        <v>4920</v>
      </c>
      <c r="E662" s="244" t="s">
        <v>3273</v>
      </c>
      <c r="F662" s="244" t="s">
        <v>4914</v>
      </c>
      <c r="G662" s="235" t="s">
        <v>2579</v>
      </c>
      <c r="H662" s="236">
        <v>0.01</v>
      </c>
      <c r="I662" s="236">
        <v>0</v>
      </c>
      <c r="J662" s="233">
        <v>1</v>
      </c>
      <c r="K662" s="237"/>
      <c r="L662" s="235"/>
      <c r="M662" s="276"/>
      <c r="N662" s="279" t="s">
        <v>25</v>
      </c>
      <c r="O662" t="str">
        <f t="shared" si="11"/>
        <v>1977 Memorial Penny</v>
      </c>
      <c r="S662" t="str" cm="1">
        <f t="array" ref="S662">_xlfn.REGEXEXTRACT(E662, "[0-9]{1,5}")</f>
        <v>1977</v>
      </c>
      <c r="T662" t="s">
        <v>2510</v>
      </c>
      <c r="U662" t="s">
        <v>3896</v>
      </c>
    </row>
    <row r="663" spans="1:21">
      <c r="A663" s="136">
        <v>1</v>
      </c>
      <c r="B663" s="233">
        <v>1977</v>
      </c>
      <c r="C663" s="234" t="s">
        <v>13</v>
      </c>
      <c r="D663" s="234" t="s">
        <v>4920</v>
      </c>
      <c r="E663" s="244" t="s">
        <v>3274</v>
      </c>
      <c r="F663" s="244" t="s">
        <v>4914</v>
      </c>
      <c r="G663" s="235" t="s">
        <v>2586</v>
      </c>
      <c r="H663" s="236">
        <v>0.25</v>
      </c>
      <c r="I663" s="236">
        <v>0.01</v>
      </c>
      <c r="J663" s="233">
        <v>1</v>
      </c>
      <c r="K663" s="237"/>
      <c r="L663" s="235"/>
      <c r="M663" s="276"/>
      <c r="N663" s="279" t="s">
        <v>25</v>
      </c>
      <c r="O663" t="str">
        <f t="shared" si="11"/>
        <v>1977-D Memorial Penny</v>
      </c>
      <c r="S663" t="str" cm="1">
        <f t="array" ref="S663">_xlfn.REGEXEXTRACT(E663, "[0-9]{1,5}")</f>
        <v>1977</v>
      </c>
      <c r="T663" t="s">
        <v>2510</v>
      </c>
      <c r="U663" t="s">
        <v>3896</v>
      </c>
    </row>
    <row r="664" spans="1:21">
      <c r="A664" s="136">
        <v>1</v>
      </c>
      <c r="B664" s="233">
        <v>1977</v>
      </c>
      <c r="C664" s="234" t="s">
        <v>12</v>
      </c>
      <c r="D664" s="234" t="s">
        <v>4920</v>
      </c>
      <c r="E664" s="244" t="s">
        <v>3275</v>
      </c>
      <c r="F664" s="244" t="s">
        <v>5207</v>
      </c>
      <c r="G664" s="235" t="s">
        <v>2584</v>
      </c>
      <c r="H664" s="236">
        <v>0.75</v>
      </c>
      <c r="I664" s="236">
        <v>0.01</v>
      </c>
      <c r="J664" s="233">
        <v>1</v>
      </c>
      <c r="K664" s="237"/>
      <c r="L664" s="235"/>
      <c r="M664" s="276"/>
      <c r="N664" s="279" t="s">
        <v>25</v>
      </c>
      <c r="O664" t="str">
        <f t="shared" si="11"/>
        <v>1977-S Memorial Penny Proof</v>
      </c>
      <c r="S664" t="str" cm="1">
        <f t="array" ref="S664">_xlfn.REGEXEXTRACT(E664, "[0-9]{1,5}")</f>
        <v>1977</v>
      </c>
      <c r="T664" t="s">
        <v>2510</v>
      </c>
      <c r="U664" t="s">
        <v>3896</v>
      </c>
    </row>
    <row r="665" spans="1:21">
      <c r="A665" s="136">
        <v>1</v>
      </c>
      <c r="B665" s="233">
        <v>1977</v>
      </c>
      <c r="C665" s="234" t="s">
        <v>13</v>
      </c>
      <c r="D665" s="234" t="s">
        <v>4920</v>
      </c>
      <c r="E665" s="244" t="s">
        <v>3276</v>
      </c>
      <c r="F665" s="244" t="s">
        <v>4914</v>
      </c>
      <c r="G665" s="235" t="s">
        <v>2579</v>
      </c>
      <c r="H665" s="236">
        <v>0.01</v>
      </c>
      <c r="I665" s="236">
        <v>0.01</v>
      </c>
      <c r="J665" s="233">
        <v>3</v>
      </c>
      <c r="K665" s="237"/>
      <c r="L665" s="235"/>
      <c r="M665" s="276"/>
      <c r="N665" s="279" t="s">
        <v>25</v>
      </c>
      <c r="O665" t="str">
        <f t="shared" si="11"/>
        <v>1977-D Memorial Penny</v>
      </c>
      <c r="S665" t="str" cm="1">
        <f t="array" ref="S665">_xlfn.REGEXEXTRACT(E665, "[0-9]{1,5}")</f>
        <v>1977</v>
      </c>
      <c r="T665" t="s">
        <v>2510</v>
      </c>
      <c r="U665" t="s">
        <v>3896</v>
      </c>
    </row>
    <row r="666" spans="1:21">
      <c r="A666" s="136">
        <v>1</v>
      </c>
      <c r="B666" s="233">
        <v>1977</v>
      </c>
      <c r="C666" s="234" t="s">
        <v>13</v>
      </c>
      <c r="D666" s="234" t="s">
        <v>4920</v>
      </c>
      <c r="E666" s="244" t="s">
        <v>3277</v>
      </c>
      <c r="F666" s="244" t="s">
        <v>4914</v>
      </c>
      <c r="G666" s="235" t="s">
        <v>2579</v>
      </c>
      <c r="H666" s="236">
        <v>0.01</v>
      </c>
      <c r="I666" s="236">
        <v>0.01</v>
      </c>
      <c r="J666" s="233">
        <v>1</v>
      </c>
      <c r="K666" s="237"/>
      <c r="L666" s="235"/>
      <c r="M666" s="276"/>
      <c r="N666" s="279" t="s">
        <v>25</v>
      </c>
      <c r="O666" t="str">
        <f t="shared" si="11"/>
        <v>1977-D Memorial Penny</v>
      </c>
      <c r="S666" t="str" cm="1">
        <f t="array" ref="S666">_xlfn.REGEXEXTRACT(E666, "[0-9]{1,5}")</f>
        <v>1977</v>
      </c>
      <c r="T666" t="s">
        <v>2510</v>
      </c>
      <c r="U666" t="s">
        <v>3896</v>
      </c>
    </row>
    <row r="667" spans="1:21">
      <c r="A667" s="136">
        <v>1</v>
      </c>
      <c r="B667" s="233">
        <v>1977</v>
      </c>
      <c r="C667" s="234" t="s">
        <v>12</v>
      </c>
      <c r="D667" s="234" t="s">
        <v>4920</v>
      </c>
      <c r="E667" s="244" t="s">
        <v>3278</v>
      </c>
      <c r="F667" s="244" t="s">
        <v>5207</v>
      </c>
      <c r="G667" s="235" t="s">
        <v>2584</v>
      </c>
      <c r="H667" s="236">
        <v>1.1000000000000001</v>
      </c>
      <c r="I667" s="236">
        <v>2.88</v>
      </c>
      <c r="J667" s="233">
        <v>1</v>
      </c>
      <c r="K667" s="237"/>
      <c r="L667" s="235"/>
      <c r="M667" s="276"/>
      <c r="N667" s="279" t="s">
        <v>25</v>
      </c>
      <c r="O667" t="str">
        <f t="shared" si="11"/>
        <v>1977-S Memorial Penny Proof</v>
      </c>
      <c r="S667" t="str" cm="1">
        <f t="array" ref="S667">_xlfn.REGEXEXTRACT(E667, "[0-9]{1,5}")</f>
        <v>1977</v>
      </c>
      <c r="T667" t="s">
        <v>2510</v>
      </c>
      <c r="U667" t="s">
        <v>3896</v>
      </c>
    </row>
    <row r="668" spans="1:21">
      <c r="A668" s="136">
        <v>1</v>
      </c>
      <c r="B668" s="233">
        <v>1978</v>
      </c>
      <c r="C668" s="234"/>
      <c r="D668" s="234" t="s">
        <v>4920</v>
      </c>
      <c r="E668" s="244" t="s">
        <v>3279</v>
      </c>
      <c r="F668" s="244" t="s">
        <v>4914</v>
      </c>
      <c r="G668" s="235" t="s">
        <v>2579</v>
      </c>
      <c r="H668" s="236">
        <v>0.01</v>
      </c>
      <c r="I668" s="236">
        <v>0</v>
      </c>
      <c r="J668" s="233">
        <v>1</v>
      </c>
      <c r="K668" s="237"/>
      <c r="L668" s="235"/>
      <c r="M668" s="276"/>
      <c r="N668" s="279" t="s">
        <v>25</v>
      </c>
      <c r="O668" t="str">
        <f t="shared" si="11"/>
        <v>1978 Memorial Penny</v>
      </c>
      <c r="S668" t="str" cm="1">
        <f t="array" ref="S668">_xlfn.REGEXEXTRACT(E668, "[0-9]{1,5}")</f>
        <v>1978</v>
      </c>
      <c r="T668" t="s">
        <v>2512</v>
      </c>
      <c r="U668" t="s">
        <v>3896</v>
      </c>
    </row>
    <row r="669" spans="1:21">
      <c r="A669" s="136">
        <v>1</v>
      </c>
      <c r="B669" s="233">
        <v>1978</v>
      </c>
      <c r="C669" s="234"/>
      <c r="D669" s="234" t="s">
        <v>4920</v>
      </c>
      <c r="E669" s="244" t="s">
        <v>3280</v>
      </c>
      <c r="F669" s="244" t="s">
        <v>4914</v>
      </c>
      <c r="G669" s="235" t="s">
        <v>2579</v>
      </c>
      <c r="H669" s="236">
        <v>0.01</v>
      </c>
      <c r="I669" s="236">
        <v>0</v>
      </c>
      <c r="J669" s="233">
        <v>1</v>
      </c>
      <c r="K669" s="237"/>
      <c r="L669" s="235"/>
      <c r="M669" s="276"/>
      <c r="N669" s="279" t="s">
        <v>25</v>
      </c>
      <c r="O669" t="str">
        <f t="shared" si="11"/>
        <v>1978 Memorial Penny</v>
      </c>
      <c r="S669" t="str" cm="1">
        <f t="array" ref="S669">_xlfn.REGEXEXTRACT(E669, "[0-9]{1,5}")</f>
        <v>1978</v>
      </c>
      <c r="T669" t="s">
        <v>2512</v>
      </c>
      <c r="U669" t="s">
        <v>3896</v>
      </c>
    </row>
    <row r="670" spans="1:21">
      <c r="A670" s="136">
        <v>1</v>
      </c>
      <c r="B670" s="233">
        <v>1978</v>
      </c>
      <c r="C670" s="234"/>
      <c r="D670" s="234" t="s">
        <v>4920</v>
      </c>
      <c r="E670" s="244" t="s">
        <v>3281</v>
      </c>
      <c r="F670" s="244" t="s">
        <v>4914</v>
      </c>
      <c r="G670" s="235" t="s">
        <v>2579</v>
      </c>
      <c r="H670" s="236">
        <v>0.01</v>
      </c>
      <c r="I670" s="236">
        <v>0</v>
      </c>
      <c r="J670" s="233">
        <v>1</v>
      </c>
      <c r="K670" s="237"/>
      <c r="L670" s="235"/>
      <c r="M670" s="276"/>
      <c r="N670" s="279" t="s">
        <v>25</v>
      </c>
      <c r="O670" t="str">
        <f t="shared" si="11"/>
        <v>1978 Memorial Penny</v>
      </c>
      <c r="S670" t="str" cm="1">
        <f t="array" ref="S670">_xlfn.REGEXEXTRACT(E670, "[0-9]{1,5}")</f>
        <v>1978</v>
      </c>
      <c r="T670" t="s">
        <v>2512</v>
      </c>
      <c r="U670" t="s">
        <v>3896</v>
      </c>
    </row>
    <row r="671" spans="1:21">
      <c r="A671" s="136">
        <v>1</v>
      </c>
      <c r="B671" s="233">
        <v>1978</v>
      </c>
      <c r="C671" s="234"/>
      <c r="D671" s="234" t="s">
        <v>4920</v>
      </c>
      <c r="E671" s="244" t="s">
        <v>3282</v>
      </c>
      <c r="F671" s="244" t="s">
        <v>4914</v>
      </c>
      <c r="G671" s="235" t="s">
        <v>2579</v>
      </c>
      <c r="H671" s="236">
        <v>0.01</v>
      </c>
      <c r="I671" s="236">
        <v>0</v>
      </c>
      <c r="J671" s="233">
        <v>1</v>
      </c>
      <c r="K671" s="237"/>
      <c r="L671" s="235"/>
      <c r="M671" s="276"/>
      <c r="N671" s="279" t="s">
        <v>25</v>
      </c>
      <c r="O671" t="str">
        <f t="shared" si="11"/>
        <v>1978 Memorial Penny</v>
      </c>
      <c r="S671" t="str" cm="1">
        <f t="array" ref="S671">_xlfn.REGEXEXTRACT(E671, "[0-9]{1,5}")</f>
        <v>1978</v>
      </c>
      <c r="T671" t="s">
        <v>2512</v>
      </c>
      <c r="U671" t="s">
        <v>3896</v>
      </c>
    </row>
    <row r="672" spans="1:21">
      <c r="A672" s="136">
        <v>1</v>
      </c>
      <c r="B672" s="233">
        <v>1978</v>
      </c>
      <c r="C672" s="234"/>
      <c r="D672" s="234" t="s">
        <v>4920</v>
      </c>
      <c r="E672" s="244" t="s">
        <v>3283</v>
      </c>
      <c r="F672" s="244" t="s">
        <v>4914</v>
      </c>
      <c r="G672" s="235" t="s">
        <v>2579</v>
      </c>
      <c r="H672" s="236">
        <v>0.01</v>
      </c>
      <c r="I672" s="236">
        <v>0.08</v>
      </c>
      <c r="J672" s="233">
        <v>1</v>
      </c>
      <c r="K672" s="237"/>
      <c r="L672" s="235"/>
      <c r="M672" s="276"/>
      <c r="N672" s="279" t="s">
        <v>25</v>
      </c>
      <c r="O672" t="str">
        <f t="shared" si="11"/>
        <v>1978 Memorial Penny</v>
      </c>
      <c r="S672" t="str" cm="1">
        <f t="array" ref="S672">_xlfn.REGEXEXTRACT(E672, "[0-9]{1,5}")</f>
        <v>1978</v>
      </c>
      <c r="T672" t="s">
        <v>2512</v>
      </c>
      <c r="U672" t="s">
        <v>3896</v>
      </c>
    </row>
    <row r="673" spans="1:21">
      <c r="A673" s="136">
        <v>1</v>
      </c>
      <c r="B673" s="233">
        <v>1978</v>
      </c>
      <c r="C673" s="234" t="s">
        <v>13</v>
      </c>
      <c r="D673" s="234" t="s">
        <v>4920</v>
      </c>
      <c r="E673" s="244" t="s">
        <v>3284</v>
      </c>
      <c r="F673" s="244" t="s">
        <v>4914</v>
      </c>
      <c r="G673" s="235" t="s">
        <v>2579</v>
      </c>
      <c r="H673" s="236">
        <v>0.01</v>
      </c>
      <c r="I673" s="236">
        <v>0</v>
      </c>
      <c r="J673" s="233">
        <v>1</v>
      </c>
      <c r="K673" s="237"/>
      <c r="L673" s="235"/>
      <c r="M673" s="276"/>
      <c r="N673" s="279" t="s">
        <v>25</v>
      </c>
      <c r="O673" t="str">
        <f t="shared" si="11"/>
        <v>1978-D Memorial Penny</v>
      </c>
      <c r="S673" t="str" cm="1">
        <f t="array" ref="S673">_xlfn.REGEXEXTRACT(E673, "[0-9]{1,5}")</f>
        <v>1978</v>
      </c>
      <c r="T673" t="s">
        <v>2512</v>
      </c>
      <c r="U673" t="s">
        <v>3896</v>
      </c>
    </row>
    <row r="674" spans="1:21">
      <c r="A674" s="136">
        <v>1</v>
      </c>
      <c r="B674" s="233">
        <v>1978</v>
      </c>
      <c r="C674" s="234" t="s">
        <v>13</v>
      </c>
      <c r="D674" s="234" t="s">
        <v>4920</v>
      </c>
      <c r="E674" s="244" t="s">
        <v>3285</v>
      </c>
      <c r="F674" s="244" t="s">
        <v>4914</v>
      </c>
      <c r="G674" s="235" t="s">
        <v>2586</v>
      </c>
      <c r="H674" s="236">
        <v>0.3</v>
      </c>
      <c r="I674" s="236">
        <v>0.01</v>
      </c>
      <c r="J674" s="233">
        <v>1</v>
      </c>
      <c r="K674" s="237"/>
      <c r="L674" s="235"/>
      <c r="M674" s="276"/>
      <c r="N674" s="279" t="s">
        <v>25</v>
      </c>
      <c r="O674" t="str">
        <f t="shared" si="11"/>
        <v>1978-D Memorial Penny</v>
      </c>
      <c r="S674" t="str" cm="1">
        <f t="array" ref="S674">_xlfn.REGEXEXTRACT(E674, "[0-9]{1,5}")</f>
        <v>1978</v>
      </c>
      <c r="T674" t="s">
        <v>2512</v>
      </c>
      <c r="U674" t="s">
        <v>3896</v>
      </c>
    </row>
    <row r="675" spans="1:21">
      <c r="A675" s="136">
        <v>1</v>
      </c>
      <c r="B675" s="233">
        <v>1978</v>
      </c>
      <c r="C675" s="234" t="s">
        <v>12</v>
      </c>
      <c r="D675" s="234" t="s">
        <v>4920</v>
      </c>
      <c r="E675" s="244" t="s">
        <v>3286</v>
      </c>
      <c r="F675" s="244" t="s">
        <v>5207</v>
      </c>
      <c r="G675" s="235" t="s">
        <v>2584</v>
      </c>
      <c r="H675" s="236">
        <v>0.95</v>
      </c>
      <c r="I675" s="236">
        <v>0.01</v>
      </c>
      <c r="J675" s="233">
        <v>1</v>
      </c>
      <c r="K675" s="237"/>
      <c r="L675" s="235"/>
      <c r="M675" s="276"/>
      <c r="N675" s="279" t="s">
        <v>25</v>
      </c>
      <c r="O675" t="str">
        <f t="shared" si="11"/>
        <v>1978-S Memorial Penny Proof</v>
      </c>
      <c r="S675" t="str" cm="1">
        <f t="array" ref="S675">_xlfn.REGEXEXTRACT(E675, "[0-9]{1,5}")</f>
        <v>1978</v>
      </c>
      <c r="T675" t="s">
        <v>2512</v>
      </c>
      <c r="U675" t="s">
        <v>3896</v>
      </c>
    </row>
    <row r="676" spans="1:21">
      <c r="A676" s="136">
        <v>1</v>
      </c>
      <c r="B676" s="233">
        <v>1978</v>
      </c>
      <c r="C676" s="234" t="s">
        <v>13</v>
      </c>
      <c r="D676" s="234" t="s">
        <v>4920</v>
      </c>
      <c r="E676" s="244" t="s">
        <v>3287</v>
      </c>
      <c r="F676" s="244" t="s">
        <v>5207</v>
      </c>
      <c r="G676" s="235" t="s">
        <v>2584</v>
      </c>
      <c r="H676" s="236">
        <v>0.01</v>
      </c>
      <c r="I676" s="236">
        <v>0.01</v>
      </c>
      <c r="J676" s="233">
        <v>1</v>
      </c>
      <c r="K676" s="237"/>
      <c r="L676" s="235"/>
      <c r="M676" s="276"/>
      <c r="N676" s="279" t="s">
        <v>25</v>
      </c>
      <c r="O676" t="str">
        <f t="shared" si="11"/>
        <v>1978-D Memorial Penny Proof</v>
      </c>
      <c r="S676" t="str" cm="1">
        <f t="array" ref="S676">_xlfn.REGEXEXTRACT(E676, "[0-9]{1,5}")</f>
        <v>1978</v>
      </c>
      <c r="T676" t="s">
        <v>2512</v>
      </c>
      <c r="U676" t="s">
        <v>3896</v>
      </c>
    </row>
    <row r="677" spans="1:21">
      <c r="A677" s="136">
        <v>1</v>
      </c>
      <c r="B677" s="233">
        <v>1978</v>
      </c>
      <c r="C677" s="234" t="s">
        <v>12</v>
      </c>
      <c r="D677" s="234" t="s">
        <v>4920</v>
      </c>
      <c r="E677" s="244" t="s">
        <v>3288</v>
      </c>
      <c r="F677" s="244" t="s">
        <v>5207</v>
      </c>
      <c r="G677" s="235" t="s">
        <v>2584</v>
      </c>
      <c r="H677" s="236">
        <v>1.5</v>
      </c>
      <c r="I677" s="236">
        <v>2.88</v>
      </c>
      <c r="J677" s="233">
        <v>1</v>
      </c>
      <c r="K677" s="237"/>
      <c r="L677" s="235"/>
      <c r="M677" s="276"/>
      <c r="N677" s="279" t="s">
        <v>25</v>
      </c>
      <c r="O677" t="str">
        <f t="shared" si="11"/>
        <v>1978-S Memorial Penny Proof</v>
      </c>
      <c r="S677" t="str" cm="1">
        <f t="array" ref="S677">_xlfn.REGEXEXTRACT(E677, "[0-9]{1,5}")</f>
        <v>1978</v>
      </c>
      <c r="T677" t="s">
        <v>2512</v>
      </c>
      <c r="U677" t="s">
        <v>3896</v>
      </c>
    </row>
    <row r="678" spans="1:21">
      <c r="A678" s="136">
        <v>1</v>
      </c>
      <c r="B678" s="233">
        <v>1979</v>
      </c>
      <c r="C678" s="234"/>
      <c r="D678" s="234" t="s">
        <v>4920</v>
      </c>
      <c r="E678" s="244" t="s">
        <v>3289</v>
      </c>
      <c r="F678" s="244" t="s">
        <v>4914</v>
      </c>
      <c r="G678" s="235" t="s">
        <v>2579</v>
      </c>
      <c r="H678" s="236">
        <v>0.01</v>
      </c>
      <c r="I678" s="236">
        <v>0</v>
      </c>
      <c r="J678" s="233">
        <v>1</v>
      </c>
      <c r="K678" s="237"/>
      <c r="L678" s="235"/>
      <c r="M678" s="276"/>
      <c r="N678" s="279" t="s">
        <v>25</v>
      </c>
      <c r="O678" t="str">
        <f t="shared" si="11"/>
        <v>1979 Memorial Penny</v>
      </c>
      <c r="S678" t="str" cm="1">
        <f t="array" ref="S678">_xlfn.REGEXEXTRACT(E678, "[0-9]{1,5}")</f>
        <v>1979</v>
      </c>
      <c r="T678" t="s">
        <v>1627</v>
      </c>
      <c r="U678" t="s">
        <v>3896</v>
      </c>
    </row>
    <row r="679" spans="1:21">
      <c r="A679" s="136">
        <v>1</v>
      </c>
      <c r="B679" s="233">
        <v>1979</v>
      </c>
      <c r="C679" s="234"/>
      <c r="D679" s="234" t="s">
        <v>4920</v>
      </c>
      <c r="E679" s="244" t="s">
        <v>3290</v>
      </c>
      <c r="F679" s="244" t="s">
        <v>4914</v>
      </c>
      <c r="G679" s="235" t="s">
        <v>2579</v>
      </c>
      <c r="H679" s="236">
        <v>0.01</v>
      </c>
      <c r="I679" s="236">
        <v>0</v>
      </c>
      <c r="J679" s="233">
        <v>1</v>
      </c>
      <c r="K679" s="237"/>
      <c r="L679" s="235"/>
      <c r="M679" s="276"/>
      <c r="N679" s="279" t="s">
        <v>25</v>
      </c>
      <c r="O679" t="str">
        <f t="shared" si="11"/>
        <v>1979 Memorial Penny</v>
      </c>
      <c r="S679" t="str" cm="1">
        <f t="array" ref="S679">_xlfn.REGEXEXTRACT(E679, "[0-9]{1,5}")</f>
        <v>1979</v>
      </c>
      <c r="T679" t="s">
        <v>1627</v>
      </c>
      <c r="U679" t="s">
        <v>3896</v>
      </c>
    </row>
    <row r="680" spans="1:21">
      <c r="A680" s="136">
        <v>1</v>
      </c>
      <c r="B680" s="233">
        <v>1979</v>
      </c>
      <c r="C680" s="234"/>
      <c r="D680" s="234" t="s">
        <v>4920</v>
      </c>
      <c r="E680" s="244" t="s">
        <v>3291</v>
      </c>
      <c r="F680" s="244" t="s">
        <v>4914</v>
      </c>
      <c r="G680" s="235" t="s">
        <v>2579</v>
      </c>
      <c r="H680" s="236">
        <v>0.01</v>
      </c>
      <c r="I680" s="236">
        <v>0</v>
      </c>
      <c r="J680" s="233">
        <v>1</v>
      </c>
      <c r="K680" s="237"/>
      <c r="L680" s="235"/>
      <c r="M680" s="276"/>
      <c r="N680" s="279" t="s">
        <v>25</v>
      </c>
      <c r="O680" t="str">
        <f t="shared" si="11"/>
        <v>1979 Memorial Penny</v>
      </c>
      <c r="S680" t="str" cm="1">
        <f t="array" ref="S680">_xlfn.REGEXEXTRACT(E680, "[0-9]{1,5}")</f>
        <v>1979</v>
      </c>
      <c r="T680" t="s">
        <v>1627</v>
      </c>
      <c r="U680" t="s">
        <v>3896</v>
      </c>
    </row>
    <row r="681" spans="1:21">
      <c r="A681" s="136">
        <v>1</v>
      </c>
      <c r="B681" s="233">
        <v>1979</v>
      </c>
      <c r="C681" s="234"/>
      <c r="D681" s="234" t="s">
        <v>4920</v>
      </c>
      <c r="E681" s="244" t="s">
        <v>3292</v>
      </c>
      <c r="F681" s="244" t="s">
        <v>4914</v>
      </c>
      <c r="G681" s="235" t="s">
        <v>2579</v>
      </c>
      <c r="H681" s="236">
        <v>0.01</v>
      </c>
      <c r="I681" s="236">
        <v>0</v>
      </c>
      <c r="J681" s="233">
        <v>1</v>
      </c>
      <c r="K681" s="237"/>
      <c r="L681" s="235"/>
      <c r="M681" s="276"/>
      <c r="N681" s="279" t="s">
        <v>25</v>
      </c>
      <c r="O681" t="str">
        <f t="shared" si="11"/>
        <v>1979 Memorial Penny</v>
      </c>
      <c r="S681" t="str" cm="1">
        <f t="array" ref="S681">_xlfn.REGEXEXTRACT(E681, "[0-9]{1,5}")</f>
        <v>1979</v>
      </c>
      <c r="T681" t="s">
        <v>1627</v>
      </c>
      <c r="U681" t="s">
        <v>3896</v>
      </c>
    </row>
    <row r="682" spans="1:21">
      <c r="A682" s="136">
        <v>1</v>
      </c>
      <c r="B682" s="233">
        <v>1979</v>
      </c>
      <c r="C682" s="234" t="s">
        <v>13</v>
      </c>
      <c r="D682" s="234" t="s">
        <v>4920</v>
      </c>
      <c r="E682" s="244" t="s">
        <v>3293</v>
      </c>
      <c r="F682" s="244" t="s">
        <v>4914</v>
      </c>
      <c r="G682" s="235" t="s">
        <v>2586</v>
      </c>
      <c r="H682" s="236">
        <v>0.25</v>
      </c>
      <c r="I682" s="236">
        <v>0.01</v>
      </c>
      <c r="J682" s="233">
        <v>1</v>
      </c>
      <c r="K682" s="237"/>
      <c r="L682" s="235"/>
      <c r="M682" s="276"/>
      <c r="N682" s="279" t="s">
        <v>25</v>
      </c>
      <c r="O682" t="str">
        <f t="shared" si="11"/>
        <v>1979-D Memorial Penny</v>
      </c>
      <c r="S682" t="str" cm="1">
        <f t="array" ref="S682">_xlfn.REGEXEXTRACT(E682, "[0-9]{1,5}")</f>
        <v>1979</v>
      </c>
      <c r="T682" t="s">
        <v>1627</v>
      </c>
      <c r="U682" t="s">
        <v>3896</v>
      </c>
    </row>
    <row r="683" spans="1:21">
      <c r="A683" s="136">
        <v>1</v>
      </c>
      <c r="B683" s="233">
        <v>1979</v>
      </c>
      <c r="C683" s="234" t="s">
        <v>12</v>
      </c>
      <c r="D683" s="234" t="s">
        <v>4920</v>
      </c>
      <c r="E683" s="244" t="s">
        <v>3294</v>
      </c>
      <c r="F683" s="244" t="s">
        <v>5207</v>
      </c>
      <c r="G683" s="235" t="s">
        <v>2584</v>
      </c>
      <c r="H683" s="236">
        <v>1.25</v>
      </c>
      <c r="I683" s="236">
        <v>1.25</v>
      </c>
      <c r="J683" s="233">
        <v>1</v>
      </c>
      <c r="K683" s="237"/>
      <c r="L683" s="235"/>
      <c r="M683" s="276"/>
      <c r="N683" s="279" t="s">
        <v>25</v>
      </c>
      <c r="O683" t="str">
        <f t="shared" si="11"/>
        <v>1979-S Memorial Penny Proof</v>
      </c>
      <c r="S683" t="str" cm="1">
        <f t="array" ref="S683">_xlfn.REGEXEXTRACT(E683, "[0-9]{1,5}")</f>
        <v>1979</v>
      </c>
      <c r="T683" t="s">
        <v>1627</v>
      </c>
      <c r="U683" t="s">
        <v>3896</v>
      </c>
    </row>
    <row r="684" spans="1:21">
      <c r="A684" s="136">
        <v>1</v>
      </c>
      <c r="B684" s="233">
        <v>1979</v>
      </c>
      <c r="C684" s="234" t="s">
        <v>13</v>
      </c>
      <c r="D684" s="234" t="s">
        <v>4920</v>
      </c>
      <c r="E684" s="244" t="s">
        <v>3295</v>
      </c>
      <c r="F684" s="244" t="s">
        <v>4914</v>
      </c>
      <c r="G684" s="235" t="s">
        <v>2579</v>
      </c>
      <c r="H684" s="236">
        <v>0.03</v>
      </c>
      <c r="I684" s="236">
        <v>0.03</v>
      </c>
      <c r="J684" s="233">
        <v>2</v>
      </c>
      <c r="K684" s="237"/>
      <c r="L684" s="235"/>
      <c r="M684" s="276"/>
      <c r="N684" s="279" t="s">
        <v>25</v>
      </c>
      <c r="O684" t="str">
        <f t="shared" si="11"/>
        <v>1979-D Memorial Penny</v>
      </c>
      <c r="S684" t="str" cm="1">
        <f t="array" ref="S684">_xlfn.REGEXEXTRACT(E684, "[0-9]{1,5}")</f>
        <v>1979</v>
      </c>
      <c r="T684" t="s">
        <v>1627</v>
      </c>
      <c r="U684" t="s">
        <v>3896</v>
      </c>
    </row>
    <row r="685" spans="1:21">
      <c r="A685" s="136">
        <v>1</v>
      </c>
      <c r="B685" s="233">
        <v>1979</v>
      </c>
      <c r="C685" s="234"/>
      <c r="D685" s="234" t="s">
        <v>4920</v>
      </c>
      <c r="E685" s="244" t="s">
        <v>3296</v>
      </c>
      <c r="F685" s="244" t="s">
        <v>4914</v>
      </c>
      <c r="G685" s="235" t="s">
        <v>2579</v>
      </c>
      <c r="H685" s="236">
        <v>0.01</v>
      </c>
      <c r="I685" s="236">
        <v>0.01</v>
      </c>
      <c r="J685" s="233">
        <v>1</v>
      </c>
      <c r="K685" s="237"/>
      <c r="L685" s="235"/>
      <c r="M685" s="276"/>
      <c r="N685" s="279" t="s">
        <v>25</v>
      </c>
      <c r="O685" t="str">
        <f t="shared" si="11"/>
        <v>1979 Memorial Penny</v>
      </c>
      <c r="S685" t="str" cm="1">
        <f t="array" ref="S685">_xlfn.REGEXEXTRACT(E685, "[0-9]{1,5}")</f>
        <v>1979</v>
      </c>
      <c r="T685" t="s">
        <v>1627</v>
      </c>
      <c r="U685" t="s">
        <v>3896</v>
      </c>
    </row>
    <row r="686" spans="1:21">
      <c r="A686" s="136">
        <v>1</v>
      </c>
      <c r="B686" s="233">
        <v>1979</v>
      </c>
      <c r="C686" s="234" t="s">
        <v>12</v>
      </c>
      <c r="D686" s="234" t="s">
        <v>4920</v>
      </c>
      <c r="E686" s="244" t="s">
        <v>3297</v>
      </c>
      <c r="F686" s="244" t="s">
        <v>5207</v>
      </c>
      <c r="G686" s="235" t="s">
        <v>2584</v>
      </c>
      <c r="H686" s="236">
        <v>2</v>
      </c>
      <c r="I686" s="236">
        <v>6.81</v>
      </c>
      <c r="J686" s="233">
        <v>1</v>
      </c>
      <c r="K686" s="237"/>
      <c r="L686" s="235"/>
      <c r="M686" s="276"/>
      <c r="N686" s="279" t="s">
        <v>25</v>
      </c>
      <c r="O686" t="str">
        <f t="shared" si="11"/>
        <v>1979-S Memorial Penny Proof</v>
      </c>
      <c r="S686" t="str" cm="1">
        <f t="array" ref="S686">_xlfn.REGEXEXTRACT(E686, "[0-9]{1,5}")</f>
        <v>1979</v>
      </c>
      <c r="T686" t="s">
        <v>1627</v>
      </c>
      <c r="U686" t="s">
        <v>3896</v>
      </c>
    </row>
    <row r="687" spans="1:21">
      <c r="A687" s="136">
        <v>1</v>
      </c>
      <c r="B687" s="233">
        <v>1980</v>
      </c>
      <c r="C687" s="234" t="s">
        <v>13</v>
      </c>
      <c r="D687" s="234" t="s">
        <v>4920</v>
      </c>
      <c r="E687" s="244" t="s">
        <v>3298</v>
      </c>
      <c r="F687" s="244" t="s">
        <v>4914</v>
      </c>
      <c r="G687" s="235" t="s">
        <v>2579</v>
      </c>
      <c r="H687" s="236">
        <v>0.01</v>
      </c>
      <c r="I687" s="236">
        <v>0.05</v>
      </c>
      <c r="J687" s="233">
        <v>1</v>
      </c>
      <c r="K687" s="237"/>
      <c r="L687" s="235"/>
      <c r="M687" s="276"/>
      <c r="N687" s="279" t="s">
        <v>25</v>
      </c>
      <c r="O687" t="str">
        <f t="shared" si="11"/>
        <v>1980-D Memorial Penny</v>
      </c>
      <c r="S687" t="str" cm="1">
        <f t="array" ref="S687">_xlfn.REGEXEXTRACT(E687, "[0-9]{1,5}")</f>
        <v>1980</v>
      </c>
      <c r="T687" t="s">
        <v>1649</v>
      </c>
      <c r="U687" t="s">
        <v>3896</v>
      </c>
    </row>
    <row r="688" spans="1:21">
      <c r="A688" s="136">
        <v>1</v>
      </c>
      <c r="B688" s="233">
        <v>1980</v>
      </c>
      <c r="C688" s="234" t="s">
        <v>13</v>
      </c>
      <c r="D688" s="234" t="s">
        <v>4920</v>
      </c>
      <c r="E688" s="244" t="s">
        <v>3299</v>
      </c>
      <c r="F688" s="244" t="s">
        <v>4914</v>
      </c>
      <c r="G688" s="235" t="s">
        <v>2579</v>
      </c>
      <c r="H688" s="236">
        <v>0.01</v>
      </c>
      <c r="I688" s="236">
        <v>0.05</v>
      </c>
      <c r="J688" s="233">
        <v>1</v>
      </c>
      <c r="K688" s="237"/>
      <c r="L688" s="235"/>
      <c r="M688" s="276"/>
      <c r="N688" s="279" t="s">
        <v>25</v>
      </c>
      <c r="O688" t="str">
        <f t="shared" si="11"/>
        <v>1980-D Memorial Penny</v>
      </c>
      <c r="S688" t="str" cm="1">
        <f t="array" ref="S688">_xlfn.REGEXEXTRACT(E688, "[0-9]{1,5}")</f>
        <v>1980</v>
      </c>
      <c r="T688" t="s">
        <v>1649</v>
      </c>
      <c r="U688" t="s">
        <v>3896</v>
      </c>
    </row>
    <row r="689" spans="1:21">
      <c r="A689" s="136">
        <v>1</v>
      </c>
      <c r="B689" s="233">
        <v>1980</v>
      </c>
      <c r="C689" s="234" t="s">
        <v>13</v>
      </c>
      <c r="D689" s="234" t="s">
        <v>4920</v>
      </c>
      <c r="E689" s="244" t="s">
        <v>3300</v>
      </c>
      <c r="F689" s="244" t="s">
        <v>4914</v>
      </c>
      <c r="G689" s="235" t="s">
        <v>2579</v>
      </c>
      <c r="H689" s="236">
        <v>0.01</v>
      </c>
      <c r="I689" s="236">
        <v>0.05</v>
      </c>
      <c r="J689" s="233">
        <v>1</v>
      </c>
      <c r="K689" s="237"/>
      <c r="L689" s="235"/>
      <c r="M689" s="276"/>
      <c r="N689" s="279" t="s">
        <v>25</v>
      </c>
      <c r="O689" t="str">
        <f t="shared" si="11"/>
        <v>1980-D Memorial Penny</v>
      </c>
      <c r="S689" t="str" cm="1">
        <f t="array" ref="S689">_xlfn.REGEXEXTRACT(E689, "[0-9]{1,5}")</f>
        <v>1980</v>
      </c>
      <c r="T689" t="s">
        <v>1649</v>
      </c>
      <c r="U689" t="s">
        <v>3896</v>
      </c>
    </row>
    <row r="690" spans="1:21">
      <c r="A690" s="136">
        <v>1</v>
      </c>
      <c r="B690" s="233">
        <v>1980</v>
      </c>
      <c r="C690" s="234"/>
      <c r="D690" s="234" t="s">
        <v>4920</v>
      </c>
      <c r="E690" s="244" t="s">
        <v>3301</v>
      </c>
      <c r="F690" s="244" t="s">
        <v>4914</v>
      </c>
      <c r="G690" s="235" t="s">
        <v>2579</v>
      </c>
      <c r="H690" s="236">
        <v>0.01</v>
      </c>
      <c r="I690" s="236">
        <v>0.08</v>
      </c>
      <c r="J690" s="233">
        <v>1</v>
      </c>
      <c r="K690" s="237"/>
      <c r="L690" s="235"/>
      <c r="M690" s="276"/>
      <c r="N690" s="279" t="s">
        <v>25</v>
      </c>
      <c r="O690" t="str">
        <f t="shared" si="11"/>
        <v>1980 Memorial Penny</v>
      </c>
      <c r="S690" t="str" cm="1">
        <f t="array" ref="S690">_xlfn.REGEXEXTRACT(E690, "[0-9]{1,5}")</f>
        <v>1980</v>
      </c>
      <c r="T690" t="s">
        <v>1649</v>
      </c>
      <c r="U690" t="s">
        <v>3896</v>
      </c>
    </row>
    <row r="691" spans="1:21">
      <c r="A691" s="136">
        <v>1</v>
      </c>
      <c r="B691" s="233">
        <v>1980</v>
      </c>
      <c r="C691" s="234"/>
      <c r="D691" s="234" t="s">
        <v>4920</v>
      </c>
      <c r="E691" s="244" t="s">
        <v>3302</v>
      </c>
      <c r="F691" s="244" t="s">
        <v>4914</v>
      </c>
      <c r="G691" s="235" t="s">
        <v>2579</v>
      </c>
      <c r="H691" s="236">
        <v>0.01</v>
      </c>
      <c r="I691" s="236">
        <v>0.08</v>
      </c>
      <c r="J691" s="233">
        <v>1</v>
      </c>
      <c r="K691" s="237"/>
      <c r="L691" s="235"/>
      <c r="M691" s="276"/>
      <c r="N691" s="279" t="s">
        <v>25</v>
      </c>
      <c r="O691" t="str">
        <f t="shared" si="11"/>
        <v>1980 Memorial Penny</v>
      </c>
      <c r="S691" t="str" cm="1">
        <f t="array" ref="S691">_xlfn.REGEXEXTRACT(E691, "[0-9]{1,5}")</f>
        <v>1980</v>
      </c>
      <c r="T691" t="s">
        <v>1649</v>
      </c>
      <c r="U691" t="s">
        <v>3896</v>
      </c>
    </row>
    <row r="692" spans="1:21">
      <c r="A692" s="136">
        <v>1</v>
      </c>
      <c r="B692" s="233">
        <v>1980</v>
      </c>
      <c r="C692" s="234"/>
      <c r="D692" s="234" t="s">
        <v>4920</v>
      </c>
      <c r="E692" s="244" t="s">
        <v>3303</v>
      </c>
      <c r="F692" s="244" t="s">
        <v>4914</v>
      </c>
      <c r="G692" s="235" t="s">
        <v>2579</v>
      </c>
      <c r="H692" s="236">
        <v>0.01</v>
      </c>
      <c r="I692" s="236">
        <v>0.08</v>
      </c>
      <c r="J692" s="233">
        <v>1</v>
      </c>
      <c r="K692" s="237"/>
      <c r="L692" s="235"/>
      <c r="M692" s="276"/>
      <c r="N692" s="279" t="s">
        <v>25</v>
      </c>
      <c r="O692" t="str">
        <f t="shared" si="11"/>
        <v>1980 Memorial Penny</v>
      </c>
      <c r="S692" t="str" cm="1">
        <f t="array" ref="S692">_xlfn.REGEXEXTRACT(E692, "[0-9]{1,5}")</f>
        <v>1980</v>
      </c>
      <c r="T692" t="s">
        <v>1649</v>
      </c>
      <c r="U692" t="s">
        <v>3896</v>
      </c>
    </row>
    <row r="693" spans="1:21">
      <c r="A693" s="136">
        <v>1</v>
      </c>
      <c r="B693" s="233">
        <v>1980</v>
      </c>
      <c r="C693" s="234"/>
      <c r="D693" s="234" t="s">
        <v>4920</v>
      </c>
      <c r="E693" s="244" t="s">
        <v>3304</v>
      </c>
      <c r="F693" s="244" t="s">
        <v>4914</v>
      </c>
      <c r="G693" s="235" t="s">
        <v>2579</v>
      </c>
      <c r="H693" s="236">
        <v>0.01</v>
      </c>
      <c r="I693" s="236">
        <v>0.08</v>
      </c>
      <c r="J693" s="233">
        <v>1</v>
      </c>
      <c r="K693" s="237"/>
      <c r="L693" s="235"/>
      <c r="M693" s="276"/>
      <c r="N693" s="279" t="s">
        <v>25</v>
      </c>
      <c r="O693" t="str">
        <f t="shared" si="11"/>
        <v>1980 Memorial Penny</v>
      </c>
      <c r="S693" t="str" cm="1">
        <f t="array" ref="S693">_xlfn.REGEXEXTRACT(E693, "[0-9]{1,5}")</f>
        <v>1980</v>
      </c>
      <c r="T693" t="s">
        <v>1649</v>
      </c>
      <c r="U693" t="s">
        <v>3896</v>
      </c>
    </row>
    <row r="694" spans="1:21">
      <c r="A694" s="136">
        <v>1</v>
      </c>
      <c r="B694" s="233">
        <v>1980</v>
      </c>
      <c r="C694" s="234"/>
      <c r="D694" s="234" t="s">
        <v>4920</v>
      </c>
      <c r="E694" s="244" t="s">
        <v>3305</v>
      </c>
      <c r="F694" s="244" t="s">
        <v>4914</v>
      </c>
      <c r="G694" s="235" t="s">
        <v>2579</v>
      </c>
      <c r="H694" s="236">
        <v>0.01</v>
      </c>
      <c r="I694" s="236">
        <v>0.05</v>
      </c>
      <c r="J694" s="233">
        <v>1</v>
      </c>
      <c r="K694" s="237"/>
      <c r="L694" s="235"/>
      <c r="M694" s="276"/>
      <c r="N694" s="279" t="s">
        <v>25</v>
      </c>
      <c r="O694" t="str">
        <f t="shared" si="11"/>
        <v>1980 Memorial Penny</v>
      </c>
      <c r="S694" t="str" cm="1">
        <f t="array" ref="S694">_xlfn.REGEXEXTRACT(E694, "[0-9]{1,5}")</f>
        <v>1980</v>
      </c>
      <c r="T694" t="s">
        <v>1649</v>
      </c>
      <c r="U694" t="s">
        <v>3896</v>
      </c>
    </row>
    <row r="695" spans="1:21">
      <c r="A695" s="136">
        <v>1</v>
      </c>
      <c r="B695" s="233">
        <v>1980</v>
      </c>
      <c r="C695" s="234" t="s">
        <v>12</v>
      </c>
      <c r="D695" s="234" t="s">
        <v>4920</v>
      </c>
      <c r="E695" s="244" t="s">
        <v>3306</v>
      </c>
      <c r="F695" s="244" t="s">
        <v>4914</v>
      </c>
      <c r="G695" s="235" t="s">
        <v>2579</v>
      </c>
      <c r="H695" s="236">
        <v>0.4</v>
      </c>
      <c r="I695" s="236">
        <v>0.01</v>
      </c>
      <c r="J695" s="233">
        <v>1</v>
      </c>
      <c r="K695" s="237"/>
      <c r="L695" s="235"/>
      <c r="M695" s="276"/>
      <c r="N695" s="279" t="s">
        <v>25</v>
      </c>
      <c r="O695" t="str">
        <f t="shared" si="11"/>
        <v>1980-S Memorial Penny</v>
      </c>
      <c r="S695" t="str" cm="1">
        <f t="array" ref="S695">_xlfn.REGEXEXTRACT(E695, "[0-9]{1,5}")</f>
        <v>1980</v>
      </c>
      <c r="T695" t="s">
        <v>1649</v>
      </c>
      <c r="U695" t="s">
        <v>3896</v>
      </c>
    </row>
    <row r="696" spans="1:21">
      <c r="A696" s="136">
        <v>1</v>
      </c>
      <c r="B696" s="233">
        <v>1980</v>
      </c>
      <c r="C696" s="234" t="s">
        <v>13</v>
      </c>
      <c r="D696" s="234" t="s">
        <v>4920</v>
      </c>
      <c r="E696" s="244" t="s">
        <v>3307</v>
      </c>
      <c r="F696" s="244" t="s">
        <v>4914</v>
      </c>
      <c r="G696" s="235" t="s">
        <v>2579</v>
      </c>
      <c r="H696" s="236">
        <v>0.03</v>
      </c>
      <c r="I696" s="236">
        <v>0.03</v>
      </c>
      <c r="J696" s="233">
        <v>3</v>
      </c>
      <c r="K696" s="237"/>
      <c r="L696" s="235"/>
      <c r="M696" s="276"/>
      <c r="N696" s="279" t="s">
        <v>25</v>
      </c>
      <c r="O696" t="str">
        <f t="shared" si="11"/>
        <v>1980-D Memorial Penny</v>
      </c>
      <c r="S696" t="str" cm="1">
        <f t="array" ref="S696">_xlfn.REGEXEXTRACT(E696, "[0-9]{1,5}")</f>
        <v>1980</v>
      </c>
      <c r="T696" t="s">
        <v>1649</v>
      </c>
      <c r="U696" t="s">
        <v>3896</v>
      </c>
    </row>
    <row r="697" spans="1:21">
      <c r="A697" s="136">
        <v>1</v>
      </c>
      <c r="B697" s="233">
        <v>1980</v>
      </c>
      <c r="C697" s="234" t="s">
        <v>12</v>
      </c>
      <c r="D697" s="234" t="s">
        <v>4920</v>
      </c>
      <c r="E697" s="244" t="s">
        <v>3308</v>
      </c>
      <c r="F697" s="244" t="s">
        <v>4914</v>
      </c>
      <c r="G697" s="235" t="s">
        <v>2579</v>
      </c>
      <c r="H697" s="236">
        <v>0.5</v>
      </c>
      <c r="I697" s="236">
        <v>0.01</v>
      </c>
      <c r="J697" s="233">
        <v>1</v>
      </c>
      <c r="K697" s="237"/>
      <c r="L697" s="235"/>
      <c r="M697" s="276"/>
      <c r="N697" s="279" t="s">
        <v>25</v>
      </c>
      <c r="O697" t="str">
        <f t="shared" si="11"/>
        <v>1980-S Memorial Penny</v>
      </c>
      <c r="S697" t="str" cm="1">
        <f t="array" ref="S697">_xlfn.REGEXEXTRACT(E697, "[0-9]{1,5}")</f>
        <v>1980</v>
      </c>
      <c r="T697" t="s">
        <v>1649</v>
      </c>
      <c r="U697" t="s">
        <v>3896</v>
      </c>
    </row>
    <row r="698" spans="1:21">
      <c r="A698" s="136">
        <v>1</v>
      </c>
      <c r="B698" s="233">
        <v>1980</v>
      </c>
      <c r="C698" s="234" t="s">
        <v>13</v>
      </c>
      <c r="D698" s="234" t="s">
        <v>4920</v>
      </c>
      <c r="E698" s="244" t="s">
        <v>3309</v>
      </c>
      <c r="F698" s="244" t="s">
        <v>4914</v>
      </c>
      <c r="G698" s="235" t="s">
        <v>2579</v>
      </c>
      <c r="H698" s="236">
        <v>0.01</v>
      </c>
      <c r="I698" s="236">
        <v>0.01</v>
      </c>
      <c r="J698" s="233">
        <v>1</v>
      </c>
      <c r="K698" s="237"/>
      <c r="L698" s="235"/>
      <c r="M698" s="276"/>
      <c r="N698" s="279" t="s">
        <v>25</v>
      </c>
      <c r="O698" t="str">
        <f t="shared" si="11"/>
        <v>1980-D Memorial Penny</v>
      </c>
      <c r="S698" t="str" cm="1">
        <f t="array" ref="S698">_xlfn.REGEXEXTRACT(E698, "[0-9]{1,5}")</f>
        <v>1980</v>
      </c>
      <c r="T698" t="s">
        <v>1649</v>
      </c>
      <c r="U698" t="s">
        <v>3896</v>
      </c>
    </row>
    <row r="699" spans="1:21">
      <c r="A699" s="136">
        <v>1</v>
      </c>
      <c r="B699" s="233">
        <v>1981</v>
      </c>
      <c r="C699" s="234"/>
      <c r="D699" s="234" t="s">
        <v>4920</v>
      </c>
      <c r="E699" s="244" t="s">
        <v>3310</v>
      </c>
      <c r="F699" s="244" t="s">
        <v>4914</v>
      </c>
      <c r="G699" s="235" t="s">
        <v>2579</v>
      </c>
      <c r="H699" s="236">
        <v>0.01</v>
      </c>
      <c r="I699" s="236">
        <v>0.08</v>
      </c>
      <c r="J699" s="233">
        <v>1</v>
      </c>
      <c r="K699" s="237"/>
      <c r="L699" s="235"/>
      <c r="M699" s="276"/>
      <c r="N699" s="279" t="s">
        <v>25</v>
      </c>
      <c r="O699" t="str">
        <f t="shared" si="11"/>
        <v>1981 Memorial Penny</v>
      </c>
      <c r="S699" t="str" cm="1">
        <f t="array" ref="S699">_xlfn.REGEXEXTRACT(E699, "[0-9]{1,5}")</f>
        <v>1981</v>
      </c>
      <c r="T699" t="s">
        <v>4187</v>
      </c>
      <c r="U699" t="s">
        <v>3896</v>
      </c>
    </row>
    <row r="700" spans="1:21">
      <c r="A700" s="136">
        <v>1</v>
      </c>
      <c r="B700" s="233">
        <v>1981</v>
      </c>
      <c r="C700" s="234"/>
      <c r="D700" s="234" t="s">
        <v>4920</v>
      </c>
      <c r="E700" s="244" t="s">
        <v>3311</v>
      </c>
      <c r="F700" s="244" t="s">
        <v>4914</v>
      </c>
      <c r="G700" s="235" t="s">
        <v>2579</v>
      </c>
      <c r="H700" s="236">
        <v>0.01</v>
      </c>
      <c r="I700" s="236">
        <v>0.05</v>
      </c>
      <c r="J700" s="233">
        <v>1</v>
      </c>
      <c r="K700" s="237"/>
      <c r="L700" s="235"/>
      <c r="M700" s="276"/>
      <c r="N700" s="279" t="s">
        <v>25</v>
      </c>
      <c r="O700" t="str">
        <f t="shared" si="11"/>
        <v>1981 Memorial Penny</v>
      </c>
      <c r="S700" t="str" cm="1">
        <f t="array" ref="S700">_xlfn.REGEXEXTRACT(E700, "[0-9]{1,5}")</f>
        <v>1981</v>
      </c>
      <c r="T700" t="s">
        <v>4187</v>
      </c>
      <c r="U700" t="s">
        <v>3896</v>
      </c>
    </row>
    <row r="701" spans="1:21">
      <c r="A701" s="136">
        <v>1</v>
      </c>
      <c r="B701" s="233">
        <v>1981</v>
      </c>
      <c r="C701" s="234"/>
      <c r="D701" s="234" t="s">
        <v>4920</v>
      </c>
      <c r="E701" s="244" t="s">
        <v>3312</v>
      </c>
      <c r="F701" s="244" t="s">
        <v>4914</v>
      </c>
      <c r="G701" s="235" t="s">
        <v>2579</v>
      </c>
      <c r="H701" s="236">
        <v>0.01</v>
      </c>
      <c r="I701" s="236">
        <v>0.05</v>
      </c>
      <c r="J701" s="233">
        <v>1</v>
      </c>
      <c r="K701" s="237"/>
      <c r="L701" s="235"/>
      <c r="M701" s="276"/>
      <c r="N701" s="279" t="s">
        <v>25</v>
      </c>
      <c r="O701" t="str">
        <f t="shared" si="11"/>
        <v>1981 Memorial Penny</v>
      </c>
      <c r="S701" t="str" cm="1">
        <f t="array" ref="S701">_xlfn.REGEXEXTRACT(E701, "[0-9]{1,5}")</f>
        <v>1981</v>
      </c>
      <c r="T701" t="s">
        <v>4187</v>
      </c>
      <c r="U701" t="s">
        <v>3896</v>
      </c>
    </row>
    <row r="702" spans="1:21">
      <c r="A702" s="136">
        <v>1</v>
      </c>
      <c r="B702" s="233">
        <v>1981</v>
      </c>
      <c r="C702" s="234"/>
      <c r="D702" s="234" t="s">
        <v>4920</v>
      </c>
      <c r="E702" s="244" t="s">
        <v>3313</v>
      </c>
      <c r="F702" s="244" t="s">
        <v>4914</v>
      </c>
      <c r="G702" s="235" t="s">
        <v>2579</v>
      </c>
      <c r="H702" s="236">
        <v>0.01</v>
      </c>
      <c r="I702" s="236">
        <v>0.08</v>
      </c>
      <c r="J702" s="233">
        <v>1</v>
      </c>
      <c r="K702" s="237"/>
      <c r="L702" s="235"/>
      <c r="M702" s="276"/>
      <c r="N702" s="279" t="s">
        <v>25</v>
      </c>
      <c r="O702" t="str">
        <f t="shared" si="11"/>
        <v>1981 Memorial Penny</v>
      </c>
      <c r="S702" t="str" cm="1">
        <f t="array" ref="S702">_xlfn.REGEXEXTRACT(E702, "[0-9]{1,5}")</f>
        <v>1981</v>
      </c>
      <c r="T702" t="s">
        <v>4187</v>
      </c>
      <c r="U702" t="s">
        <v>3896</v>
      </c>
    </row>
    <row r="703" spans="1:21">
      <c r="A703" s="136">
        <v>1</v>
      </c>
      <c r="B703" s="233">
        <v>1981</v>
      </c>
      <c r="C703" s="234"/>
      <c r="D703" s="234" t="s">
        <v>4920</v>
      </c>
      <c r="E703" s="244" t="s">
        <v>3314</v>
      </c>
      <c r="F703" s="244" t="s">
        <v>4914</v>
      </c>
      <c r="G703" s="235" t="s">
        <v>2579</v>
      </c>
      <c r="H703" s="236">
        <v>0.01</v>
      </c>
      <c r="I703" s="236">
        <v>0.05</v>
      </c>
      <c r="J703" s="233">
        <v>1</v>
      </c>
      <c r="K703" s="237"/>
      <c r="L703" s="235"/>
      <c r="M703" s="276"/>
      <c r="N703" s="279" t="s">
        <v>25</v>
      </c>
      <c r="O703" t="str">
        <f t="shared" si="11"/>
        <v>1981 Memorial Penny</v>
      </c>
      <c r="S703" t="str" cm="1">
        <f t="array" ref="S703">_xlfn.REGEXEXTRACT(E703, "[0-9]{1,5}")</f>
        <v>1981</v>
      </c>
      <c r="T703" t="s">
        <v>4187</v>
      </c>
      <c r="U703" t="s">
        <v>3896</v>
      </c>
    </row>
    <row r="704" spans="1:21">
      <c r="A704" s="136">
        <v>1</v>
      </c>
      <c r="B704" s="233">
        <v>1981</v>
      </c>
      <c r="C704" s="234"/>
      <c r="D704" s="234" t="s">
        <v>4920</v>
      </c>
      <c r="E704" s="244" t="s">
        <v>3315</v>
      </c>
      <c r="F704" s="244" t="s">
        <v>4914</v>
      </c>
      <c r="G704" s="235" t="s">
        <v>2579</v>
      </c>
      <c r="H704" s="236">
        <v>0.01</v>
      </c>
      <c r="I704" s="236">
        <v>0.05</v>
      </c>
      <c r="J704" s="233">
        <v>1</v>
      </c>
      <c r="K704" s="237"/>
      <c r="L704" s="235"/>
      <c r="M704" s="276"/>
      <c r="N704" s="279" t="s">
        <v>25</v>
      </c>
      <c r="O704" t="str">
        <f t="shared" si="11"/>
        <v>1981 Memorial Penny</v>
      </c>
      <c r="S704" t="str" cm="1">
        <f t="array" ref="S704">_xlfn.REGEXEXTRACT(E704, "[0-9]{1,5}")</f>
        <v>1981</v>
      </c>
      <c r="T704" t="s">
        <v>4187</v>
      </c>
      <c r="U704" t="s">
        <v>3896</v>
      </c>
    </row>
    <row r="705" spans="1:21">
      <c r="A705" s="136">
        <v>1</v>
      </c>
      <c r="B705" s="233">
        <v>1981</v>
      </c>
      <c r="C705" s="234" t="s">
        <v>13</v>
      </c>
      <c r="D705" s="234" t="s">
        <v>4920</v>
      </c>
      <c r="E705" s="244" t="s">
        <v>3316</v>
      </c>
      <c r="F705" s="244" t="s">
        <v>4914</v>
      </c>
      <c r="G705" s="235" t="s">
        <v>2579</v>
      </c>
      <c r="H705" s="236">
        <v>0.2</v>
      </c>
      <c r="I705" s="236">
        <v>0.01</v>
      </c>
      <c r="J705" s="233">
        <v>1</v>
      </c>
      <c r="K705" s="237"/>
      <c r="L705" s="235"/>
      <c r="M705" s="276"/>
      <c r="N705" s="279" t="s">
        <v>25</v>
      </c>
      <c r="O705" t="str">
        <f t="shared" si="11"/>
        <v>1981-D Memorial Penny</v>
      </c>
      <c r="S705" t="str" cm="1">
        <f t="array" ref="S705">_xlfn.REGEXEXTRACT(E705, "[0-9]{1,5}")</f>
        <v>1981</v>
      </c>
      <c r="T705" t="s">
        <v>4187</v>
      </c>
      <c r="U705" t="s">
        <v>3896</v>
      </c>
    </row>
    <row r="706" spans="1:21">
      <c r="A706" s="136">
        <v>1</v>
      </c>
      <c r="B706" s="233">
        <v>1981</v>
      </c>
      <c r="C706" s="234" t="s">
        <v>12</v>
      </c>
      <c r="D706" s="234" t="s">
        <v>4920</v>
      </c>
      <c r="E706" s="244" t="s">
        <v>3317</v>
      </c>
      <c r="F706" s="244" t="s">
        <v>4914</v>
      </c>
      <c r="G706" s="235" t="s">
        <v>2579</v>
      </c>
      <c r="H706" s="236">
        <v>0.5</v>
      </c>
      <c r="I706" s="236">
        <v>0.01</v>
      </c>
      <c r="J706" s="233">
        <v>1</v>
      </c>
      <c r="K706" s="237"/>
      <c r="L706" s="235"/>
      <c r="M706" s="276"/>
      <c r="N706" s="279" t="s">
        <v>25</v>
      </c>
      <c r="O706" t="str">
        <f t="shared" si="11"/>
        <v>1981-S Memorial Penny</v>
      </c>
      <c r="S706" t="str" cm="1">
        <f t="array" ref="S706">_xlfn.REGEXEXTRACT(E706, "[0-9]{1,5}")</f>
        <v>1981</v>
      </c>
      <c r="T706" t="s">
        <v>4187</v>
      </c>
      <c r="U706" t="s">
        <v>3896</v>
      </c>
    </row>
    <row r="707" spans="1:21">
      <c r="A707" s="136">
        <v>1</v>
      </c>
      <c r="B707" s="233">
        <v>1981</v>
      </c>
      <c r="C707" s="234"/>
      <c r="D707" s="234" t="s">
        <v>4920</v>
      </c>
      <c r="E707" s="244" t="s">
        <v>3318</v>
      </c>
      <c r="F707" s="244" t="s">
        <v>4914</v>
      </c>
      <c r="G707" s="235" t="s">
        <v>2579</v>
      </c>
      <c r="H707" s="236">
        <v>0.01</v>
      </c>
      <c r="I707" s="236">
        <v>0.01</v>
      </c>
      <c r="J707" s="233">
        <v>3</v>
      </c>
      <c r="K707" s="237"/>
      <c r="L707" s="235"/>
      <c r="M707" s="276"/>
      <c r="N707" s="279" t="s">
        <v>25</v>
      </c>
      <c r="O707" t="str">
        <f t="shared" si="11"/>
        <v>1981 Memorial Penny</v>
      </c>
      <c r="S707" t="str" cm="1">
        <f t="array" ref="S707">_xlfn.REGEXEXTRACT(E707, "[0-9]{1,5}")</f>
        <v>1981</v>
      </c>
      <c r="T707" t="s">
        <v>4187</v>
      </c>
      <c r="U707" t="s">
        <v>3896</v>
      </c>
    </row>
    <row r="708" spans="1:21">
      <c r="A708" s="136">
        <v>1</v>
      </c>
      <c r="B708" s="233">
        <v>1981</v>
      </c>
      <c r="C708" s="234" t="s">
        <v>13</v>
      </c>
      <c r="D708" s="234" t="s">
        <v>4920</v>
      </c>
      <c r="E708" s="244" t="s">
        <v>3319</v>
      </c>
      <c r="F708" s="244" t="s">
        <v>4914</v>
      </c>
      <c r="G708" s="235" t="s">
        <v>2579</v>
      </c>
      <c r="H708" s="236">
        <v>0.2</v>
      </c>
      <c r="I708" s="236">
        <v>1</v>
      </c>
      <c r="J708" s="233">
        <v>1</v>
      </c>
      <c r="K708" s="237"/>
      <c r="L708" s="235"/>
      <c r="M708" s="276"/>
      <c r="N708" s="279" t="s">
        <v>25</v>
      </c>
      <c r="O708" t="str">
        <f t="shared" ref="O708:O771" si="12">IF(C708&lt;&gt;"",B708&amp;"-"&amp;C708&amp;" "&amp;F708,B708&amp;" "&amp;F708)</f>
        <v>1981-D Memorial Penny</v>
      </c>
      <c r="S708" t="str" cm="1">
        <f t="array" ref="S708">_xlfn.REGEXEXTRACT(E708, "[0-9]{1,5}")</f>
        <v>1981</v>
      </c>
      <c r="T708" t="s">
        <v>4187</v>
      </c>
      <c r="U708" t="s">
        <v>3896</v>
      </c>
    </row>
    <row r="709" spans="1:21">
      <c r="A709" s="136">
        <v>1</v>
      </c>
      <c r="B709" s="233">
        <v>1981</v>
      </c>
      <c r="C709" s="234" t="s">
        <v>12</v>
      </c>
      <c r="D709" s="234" t="s">
        <v>4920</v>
      </c>
      <c r="E709" s="244" t="s">
        <v>3320</v>
      </c>
      <c r="F709" s="244" t="s">
        <v>4914</v>
      </c>
      <c r="G709" s="235" t="s">
        <v>2579</v>
      </c>
      <c r="H709" s="236">
        <v>0.5</v>
      </c>
      <c r="I709" s="236">
        <v>0.01</v>
      </c>
      <c r="J709" s="233">
        <v>1</v>
      </c>
      <c r="K709" s="237"/>
      <c r="L709" s="235"/>
      <c r="M709" s="276"/>
      <c r="N709" s="279" t="s">
        <v>25</v>
      </c>
      <c r="O709" t="str">
        <f t="shared" si="12"/>
        <v>1981-S Memorial Penny</v>
      </c>
      <c r="S709" t="str" cm="1">
        <f t="array" ref="S709">_xlfn.REGEXEXTRACT(E709, "[0-9]{1,5}")</f>
        <v>1981</v>
      </c>
      <c r="T709" t="s">
        <v>4187</v>
      </c>
      <c r="U709" t="s">
        <v>3896</v>
      </c>
    </row>
    <row r="710" spans="1:21">
      <c r="A710" s="136">
        <v>1</v>
      </c>
      <c r="B710" s="233">
        <v>1981</v>
      </c>
      <c r="C710" s="234" t="s">
        <v>13</v>
      </c>
      <c r="D710" s="234" t="s">
        <v>4920</v>
      </c>
      <c r="E710" s="244" t="s">
        <v>3321</v>
      </c>
      <c r="F710" s="244" t="s">
        <v>4914</v>
      </c>
      <c r="G710" s="235" t="s">
        <v>2579</v>
      </c>
      <c r="H710" s="236">
        <v>0.01</v>
      </c>
      <c r="I710" s="236">
        <v>0.01</v>
      </c>
      <c r="J710" s="233">
        <v>1</v>
      </c>
      <c r="K710" s="237"/>
      <c r="L710" s="235"/>
      <c r="M710" s="276"/>
      <c r="N710" s="279" t="s">
        <v>25</v>
      </c>
      <c r="O710" t="str">
        <f t="shared" si="12"/>
        <v>1981-D Memorial Penny</v>
      </c>
      <c r="S710" t="str" cm="1">
        <f t="array" ref="S710">_xlfn.REGEXEXTRACT(E710, "[0-9]{1,5}")</f>
        <v>1981</v>
      </c>
      <c r="T710" t="s">
        <v>4187</v>
      </c>
      <c r="U710" t="s">
        <v>3896</v>
      </c>
    </row>
    <row r="711" spans="1:21">
      <c r="A711" s="136">
        <v>1</v>
      </c>
      <c r="B711" s="233">
        <v>1981</v>
      </c>
      <c r="C711" s="234" t="s">
        <v>13</v>
      </c>
      <c r="D711" s="234" t="s">
        <v>4920</v>
      </c>
      <c r="E711" s="244" t="s">
        <v>3322</v>
      </c>
      <c r="F711" s="244" t="s">
        <v>4914</v>
      </c>
      <c r="G711" s="235" t="s">
        <v>2579</v>
      </c>
      <c r="H711" s="236">
        <v>0.01</v>
      </c>
      <c r="I711" s="236">
        <v>0.01</v>
      </c>
      <c r="J711" s="233">
        <v>1</v>
      </c>
      <c r="K711" s="237"/>
      <c r="L711" s="235"/>
      <c r="M711" s="276"/>
      <c r="N711" s="279" t="s">
        <v>25</v>
      </c>
      <c r="O711" t="str">
        <f t="shared" si="12"/>
        <v>1981-D Memorial Penny</v>
      </c>
      <c r="S711" t="str" cm="1">
        <f t="array" ref="S711">_xlfn.REGEXEXTRACT(E711, "[0-9]{1,5}")</f>
        <v>1981</v>
      </c>
      <c r="T711" t="s">
        <v>4187</v>
      </c>
      <c r="U711" t="s">
        <v>3896</v>
      </c>
    </row>
    <row r="712" spans="1:21">
      <c r="A712" s="136">
        <v>1</v>
      </c>
      <c r="B712" s="233">
        <v>1981</v>
      </c>
      <c r="C712" s="234" t="s">
        <v>13</v>
      </c>
      <c r="D712" s="234" t="s">
        <v>4920</v>
      </c>
      <c r="E712" s="244" t="s">
        <v>3323</v>
      </c>
      <c r="F712" s="244" t="s">
        <v>4914</v>
      </c>
      <c r="G712" s="235" t="s">
        <v>2579</v>
      </c>
      <c r="H712" s="236">
        <v>0.01</v>
      </c>
      <c r="I712" s="236">
        <v>0.01</v>
      </c>
      <c r="J712" s="233">
        <v>1</v>
      </c>
      <c r="K712" s="237"/>
      <c r="L712" s="235"/>
      <c r="M712" s="276"/>
      <c r="N712" s="279" t="s">
        <v>25</v>
      </c>
      <c r="O712" t="str">
        <f t="shared" si="12"/>
        <v>1981-D Memorial Penny</v>
      </c>
      <c r="S712" t="str" cm="1">
        <f t="array" ref="S712">_xlfn.REGEXEXTRACT(E712, "[0-9]{1,5}")</f>
        <v>1981</v>
      </c>
      <c r="T712" t="s">
        <v>4187</v>
      </c>
      <c r="U712" t="s">
        <v>3896</v>
      </c>
    </row>
    <row r="713" spans="1:21">
      <c r="A713" s="136">
        <v>1</v>
      </c>
      <c r="B713" s="233">
        <v>1982</v>
      </c>
      <c r="C713" s="234"/>
      <c r="D713" s="234" t="s">
        <v>4920</v>
      </c>
      <c r="E713" s="244" t="s">
        <v>3324</v>
      </c>
      <c r="F713" s="244" t="s">
        <v>4914</v>
      </c>
      <c r="G713" s="235" t="s">
        <v>2579</v>
      </c>
      <c r="H713" s="236">
        <v>0.01</v>
      </c>
      <c r="I713" s="236">
        <v>0.1</v>
      </c>
      <c r="J713" s="233">
        <v>1</v>
      </c>
      <c r="K713" s="237"/>
      <c r="L713" s="235"/>
      <c r="M713" s="276"/>
      <c r="N713" s="279" t="s">
        <v>25</v>
      </c>
      <c r="O713" t="str">
        <f t="shared" si="12"/>
        <v>1982 Memorial Penny</v>
      </c>
      <c r="S713" t="str" cm="1">
        <f t="array" ref="S713">_xlfn.REGEXEXTRACT(E713, "[0-9]{1,5}")</f>
        <v>1982</v>
      </c>
      <c r="T713" t="s">
        <v>4188</v>
      </c>
      <c r="U713" t="s">
        <v>3896</v>
      </c>
    </row>
    <row r="714" spans="1:21">
      <c r="A714" s="136">
        <v>1</v>
      </c>
      <c r="B714" s="233">
        <v>1982</v>
      </c>
      <c r="C714" s="234" t="s">
        <v>24</v>
      </c>
      <c r="D714" s="234" t="s">
        <v>4920</v>
      </c>
      <c r="E714" s="244" t="s">
        <v>3325</v>
      </c>
      <c r="F714" s="244" t="s">
        <v>4914</v>
      </c>
      <c r="G714" s="235" t="s">
        <v>2579</v>
      </c>
      <c r="H714" s="236">
        <v>0.01</v>
      </c>
      <c r="I714" s="236">
        <v>0.05</v>
      </c>
      <c r="J714" s="233">
        <v>1</v>
      </c>
      <c r="K714" s="237"/>
      <c r="L714" s="235"/>
      <c r="M714" s="276"/>
      <c r="N714" s="279" t="s">
        <v>25</v>
      </c>
      <c r="O714" t="str">
        <f t="shared" si="12"/>
        <v>1982- D Memorial Penny</v>
      </c>
      <c r="S714" t="str" cm="1">
        <f t="array" ref="S714">_xlfn.REGEXEXTRACT(E714, "[0-9]{1,5}")</f>
        <v>1982</v>
      </c>
      <c r="T714" t="s">
        <v>4188</v>
      </c>
      <c r="U714" t="s">
        <v>3896</v>
      </c>
    </row>
    <row r="715" spans="1:21">
      <c r="A715" s="136">
        <v>1</v>
      </c>
      <c r="B715" s="233">
        <v>1982</v>
      </c>
      <c r="C715" s="234" t="s">
        <v>24</v>
      </c>
      <c r="D715" s="234" t="s">
        <v>4920</v>
      </c>
      <c r="E715" s="244" t="s">
        <v>3326</v>
      </c>
      <c r="F715" s="244" t="s">
        <v>4914</v>
      </c>
      <c r="G715" s="235" t="s">
        <v>2579</v>
      </c>
      <c r="H715" s="236">
        <v>0.01</v>
      </c>
      <c r="I715" s="236">
        <v>0.08</v>
      </c>
      <c r="J715" s="233">
        <v>1</v>
      </c>
      <c r="K715" s="237"/>
      <c r="L715" s="235"/>
      <c r="M715" s="276"/>
      <c r="N715" s="279" t="s">
        <v>25</v>
      </c>
      <c r="O715" t="str">
        <f t="shared" si="12"/>
        <v>1982- D Memorial Penny</v>
      </c>
      <c r="S715" t="str" cm="1">
        <f t="array" ref="S715">_xlfn.REGEXEXTRACT(E715, "[0-9]{1,5}")</f>
        <v>1982</v>
      </c>
      <c r="T715" t="s">
        <v>4188</v>
      </c>
      <c r="U715" t="s">
        <v>3896</v>
      </c>
    </row>
    <row r="716" spans="1:21">
      <c r="A716" s="136">
        <v>1</v>
      </c>
      <c r="B716" s="233">
        <v>1982</v>
      </c>
      <c r="C716" s="234" t="s">
        <v>24</v>
      </c>
      <c r="D716" s="234" t="s">
        <v>4920</v>
      </c>
      <c r="E716" s="244" t="s">
        <v>3327</v>
      </c>
      <c r="F716" s="244" t="s">
        <v>4914</v>
      </c>
      <c r="G716" s="235" t="s">
        <v>2579</v>
      </c>
      <c r="H716" s="236">
        <v>0.01</v>
      </c>
      <c r="I716" s="236">
        <v>0.05</v>
      </c>
      <c r="J716" s="233">
        <v>1</v>
      </c>
      <c r="K716" s="237"/>
      <c r="L716" s="235"/>
      <c r="M716" s="276"/>
      <c r="N716" s="279" t="s">
        <v>25</v>
      </c>
      <c r="O716" t="str">
        <f t="shared" si="12"/>
        <v>1982- D Memorial Penny</v>
      </c>
      <c r="S716" t="str" cm="1">
        <f t="array" ref="S716">_xlfn.REGEXEXTRACT(E716, "[0-9]{1,5}")</f>
        <v>1982</v>
      </c>
      <c r="T716" t="s">
        <v>4188</v>
      </c>
      <c r="U716" t="s">
        <v>3896</v>
      </c>
    </row>
    <row r="717" spans="1:21">
      <c r="A717" s="136">
        <v>1</v>
      </c>
      <c r="B717" s="233">
        <v>1982</v>
      </c>
      <c r="C717" s="234"/>
      <c r="D717" s="234" t="s">
        <v>4920</v>
      </c>
      <c r="E717" s="244" t="s">
        <v>3328</v>
      </c>
      <c r="F717" s="244" t="s">
        <v>4914</v>
      </c>
      <c r="G717" s="235" t="s">
        <v>2579</v>
      </c>
      <c r="H717" s="236">
        <v>0.01</v>
      </c>
      <c r="I717" s="236">
        <v>0.1</v>
      </c>
      <c r="J717" s="233">
        <v>1</v>
      </c>
      <c r="K717" s="237"/>
      <c r="L717" s="235"/>
      <c r="M717" s="276"/>
      <c r="N717" s="279" t="s">
        <v>25</v>
      </c>
      <c r="O717" t="str">
        <f t="shared" si="12"/>
        <v>1982 Memorial Penny</v>
      </c>
      <c r="S717" t="str" cm="1">
        <f t="array" ref="S717">_xlfn.REGEXEXTRACT(E717, "[0-9]{1,5}")</f>
        <v>1982</v>
      </c>
      <c r="T717" t="s">
        <v>4188</v>
      </c>
      <c r="U717" t="s">
        <v>3896</v>
      </c>
    </row>
    <row r="718" spans="1:21">
      <c r="A718" s="136">
        <v>1</v>
      </c>
      <c r="B718" s="233">
        <v>1982</v>
      </c>
      <c r="C718" s="234"/>
      <c r="D718" s="234" t="s">
        <v>4920</v>
      </c>
      <c r="E718" s="244" t="s">
        <v>3329</v>
      </c>
      <c r="F718" s="244" t="s">
        <v>4914</v>
      </c>
      <c r="G718" s="235" t="s">
        <v>2579</v>
      </c>
      <c r="H718" s="236">
        <v>0.01</v>
      </c>
      <c r="I718" s="236">
        <v>0.08</v>
      </c>
      <c r="J718" s="233">
        <v>1</v>
      </c>
      <c r="K718" s="237"/>
      <c r="L718" s="235"/>
      <c r="M718" s="276"/>
      <c r="N718" s="279" t="s">
        <v>25</v>
      </c>
      <c r="O718" t="str">
        <f t="shared" si="12"/>
        <v>1982 Memorial Penny</v>
      </c>
      <c r="S718" t="str" cm="1">
        <f t="array" ref="S718">_xlfn.REGEXEXTRACT(E718, "[0-9]{1,5}")</f>
        <v>1982</v>
      </c>
      <c r="T718" t="s">
        <v>4188</v>
      </c>
      <c r="U718" t="s">
        <v>3896</v>
      </c>
    </row>
    <row r="719" spans="1:21">
      <c r="A719" s="136">
        <v>1</v>
      </c>
      <c r="B719" s="233">
        <v>1982</v>
      </c>
      <c r="C719" s="234"/>
      <c r="D719" s="234" t="s">
        <v>4920</v>
      </c>
      <c r="E719" s="244" t="s">
        <v>3330</v>
      </c>
      <c r="F719" s="244" t="s">
        <v>4914</v>
      </c>
      <c r="G719" s="235" t="s">
        <v>2579</v>
      </c>
      <c r="H719" s="236">
        <v>0.01</v>
      </c>
      <c r="I719" s="236">
        <v>0.1</v>
      </c>
      <c r="J719" s="233">
        <v>1</v>
      </c>
      <c r="K719" s="237"/>
      <c r="L719" s="235"/>
      <c r="M719" s="276"/>
      <c r="N719" s="279" t="s">
        <v>25</v>
      </c>
      <c r="O719" t="str">
        <f t="shared" si="12"/>
        <v>1982 Memorial Penny</v>
      </c>
      <c r="S719" t="str" cm="1">
        <f t="array" ref="S719">_xlfn.REGEXEXTRACT(E719, "[0-9]{1,5}")</f>
        <v>1982</v>
      </c>
      <c r="T719" t="s">
        <v>4188</v>
      </c>
      <c r="U719" t="s">
        <v>3896</v>
      </c>
    </row>
    <row r="720" spans="1:21">
      <c r="A720" s="136">
        <v>1</v>
      </c>
      <c r="B720" s="233">
        <v>1982</v>
      </c>
      <c r="C720" s="234"/>
      <c r="D720" s="234" t="s">
        <v>4920</v>
      </c>
      <c r="E720" s="244" t="s">
        <v>3331</v>
      </c>
      <c r="F720" s="244" t="s">
        <v>4914</v>
      </c>
      <c r="G720" s="235" t="s">
        <v>2579</v>
      </c>
      <c r="H720" s="236">
        <v>0.01</v>
      </c>
      <c r="I720" s="236">
        <v>0.08</v>
      </c>
      <c r="J720" s="233">
        <v>1</v>
      </c>
      <c r="K720" s="237"/>
      <c r="L720" s="235"/>
      <c r="M720" s="276"/>
      <c r="N720" s="279" t="s">
        <v>25</v>
      </c>
      <c r="O720" t="str">
        <f t="shared" si="12"/>
        <v>1982 Memorial Penny</v>
      </c>
      <c r="S720" t="str" cm="1">
        <f t="array" ref="S720">_xlfn.REGEXEXTRACT(E720, "[0-9]{1,5}")</f>
        <v>1982</v>
      </c>
      <c r="T720" t="s">
        <v>4188</v>
      </c>
      <c r="U720" t="s">
        <v>3896</v>
      </c>
    </row>
    <row r="721" spans="1:21">
      <c r="A721" s="136">
        <v>1</v>
      </c>
      <c r="B721" s="233">
        <v>1982</v>
      </c>
      <c r="C721" s="234"/>
      <c r="D721" s="234" t="s">
        <v>4920</v>
      </c>
      <c r="E721" s="244" t="s">
        <v>3332</v>
      </c>
      <c r="F721" s="244" t="s">
        <v>4914</v>
      </c>
      <c r="G721" s="235" t="s">
        <v>2579</v>
      </c>
      <c r="H721" s="236">
        <v>0.01</v>
      </c>
      <c r="I721" s="236">
        <v>0.08</v>
      </c>
      <c r="J721" s="233">
        <v>1</v>
      </c>
      <c r="K721" s="237"/>
      <c r="L721" s="235"/>
      <c r="M721" s="276"/>
      <c r="N721" s="279" t="s">
        <v>25</v>
      </c>
      <c r="O721" t="str">
        <f t="shared" si="12"/>
        <v>1982 Memorial Penny</v>
      </c>
      <c r="S721" t="str" cm="1">
        <f t="array" ref="S721">_xlfn.REGEXEXTRACT(E721, "[0-9]{1,5}")</f>
        <v>1982</v>
      </c>
      <c r="T721" t="s">
        <v>4188</v>
      </c>
      <c r="U721" t="s">
        <v>3896</v>
      </c>
    </row>
    <row r="722" spans="1:21">
      <c r="A722" s="136">
        <v>1</v>
      </c>
      <c r="B722" s="233">
        <v>1982</v>
      </c>
      <c r="C722" s="234"/>
      <c r="D722" s="234" t="s">
        <v>4920</v>
      </c>
      <c r="E722" s="244" t="s">
        <v>3333</v>
      </c>
      <c r="F722" s="244" t="s">
        <v>4914</v>
      </c>
      <c r="G722" s="235" t="s">
        <v>2579</v>
      </c>
      <c r="H722" s="236">
        <v>0.03</v>
      </c>
      <c r="I722" s="236">
        <v>0.03</v>
      </c>
      <c r="J722" s="233">
        <v>3</v>
      </c>
      <c r="K722" s="237"/>
      <c r="L722" s="235"/>
      <c r="M722" s="276"/>
      <c r="N722" s="279" t="s">
        <v>25</v>
      </c>
      <c r="O722" t="str">
        <f t="shared" si="12"/>
        <v>1982 Memorial Penny</v>
      </c>
      <c r="S722" t="str" cm="1">
        <f t="array" ref="S722">_xlfn.REGEXEXTRACT(E722, "[0-9]{1,5}")</f>
        <v>1982</v>
      </c>
      <c r="T722" t="s">
        <v>4188</v>
      </c>
      <c r="U722" t="s">
        <v>3896</v>
      </c>
    </row>
    <row r="723" spans="1:21">
      <c r="A723" s="136">
        <v>1</v>
      </c>
      <c r="B723" s="233">
        <v>1982</v>
      </c>
      <c r="C723" s="234" t="s">
        <v>12</v>
      </c>
      <c r="D723" s="234" t="s">
        <v>4920</v>
      </c>
      <c r="E723" s="244" t="s">
        <v>3334</v>
      </c>
      <c r="F723" s="244" t="s">
        <v>5207</v>
      </c>
      <c r="G723" s="235" t="s">
        <v>2584</v>
      </c>
      <c r="H723" s="236">
        <v>0.9</v>
      </c>
      <c r="I723" s="236">
        <v>0.9</v>
      </c>
      <c r="J723" s="233">
        <v>1</v>
      </c>
      <c r="K723" s="237"/>
      <c r="L723" s="235"/>
      <c r="M723" s="276"/>
      <c r="N723" s="279" t="s">
        <v>25</v>
      </c>
      <c r="O723" t="str">
        <f t="shared" si="12"/>
        <v>1982-S Memorial Penny Proof</v>
      </c>
      <c r="S723" t="str" cm="1">
        <f t="array" ref="S723">_xlfn.REGEXEXTRACT(E723, "[0-9]{1,5}")</f>
        <v>1982</v>
      </c>
      <c r="T723" t="s">
        <v>4188</v>
      </c>
      <c r="U723" t="s">
        <v>3896</v>
      </c>
    </row>
    <row r="724" spans="1:21">
      <c r="A724" s="136">
        <v>1</v>
      </c>
      <c r="B724" s="233">
        <v>1982</v>
      </c>
      <c r="C724" s="234" t="s">
        <v>13</v>
      </c>
      <c r="D724" s="234" t="s">
        <v>4920</v>
      </c>
      <c r="E724" s="244" t="s">
        <v>3335</v>
      </c>
      <c r="F724" s="244" t="s">
        <v>4914</v>
      </c>
      <c r="G724" s="235" t="s">
        <v>2579</v>
      </c>
      <c r="H724" s="236">
        <v>0.03</v>
      </c>
      <c r="I724" s="236">
        <v>0.03</v>
      </c>
      <c r="J724" s="233">
        <v>3</v>
      </c>
      <c r="K724" s="237"/>
      <c r="L724" s="235"/>
      <c r="M724" s="276"/>
      <c r="N724" s="279" t="s">
        <v>25</v>
      </c>
      <c r="O724" t="str">
        <f t="shared" si="12"/>
        <v>1982-D Memorial Penny</v>
      </c>
      <c r="S724" t="str" cm="1">
        <f t="array" ref="S724">_xlfn.REGEXEXTRACT(E724, "[0-9]{1,5}")</f>
        <v>1982</v>
      </c>
      <c r="T724" t="s">
        <v>4188</v>
      </c>
      <c r="U724" t="s">
        <v>3896</v>
      </c>
    </row>
    <row r="725" spans="1:21">
      <c r="A725" s="136">
        <v>1</v>
      </c>
      <c r="B725" s="233">
        <v>1982</v>
      </c>
      <c r="C725" s="234" t="s">
        <v>12</v>
      </c>
      <c r="D725" s="234" t="s">
        <v>4920</v>
      </c>
      <c r="E725" s="244" t="s">
        <v>3336</v>
      </c>
      <c r="F725" s="244" t="s">
        <v>5207</v>
      </c>
      <c r="G725" s="235" t="s">
        <v>2584</v>
      </c>
      <c r="H725" s="236">
        <v>1.1000000000000001</v>
      </c>
      <c r="I725" s="236">
        <v>1.1000000000000001</v>
      </c>
      <c r="J725" s="233">
        <v>1</v>
      </c>
      <c r="K725" s="237"/>
      <c r="L725" s="235"/>
      <c r="M725" s="276"/>
      <c r="N725" s="279" t="s">
        <v>25</v>
      </c>
      <c r="O725" t="str">
        <f t="shared" si="12"/>
        <v>1982-S Memorial Penny Proof</v>
      </c>
      <c r="S725" t="str" cm="1">
        <f t="array" ref="S725">_xlfn.REGEXEXTRACT(E725, "[0-9]{1,5}")</f>
        <v>1982</v>
      </c>
      <c r="T725" t="s">
        <v>4188</v>
      </c>
      <c r="U725" t="s">
        <v>3896</v>
      </c>
    </row>
    <row r="726" spans="1:21">
      <c r="A726" s="136">
        <v>1</v>
      </c>
      <c r="B726" s="233">
        <v>1983</v>
      </c>
      <c r="C726" s="234"/>
      <c r="D726" s="234" t="s">
        <v>4920</v>
      </c>
      <c r="E726" s="244" t="s">
        <v>3337</v>
      </c>
      <c r="F726" s="244" t="s">
        <v>4914</v>
      </c>
      <c r="G726" s="235" t="s">
        <v>2579</v>
      </c>
      <c r="H726" s="236">
        <v>0.01</v>
      </c>
      <c r="I726" s="236">
        <v>0.08</v>
      </c>
      <c r="J726" s="233">
        <v>1</v>
      </c>
      <c r="K726" s="237"/>
      <c r="L726" s="235"/>
      <c r="M726" s="276"/>
      <c r="N726" s="279" t="s">
        <v>25</v>
      </c>
      <c r="O726" t="str">
        <f t="shared" si="12"/>
        <v>1983 Memorial Penny</v>
      </c>
      <c r="S726" t="str" cm="1">
        <f t="array" ref="S726">_xlfn.REGEXEXTRACT(E726, "[0-9]{1,5}")</f>
        <v>1983</v>
      </c>
      <c r="T726" t="s">
        <v>4189</v>
      </c>
      <c r="U726" t="s">
        <v>3896</v>
      </c>
    </row>
    <row r="727" spans="1:21">
      <c r="A727" s="136">
        <v>1</v>
      </c>
      <c r="B727" s="233">
        <v>1983</v>
      </c>
      <c r="C727" s="234" t="s">
        <v>24</v>
      </c>
      <c r="D727" s="234" t="s">
        <v>4920</v>
      </c>
      <c r="E727" s="244" t="s">
        <v>3338</v>
      </c>
      <c r="F727" s="244" t="s">
        <v>4914</v>
      </c>
      <c r="G727" s="235" t="s">
        <v>2579</v>
      </c>
      <c r="H727" s="236">
        <v>0.01</v>
      </c>
      <c r="I727" s="236">
        <v>0.08</v>
      </c>
      <c r="J727" s="233">
        <v>1</v>
      </c>
      <c r="K727" s="237"/>
      <c r="L727" s="235"/>
      <c r="M727" s="276"/>
      <c r="N727" s="279" t="s">
        <v>25</v>
      </c>
      <c r="O727" t="str">
        <f t="shared" si="12"/>
        <v>1983- D Memorial Penny</v>
      </c>
      <c r="S727" t="str" cm="1">
        <f t="array" ref="S727">_xlfn.REGEXEXTRACT(E727, "[0-9]{1,5}")</f>
        <v>1983</v>
      </c>
      <c r="T727" t="s">
        <v>4189</v>
      </c>
      <c r="U727" t="s">
        <v>3896</v>
      </c>
    </row>
    <row r="728" spans="1:21">
      <c r="A728" s="136">
        <v>1</v>
      </c>
      <c r="B728" s="233">
        <v>1983</v>
      </c>
      <c r="C728" s="234" t="s">
        <v>24</v>
      </c>
      <c r="D728" s="234" t="s">
        <v>4920</v>
      </c>
      <c r="E728" s="244" t="s">
        <v>3339</v>
      </c>
      <c r="F728" s="244" t="s">
        <v>4914</v>
      </c>
      <c r="G728" s="235" t="s">
        <v>2579</v>
      </c>
      <c r="H728" s="236">
        <v>0.01</v>
      </c>
      <c r="I728" s="236">
        <v>0.05</v>
      </c>
      <c r="J728" s="233">
        <v>1</v>
      </c>
      <c r="K728" s="237"/>
      <c r="L728" s="235"/>
      <c r="M728" s="276"/>
      <c r="N728" s="279" t="s">
        <v>25</v>
      </c>
      <c r="O728" t="str">
        <f t="shared" si="12"/>
        <v>1983- D Memorial Penny</v>
      </c>
      <c r="S728" t="str" cm="1">
        <f t="array" ref="S728">_xlfn.REGEXEXTRACT(E728, "[0-9]{1,5}")</f>
        <v>1983</v>
      </c>
      <c r="T728" t="s">
        <v>4189</v>
      </c>
      <c r="U728" t="s">
        <v>3896</v>
      </c>
    </row>
    <row r="729" spans="1:21">
      <c r="A729" s="136">
        <v>1</v>
      </c>
      <c r="B729" s="233">
        <v>1983</v>
      </c>
      <c r="C729" s="234" t="s">
        <v>24</v>
      </c>
      <c r="D729" s="234" t="s">
        <v>4920</v>
      </c>
      <c r="E729" s="244" t="s">
        <v>3340</v>
      </c>
      <c r="F729" s="244" t="s">
        <v>4914</v>
      </c>
      <c r="G729" s="235" t="s">
        <v>2579</v>
      </c>
      <c r="H729" s="236">
        <v>0.01</v>
      </c>
      <c r="I729" s="236">
        <v>0.08</v>
      </c>
      <c r="J729" s="233">
        <v>1</v>
      </c>
      <c r="K729" s="237"/>
      <c r="L729" s="235"/>
      <c r="M729" s="276"/>
      <c r="N729" s="279" t="s">
        <v>25</v>
      </c>
      <c r="O729" t="str">
        <f t="shared" si="12"/>
        <v>1983- D Memorial Penny</v>
      </c>
      <c r="S729" t="str" cm="1">
        <f t="array" ref="S729">_xlfn.REGEXEXTRACT(E729, "[0-9]{1,5}")</f>
        <v>1983</v>
      </c>
      <c r="T729" t="s">
        <v>4189</v>
      </c>
      <c r="U729" t="s">
        <v>3896</v>
      </c>
    </row>
    <row r="730" spans="1:21">
      <c r="A730" s="136">
        <v>1</v>
      </c>
      <c r="B730" s="233">
        <v>1983</v>
      </c>
      <c r="C730" s="234" t="s">
        <v>24</v>
      </c>
      <c r="D730" s="234" t="s">
        <v>4920</v>
      </c>
      <c r="E730" s="244" t="s">
        <v>3341</v>
      </c>
      <c r="F730" s="244" t="s">
        <v>4914</v>
      </c>
      <c r="G730" s="235" t="s">
        <v>2579</v>
      </c>
      <c r="H730" s="236">
        <v>0.01</v>
      </c>
      <c r="I730" s="236">
        <v>0.1</v>
      </c>
      <c r="J730" s="233">
        <v>1</v>
      </c>
      <c r="K730" s="237"/>
      <c r="L730" s="235"/>
      <c r="M730" s="276"/>
      <c r="N730" s="279" t="s">
        <v>25</v>
      </c>
      <c r="O730" t="str">
        <f t="shared" si="12"/>
        <v>1983- D Memorial Penny</v>
      </c>
      <c r="S730" t="str" cm="1">
        <f t="array" ref="S730">_xlfn.REGEXEXTRACT(E730, "[0-9]{1,5}")</f>
        <v>1983</v>
      </c>
      <c r="T730" t="s">
        <v>4189</v>
      </c>
      <c r="U730" t="s">
        <v>3896</v>
      </c>
    </row>
    <row r="731" spans="1:21">
      <c r="A731" s="136">
        <v>1</v>
      </c>
      <c r="B731" s="233">
        <v>1983</v>
      </c>
      <c r="C731" s="234" t="s">
        <v>24</v>
      </c>
      <c r="D731" s="234" t="s">
        <v>4920</v>
      </c>
      <c r="E731" s="244" t="s">
        <v>3342</v>
      </c>
      <c r="F731" s="244" t="s">
        <v>4914</v>
      </c>
      <c r="G731" s="235" t="s">
        <v>2579</v>
      </c>
      <c r="H731" s="236">
        <v>0.01</v>
      </c>
      <c r="I731" s="236">
        <v>0.08</v>
      </c>
      <c r="J731" s="233">
        <v>1</v>
      </c>
      <c r="K731" s="237"/>
      <c r="L731" s="235"/>
      <c r="M731" s="276"/>
      <c r="N731" s="279" t="s">
        <v>25</v>
      </c>
      <c r="O731" t="str">
        <f t="shared" si="12"/>
        <v>1983- D Memorial Penny</v>
      </c>
      <c r="S731" t="str" cm="1">
        <f t="array" ref="S731">_xlfn.REGEXEXTRACT(E731, "[0-9]{1,5}")</f>
        <v>1983</v>
      </c>
      <c r="T731" t="s">
        <v>4189</v>
      </c>
      <c r="U731" t="s">
        <v>3896</v>
      </c>
    </row>
    <row r="732" spans="1:21">
      <c r="A732" s="136">
        <v>1</v>
      </c>
      <c r="B732" s="233">
        <v>1983</v>
      </c>
      <c r="C732" s="234"/>
      <c r="D732" s="234" t="s">
        <v>4920</v>
      </c>
      <c r="E732" s="244" t="s">
        <v>3343</v>
      </c>
      <c r="F732" s="244" t="s">
        <v>4914</v>
      </c>
      <c r="G732" s="235" t="s">
        <v>2579</v>
      </c>
      <c r="H732" s="236">
        <v>0.01</v>
      </c>
      <c r="I732" s="236">
        <v>0.08</v>
      </c>
      <c r="J732" s="233">
        <v>1</v>
      </c>
      <c r="K732" s="237"/>
      <c r="L732" s="235"/>
      <c r="M732" s="276"/>
      <c r="N732" s="279" t="s">
        <v>25</v>
      </c>
      <c r="O732" t="str">
        <f t="shared" si="12"/>
        <v>1983 Memorial Penny</v>
      </c>
      <c r="S732" t="str" cm="1">
        <f t="array" ref="S732">_xlfn.REGEXEXTRACT(E732, "[0-9]{1,5}")</f>
        <v>1983</v>
      </c>
      <c r="T732" t="s">
        <v>4189</v>
      </c>
      <c r="U732" t="s">
        <v>3896</v>
      </c>
    </row>
    <row r="733" spans="1:21">
      <c r="A733" s="136">
        <v>1</v>
      </c>
      <c r="B733" s="233">
        <v>1983</v>
      </c>
      <c r="C733" s="234"/>
      <c r="D733" s="234" t="s">
        <v>4920</v>
      </c>
      <c r="E733" s="244" t="s">
        <v>3344</v>
      </c>
      <c r="F733" s="244" t="s">
        <v>4914</v>
      </c>
      <c r="G733" s="235" t="s">
        <v>2579</v>
      </c>
      <c r="H733" s="236">
        <v>0.01</v>
      </c>
      <c r="I733" s="236">
        <v>0.08</v>
      </c>
      <c r="J733" s="233">
        <v>1</v>
      </c>
      <c r="K733" s="237"/>
      <c r="L733" s="235"/>
      <c r="M733" s="276"/>
      <c r="N733" s="279" t="s">
        <v>25</v>
      </c>
      <c r="O733" t="str">
        <f t="shared" si="12"/>
        <v>1983 Memorial Penny</v>
      </c>
      <c r="S733" t="str" cm="1">
        <f t="array" ref="S733">_xlfn.REGEXEXTRACT(E733, "[0-9]{1,5}")</f>
        <v>1983</v>
      </c>
      <c r="T733" t="s">
        <v>4189</v>
      </c>
      <c r="U733" t="s">
        <v>3896</v>
      </c>
    </row>
    <row r="734" spans="1:21">
      <c r="A734" s="136">
        <v>1</v>
      </c>
      <c r="B734" s="233">
        <v>1983</v>
      </c>
      <c r="C734" s="234"/>
      <c r="D734" s="234" t="s">
        <v>4920</v>
      </c>
      <c r="E734" s="244" t="s">
        <v>3345</v>
      </c>
      <c r="F734" s="244" t="s">
        <v>4914</v>
      </c>
      <c r="G734" s="235" t="s">
        <v>2579</v>
      </c>
      <c r="H734" s="236">
        <v>0.01</v>
      </c>
      <c r="I734" s="236">
        <v>0.1</v>
      </c>
      <c r="J734" s="233">
        <v>1</v>
      </c>
      <c r="K734" s="237"/>
      <c r="L734" s="235"/>
      <c r="M734" s="276"/>
      <c r="N734" s="279" t="s">
        <v>25</v>
      </c>
      <c r="O734" t="str">
        <f t="shared" si="12"/>
        <v>1983 Memorial Penny</v>
      </c>
      <c r="S734" t="str" cm="1">
        <f t="array" ref="S734">_xlfn.REGEXEXTRACT(E734, "[0-9]{1,5}")</f>
        <v>1983</v>
      </c>
      <c r="T734" t="s">
        <v>4189</v>
      </c>
      <c r="U734" t="s">
        <v>3896</v>
      </c>
    </row>
    <row r="735" spans="1:21">
      <c r="A735" s="136">
        <v>1</v>
      </c>
      <c r="B735" s="233">
        <v>1983</v>
      </c>
      <c r="C735" s="234"/>
      <c r="D735" s="234" t="s">
        <v>4920</v>
      </c>
      <c r="E735" s="244" t="s">
        <v>3346</v>
      </c>
      <c r="F735" s="244" t="s">
        <v>4914</v>
      </c>
      <c r="G735" s="235" t="s">
        <v>2579</v>
      </c>
      <c r="H735" s="236">
        <v>0.01</v>
      </c>
      <c r="I735" s="236">
        <v>0.1</v>
      </c>
      <c r="J735" s="233">
        <v>1</v>
      </c>
      <c r="K735" s="237"/>
      <c r="L735" s="235"/>
      <c r="M735" s="276"/>
      <c r="N735" s="279" t="s">
        <v>25</v>
      </c>
      <c r="O735" t="str">
        <f t="shared" si="12"/>
        <v>1983 Memorial Penny</v>
      </c>
      <c r="S735" t="str" cm="1">
        <f t="array" ref="S735">_xlfn.REGEXEXTRACT(E735, "[0-9]{1,5}")</f>
        <v>1983</v>
      </c>
      <c r="T735" t="s">
        <v>4189</v>
      </c>
      <c r="U735" t="s">
        <v>3896</v>
      </c>
    </row>
    <row r="736" spans="1:21">
      <c r="A736" s="136">
        <v>1</v>
      </c>
      <c r="B736" s="233">
        <v>1983</v>
      </c>
      <c r="C736" s="234"/>
      <c r="D736" s="234" t="s">
        <v>4920</v>
      </c>
      <c r="E736" s="244" t="s">
        <v>3347</v>
      </c>
      <c r="F736" s="244" t="s">
        <v>4914</v>
      </c>
      <c r="G736" s="235" t="s">
        <v>2579</v>
      </c>
      <c r="H736" s="236">
        <v>0.01</v>
      </c>
      <c r="I736" s="236">
        <v>0.08</v>
      </c>
      <c r="J736" s="233">
        <v>1</v>
      </c>
      <c r="K736" s="237"/>
      <c r="L736" s="235"/>
      <c r="M736" s="276"/>
      <c r="N736" s="279" t="s">
        <v>25</v>
      </c>
      <c r="O736" t="str">
        <f t="shared" si="12"/>
        <v>1983 Memorial Penny</v>
      </c>
      <c r="S736" t="str" cm="1">
        <f t="array" ref="S736">_xlfn.REGEXEXTRACT(E736, "[0-9]{1,5}")</f>
        <v>1983</v>
      </c>
      <c r="T736" t="s">
        <v>4189</v>
      </c>
      <c r="U736" t="s">
        <v>3896</v>
      </c>
    </row>
    <row r="737" spans="1:21">
      <c r="A737" s="136">
        <v>1</v>
      </c>
      <c r="B737" s="233">
        <v>1983</v>
      </c>
      <c r="C737" s="234" t="s">
        <v>12</v>
      </c>
      <c r="D737" s="234" t="s">
        <v>4920</v>
      </c>
      <c r="E737" s="244" t="s">
        <v>3348</v>
      </c>
      <c r="F737" s="244" t="s">
        <v>5207</v>
      </c>
      <c r="G737" s="235" t="s">
        <v>2584</v>
      </c>
      <c r="H737" s="236">
        <v>0.75</v>
      </c>
      <c r="I737" s="236">
        <v>0.01</v>
      </c>
      <c r="J737" s="233">
        <v>1</v>
      </c>
      <c r="K737" s="237"/>
      <c r="L737" s="235"/>
      <c r="M737" s="276"/>
      <c r="N737" s="279" t="s">
        <v>25</v>
      </c>
      <c r="O737" t="str">
        <f t="shared" si="12"/>
        <v>1983-S Memorial Penny Proof</v>
      </c>
      <c r="S737" t="str" cm="1">
        <f t="array" ref="S737">_xlfn.REGEXEXTRACT(E737, "[0-9]{1,5}")</f>
        <v>1983</v>
      </c>
      <c r="T737" t="s">
        <v>4189</v>
      </c>
      <c r="U737" t="s">
        <v>3896</v>
      </c>
    </row>
    <row r="738" spans="1:21">
      <c r="A738" s="136">
        <v>1</v>
      </c>
      <c r="B738" s="233">
        <v>1983</v>
      </c>
      <c r="C738" s="234"/>
      <c r="D738" s="234" t="s">
        <v>4920</v>
      </c>
      <c r="E738" s="244" t="s">
        <v>3349</v>
      </c>
      <c r="F738" s="244" t="s">
        <v>4914</v>
      </c>
      <c r="G738" s="235" t="s">
        <v>2579</v>
      </c>
      <c r="H738" s="236">
        <v>0.01</v>
      </c>
      <c r="I738" s="236">
        <v>0.01</v>
      </c>
      <c r="J738" s="233">
        <v>1</v>
      </c>
      <c r="K738" s="237"/>
      <c r="L738" s="235"/>
      <c r="M738" s="276"/>
      <c r="N738" s="279" t="s">
        <v>25</v>
      </c>
      <c r="O738" t="str">
        <f t="shared" si="12"/>
        <v>1983 Memorial Penny</v>
      </c>
      <c r="S738" t="str" cm="1">
        <f t="array" ref="S738">_xlfn.REGEXEXTRACT(E738, "[0-9]{1,5}")</f>
        <v>1983</v>
      </c>
      <c r="T738" t="s">
        <v>4189</v>
      </c>
      <c r="U738" t="s">
        <v>3896</v>
      </c>
    </row>
    <row r="739" spans="1:21">
      <c r="A739" s="136">
        <v>1</v>
      </c>
      <c r="B739" s="233">
        <v>1983</v>
      </c>
      <c r="C739" s="234" t="s">
        <v>12</v>
      </c>
      <c r="D739" s="234" t="s">
        <v>4920</v>
      </c>
      <c r="E739" s="244" t="s">
        <v>3350</v>
      </c>
      <c r="F739" s="244" t="s">
        <v>5207</v>
      </c>
      <c r="G739" s="235" t="s">
        <v>2584</v>
      </c>
      <c r="H739" s="236">
        <v>0.9</v>
      </c>
      <c r="I739" s="236">
        <v>0.01</v>
      </c>
      <c r="J739" s="233">
        <v>1</v>
      </c>
      <c r="K739" s="237"/>
      <c r="L739" s="235"/>
      <c r="M739" s="276"/>
      <c r="N739" s="279" t="s">
        <v>25</v>
      </c>
      <c r="O739" t="str">
        <f t="shared" si="12"/>
        <v>1983-S Memorial Penny Proof</v>
      </c>
      <c r="S739" t="str" cm="1">
        <f t="array" ref="S739">_xlfn.REGEXEXTRACT(E739, "[0-9]{1,5}")</f>
        <v>1983</v>
      </c>
      <c r="T739" t="s">
        <v>4189</v>
      </c>
      <c r="U739" t="s">
        <v>3896</v>
      </c>
    </row>
    <row r="740" spans="1:21">
      <c r="A740" s="136">
        <v>1</v>
      </c>
      <c r="B740" s="233">
        <v>1983</v>
      </c>
      <c r="C740" s="234" t="s">
        <v>13</v>
      </c>
      <c r="D740" s="234" t="s">
        <v>4920</v>
      </c>
      <c r="E740" s="244" t="s">
        <v>3351</v>
      </c>
      <c r="F740" s="244" t="s">
        <v>4914</v>
      </c>
      <c r="G740" s="235" t="s">
        <v>2579</v>
      </c>
      <c r="H740" s="236">
        <v>0.01</v>
      </c>
      <c r="I740" s="236">
        <v>0.01</v>
      </c>
      <c r="J740" s="233">
        <v>1</v>
      </c>
      <c r="K740" s="237"/>
      <c r="L740" s="235"/>
      <c r="M740" s="276"/>
      <c r="N740" s="279" t="s">
        <v>25</v>
      </c>
      <c r="O740" t="str">
        <f t="shared" si="12"/>
        <v>1983-D Memorial Penny</v>
      </c>
      <c r="S740" t="str" cm="1">
        <f t="array" ref="S740">_xlfn.REGEXEXTRACT(E740, "[0-9]{1,5}")</f>
        <v>1983</v>
      </c>
      <c r="T740" t="s">
        <v>4189</v>
      </c>
      <c r="U740" t="s">
        <v>3896</v>
      </c>
    </row>
    <row r="741" spans="1:21">
      <c r="A741" s="136">
        <v>1</v>
      </c>
      <c r="B741" s="233">
        <v>1984</v>
      </c>
      <c r="C741" s="234"/>
      <c r="D741" s="234" t="s">
        <v>4920</v>
      </c>
      <c r="E741" s="244" t="s">
        <v>3352</v>
      </c>
      <c r="F741" s="244" t="s">
        <v>4914</v>
      </c>
      <c r="G741" s="235" t="s">
        <v>2579</v>
      </c>
      <c r="H741" s="236">
        <v>0.01</v>
      </c>
      <c r="I741" s="236">
        <v>0.1</v>
      </c>
      <c r="J741" s="233">
        <v>1</v>
      </c>
      <c r="K741" s="237"/>
      <c r="L741" s="235"/>
      <c r="M741" s="276"/>
      <c r="N741" s="279" t="s">
        <v>25</v>
      </c>
      <c r="O741" t="str">
        <f t="shared" si="12"/>
        <v>1984 Memorial Penny</v>
      </c>
      <c r="S741" t="str" cm="1">
        <f t="array" ref="S741">_xlfn.REGEXEXTRACT(E741, "[0-9]{1,5}")</f>
        <v>1984</v>
      </c>
      <c r="T741" t="s">
        <v>4190</v>
      </c>
      <c r="U741" t="s">
        <v>3896</v>
      </c>
    </row>
    <row r="742" spans="1:21">
      <c r="A742" s="136">
        <v>1</v>
      </c>
      <c r="B742" s="233">
        <v>1984</v>
      </c>
      <c r="C742" s="234"/>
      <c r="D742" s="234" t="s">
        <v>4920</v>
      </c>
      <c r="E742" s="244" t="s">
        <v>3353</v>
      </c>
      <c r="F742" s="244" t="s">
        <v>4914</v>
      </c>
      <c r="G742" s="235" t="s">
        <v>2579</v>
      </c>
      <c r="H742" s="236">
        <v>0.01</v>
      </c>
      <c r="I742" s="236">
        <v>0.1</v>
      </c>
      <c r="J742" s="233">
        <v>1</v>
      </c>
      <c r="K742" s="237"/>
      <c r="L742" s="235"/>
      <c r="M742" s="276"/>
      <c r="N742" s="279" t="s">
        <v>25</v>
      </c>
      <c r="O742" t="str">
        <f t="shared" si="12"/>
        <v>1984 Memorial Penny</v>
      </c>
      <c r="S742" t="str" cm="1">
        <f t="array" ref="S742">_xlfn.REGEXEXTRACT(E742, "[0-9]{1,5}")</f>
        <v>1984</v>
      </c>
      <c r="T742" t="s">
        <v>4190</v>
      </c>
      <c r="U742" t="s">
        <v>3896</v>
      </c>
    </row>
    <row r="743" spans="1:21">
      <c r="A743" s="136">
        <v>1</v>
      </c>
      <c r="B743" s="233">
        <v>1984</v>
      </c>
      <c r="C743" s="234"/>
      <c r="D743" s="234" t="s">
        <v>4920</v>
      </c>
      <c r="E743" s="244" t="s">
        <v>3354</v>
      </c>
      <c r="F743" s="244" t="s">
        <v>4914</v>
      </c>
      <c r="G743" s="235" t="s">
        <v>2579</v>
      </c>
      <c r="H743" s="236">
        <v>0.01</v>
      </c>
      <c r="I743" s="236">
        <v>0.08</v>
      </c>
      <c r="J743" s="233">
        <v>1</v>
      </c>
      <c r="K743" s="237"/>
      <c r="L743" s="235"/>
      <c r="M743" s="276"/>
      <c r="N743" s="279" t="s">
        <v>25</v>
      </c>
      <c r="O743" t="str">
        <f t="shared" si="12"/>
        <v>1984 Memorial Penny</v>
      </c>
      <c r="S743" t="str" cm="1">
        <f t="array" ref="S743">_xlfn.REGEXEXTRACT(E743, "[0-9]{1,5}")</f>
        <v>1984</v>
      </c>
      <c r="T743" t="s">
        <v>4190</v>
      </c>
      <c r="U743" t="s">
        <v>3896</v>
      </c>
    </row>
    <row r="744" spans="1:21">
      <c r="A744" s="136">
        <v>1</v>
      </c>
      <c r="B744" s="233">
        <v>1984</v>
      </c>
      <c r="C744" s="234"/>
      <c r="D744" s="234" t="s">
        <v>4920</v>
      </c>
      <c r="E744" s="244" t="s">
        <v>3355</v>
      </c>
      <c r="F744" s="244" t="s">
        <v>4914</v>
      </c>
      <c r="G744" s="235" t="s">
        <v>2579</v>
      </c>
      <c r="H744" s="236">
        <v>0.01</v>
      </c>
      <c r="I744" s="236">
        <v>0.08</v>
      </c>
      <c r="J744" s="233">
        <v>1</v>
      </c>
      <c r="K744" s="237"/>
      <c r="L744" s="235"/>
      <c r="M744" s="276"/>
      <c r="N744" s="279" t="s">
        <v>25</v>
      </c>
      <c r="O744" t="str">
        <f t="shared" si="12"/>
        <v>1984 Memorial Penny</v>
      </c>
      <c r="S744" t="str" cm="1">
        <f t="array" ref="S744">_xlfn.REGEXEXTRACT(E744, "[0-9]{1,5}")</f>
        <v>1984</v>
      </c>
      <c r="T744" t="s">
        <v>4190</v>
      </c>
      <c r="U744" t="s">
        <v>3896</v>
      </c>
    </row>
    <row r="745" spans="1:21">
      <c r="A745" s="136">
        <v>1</v>
      </c>
      <c r="B745" s="233">
        <v>1984</v>
      </c>
      <c r="C745" s="234"/>
      <c r="D745" s="234" t="s">
        <v>4920</v>
      </c>
      <c r="E745" s="244" t="s">
        <v>3356</v>
      </c>
      <c r="F745" s="244" t="s">
        <v>4914</v>
      </c>
      <c r="G745" s="235" t="s">
        <v>2579</v>
      </c>
      <c r="H745" s="236">
        <v>0.01</v>
      </c>
      <c r="I745" s="236">
        <v>0.1</v>
      </c>
      <c r="J745" s="233">
        <v>1</v>
      </c>
      <c r="K745" s="237"/>
      <c r="L745" s="235"/>
      <c r="M745" s="276"/>
      <c r="N745" s="279" t="s">
        <v>25</v>
      </c>
      <c r="O745" t="str">
        <f t="shared" si="12"/>
        <v>1984 Memorial Penny</v>
      </c>
      <c r="S745" t="str" cm="1">
        <f t="array" ref="S745">_xlfn.REGEXEXTRACT(E745, "[0-9]{1,5}")</f>
        <v>1984</v>
      </c>
      <c r="T745" t="s">
        <v>4190</v>
      </c>
      <c r="U745" t="s">
        <v>3896</v>
      </c>
    </row>
    <row r="746" spans="1:21">
      <c r="A746" s="136">
        <v>1</v>
      </c>
      <c r="B746" s="233">
        <v>1984</v>
      </c>
      <c r="C746" s="234"/>
      <c r="D746" s="234" t="s">
        <v>4920</v>
      </c>
      <c r="E746" s="244" t="s">
        <v>3357</v>
      </c>
      <c r="F746" s="244" t="s">
        <v>4914</v>
      </c>
      <c r="G746" s="235" t="s">
        <v>2579</v>
      </c>
      <c r="H746" s="236">
        <v>0.01</v>
      </c>
      <c r="I746" s="236">
        <v>0.1</v>
      </c>
      <c r="J746" s="233">
        <v>1</v>
      </c>
      <c r="K746" s="237"/>
      <c r="L746" s="235"/>
      <c r="M746" s="276"/>
      <c r="N746" s="279" t="s">
        <v>25</v>
      </c>
      <c r="O746" t="str">
        <f t="shared" si="12"/>
        <v>1984 Memorial Penny</v>
      </c>
      <c r="S746" t="str" cm="1">
        <f t="array" ref="S746">_xlfn.REGEXEXTRACT(E746, "[0-9]{1,5}")</f>
        <v>1984</v>
      </c>
      <c r="T746" t="s">
        <v>4190</v>
      </c>
      <c r="U746" t="s">
        <v>3896</v>
      </c>
    </row>
    <row r="747" spans="1:21">
      <c r="A747" s="136">
        <v>1</v>
      </c>
      <c r="B747" s="233">
        <v>1984</v>
      </c>
      <c r="C747" s="234"/>
      <c r="D747" s="234" t="s">
        <v>4920</v>
      </c>
      <c r="E747" s="244" t="s">
        <v>3358</v>
      </c>
      <c r="F747" s="244" t="s">
        <v>4914</v>
      </c>
      <c r="G747" s="235" t="s">
        <v>2579</v>
      </c>
      <c r="H747" s="236">
        <v>0.03</v>
      </c>
      <c r="I747" s="236">
        <v>0.03</v>
      </c>
      <c r="J747" s="233">
        <v>3</v>
      </c>
      <c r="K747" s="237"/>
      <c r="L747" s="235"/>
      <c r="M747" s="276"/>
      <c r="N747" s="279" t="s">
        <v>25</v>
      </c>
      <c r="O747" t="str">
        <f t="shared" si="12"/>
        <v>1984 Memorial Penny</v>
      </c>
      <c r="S747" t="str" cm="1">
        <f t="array" ref="S747">_xlfn.REGEXEXTRACT(E747, "[0-9]{1,5}")</f>
        <v>1984</v>
      </c>
      <c r="T747" t="s">
        <v>4190</v>
      </c>
      <c r="U747" t="s">
        <v>3896</v>
      </c>
    </row>
    <row r="748" spans="1:21">
      <c r="A748" s="136">
        <v>1</v>
      </c>
      <c r="B748" s="233">
        <v>1984</v>
      </c>
      <c r="C748" s="234" t="s">
        <v>13</v>
      </c>
      <c r="D748" s="234" t="s">
        <v>4920</v>
      </c>
      <c r="E748" s="244" t="s">
        <v>3359</v>
      </c>
      <c r="F748" s="244" t="s">
        <v>4914</v>
      </c>
      <c r="G748" s="235" t="s">
        <v>2586</v>
      </c>
      <c r="H748" s="236">
        <v>0.4</v>
      </c>
      <c r="I748" s="236">
        <v>0.01</v>
      </c>
      <c r="J748" s="233">
        <v>1</v>
      </c>
      <c r="K748" s="237"/>
      <c r="L748" s="235"/>
      <c r="M748" s="276"/>
      <c r="N748" s="279" t="s">
        <v>25</v>
      </c>
      <c r="O748" t="str">
        <f t="shared" si="12"/>
        <v>1984-D Memorial Penny</v>
      </c>
      <c r="S748" t="str" cm="1">
        <f t="array" ref="S748">_xlfn.REGEXEXTRACT(E748, "[0-9]{1,5}")</f>
        <v>1984</v>
      </c>
      <c r="T748" t="s">
        <v>4190</v>
      </c>
      <c r="U748" t="s">
        <v>3896</v>
      </c>
    </row>
    <row r="749" spans="1:21">
      <c r="A749" s="136">
        <v>1</v>
      </c>
      <c r="B749" s="233">
        <v>1984</v>
      </c>
      <c r="C749" s="234" t="s">
        <v>12</v>
      </c>
      <c r="D749" s="234" t="s">
        <v>4920</v>
      </c>
      <c r="E749" s="244" t="s">
        <v>3364</v>
      </c>
      <c r="F749" s="244" t="s">
        <v>5207</v>
      </c>
      <c r="G749" s="235" t="s">
        <v>2584</v>
      </c>
      <c r="H749" s="236">
        <v>1.25</v>
      </c>
      <c r="I749" s="236">
        <v>0.01</v>
      </c>
      <c r="J749" s="233">
        <v>1</v>
      </c>
      <c r="K749" s="237"/>
      <c r="L749" s="235"/>
      <c r="M749" s="276"/>
      <c r="N749" s="279" t="s">
        <v>25</v>
      </c>
      <c r="O749" t="str">
        <f t="shared" si="12"/>
        <v>1984-S Memorial Penny Proof</v>
      </c>
      <c r="S749" t="str" cm="1">
        <f t="array" ref="S749">_xlfn.REGEXEXTRACT(E749, "[0-9]{1,5}")</f>
        <v>1984</v>
      </c>
      <c r="T749" t="s">
        <v>4190</v>
      </c>
      <c r="U749" t="s">
        <v>3896</v>
      </c>
    </row>
    <row r="750" spans="1:21">
      <c r="A750" s="136">
        <v>1</v>
      </c>
      <c r="B750" s="233">
        <v>1984</v>
      </c>
      <c r="C750" s="234"/>
      <c r="D750" s="234" t="s">
        <v>4920</v>
      </c>
      <c r="E750" s="244" t="s">
        <v>3360</v>
      </c>
      <c r="F750" s="244" t="s">
        <v>4914</v>
      </c>
      <c r="G750" s="235" t="s">
        <v>2579</v>
      </c>
      <c r="H750" s="236">
        <v>0.03</v>
      </c>
      <c r="I750" s="236">
        <v>0.03</v>
      </c>
      <c r="J750" s="233">
        <v>3</v>
      </c>
      <c r="K750" s="237"/>
      <c r="L750" s="235"/>
      <c r="M750" s="276"/>
      <c r="N750" s="279" t="s">
        <v>25</v>
      </c>
      <c r="O750" t="str">
        <f t="shared" si="12"/>
        <v>1984 Memorial Penny</v>
      </c>
      <c r="S750" t="str" cm="1">
        <f t="array" ref="S750">_xlfn.REGEXEXTRACT(E750, "[0-9]{1,5}")</f>
        <v>1984</v>
      </c>
      <c r="T750" t="s">
        <v>4190</v>
      </c>
      <c r="U750" t="s">
        <v>3896</v>
      </c>
    </row>
    <row r="751" spans="1:21">
      <c r="A751" s="136">
        <v>1</v>
      </c>
      <c r="B751" s="233">
        <v>1984</v>
      </c>
      <c r="C751" s="234" t="s">
        <v>13</v>
      </c>
      <c r="D751" s="234" t="s">
        <v>4920</v>
      </c>
      <c r="E751" s="244" t="s">
        <v>3361</v>
      </c>
      <c r="F751" s="244" t="s">
        <v>4914</v>
      </c>
      <c r="G751" s="235" t="s">
        <v>2579</v>
      </c>
      <c r="H751" s="236">
        <v>0.01</v>
      </c>
      <c r="I751" s="236">
        <v>0.01</v>
      </c>
      <c r="J751" s="233">
        <v>1</v>
      </c>
      <c r="K751" s="237"/>
      <c r="L751" s="235"/>
      <c r="M751" s="276"/>
      <c r="N751" s="279" t="s">
        <v>25</v>
      </c>
      <c r="O751" t="str">
        <f t="shared" si="12"/>
        <v>1984-D Memorial Penny</v>
      </c>
      <c r="S751" t="str" cm="1">
        <f t="array" ref="S751">_xlfn.REGEXEXTRACT(E751, "[0-9]{1,5}")</f>
        <v>1984</v>
      </c>
      <c r="T751" t="s">
        <v>4190</v>
      </c>
      <c r="U751" t="s">
        <v>3896</v>
      </c>
    </row>
    <row r="752" spans="1:21">
      <c r="A752" s="136">
        <v>1</v>
      </c>
      <c r="B752" s="233">
        <v>1984</v>
      </c>
      <c r="C752" s="234" t="s">
        <v>13</v>
      </c>
      <c r="D752" s="234" t="s">
        <v>4920</v>
      </c>
      <c r="E752" s="244" t="s">
        <v>3362</v>
      </c>
      <c r="F752" s="244" t="s">
        <v>4914</v>
      </c>
      <c r="G752" s="235" t="s">
        <v>2579</v>
      </c>
      <c r="H752" s="236">
        <v>0.01</v>
      </c>
      <c r="I752" s="236">
        <v>0.01</v>
      </c>
      <c r="J752" s="233">
        <v>1</v>
      </c>
      <c r="K752" s="237"/>
      <c r="L752" s="235"/>
      <c r="M752" s="276"/>
      <c r="N752" s="279" t="s">
        <v>25</v>
      </c>
      <c r="O752" t="str">
        <f t="shared" si="12"/>
        <v>1984-D Memorial Penny</v>
      </c>
      <c r="S752" t="str" cm="1">
        <f t="array" ref="S752">_xlfn.REGEXEXTRACT(E752, "[0-9]{1,5}")</f>
        <v>1984</v>
      </c>
      <c r="T752" t="s">
        <v>4190</v>
      </c>
      <c r="U752" t="s">
        <v>3896</v>
      </c>
    </row>
    <row r="753" spans="1:21">
      <c r="A753" s="136">
        <v>1</v>
      </c>
      <c r="B753" s="233">
        <v>1984</v>
      </c>
      <c r="C753" s="234" t="s">
        <v>12</v>
      </c>
      <c r="D753" s="234" t="s">
        <v>4920</v>
      </c>
      <c r="E753" s="244" t="s">
        <v>3363</v>
      </c>
      <c r="F753" s="244" t="s">
        <v>5207</v>
      </c>
      <c r="G753" s="235" t="s">
        <v>2584</v>
      </c>
      <c r="H753" s="236">
        <v>1.75</v>
      </c>
      <c r="I753" s="236">
        <v>4.63</v>
      </c>
      <c r="J753" s="233">
        <v>1</v>
      </c>
      <c r="K753" s="237"/>
      <c r="L753" s="235"/>
      <c r="M753" s="276"/>
      <c r="N753" s="279" t="s">
        <v>25</v>
      </c>
      <c r="O753" t="str">
        <f t="shared" si="12"/>
        <v>1984-S Memorial Penny Proof</v>
      </c>
      <c r="S753" t="str" cm="1">
        <f t="array" ref="S753">_xlfn.REGEXEXTRACT(E753, "[0-9]{1,5}")</f>
        <v>1984</v>
      </c>
      <c r="T753" t="s">
        <v>4190</v>
      </c>
      <c r="U753" t="s">
        <v>3896</v>
      </c>
    </row>
    <row r="754" spans="1:21">
      <c r="A754" s="136">
        <v>1</v>
      </c>
      <c r="B754" s="233">
        <v>1985</v>
      </c>
      <c r="C754" s="234"/>
      <c r="D754" s="234" t="s">
        <v>4920</v>
      </c>
      <c r="E754" s="244" t="s">
        <v>3366</v>
      </c>
      <c r="F754" s="244" t="s">
        <v>4914</v>
      </c>
      <c r="G754" s="235" t="s">
        <v>2579</v>
      </c>
      <c r="H754" s="236">
        <v>0.03</v>
      </c>
      <c r="I754" s="236">
        <v>0.03</v>
      </c>
      <c r="J754" s="233">
        <v>3</v>
      </c>
      <c r="K754" s="237"/>
      <c r="L754" s="235"/>
      <c r="M754" s="276"/>
      <c r="N754" s="279" t="s">
        <v>25</v>
      </c>
      <c r="O754" t="str">
        <f t="shared" si="12"/>
        <v>1985 Memorial Penny</v>
      </c>
      <c r="S754" t="str" cm="1">
        <f t="array" ref="S754">_xlfn.REGEXEXTRACT(E754, "[0-9]{1,5}")</f>
        <v>1985</v>
      </c>
      <c r="T754" t="s">
        <v>4191</v>
      </c>
      <c r="U754" t="s">
        <v>3896</v>
      </c>
    </row>
    <row r="755" spans="1:21">
      <c r="A755" s="136">
        <v>1</v>
      </c>
      <c r="B755" s="233">
        <v>1985</v>
      </c>
      <c r="C755" s="234"/>
      <c r="D755" s="234" t="s">
        <v>4920</v>
      </c>
      <c r="E755" s="244" t="s">
        <v>3367</v>
      </c>
      <c r="F755" s="244" t="s">
        <v>4914</v>
      </c>
      <c r="G755" s="235" t="s">
        <v>2579</v>
      </c>
      <c r="H755" s="236">
        <v>0.03</v>
      </c>
      <c r="I755" s="236">
        <v>0.03</v>
      </c>
      <c r="J755" s="233">
        <v>3</v>
      </c>
      <c r="K755" s="237"/>
      <c r="L755" s="235"/>
      <c r="M755" s="276"/>
      <c r="N755" s="279" t="s">
        <v>25</v>
      </c>
      <c r="O755" t="str">
        <f t="shared" si="12"/>
        <v>1985 Memorial Penny</v>
      </c>
      <c r="S755" t="str" cm="1">
        <f t="array" ref="S755">_xlfn.REGEXEXTRACT(E755, "[0-9]{1,5}")</f>
        <v>1985</v>
      </c>
      <c r="T755" t="s">
        <v>4191</v>
      </c>
      <c r="U755" t="s">
        <v>3896</v>
      </c>
    </row>
    <row r="756" spans="1:21">
      <c r="A756" s="136">
        <v>1</v>
      </c>
      <c r="B756" s="233">
        <v>1985</v>
      </c>
      <c r="C756" s="234" t="s">
        <v>13</v>
      </c>
      <c r="D756" s="234" t="s">
        <v>4920</v>
      </c>
      <c r="E756" s="244" t="s">
        <v>3368</v>
      </c>
      <c r="F756" s="244" t="s">
        <v>4914</v>
      </c>
      <c r="G756" s="235" t="s">
        <v>2579</v>
      </c>
      <c r="H756" s="236">
        <v>0.03</v>
      </c>
      <c r="I756" s="236">
        <v>0.03</v>
      </c>
      <c r="J756" s="233">
        <v>3</v>
      </c>
      <c r="K756" s="237"/>
      <c r="L756" s="235"/>
      <c r="M756" s="276"/>
      <c r="N756" s="279" t="s">
        <v>25</v>
      </c>
      <c r="O756" t="str">
        <f t="shared" si="12"/>
        <v>1985-D Memorial Penny</v>
      </c>
      <c r="S756" t="str" cm="1">
        <f t="array" ref="S756">_xlfn.REGEXEXTRACT(E756, "[0-9]{1,5}")</f>
        <v>1985</v>
      </c>
      <c r="T756" t="s">
        <v>4191</v>
      </c>
      <c r="U756" t="s">
        <v>3896</v>
      </c>
    </row>
    <row r="757" spans="1:21">
      <c r="A757" s="136">
        <v>1</v>
      </c>
      <c r="B757" s="233">
        <v>1985</v>
      </c>
      <c r="C757" s="234" t="s">
        <v>12</v>
      </c>
      <c r="D757" s="234" t="s">
        <v>4920</v>
      </c>
      <c r="E757" s="244" t="s">
        <v>3369</v>
      </c>
      <c r="F757" s="244" t="s">
        <v>5207</v>
      </c>
      <c r="G757" s="235" t="s">
        <v>2584</v>
      </c>
      <c r="H757" s="236">
        <v>1</v>
      </c>
      <c r="I757" s="236">
        <v>0.01</v>
      </c>
      <c r="J757" s="233">
        <v>1</v>
      </c>
      <c r="K757" s="237"/>
      <c r="L757" s="235"/>
      <c r="M757" s="276"/>
      <c r="N757" s="279" t="s">
        <v>25</v>
      </c>
      <c r="O757" t="str">
        <f t="shared" si="12"/>
        <v>1985-S Memorial Penny Proof</v>
      </c>
      <c r="S757" t="str" cm="1">
        <f t="array" ref="S757">_xlfn.REGEXEXTRACT(E757, "[0-9]{1,5}")</f>
        <v>1985</v>
      </c>
      <c r="T757" t="s">
        <v>4191</v>
      </c>
      <c r="U757" t="s">
        <v>3896</v>
      </c>
    </row>
    <row r="758" spans="1:21">
      <c r="A758" s="136">
        <v>1</v>
      </c>
      <c r="B758" s="233">
        <v>1985</v>
      </c>
      <c r="C758" s="234" t="s">
        <v>13</v>
      </c>
      <c r="D758" s="234" t="s">
        <v>4920</v>
      </c>
      <c r="E758" s="244" t="s">
        <v>3370</v>
      </c>
      <c r="F758" s="244" t="s">
        <v>4914</v>
      </c>
      <c r="G758" s="235" t="s">
        <v>2579</v>
      </c>
      <c r="H758" s="236">
        <v>0.01</v>
      </c>
      <c r="I758" s="236">
        <v>0.01</v>
      </c>
      <c r="J758" s="233">
        <v>1</v>
      </c>
      <c r="K758" s="237"/>
      <c r="L758" s="235"/>
      <c r="M758" s="276"/>
      <c r="N758" s="279" t="s">
        <v>25</v>
      </c>
      <c r="O758" t="str">
        <f t="shared" si="12"/>
        <v>1985-D Memorial Penny</v>
      </c>
      <c r="S758" t="str" cm="1">
        <f t="array" ref="S758">_xlfn.REGEXEXTRACT(E758, "[0-9]{1,5}")</f>
        <v>1985</v>
      </c>
      <c r="T758" t="s">
        <v>4191</v>
      </c>
      <c r="U758" t="s">
        <v>3896</v>
      </c>
    </row>
    <row r="759" spans="1:21">
      <c r="A759" s="136">
        <v>1</v>
      </c>
      <c r="B759" s="233">
        <v>1985</v>
      </c>
      <c r="C759" s="234"/>
      <c r="D759" s="234" t="s">
        <v>4920</v>
      </c>
      <c r="E759" s="244" t="s">
        <v>3371</v>
      </c>
      <c r="F759" s="244" t="s">
        <v>4914</v>
      </c>
      <c r="G759" s="235" t="s">
        <v>2579</v>
      </c>
      <c r="H759" s="236">
        <v>0.01</v>
      </c>
      <c r="I759" s="236">
        <v>0.01</v>
      </c>
      <c r="J759" s="233">
        <v>1</v>
      </c>
      <c r="K759" s="237"/>
      <c r="L759" s="235"/>
      <c r="M759" s="276"/>
      <c r="N759" s="279" t="s">
        <v>25</v>
      </c>
      <c r="O759" t="str">
        <f t="shared" si="12"/>
        <v>1985 Memorial Penny</v>
      </c>
      <c r="S759" t="str" cm="1">
        <f t="array" ref="S759">_xlfn.REGEXEXTRACT(E759, "[0-9]{1,5}")</f>
        <v>1985</v>
      </c>
      <c r="T759" t="s">
        <v>4191</v>
      </c>
      <c r="U759" t="s">
        <v>3896</v>
      </c>
    </row>
    <row r="760" spans="1:21">
      <c r="A760" s="136">
        <v>1</v>
      </c>
      <c r="B760" s="233">
        <v>1985</v>
      </c>
      <c r="C760" s="234"/>
      <c r="D760" s="234" t="s">
        <v>4920</v>
      </c>
      <c r="E760" s="244" t="s">
        <v>3372</v>
      </c>
      <c r="F760" s="244" t="s">
        <v>4914</v>
      </c>
      <c r="G760" s="235" t="s">
        <v>2579</v>
      </c>
      <c r="H760" s="236">
        <v>0.03</v>
      </c>
      <c r="I760" s="236">
        <v>0.03</v>
      </c>
      <c r="J760" s="233">
        <v>2</v>
      </c>
      <c r="K760" s="237"/>
      <c r="L760" s="235"/>
      <c r="M760" s="276"/>
      <c r="N760" s="279" t="s">
        <v>25</v>
      </c>
      <c r="O760" t="str">
        <f t="shared" si="12"/>
        <v>1985 Memorial Penny</v>
      </c>
      <c r="S760" t="str" cm="1">
        <f t="array" ref="S760">_xlfn.REGEXEXTRACT(E760, "[0-9]{1,5}")</f>
        <v>1985</v>
      </c>
      <c r="T760" t="s">
        <v>4191</v>
      </c>
      <c r="U760" t="s">
        <v>3896</v>
      </c>
    </row>
    <row r="761" spans="1:21">
      <c r="A761" s="136">
        <v>1</v>
      </c>
      <c r="B761" s="233">
        <v>1985</v>
      </c>
      <c r="C761" s="234" t="s">
        <v>12</v>
      </c>
      <c r="D761" s="234" t="s">
        <v>4920</v>
      </c>
      <c r="E761" s="244" t="s">
        <v>3365</v>
      </c>
      <c r="F761" s="244" t="s">
        <v>5207</v>
      </c>
      <c r="G761" s="235" t="s">
        <v>2584</v>
      </c>
      <c r="H761" s="236">
        <v>0.25</v>
      </c>
      <c r="I761" s="236">
        <v>5.84</v>
      </c>
      <c r="J761" s="233">
        <v>1</v>
      </c>
      <c r="K761" s="237"/>
      <c r="L761" s="235"/>
      <c r="M761" s="276"/>
      <c r="N761" s="279" t="s">
        <v>25</v>
      </c>
      <c r="O761" t="str">
        <f t="shared" si="12"/>
        <v>1985-S Memorial Penny Proof</v>
      </c>
      <c r="S761" t="str" cm="1">
        <f t="array" ref="S761">_xlfn.REGEXEXTRACT(E761, "[0-9]{1,5}")</f>
        <v>1985</v>
      </c>
      <c r="T761" t="s">
        <v>4191</v>
      </c>
      <c r="U761" t="s">
        <v>3896</v>
      </c>
    </row>
    <row r="762" spans="1:21">
      <c r="A762" s="136">
        <v>1</v>
      </c>
      <c r="B762" s="233">
        <v>1986</v>
      </c>
      <c r="C762" s="234"/>
      <c r="D762" s="234" t="s">
        <v>4920</v>
      </c>
      <c r="E762" s="244" t="s">
        <v>3373</v>
      </c>
      <c r="F762" s="244" t="s">
        <v>4914</v>
      </c>
      <c r="G762" s="235" t="s">
        <v>2579</v>
      </c>
      <c r="H762" s="236">
        <v>0.01</v>
      </c>
      <c r="I762" s="236">
        <v>0.1</v>
      </c>
      <c r="J762" s="233">
        <v>1</v>
      </c>
      <c r="K762" s="237"/>
      <c r="L762" s="235"/>
      <c r="M762" s="276"/>
      <c r="N762" s="279" t="s">
        <v>25</v>
      </c>
      <c r="O762" t="str">
        <f t="shared" si="12"/>
        <v>1986 Memorial Penny</v>
      </c>
      <c r="S762" t="str" cm="1">
        <f t="array" ref="S762">_xlfn.REGEXEXTRACT(E762, "[0-9]{1,5}")</f>
        <v>1986</v>
      </c>
      <c r="T762" t="s">
        <v>4192</v>
      </c>
      <c r="U762" t="s">
        <v>3896</v>
      </c>
    </row>
    <row r="763" spans="1:21">
      <c r="A763" s="136">
        <v>1</v>
      </c>
      <c r="B763" s="233">
        <v>1986</v>
      </c>
      <c r="C763" s="234"/>
      <c r="D763" s="234" t="s">
        <v>4920</v>
      </c>
      <c r="E763" s="244" t="s">
        <v>3374</v>
      </c>
      <c r="F763" s="244" t="s">
        <v>4914</v>
      </c>
      <c r="G763" s="235" t="s">
        <v>2579</v>
      </c>
      <c r="H763" s="236">
        <v>0.03</v>
      </c>
      <c r="I763" s="236">
        <v>0.03</v>
      </c>
      <c r="J763" s="233">
        <v>2</v>
      </c>
      <c r="K763" s="237"/>
      <c r="L763" s="235"/>
      <c r="M763" s="276"/>
      <c r="N763" s="279" t="s">
        <v>25</v>
      </c>
      <c r="O763" t="str">
        <f t="shared" si="12"/>
        <v>1986 Memorial Penny</v>
      </c>
      <c r="S763" t="str" cm="1">
        <f t="array" ref="S763">_xlfn.REGEXEXTRACT(E763, "[0-9]{1,5}")</f>
        <v>1986</v>
      </c>
      <c r="T763" t="s">
        <v>4192</v>
      </c>
      <c r="U763" t="s">
        <v>3896</v>
      </c>
    </row>
    <row r="764" spans="1:21">
      <c r="A764" s="136">
        <v>1</v>
      </c>
      <c r="B764" s="233">
        <v>1986</v>
      </c>
      <c r="C764" s="234" t="s">
        <v>13</v>
      </c>
      <c r="D764" s="234" t="s">
        <v>4920</v>
      </c>
      <c r="E764" s="244" t="s">
        <v>3375</v>
      </c>
      <c r="F764" s="244" t="s">
        <v>4914</v>
      </c>
      <c r="G764" s="235" t="s">
        <v>2579</v>
      </c>
      <c r="H764" s="236">
        <v>0.03</v>
      </c>
      <c r="I764" s="236">
        <v>0.03</v>
      </c>
      <c r="J764" s="233">
        <v>2</v>
      </c>
      <c r="K764" s="237"/>
      <c r="L764" s="235"/>
      <c r="M764" s="276"/>
      <c r="N764" s="279" t="s">
        <v>25</v>
      </c>
      <c r="O764" t="str">
        <f t="shared" si="12"/>
        <v>1986-D Memorial Penny</v>
      </c>
      <c r="S764" t="str" cm="1">
        <f t="array" ref="S764">_xlfn.REGEXEXTRACT(E764, "[0-9]{1,5}")</f>
        <v>1986</v>
      </c>
      <c r="T764" t="s">
        <v>4192</v>
      </c>
      <c r="U764" t="s">
        <v>3896</v>
      </c>
    </row>
    <row r="765" spans="1:21">
      <c r="A765" s="136">
        <v>1</v>
      </c>
      <c r="B765" s="233">
        <v>1986</v>
      </c>
      <c r="C765" s="234" t="s">
        <v>12</v>
      </c>
      <c r="D765" s="234" t="s">
        <v>4920</v>
      </c>
      <c r="E765" s="244" t="s">
        <v>3376</v>
      </c>
      <c r="F765" s="244" t="s">
        <v>5207</v>
      </c>
      <c r="G765" s="235" t="s">
        <v>2584</v>
      </c>
      <c r="H765" s="236">
        <v>1.75</v>
      </c>
      <c r="I765" s="236">
        <v>0.01</v>
      </c>
      <c r="J765" s="233">
        <v>1</v>
      </c>
      <c r="K765" s="237"/>
      <c r="L765" s="235"/>
      <c r="M765" s="276"/>
      <c r="N765" s="279" t="s">
        <v>25</v>
      </c>
      <c r="O765" t="str">
        <f t="shared" si="12"/>
        <v>1986-S Memorial Penny Proof</v>
      </c>
      <c r="S765" t="str" cm="1">
        <f t="array" ref="S765">_xlfn.REGEXEXTRACT(E765, "[0-9]{1,5}")</f>
        <v>1986</v>
      </c>
      <c r="T765" t="s">
        <v>4192</v>
      </c>
      <c r="U765" t="s">
        <v>3896</v>
      </c>
    </row>
    <row r="766" spans="1:21">
      <c r="A766" s="136">
        <v>1</v>
      </c>
      <c r="B766" s="233">
        <v>1986</v>
      </c>
      <c r="C766" s="234" t="s">
        <v>13</v>
      </c>
      <c r="D766" s="234" t="s">
        <v>4920</v>
      </c>
      <c r="E766" s="244" t="s">
        <v>3377</v>
      </c>
      <c r="F766" s="244" t="s">
        <v>4914</v>
      </c>
      <c r="G766" s="235" t="s">
        <v>2579</v>
      </c>
      <c r="H766" s="236">
        <v>0.6</v>
      </c>
      <c r="I766" s="236">
        <v>0.34</v>
      </c>
      <c r="J766" s="233">
        <v>1</v>
      </c>
      <c r="K766" s="237"/>
      <c r="L766" s="235"/>
      <c r="M766" s="276"/>
      <c r="N766" s="279" t="s">
        <v>25</v>
      </c>
      <c r="O766" t="str">
        <f t="shared" si="12"/>
        <v>1986-D Memorial Penny</v>
      </c>
      <c r="S766" t="str" cm="1">
        <f t="array" ref="S766">_xlfn.REGEXEXTRACT(E766, "[0-9]{1,5}")</f>
        <v>1986</v>
      </c>
      <c r="T766" t="s">
        <v>4192</v>
      </c>
      <c r="U766" t="s">
        <v>3896</v>
      </c>
    </row>
    <row r="767" spans="1:21">
      <c r="A767" s="136">
        <v>1</v>
      </c>
      <c r="B767" s="233">
        <v>1986</v>
      </c>
      <c r="C767" s="234" t="s">
        <v>12</v>
      </c>
      <c r="D767" s="234" t="s">
        <v>4920</v>
      </c>
      <c r="E767" s="244" t="s">
        <v>3378</v>
      </c>
      <c r="F767" s="244" t="s">
        <v>5207</v>
      </c>
      <c r="G767" s="235" t="s">
        <v>2584</v>
      </c>
      <c r="H767" s="236">
        <v>2.25</v>
      </c>
      <c r="I767" s="236">
        <v>8.07</v>
      </c>
      <c r="J767" s="233">
        <v>1</v>
      </c>
      <c r="K767" s="237"/>
      <c r="L767" s="235"/>
      <c r="M767" s="276"/>
      <c r="N767" s="279" t="s">
        <v>25</v>
      </c>
      <c r="O767" t="str">
        <f t="shared" si="12"/>
        <v>1986-S Memorial Penny Proof</v>
      </c>
      <c r="S767" t="str" cm="1">
        <f t="array" ref="S767">_xlfn.REGEXEXTRACT(E767, "[0-9]{1,5}")</f>
        <v>1986</v>
      </c>
      <c r="T767" t="s">
        <v>4192</v>
      </c>
      <c r="U767" t="s">
        <v>3896</v>
      </c>
    </row>
    <row r="768" spans="1:21">
      <c r="A768" s="136">
        <v>1</v>
      </c>
      <c r="B768" s="233">
        <v>1987</v>
      </c>
      <c r="C768" s="234"/>
      <c r="D768" s="234" t="s">
        <v>4920</v>
      </c>
      <c r="E768" s="244" t="s">
        <v>3379</v>
      </c>
      <c r="F768" s="244" t="s">
        <v>4914</v>
      </c>
      <c r="G768" s="235" t="s">
        <v>2579</v>
      </c>
      <c r="H768" s="236">
        <v>0.01</v>
      </c>
      <c r="I768" s="236">
        <v>0.1</v>
      </c>
      <c r="J768" s="233">
        <v>1</v>
      </c>
      <c r="K768" s="237"/>
      <c r="L768" s="235"/>
      <c r="M768" s="276"/>
      <c r="N768" s="279" t="s">
        <v>25</v>
      </c>
      <c r="O768" t="str">
        <f t="shared" si="12"/>
        <v>1987 Memorial Penny</v>
      </c>
      <c r="S768" t="str" cm="1">
        <f t="array" ref="S768">_xlfn.REGEXEXTRACT(E768, "[0-9]{1,5}")</f>
        <v>1987</v>
      </c>
      <c r="T768" t="s">
        <v>4193</v>
      </c>
      <c r="U768" t="s">
        <v>3896</v>
      </c>
    </row>
    <row r="769" spans="1:21">
      <c r="A769" s="136">
        <v>1</v>
      </c>
      <c r="B769" s="233">
        <v>1987</v>
      </c>
      <c r="C769" s="234"/>
      <c r="D769" s="234" t="s">
        <v>4920</v>
      </c>
      <c r="E769" s="244" t="s">
        <v>3380</v>
      </c>
      <c r="F769" s="244" t="s">
        <v>4914</v>
      </c>
      <c r="G769" s="235" t="s">
        <v>2579</v>
      </c>
      <c r="H769" s="236">
        <v>0.03</v>
      </c>
      <c r="I769" s="236">
        <v>0.03</v>
      </c>
      <c r="J769" s="233">
        <v>3</v>
      </c>
      <c r="K769" s="237"/>
      <c r="L769" s="235"/>
      <c r="M769" s="276"/>
      <c r="N769" s="279" t="s">
        <v>25</v>
      </c>
      <c r="O769" t="str">
        <f t="shared" si="12"/>
        <v>1987 Memorial Penny</v>
      </c>
      <c r="S769" t="str" cm="1">
        <f t="array" ref="S769">_xlfn.REGEXEXTRACT(E769, "[0-9]{1,5}")</f>
        <v>1987</v>
      </c>
      <c r="T769" t="s">
        <v>4193</v>
      </c>
      <c r="U769" t="s">
        <v>3896</v>
      </c>
    </row>
    <row r="770" spans="1:21">
      <c r="A770" s="136">
        <v>1</v>
      </c>
      <c r="B770" s="233">
        <v>1987</v>
      </c>
      <c r="C770" s="234"/>
      <c r="D770" s="234" t="s">
        <v>4920</v>
      </c>
      <c r="E770" s="244" t="s">
        <v>3381</v>
      </c>
      <c r="F770" s="244" t="s">
        <v>4914</v>
      </c>
      <c r="G770" s="235" t="s">
        <v>2579</v>
      </c>
      <c r="H770" s="236">
        <v>0.03</v>
      </c>
      <c r="I770" s="236">
        <v>0.03</v>
      </c>
      <c r="J770" s="233">
        <v>3</v>
      </c>
      <c r="K770" s="237"/>
      <c r="L770" s="235"/>
      <c r="M770" s="276"/>
      <c r="N770" s="279" t="s">
        <v>25</v>
      </c>
      <c r="O770" t="str">
        <f t="shared" si="12"/>
        <v>1987 Memorial Penny</v>
      </c>
      <c r="S770" t="str" cm="1">
        <f t="array" ref="S770">_xlfn.REGEXEXTRACT(E770, "[0-9]{1,5}")</f>
        <v>1987</v>
      </c>
      <c r="T770" t="s">
        <v>4193</v>
      </c>
      <c r="U770" t="s">
        <v>3896</v>
      </c>
    </row>
    <row r="771" spans="1:21">
      <c r="A771" s="136">
        <v>1</v>
      </c>
      <c r="B771" s="233">
        <v>1987</v>
      </c>
      <c r="C771" s="234" t="s">
        <v>13</v>
      </c>
      <c r="D771" s="234" t="s">
        <v>4920</v>
      </c>
      <c r="E771" s="244" t="s">
        <v>3382</v>
      </c>
      <c r="F771" s="244" t="s">
        <v>4914</v>
      </c>
      <c r="G771" s="235" t="s">
        <v>2579</v>
      </c>
      <c r="H771" s="236">
        <v>0.5</v>
      </c>
      <c r="I771" s="236">
        <v>0.01</v>
      </c>
      <c r="J771" s="233">
        <v>1</v>
      </c>
      <c r="K771" s="237"/>
      <c r="L771" s="235"/>
      <c r="M771" s="276"/>
      <c r="N771" s="279" t="s">
        <v>25</v>
      </c>
      <c r="O771" t="str">
        <f t="shared" si="12"/>
        <v>1987-D Memorial Penny</v>
      </c>
      <c r="S771" t="str" cm="1">
        <f t="array" ref="S771">_xlfn.REGEXEXTRACT(E771, "[0-9]{1,5}")</f>
        <v>1987</v>
      </c>
      <c r="T771" t="s">
        <v>4193</v>
      </c>
      <c r="U771" t="s">
        <v>3896</v>
      </c>
    </row>
    <row r="772" spans="1:21">
      <c r="A772" s="136">
        <v>1</v>
      </c>
      <c r="B772" s="233">
        <v>1987</v>
      </c>
      <c r="C772" s="234" t="s">
        <v>13</v>
      </c>
      <c r="D772" s="234" t="s">
        <v>4920</v>
      </c>
      <c r="E772" s="244" t="s">
        <v>3383</v>
      </c>
      <c r="F772" s="244" t="s">
        <v>4914</v>
      </c>
      <c r="G772" s="235" t="s">
        <v>2579</v>
      </c>
      <c r="H772" s="236">
        <v>0.03</v>
      </c>
      <c r="I772" s="236">
        <v>0.03</v>
      </c>
      <c r="J772" s="233">
        <v>3</v>
      </c>
      <c r="K772" s="237"/>
      <c r="L772" s="235"/>
      <c r="M772" s="276"/>
      <c r="N772" s="279" t="s">
        <v>25</v>
      </c>
      <c r="O772" t="str">
        <f t="shared" ref="O772:O835" si="13">IF(C772&lt;&gt;"",B772&amp;"-"&amp;C772&amp;" "&amp;F772,B772&amp;" "&amp;F772)</f>
        <v>1987-D Memorial Penny</v>
      </c>
      <c r="S772" t="str" cm="1">
        <f t="array" ref="S772">_xlfn.REGEXEXTRACT(E772, "[0-9]{1,5}")</f>
        <v>1987</v>
      </c>
      <c r="T772" t="s">
        <v>4193</v>
      </c>
      <c r="U772" t="s">
        <v>3896</v>
      </c>
    </row>
    <row r="773" spans="1:21">
      <c r="A773" s="136">
        <v>1</v>
      </c>
      <c r="B773" s="233">
        <v>1987</v>
      </c>
      <c r="C773" s="234" t="s">
        <v>13</v>
      </c>
      <c r="D773" s="234" t="s">
        <v>4920</v>
      </c>
      <c r="E773" s="244" t="s">
        <v>3384</v>
      </c>
      <c r="F773" s="244" t="s">
        <v>4914</v>
      </c>
      <c r="G773" s="235" t="s">
        <v>2579</v>
      </c>
      <c r="H773" s="236">
        <v>0.01</v>
      </c>
      <c r="I773" s="236">
        <v>0.01</v>
      </c>
      <c r="J773" s="233">
        <v>1</v>
      </c>
      <c r="K773" s="237"/>
      <c r="L773" s="235"/>
      <c r="M773" s="276"/>
      <c r="N773" s="279" t="s">
        <v>25</v>
      </c>
      <c r="O773" t="str">
        <f t="shared" si="13"/>
        <v>1987-D Memorial Penny</v>
      </c>
      <c r="S773" t="str" cm="1">
        <f t="array" ref="S773">_xlfn.REGEXEXTRACT(E773, "[0-9]{1,5}")</f>
        <v>1987</v>
      </c>
      <c r="T773" t="s">
        <v>4193</v>
      </c>
      <c r="U773" t="s">
        <v>3896</v>
      </c>
    </row>
    <row r="774" spans="1:21">
      <c r="A774" s="136">
        <v>1</v>
      </c>
      <c r="B774" s="233">
        <v>1987</v>
      </c>
      <c r="C774" s="234"/>
      <c r="D774" s="234" t="s">
        <v>4920</v>
      </c>
      <c r="E774" s="244" t="s">
        <v>3385</v>
      </c>
      <c r="F774" s="244" t="s">
        <v>4914</v>
      </c>
      <c r="G774" s="235" t="s">
        <v>2579</v>
      </c>
      <c r="H774" s="236">
        <v>0.01</v>
      </c>
      <c r="I774" s="236">
        <v>0.01</v>
      </c>
      <c r="J774" s="233">
        <v>1</v>
      </c>
      <c r="K774" s="237"/>
      <c r="L774" s="235"/>
      <c r="M774" s="276"/>
      <c r="N774" s="279" t="s">
        <v>25</v>
      </c>
      <c r="O774" t="str">
        <f t="shared" si="13"/>
        <v>1987 Memorial Penny</v>
      </c>
      <c r="S774" t="str" cm="1">
        <f t="array" ref="S774">_xlfn.REGEXEXTRACT(E774, "[0-9]{1,5}")</f>
        <v>1987</v>
      </c>
      <c r="T774" t="s">
        <v>4193</v>
      </c>
      <c r="U774" t="s">
        <v>3896</v>
      </c>
    </row>
    <row r="775" spans="1:21">
      <c r="A775" s="136">
        <v>1</v>
      </c>
      <c r="B775" s="233">
        <v>1987</v>
      </c>
      <c r="C775" s="234" t="s">
        <v>12</v>
      </c>
      <c r="D775" s="234" t="s">
        <v>4920</v>
      </c>
      <c r="E775" s="244" t="s">
        <v>3386</v>
      </c>
      <c r="F775" s="244" t="s">
        <v>5207</v>
      </c>
      <c r="G775" s="235" t="s">
        <v>2579</v>
      </c>
      <c r="H775" s="236">
        <v>0.9</v>
      </c>
      <c r="I775" s="236">
        <v>0.9</v>
      </c>
      <c r="J775" s="233">
        <v>1</v>
      </c>
      <c r="K775" s="237"/>
      <c r="L775" s="235"/>
      <c r="M775" s="276"/>
      <c r="N775" s="279" t="s">
        <v>25</v>
      </c>
      <c r="O775" t="str">
        <f t="shared" si="13"/>
        <v>1987-S Memorial Penny Proof</v>
      </c>
      <c r="S775" t="str" cm="1">
        <f t="array" ref="S775">_xlfn.REGEXEXTRACT(E775, "[0-9]{1,5}")</f>
        <v>1987</v>
      </c>
      <c r="T775" t="s">
        <v>4193</v>
      </c>
      <c r="U775" t="s">
        <v>3896</v>
      </c>
    </row>
    <row r="776" spans="1:21">
      <c r="A776" s="136">
        <v>1</v>
      </c>
      <c r="B776" s="233">
        <v>1987</v>
      </c>
      <c r="C776" s="234" t="s">
        <v>12</v>
      </c>
      <c r="D776" s="234" t="s">
        <v>4920</v>
      </c>
      <c r="E776" s="244" t="s">
        <v>3387</v>
      </c>
      <c r="F776" s="244" t="s">
        <v>5207</v>
      </c>
      <c r="G776" s="235" t="s">
        <v>2579</v>
      </c>
      <c r="H776" s="236">
        <v>1</v>
      </c>
      <c r="I776" s="236">
        <v>1</v>
      </c>
      <c r="J776" s="233">
        <v>1</v>
      </c>
      <c r="K776" s="237"/>
      <c r="L776" s="235"/>
      <c r="M776" s="276"/>
      <c r="N776" s="279" t="s">
        <v>25</v>
      </c>
      <c r="O776" t="str">
        <f t="shared" si="13"/>
        <v>1987-S Memorial Penny Proof</v>
      </c>
      <c r="S776" t="str" cm="1">
        <f t="array" ref="S776">_xlfn.REGEXEXTRACT(E776, "[0-9]{1,5}")</f>
        <v>1987</v>
      </c>
      <c r="T776" t="s">
        <v>4193</v>
      </c>
      <c r="U776" t="s">
        <v>3896</v>
      </c>
    </row>
    <row r="777" spans="1:21">
      <c r="A777" s="136">
        <v>1</v>
      </c>
      <c r="B777" s="233">
        <v>1988</v>
      </c>
      <c r="C777" s="234"/>
      <c r="D777" s="234" t="s">
        <v>4920</v>
      </c>
      <c r="E777" s="244" t="s">
        <v>3388</v>
      </c>
      <c r="F777" s="244" t="s">
        <v>4914</v>
      </c>
      <c r="G777" s="235" t="s">
        <v>2579</v>
      </c>
      <c r="H777" s="236">
        <v>0.03</v>
      </c>
      <c r="I777" s="236">
        <v>0.03</v>
      </c>
      <c r="J777" s="233">
        <v>3</v>
      </c>
      <c r="K777" s="237"/>
      <c r="L777" s="235"/>
      <c r="M777" s="276"/>
      <c r="N777" s="279" t="s">
        <v>25</v>
      </c>
      <c r="O777" t="str">
        <f t="shared" si="13"/>
        <v>1988 Memorial Penny</v>
      </c>
      <c r="S777" t="str" cm="1">
        <f t="array" ref="S777">_xlfn.REGEXEXTRACT(E777, "[0-9]{1,5}")</f>
        <v>1988</v>
      </c>
      <c r="T777" t="s">
        <v>4194</v>
      </c>
      <c r="U777" t="s">
        <v>3896</v>
      </c>
    </row>
    <row r="778" spans="1:21">
      <c r="A778" s="136">
        <v>1</v>
      </c>
      <c r="B778" s="233">
        <v>1988</v>
      </c>
      <c r="C778" s="234"/>
      <c r="D778" s="234" t="s">
        <v>4920</v>
      </c>
      <c r="E778" s="244" t="s">
        <v>3389</v>
      </c>
      <c r="F778" s="244" t="s">
        <v>4914</v>
      </c>
      <c r="G778" s="235" t="s">
        <v>2579</v>
      </c>
      <c r="H778" s="236">
        <v>0.03</v>
      </c>
      <c r="I778" s="236">
        <v>0.03</v>
      </c>
      <c r="J778" s="233">
        <v>3</v>
      </c>
      <c r="K778" s="237"/>
      <c r="L778" s="235"/>
      <c r="M778" s="276"/>
      <c r="N778" s="279" t="s">
        <v>25</v>
      </c>
      <c r="O778" t="str">
        <f t="shared" si="13"/>
        <v>1988 Memorial Penny</v>
      </c>
      <c r="S778" t="str" cm="1">
        <f t="array" ref="S778">_xlfn.REGEXEXTRACT(E778, "[0-9]{1,5}")</f>
        <v>1988</v>
      </c>
      <c r="T778" t="s">
        <v>4194</v>
      </c>
      <c r="U778" t="s">
        <v>3896</v>
      </c>
    </row>
    <row r="779" spans="1:21">
      <c r="A779" s="136">
        <v>1</v>
      </c>
      <c r="B779" s="233">
        <v>1988</v>
      </c>
      <c r="C779" s="234"/>
      <c r="D779" s="234" t="s">
        <v>4920</v>
      </c>
      <c r="E779" s="244" t="s">
        <v>3390</v>
      </c>
      <c r="F779" s="244" t="s">
        <v>4914</v>
      </c>
      <c r="G779" s="235" t="s">
        <v>2579</v>
      </c>
      <c r="H779" s="236">
        <v>0.03</v>
      </c>
      <c r="I779" s="236">
        <v>0.03</v>
      </c>
      <c r="J779" s="233">
        <v>3</v>
      </c>
      <c r="K779" s="237"/>
      <c r="L779" s="235"/>
      <c r="M779" s="276"/>
      <c r="N779" s="279" t="s">
        <v>25</v>
      </c>
      <c r="O779" t="str">
        <f t="shared" si="13"/>
        <v>1988 Memorial Penny</v>
      </c>
      <c r="S779" t="str" cm="1">
        <f t="array" ref="S779">_xlfn.REGEXEXTRACT(E779, "[0-9]{1,5}")</f>
        <v>1988</v>
      </c>
      <c r="T779" t="s">
        <v>4194</v>
      </c>
      <c r="U779" t="s">
        <v>3896</v>
      </c>
    </row>
    <row r="780" spans="1:21">
      <c r="A780" s="136">
        <v>1</v>
      </c>
      <c r="B780" s="233">
        <v>1988</v>
      </c>
      <c r="C780" s="234"/>
      <c r="D780" s="234" t="s">
        <v>4920</v>
      </c>
      <c r="E780" s="244" t="s">
        <v>3391</v>
      </c>
      <c r="F780" s="244" t="s">
        <v>4914</v>
      </c>
      <c r="G780" s="235" t="s">
        <v>2579</v>
      </c>
      <c r="H780" s="236">
        <v>0.03</v>
      </c>
      <c r="I780" s="236">
        <v>0.03</v>
      </c>
      <c r="J780" s="233">
        <v>3</v>
      </c>
      <c r="K780" s="237"/>
      <c r="L780" s="235"/>
      <c r="M780" s="276"/>
      <c r="N780" s="279" t="s">
        <v>25</v>
      </c>
      <c r="O780" t="str">
        <f t="shared" si="13"/>
        <v>1988 Memorial Penny</v>
      </c>
      <c r="S780" t="str" cm="1">
        <f t="array" ref="S780">_xlfn.REGEXEXTRACT(E780, "[0-9]{1,5}")</f>
        <v>1988</v>
      </c>
      <c r="T780" t="s">
        <v>4194</v>
      </c>
      <c r="U780" t="s">
        <v>3896</v>
      </c>
    </row>
    <row r="781" spans="1:21">
      <c r="A781" s="136">
        <v>1</v>
      </c>
      <c r="B781" s="233">
        <v>1988</v>
      </c>
      <c r="C781" s="234" t="s">
        <v>13</v>
      </c>
      <c r="D781" s="234" t="s">
        <v>4920</v>
      </c>
      <c r="E781" s="244" t="s">
        <v>3392</v>
      </c>
      <c r="F781" s="244" t="s">
        <v>4914</v>
      </c>
      <c r="G781" s="235" t="s">
        <v>2586</v>
      </c>
      <c r="H781" s="236">
        <v>0.25</v>
      </c>
      <c r="I781" s="236">
        <v>0.1</v>
      </c>
      <c r="J781" s="233">
        <v>1</v>
      </c>
      <c r="K781" s="237"/>
      <c r="L781" s="235"/>
      <c r="M781" s="276"/>
      <c r="N781" s="279" t="s">
        <v>25</v>
      </c>
      <c r="O781" t="str">
        <f t="shared" si="13"/>
        <v>1988-D Memorial Penny</v>
      </c>
      <c r="S781" t="str" cm="1">
        <f t="array" ref="S781">_xlfn.REGEXEXTRACT(E781, "[0-9]{1,5}")</f>
        <v>1988</v>
      </c>
      <c r="T781" t="s">
        <v>4194</v>
      </c>
      <c r="U781" t="s">
        <v>3896</v>
      </c>
    </row>
    <row r="782" spans="1:21">
      <c r="A782" s="136">
        <v>1</v>
      </c>
      <c r="B782" s="233">
        <v>1988</v>
      </c>
      <c r="C782" s="234" t="s">
        <v>12</v>
      </c>
      <c r="D782" s="234" t="s">
        <v>4920</v>
      </c>
      <c r="E782" s="244" t="s">
        <v>3393</v>
      </c>
      <c r="F782" s="244" t="s">
        <v>5207</v>
      </c>
      <c r="G782" s="235" t="s">
        <v>2584</v>
      </c>
      <c r="H782" s="236">
        <v>0.5</v>
      </c>
      <c r="I782" s="236">
        <v>0.01</v>
      </c>
      <c r="J782" s="233">
        <v>1</v>
      </c>
      <c r="K782" s="237" t="s">
        <v>3755</v>
      </c>
      <c r="L782" s="235"/>
      <c r="M782" s="276"/>
      <c r="N782" s="279" t="s">
        <v>25</v>
      </c>
      <c r="O782" t="str">
        <f t="shared" si="13"/>
        <v>1988-S Memorial Penny Proof</v>
      </c>
      <c r="S782" t="str" cm="1">
        <f t="array" ref="S782">_xlfn.REGEXEXTRACT(E782, "[0-9]{1,5}")</f>
        <v>1988</v>
      </c>
      <c r="T782" t="s">
        <v>4194</v>
      </c>
      <c r="U782" t="s">
        <v>3896</v>
      </c>
    </row>
    <row r="783" spans="1:21">
      <c r="A783" s="136">
        <v>1</v>
      </c>
      <c r="B783" s="233">
        <v>1988</v>
      </c>
      <c r="C783" s="234" t="s">
        <v>13</v>
      </c>
      <c r="D783" s="234" t="s">
        <v>4920</v>
      </c>
      <c r="E783" s="244" t="s">
        <v>3394</v>
      </c>
      <c r="F783" s="244" t="s">
        <v>4914</v>
      </c>
      <c r="G783" s="235" t="s">
        <v>2579</v>
      </c>
      <c r="H783" s="236">
        <v>0.01</v>
      </c>
      <c r="I783" s="236">
        <v>0.01</v>
      </c>
      <c r="J783" s="233">
        <v>1</v>
      </c>
      <c r="K783" s="237"/>
      <c r="L783" s="235"/>
      <c r="M783" s="276"/>
      <c r="N783" s="279" t="s">
        <v>25</v>
      </c>
      <c r="O783" t="str">
        <f t="shared" si="13"/>
        <v>1988-D Memorial Penny</v>
      </c>
      <c r="S783" t="str" cm="1">
        <f t="array" ref="S783">_xlfn.REGEXEXTRACT(E783, "[0-9]{1,5}")</f>
        <v>1988</v>
      </c>
      <c r="T783" t="s">
        <v>4194</v>
      </c>
      <c r="U783" t="s">
        <v>3896</v>
      </c>
    </row>
    <row r="784" spans="1:21">
      <c r="A784" s="136">
        <v>1</v>
      </c>
      <c r="B784" s="233">
        <v>1988</v>
      </c>
      <c r="C784" s="234" t="s">
        <v>13</v>
      </c>
      <c r="D784" s="234" t="s">
        <v>4920</v>
      </c>
      <c r="E784" s="244" t="s">
        <v>3395</v>
      </c>
      <c r="F784" s="244" t="s">
        <v>4914</v>
      </c>
      <c r="G784" s="235" t="s">
        <v>2579</v>
      </c>
      <c r="H784" s="236">
        <v>0.01</v>
      </c>
      <c r="I784" s="236">
        <v>0.01</v>
      </c>
      <c r="J784" s="233">
        <v>1</v>
      </c>
      <c r="K784" s="237"/>
      <c r="L784" s="235"/>
      <c r="M784" s="276"/>
      <c r="N784" s="279" t="s">
        <v>25</v>
      </c>
      <c r="O784" t="str">
        <f t="shared" si="13"/>
        <v>1988-D Memorial Penny</v>
      </c>
      <c r="S784" t="str" cm="1">
        <f t="array" ref="S784">_xlfn.REGEXEXTRACT(E784, "[0-9]{1,5}")</f>
        <v>1988</v>
      </c>
      <c r="T784" t="s">
        <v>4194</v>
      </c>
      <c r="U784" t="s">
        <v>3896</v>
      </c>
    </row>
    <row r="785" spans="1:21">
      <c r="A785" s="136">
        <v>1</v>
      </c>
      <c r="B785" s="233">
        <v>1988</v>
      </c>
      <c r="C785" s="234" t="s">
        <v>12</v>
      </c>
      <c r="D785" s="234" t="s">
        <v>4920</v>
      </c>
      <c r="E785" s="244" t="s">
        <v>3396</v>
      </c>
      <c r="F785" s="244" t="s">
        <v>5207</v>
      </c>
      <c r="G785" s="235" t="s">
        <v>2584</v>
      </c>
      <c r="H785" s="236">
        <v>1.75</v>
      </c>
      <c r="I785" s="236">
        <v>10</v>
      </c>
      <c r="J785" s="233">
        <v>1</v>
      </c>
      <c r="K785" s="237" t="s">
        <v>3755</v>
      </c>
      <c r="L785" s="235"/>
      <c r="M785" s="276"/>
      <c r="N785" s="279" t="s">
        <v>25</v>
      </c>
      <c r="O785" t="str">
        <f t="shared" si="13"/>
        <v>1988-S Memorial Penny Proof</v>
      </c>
      <c r="S785" t="str" cm="1">
        <f t="array" ref="S785">_xlfn.REGEXEXTRACT(E785, "[0-9]{1,5}")</f>
        <v>1988</v>
      </c>
      <c r="T785" t="s">
        <v>4194</v>
      </c>
      <c r="U785" t="s">
        <v>3896</v>
      </c>
    </row>
    <row r="786" spans="1:21">
      <c r="A786" s="136">
        <v>1</v>
      </c>
      <c r="B786" s="233">
        <v>1989</v>
      </c>
      <c r="C786" s="234"/>
      <c r="D786" s="234" t="s">
        <v>4920</v>
      </c>
      <c r="E786" s="244" t="s">
        <v>3397</v>
      </c>
      <c r="F786" s="244" t="s">
        <v>4914</v>
      </c>
      <c r="G786" s="235" t="s">
        <v>2579</v>
      </c>
      <c r="H786" s="236">
        <v>0.03</v>
      </c>
      <c r="I786" s="236">
        <v>0.03</v>
      </c>
      <c r="J786" s="233">
        <v>3</v>
      </c>
      <c r="K786" s="237"/>
      <c r="L786" s="235"/>
      <c r="M786" s="276"/>
      <c r="N786" s="279" t="s">
        <v>25</v>
      </c>
      <c r="O786" t="str">
        <f t="shared" si="13"/>
        <v>1989 Memorial Penny</v>
      </c>
      <c r="S786" t="str" cm="1">
        <f t="array" ref="S786">_xlfn.REGEXEXTRACT(E786, "[0-9]{1,5}")</f>
        <v>1989</v>
      </c>
      <c r="T786" t="s">
        <v>4195</v>
      </c>
      <c r="U786" t="s">
        <v>3896</v>
      </c>
    </row>
    <row r="787" spans="1:21">
      <c r="A787" s="136">
        <v>1</v>
      </c>
      <c r="B787" s="233">
        <v>1989</v>
      </c>
      <c r="C787" s="234"/>
      <c r="D787" s="234" t="s">
        <v>4920</v>
      </c>
      <c r="E787" s="244" t="s">
        <v>3398</v>
      </c>
      <c r="F787" s="244" t="s">
        <v>4914</v>
      </c>
      <c r="G787" s="235" t="s">
        <v>2579</v>
      </c>
      <c r="H787" s="236">
        <v>0.03</v>
      </c>
      <c r="I787" s="236">
        <v>0.03</v>
      </c>
      <c r="J787" s="233">
        <v>3</v>
      </c>
      <c r="K787" s="237"/>
      <c r="L787" s="235"/>
      <c r="M787" s="276"/>
      <c r="N787" s="279" t="s">
        <v>25</v>
      </c>
      <c r="O787" t="str">
        <f t="shared" si="13"/>
        <v>1989 Memorial Penny</v>
      </c>
      <c r="S787" t="str" cm="1">
        <f t="array" ref="S787">_xlfn.REGEXEXTRACT(E787, "[0-9]{1,5}")</f>
        <v>1989</v>
      </c>
      <c r="T787" t="s">
        <v>4195</v>
      </c>
      <c r="U787" t="s">
        <v>3896</v>
      </c>
    </row>
    <row r="788" spans="1:21">
      <c r="A788" s="136">
        <v>1</v>
      </c>
      <c r="B788" s="233">
        <v>1989</v>
      </c>
      <c r="C788" s="234"/>
      <c r="D788" s="234" t="s">
        <v>4920</v>
      </c>
      <c r="E788" s="244" t="s">
        <v>3399</v>
      </c>
      <c r="F788" s="244" t="s">
        <v>4914</v>
      </c>
      <c r="G788" s="235" t="s">
        <v>2579</v>
      </c>
      <c r="H788" s="236">
        <v>0.03</v>
      </c>
      <c r="I788" s="236">
        <v>0.03</v>
      </c>
      <c r="J788" s="233">
        <v>3</v>
      </c>
      <c r="K788" s="237"/>
      <c r="L788" s="235"/>
      <c r="M788" s="276"/>
      <c r="N788" s="279" t="s">
        <v>25</v>
      </c>
      <c r="O788" t="str">
        <f t="shared" si="13"/>
        <v>1989 Memorial Penny</v>
      </c>
      <c r="S788" t="str" cm="1">
        <f t="array" ref="S788">_xlfn.REGEXEXTRACT(E788, "[0-9]{1,5}")</f>
        <v>1989</v>
      </c>
      <c r="T788" t="s">
        <v>4195</v>
      </c>
      <c r="U788" t="s">
        <v>3896</v>
      </c>
    </row>
    <row r="789" spans="1:21">
      <c r="A789" s="136">
        <v>1</v>
      </c>
      <c r="B789" s="233">
        <v>1989</v>
      </c>
      <c r="C789" s="234"/>
      <c r="D789" s="234" t="s">
        <v>4920</v>
      </c>
      <c r="E789" s="244" t="s">
        <v>3400</v>
      </c>
      <c r="F789" s="244" t="s">
        <v>4914</v>
      </c>
      <c r="G789" s="235" t="s">
        <v>2579</v>
      </c>
      <c r="H789" s="236">
        <v>0.03</v>
      </c>
      <c r="I789" s="236">
        <v>0.03</v>
      </c>
      <c r="J789" s="233">
        <v>3</v>
      </c>
      <c r="K789" s="237"/>
      <c r="L789" s="235"/>
      <c r="M789" s="276"/>
      <c r="N789" s="279" t="s">
        <v>25</v>
      </c>
      <c r="O789" t="str">
        <f t="shared" si="13"/>
        <v>1989 Memorial Penny</v>
      </c>
      <c r="S789" t="str" cm="1">
        <f t="array" ref="S789">_xlfn.REGEXEXTRACT(E789, "[0-9]{1,5}")</f>
        <v>1989</v>
      </c>
      <c r="T789" t="s">
        <v>4195</v>
      </c>
      <c r="U789" t="s">
        <v>3896</v>
      </c>
    </row>
    <row r="790" spans="1:21">
      <c r="A790" s="136">
        <v>1</v>
      </c>
      <c r="B790" s="233">
        <v>1989</v>
      </c>
      <c r="C790" s="234" t="s">
        <v>13</v>
      </c>
      <c r="D790" s="234" t="s">
        <v>4920</v>
      </c>
      <c r="E790" s="244" t="s">
        <v>3401</v>
      </c>
      <c r="F790" s="244" t="s">
        <v>4914</v>
      </c>
      <c r="G790" s="235" t="s">
        <v>2586</v>
      </c>
      <c r="H790" s="236">
        <v>0.35</v>
      </c>
      <c r="I790" s="236">
        <v>0.01</v>
      </c>
      <c r="J790" s="233">
        <v>1</v>
      </c>
      <c r="K790" s="237"/>
      <c r="L790" s="235"/>
      <c r="M790" s="276"/>
      <c r="N790" s="279" t="s">
        <v>25</v>
      </c>
      <c r="O790" t="str">
        <f t="shared" si="13"/>
        <v>1989-D Memorial Penny</v>
      </c>
      <c r="S790" t="str" cm="1">
        <f t="array" ref="S790">_xlfn.REGEXEXTRACT(E790, "[0-9]{1,5}")</f>
        <v>1989</v>
      </c>
      <c r="T790" t="s">
        <v>4195</v>
      </c>
      <c r="U790" t="s">
        <v>3896</v>
      </c>
    </row>
    <row r="791" spans="1:21">
      <c r="A791" s="136">
        <v>1</v>
      </c>
      <c r="B791" s="233">
        <v>1989</v>
      </c>
      <c r="C791" s="234" t="s">
        <v>12</v>
      </c>
      <c r="D791" s="234" t="s">
        <v>4920</v>
      </c>
      <c r="E791" s="244" t="s">
        <v>3402</v>
      </c>
      <c r="F791" s="244" t="s">
        <v>5207</v>
      </c>
      <c r="G791" s="235" t="s">
        <v>2584</v>
      </c>
      <c r="H791" s="236">
        <v>2</v>
      </c>
      <c r="I791" s="236">
        <v>0.01</v>
      </c>
      <c r="J791" s="233">
        <v>1</v>
      </c>
      <c r="K791" s="237" t="s">
        <v>3755</v>
      </c>
      <c r="L791" s="235"/>
      <c r="M791" s="276"/>
      <c r="N791" s="279" t="s">
        <v>25</v>
      </c>
      <c r="O791" t="str">
        <f t="shared" si="13"/>
        <v>1989-S Memorial Penny Proof</v>
      </c>
      <c r="S791" t="str" cm="1">
        <f t="array" ref="S791">_xlfn.REGEXEXTRACT(E791, "[0-9]{1,5}")</f>
        <v>1989</v>
      </c>
      <c r="T791" t="s">
        <v>4195</v>
      </c>
      <c r="U791" t="s">
        <v>3896</v>
      </c>
    </row>
    <row r="792" spans="1:21">
      <c r="A792" s="136">
        <v>1</v>
      </c>
      <c r="B792" s="233">
        <v>1989</v>
      </c>
      <c r="C792" s="234"/>
      <c r="D792" s="234" t="s">
        <v>4920</v>
      </c>
      <c r="E792" s="244" t="s">
        <v>3403</v>
      </c>
      <c r="F792" s="244" t="s">
        <v>4914</v>
      </c>
      <c r="G792" s="235" t="s">
        <v>2579</v>
      </c>
      <c r="H792" s="236">
        <v>0.01</v>
      </c>
      <c r="I792" s="236">
        <v>0.01</v>
      </c>
      <c r="J792" s="233">
        <v>1</v>
      </c>
      <c r="K792" s="237"/>
      <c r="L792" s="235"/>
      <c r="M792" s="276"/>
      <c r="N792" s="279" t="s">
        <v>25</v>
      </c>
      <c r="O792" t="str">
        <f t="shared" si="13"/>
        <v>1989 Memorial Penny</v>
      </c>
      <c r="S792" t="str" cm="1">
        <f t="array" ref="S792">_xlfn.REGEXEXTRACT(E792, "[0-9]{1,5}")</f>
        <v>1989</v>
      </c>
      <c r="T792" t="s">
        <v>4195</v>
      </c>
      <c r="U792" t="s">
        <v>3896</v>
      </c>
    </row>
    <row r="793" spans="1:21">
      <c r="A793" s="136">
        <v>1</v>
      </c>
      <c r="B793" s="233">
        <v>1989</v>
      </c>
      <c r="C793" s="234" t="s">
        <v>13</v>
      </c>
      <c r="D793" s="234" t="s">
        <v>4920</v>
      </c>
      <c r="E793" s="244" t="s">
        <v>3404</v>
      </c>
      <c r="F793" s="244" t="s">
        <v>4914</v>
      </c>
      <c r="G793" s="235" t="s">
        <v>2579</v>
      </c>
      <c r="H793" s="236">
        <v>0.01</v>
      </c>
      <c r="I793" s="236">
        <v>0.01</v>
      </c>
      <c r="J793" s="233">
        <v>1</v>
      </c>
      <c r="K793" s="237"/>
      <c r="L793" s="235"/>
      <c r="M793" s="276"/>
      <c r="N793" s="279" t="s">
        <v>25</v>
      </c>
      <c r="O793" t="str">
        <f t="shared" si="13"/>
        <v>1989-D Memorial Penny</v>
      </c>
      <c r="S793" t="str" cm="1">
        <f t="array" ref="S793">_xlfn.REGEXEXTRACT(E793, "[0-9]{1,5}")</f>
        <v>1989</v>
      </c>
      <c r="T793" t="s">
        <v>4195</v>
      </c>
      <c r="U793" t="s">
        <v>3896</v>
      </c>
    </row>
    <row r="794" spans="1:21">
      <c r="A794" s="136">
        <v>1</v>
      </c>
      <c r="B794" s="233">
        <v>1989</v>
      </c>
      <c r="C794" s="234"/>
      <c r="D794" s="234" t="s">
        <v>4920</v>
      </c>
      <c r="E794" s="244" t="s">
        <v>3405</v>
      </c>
      <c r="F794" s="244" t="s">
        <v>4914</v>
      </c>
      <c r="G794" s="235" t="s">
        <v>2579</v>
      </c>
      <c r="H794" s="236">
        <v>0.01</v>
      </c>
      <c r="I794" s="236">
        <v>0.01</v>
      </c>
      <c r="J794" s="233">
        <v>1</v>
      </c>
      <c r="K794" s="237"/>
      <c r="L794" s="235"/>
      <c r="M794" s="276"/>
      <c r="N794" s="279" t="s">
        <v>25</v>
      </c>
      <c r="O794" t="str">
        <f t="shared" si="13"/>
        <v>1989 Memorial Penny</v>
      </c>
      <c r="S794" t="str" cm="1">
        <f t="array" ref="S794">_xlfn.REGEXEXTRACT(E794, "[0-9]{1,5}")</f>
        <v>1989</v>
      </c>
      <c r="T794" t="s">
        <v>4195</v>
      </c>
      <c r="U794" t="s">
        <v>3896</v>
      </c>
    </row>
    <row r="795" spans="1:21">
      <c r="A795" s="136">
        <v>1</v>
      </c>
      <c r="B795" s="233">
        <v>1989</v>
      </c>
      <c r="C795" s="234" t="s">
        <v>12</v>
      </c>
      <c r="D795" s="234" t="s">
        <v>4920</v>
      </c>
      <c r="E795" s="244" t="s">
        <v>3406</v>
      </c>
      <c r="F795" s="244" t="s">
        <v>5207</v>
      </c>
      <c r="G795" s="235" t="s">
        <v>2584</v>
      </c>
      <c r="H795" s="236">
        <v>3</v>
      </c>
      <c r="I795" s="236">
        <v>10</v>
      </c>
      <c r="J795" s="233">
        <v>1</v>
      </c>
      <c r="K795" s="237" t="s">
        <v>3755</v>
      </c>
      <c r="L795" s="235"/>
      <c r="M795" s="276"/>
      <c r="N795" s="279" t="s">
        <v>25</v>
      </c>
      <c r="O795" t="str">
        <f t="shared" si="13"/>
        <v>1989-S Memorial Penny Proof</v>
      </c>
      <c r="S795" t="str" cm="1">
        <f t="array" ref="S795">_xlfn.REGEXEXTRACT(E795, "[0-9]{1,5}")</f>
        <v>1989</v>
      </c>
      <c r="T795" t="s">
        <v>4195</v>
      </c>
      <c r="U795" t="s">
        <v>3896</v>
      </c>
    </row>
    <row r="796" spans="1:21">
      <c r="A796" s="136">
        <v>1</v>
      </c>
      <c r="B796" s="233">
        <v>1990</v>
      </c>
      <c r="C796" s="234"/>
      <c r="D796" s="234" t="s">
        <v>4920</v>
      </c>
      <c r="E796" s="244" t="s">
        <v>3407</v>
      </c>
      <c r="F796" s="244" t="s">
        <v>4914</v>
      </c>
      <c r="G796" s="235" t="s">
        <v>2579</v>
      </c>
      <c r="H796" s="236">
        <v>0.01</v>
      </c>
      <c r="I796" s="236">
        <v>0.1</v>
      </c>
      <c r="J796" s="233">
        <v>1</v>
      </c>
      <c r="K796" s="235"/>
      <c r="L796" s="235"/>
      <c r="M796" s="276"/>
      <c r="N796" s="279" t="s">
        <v>25</v>
      </c>
      <c r="O796" t="str">
        <f t="shared" si="13"/>
        <v>1990 Memorial Penny</v>
      </c>
      <c r="S796" t="str" cm="1">
        <f t="array" ref="S796">_xlfn.REGEXEXTRACT(E796, "[0-9]{1,5}")</f>
        <v>1990</v>
      </c>
      <c r="T796" t="s">
        <v>4196</v>
      </c>
      <c r="U796" t="s">
        <v>3896</v>
      </c>
    </row>
    <row r="797" spans="1:21">
      <c r="A797" s="136">
        <v>1</v>
      </c>
      <c r="B797" s="233">
        <v>1990</v>
      </c>
      <c r="C797" s="234"/>
      <c r="D797" s="234" t="s">
        <v>4920</v>
      </c>
      <c r="E797" s="244" t="s">
        <v>3408</v>
      </c>
      <c r="F797" s="244" t="s">
        <v>4914</v>
      </c>
      <c r="G797" s="235" t="s">
        <v>2579</v>
      </c>
      <c r="H797" s="236">
        <v>0.01</v>
      </c>
      <c r="I797" s="236">
        <v>0.1</v>
      </c>
      <c r="J797" s="233">
        <v>1</v>
      </c>
      <c r="K797" s="235"/>
      <c r="L797" s="235"/>
      <c r="M797" s="276"/>
      <c r="N797" s="279" t="s">
        <v>25</v>
      </c>
      <c r="O797" t="str">
        <f t="shared" si="13"/>
        <v>1990 Memorial Penny</v>
      </c>
      <c r="S797" t="str" cm="1">
        <f t="array" ref="S797">_xlfn.REGEXEXTRACT(E797, "[0-9]{1,5}")</f>
        <v>1990</v>
      </c>
      <c r="T797" t="s">
        <v>4196</v>
      </c>
      <c r="U797" t="s">
        <v>3896</v>
      </c>
    </row>
    <row r="798" spans="1:21">
      <c r="A798" s="136">
        <v>1</v>
      </c>
      <c r="B798" s="233">
        <v>1990</v>
      </c>
      <c r="C798" s="234"/>
      <c r="D798" s="234" t="s">
        <v>4920</v>
      </c>
      <c r="E798" s="244" t="s">
        <v>3409</v>
      </c>
      <c r="F798" s="244" t="s">
        <v>4914</v>
      </c>
      <c r="G798" s="235" t="s">
        <v>2579</v>
      </c>
      <c r="H798" s="236">
        <v>0.03</v>
      </c>
      <c r="I798" s="236">
        <v>0.03</v>
      </c>
      <c r="J798" s="233">
        <v>3</v>
      </c>
      <c r="K798" s="235"/>
      <c r="L798" s="235"/>
      <c r="M798" s="276"/>
      <c r="N798" s="279" t="s">
        <v>25</v>
      </c>
      <c r="O798" t="str">
        <f t="shared" si="13"/>
        <v>1990 Memorial Penny</v>
      </c>
      <c r="S798" t="str" cm="1">
        <f t="array" ref="S798">_xlfn.REGEXEXTRACT(E798, "[0-9]{1,5}")</f>
        <v>1990</v>
      </c>
      <c r="T798" t="s">
        <v>4196</v>
      </c>
      <c r="U798" t="s">
        <v>3896</v>
      </c>
    </row>
    <row r="799" spans="1:21">
      <c r="A799" s="136">
        <v>1</v>
      </c>
      <c r="B799" s="233">
        <v>1990</v>
      </c>
      <c r="C799" s="234"/>
      <c r="D799" s="234" t="s">
        <v>4920</v>
      </c>
      <c r="E799" s="244" t="s">
        <v>3410</v>
      </c>
      <c r="F799" s="244" t="s">
        <v>4914</v>
      </c>
      <c r="G799" s="235" t="s">
        <v>2579</v>
      </c>
      <c r="H799" s="236">
        <v>0.03</v>
      </c>
      <c r="I799" s="236">
        <v>0.03</v>
      </c>
      <c r="J799" s="233">
        <v>3</v>
      </c>
      <c r="K799" s="235"/>
      <c r="L799" s="235"/>
      <c r="M799" s="276"/>
      <c r="N799" s="279" t="s">
        <v>25</v>
      </c>
      <c r="O799" t="str">
        <f t="shared" si="13"/>
        <v>1990 Memorial Penny</v>
      </c>
      <c r="S799" t="str" cm="1">
        <f t="array" ref="S799">_xlfn.REGEXEXTRACT(E799, "[0-9]{1,5}")</f>
        <v>1990</v>
      </c>
      <c r="T799" t="s">
        <v>4196</v>
      </c>
      <c r="U799" t="s">
        <v>3896</v>
      </c>
    </row>
    <row r="800" spans="1:21">
      <c r="A800" s="136">
        <v>1</v>
      </c>
      <c r="B800" s="233">
        <v>1990</v>
      </c>
      <c r="C800" s="234"/>
      <c r="D800" s="234" t="s">
        <v>4920</v>
      </c>
      <c r="E800" s="244" t="s">
        <v>3411</v>
      </c>
      <c r="F800" s="244" t="s">
        <v>4914</v>
      </c>
      <c r="G800" s="235" t="s">
        <v>2579</v>
      </c>
      <c r="H800" s="236">
        <v>0.03</v>
      </c>
      <c r="I800" s="236">
        <v>0.03</v>
      </c>
      <c r="J800" s="233">
        <v>3</v>
      </c>
      <c r="K800" s="235"/>
      <c r="L800" s="235"/>
      <c r="M800" s="276"/>
      <c r="N800" s="279" t="s">
        <v>25</v>
      </c>
      <c r="O800" t="str">
        <f t="shared" si="13"/>
        <v>1990 Memorial Penny</v>
      </c>
      <c r="S800" t="str" cm="1">
        <f t="array" ref="S800">_xlfn.REGEXEXTRACT(E800, "[0-9]{1,5}")</f>
        <v>1990</v>
      </c>
      <c r="T800" t="s">
        <v>4196</v>
      </c>
      <c r="U800" t="s">
        <v>3896</v>
      </c>
    </row>
    <row r="801" spans="1:21">
      <c r="A801" s="136">
        <v>1</v>
      </c>
      <c r="B801" s="233">
        <v>1990</v>
      </c>
      <c r="C801" s="234" t="s">
        <v>12</v>
      </c>
      <c r="D801" s="234" t="s">
        <v>4920</v>
      </c>
      <c r="E801" s="244" t="s">
        <v>3412</v>
      </c>
      <c r="F801" s="244" t="s">
        <v>5207</v>
      </c>
      <c r="G801" s="235" t="s">
        <v>2584</v>
      </c>
      <c r="H801" s="236">
        <v>1.75</v>
      </c>
      <c r="I801" s="236">
        <v>1</v>
      </c>
      <c r="J801" s="233">
        <v>1</v>
      </c>
      <c r="K801" s="235"/>
      <c r="L801" s="235"/>
      <c r="M801" s="276"/>
      <c r="N801" s="279" t="s">
        <v>25</v>
      </c>
      <c r="O801" t="str">
        <f t="shared" si="13"/>
        <v>1990-S Memorial Penny Proof</v>
      </c>
      <c r="S801" t="str" cm="1">
        <f t="array" ref="S801">_xlfn.REGEXEXTRACT(E801, "[0-9]{1,5}")</f>
        <v>1990</v>
      </c>
      <c r="T801" t="s">
        <v>4196</v>
      </c>
      <c r="U801" t="s">
        <v>3896</v>
      </c>
    </row>
    <row r="802" spans="1:21">
      <c r="A802" s="136">
        <v>1</v>
      </c>
      <c r="B802" s="233">
        <v>1990</v>
      </c>
      <c r="C802" s="234" t="s">
        <v>13</v>
      </c>
      <c r="D802" s="234" t="s">
        <v>4920</v>
      </c>
      <c r="E802" s="244" t="s">
        <v>3413</v>
      </c>
      <c r="F802" s="244" t="s">
        <v>4914</v>
      </c>
      <c r="G802" s="235" t="s">
        <v>2586</v>
      </c>
      <c r="H802" s="236">
        <v>0.4</v>
      </c>
      <c r="I802" s="236">
        <v>1</v>
      </c>
      <c r="J802" s="233">
        <v>1</v>
      </c>
      <c r="K802" s="235"/>
      <c r="L802" s="235"/>
      <c r="M802" s="276"/>
      <c r="N802" s="279" t="s">
        <v>25</v>
      </c>
      <c r="O802" t="str">
        <f t="shared" si="13"/>
        <v>1990-D Memorial Penny</v>
      </c>
      <c r="S802" t="str" cm="1">
        <f t="array" ref="S802">_xlfn.REGEXEXTRACT(E802, "[0-9]{1,5}")</f>
        <v>1990</v>
      </c>
      <c r="T802" t="s">
        <v>4196</v>
      </c>
      <c r="U802" t="s">
        <v>3896</v>
      </c>
    </row>
    <row r="803" spans="1:21">
      <c r="A803" s="136">
        <v>1</v>
      </c>
      <c r="B803" s="233">
        <v>1990</v>
      </c>
      <c r="C803" s="234" t="s">
        <v>13</v>
      </c>
      <c r="D803" s="234" t="s">
        <v>4920</v>
      </c>
      <c r="E803" s="244" t="s">
        <v>3414</v>
      </c>
      <c r="F803" s="244" t="s">
        <v>4914</v>
      </c>
      <c r="G803" s="235" t="s">
        <v>2579</v>
      </c>
      <c r="H803" s="236">
        <v>0.01</v>
      </c>
      <c r="I803" s="236">
        <v>1</v>
      </c>
      <c r="J803" s="233">
        <v>1</v>
      </c>
      <c r="K803" s="235"/>
      <c r="L803" s="235"/>
      <c r="M803" s="276"/>
      <c r="N803" s="279" t="s">
        <v>25</v>
      </c>
      <c r="O803" t="str">
        <f t="shared" si="13"/>
        <v>1990-D Memorial Penny</v>
      </c>
      <c r="S803" t="str" cm="1">
        <f t="array" ref="S803">_xlfn.REGEXEXTRACT(E803, "[0-9]{1,5}")</f>
        <v>1990</v>
      </c>
      <c r="T803" t="s">
        <v>4196</v>
      </c>
      <c r="U803" t="s">
        <v>3896</v>
      </c>
    </row>
    <row r="804" spans="1:21">
      <c r="A804" s="136">
        <v>1</v>
      </c>
      <c r="B804" s="233">
        <v>1990</v>
      </c>
      <c r="C804" s="234" t="s">
        <v>12</v>
      </c>
      <c r="D804" s="234" t="s">
        <v>4920</v>
      </c>
      <c r="E804" s="244" t="s">
        <v>3415</v>
      </c>
      <c r="F804" s="244" t="s">
        <v>5207</v>
      </c>
      <c r="G804" s="235" t="s">
        <v>2584</v>
      </c>
      <c r="H804" s="236">
        <v>1.75</v>
      </c>
      <c r="I804" s="236">
        <v>3.4</v>
      </c>
      <c r="J804" s="233">
        <v>1</v>
      </c>
      <c r="K804" s="235"/>
      <c r="L804" s="235"/>
      <c r="M804" s="276"/>
      <c r="N804" s="279" t="s">
        <v>25</v>
      </c>
      <c r="O804" t="str">
        <f t="shared" si="13"/>
        <v>1990-S Memorial Penny Proof</v>
      </c>
      <c r="S804" t="str" cm="1">
        <f t="array" ref="S804">_xlfn.REGEXEXTRACT(E804, "[0-9]{1,5}")</f>
        <v>1990</v>
      </c>
      <c r="T804" t="s">
        <v>4196</v>
      </c>
      <c r="U804" t="s">
        <v>3896</v>
      </c>
    </row>
    <row r="805" spans="1:21">
      <c r="A805" s="136">
        <v>1</v>
      </c>
      <c r="B805" s="233">
        <v>1991</v>
      </c>
      <c r="C805" s="234"/>
      <c r="D805" s="234" t="s">
        <v>4920</v>
      </c>
      <c r="E805" s="244" t="s">
        <v>3416</v>
      </c>
      <c r="F805" s="244" t="s">
        <v>4914</v>
      </c>
      <c r="G805" s="235" t="s">
        <v>2579</v>
      </c>
      <c r="H805" s="236">
        <v>0.03</v>
      </c>
      <c r="I805" s="236">
        <v>0.03</v>
      </c>
      <c r="J805" s="233">
        <v>3</v>
      </c>
      <c r="K805" s="235"/>
      <c r="L805" s="235"/>
      <c r="M805" s="276"/>
      <c r="N805" s="279" t="s">
        <v>25</v>
      </c>
      <c r="O805" t="str">
        <f t="shared" si="13"/>
        <v>1991 Memorial Penny</v>
      </c>
      <c r="S805" t="str" cm="1">
        <f t="array" ref="S805">_xlfn.REGEXEXTRACT(E805, "[0-9]{1,5}")</f>
        <v>1991</v>
      </c>
      <c r="T805" t="s">
        <v>4197</v>
      </c>
      <c r="U805" t="s">
        <v>3896</v>
      </c>
    </row>
    <row r="806" spans="1:21">
      <c r="A806" s="136">
        <v>1</v>
      </c>
      <c r="B806" s="233">
        <v>1991</v>
      </c>
      <c r="C806" s="234"/>
      <c r="D806" s="234" t="s">
        <v>4920</v>
      </c>
      <c r="E806" s="244" t="s">
        <v>3417</v>
      </c>
      <c r="F806" s="244" t="s">
        <v>4914</v>
      </c>
      <c r="G806" s="235" t="s">
        <v>2579</v>
      </c>
      <c r="H806" s="236">
        <v>0.03</v>
      </c>
      <c r="I806" s="236">
        <v>0.03</v>
      </c>
      <c r="J806" s="233">
        <v>3</v>
      </c>
      <c r="K806" s="235"/>
      <c r="L806" s="235"/>
      <c r="M806" s="276"/>
      <c r="N806" s="279" t="s">
        <v>25</v>
      </c>
      <c r="O806" t="str">
        <f t="shared" si="13"/>
        <v>1991 Memorial Penny</v>
      </c>
      <c r="S806" t="str" cm="1">
        <f t="array" ref="S806">_xlfn.REGEXEXTRACT(E806, "[0-9]{1,5}")</f>
        <v>1991</v>
      </c>
      <c r="T806" t="s">
        <v>4197</v>
      </c>
      <c r="U806" t="s">
        <v>3896</v>
      </c>
    </row>
    <row r="807" spans="1:21">
      <c r="A807" s="136">
        <v>1</v>
      </c>
      <c r="B807" s="233">
        <v>1991</v>
      </c>
      <c r="C807" s="234" t="s">
        <v>13</v>
      </c>
      <c r="D807" s="234" t="s">
        <v>4920</v>
      </c>
      <c r="E807" s="244" t="s">
        <v>3418</v>
      </c>
      <c r="F807" s="244" t="s">
        <v>4914</v>
      </c>
      <c r="G807" s="235" t="s">
        <v>2586</v>
      </c>
      <c r="H807" s="236">
        <v>0.5</v>
      </c>
      <c r="I807" s="236">
        <v>0.01</v>
      </c>
      <c r="J807" s="233">
        <v>1</v>
      </c>
      <c r="K807" s="235"/>
      <c r="L807" s="235"/>
      <c r="M807" s="276"/>
      <c r="N807" s="279" t="s">
        <v>25</v>
      </c>
      <c r="O807" t="str">
        <f t="shared" si="13"/>
        <v>1991-D Memorial Penny</v>
      </c>
      <c r="S807" t="str" cm="1">
        <f t="array" ref="S807">_xlfn.REGEXEXTRACT(E807, "[0-9]{1,5}")</f>
        <v>1991</v>
      </c>
      <c r="T807" t="s">
        <v>4197</v>
      </c>
      <c r="U807" t="s">
        <v>3896</v>
      </c>
    </row>
    <row r="808" spans="1:21">
      <c r="A808" s="136">
        <v>1</v>
      </c>
      <c r="B808" s="233">
        <v>1991</v>
      </c>
      <c r="C808" s="234" t="s">
        <v>12</v>
      </c>
      <c r="D808" s="234" t="s">
        <v>4920</v>
      </c>
      <c r="E808" s="244" t="s">
        <v>3419</v>
      </c>
      <c r="F808" s="244" t="s">
        <v>5207</v>
      </c>
      <c r="G808" s="235" t="s">
        <v>2584</v>
      </c>
      <c r="H808" s="236">
        <v>0.5</v>
      </c>
      <c r="I808" s="236">
        <v>0.01</v>
      </c>
      <c r="J808" s="233">
        <v>1</v>
      </c>
      <c r="K808" s="235"/>
      <c r="L808" s="235"/>
      <c r="M808" s="276"/>
      <c r="N808" s="279" t="s">
        <v>25</v>
      </c>
      <c r="O808" t="str">
        <f t="shared" si="13"/>
        <v>1991-S Memorial Penny Proof</v>
      </c>
      <c r="S808" t="str" cm="1">
        <f t="array" ref="S808">_xlfn.REGEXEXTRACT(E808, "[0-9]{1,5}")</f>
        <v>1991</v>
      </c>
      <c r="T808" t="s">
        <v>4197</v>
      </c>
      <c r="U808" t="s">
        <v>3896</v>
      </c>
    </row>
    <row r="809" spans="1:21">
      <c r="A809" s="136">
        <v>1</v>
      </c>
      <c r="B809" s="233">
        <v>1991</v>
      </c>
      <c r="C809" s="234" t="s">
        <v>13</v>
      </c>
      <c r="D809" s="234" t="s">
        <v>4920</v>
      </c>
      <c r="E809" s="244" t="s">
        <v>3420</v>
      </c>
      <c r="F809" s="244" t="s">
        <v>4914</v>
      </c>
      <c r="G809" s="235" t="s">
        <v>2579</v>
      </c>
      <c r="H809" s="236">
        <v>0.5</v>
      </c>
      <c r="I809" s="236">
        <v>0.01</v>
      </c>
      <c r="J809" s="233">
        <v>1</v>
      </c>
      <c r="K809" s="235"/>
      <c r="L809" s="235"/>
      <c r="M809" s="276"/>
      <c r="N809" s="279" t="s">
        <v>25</v>
      </c>
      <c r="O809" t="str">
        <f t="shared" si="13"/>
        <v>1991-D Memorial Penny</v>
      </c>
      <c r="S809" t="str" cm="1">
        <f t="array" ref="S809">_xlfn.REGEXEXTRACT(E809, "[0-9]{1,5}")</f>
        <v>1991</v>
      </c>
      <c r="T809" t="s">
        <v>4197</v>
      </c>
      <c r="U809" t="s">
        <v>3896</v>
      </c>
    </row>
    <row r="810" spans="1:21">
      <c r="A810" s="136">
        <v>1</v>
      </c>
      <c r="B810" s="233">
        <v>1991</v>
      </c>
      <c r="C810" s="234" t="s">
        <v>12</v>
      </c>
      <c r="D810" s="234" t="s">
        <v>4920</v>
      </c>
      <c r="E810" s="244" t="s">
        <v>3421</v>
      </c>
      <c r="F810" s="244" t="s">
        <v>5207</v>
      </c>
      <c r="G810" s="235" t="s">
        <v>2584</v>
      </c>
      <c r="H810" s="236">
        <v>2.5</v>
      </c>
      <c r="I810" s="236">
        <v>14</v>
      </c>
      <c r="J810" s="233">
        <v>1</v>
      </c>
      <c r="K810" s="235"/>
      <c r="L810" s="235"/>
      <c r="M810" s="276"/>
      <c r="N810" s="279" t="s">
        <v>25</v>
      </c>
      <c r="O810" t="str">
        <f t="shared" si="13"/>
        <v>1991-S Memorial Penny Proof</v>
      </c>
      <c r="S810" t="str" cm="1">
        <f t="array" ref="S810">_xlfn.REGEXEXTRACT(E810, "[0-9]{1,5}")</f>
        <v>1991</v>
      </c>
      <c r="T810" t="s">
        <v>4197</v>
      </c>
      <c r="U810" t="s">
        <v>3896</v>
      </c>
    </row>
    <row r="811" spans="1:21">
      <c r="A811" s="136">
        <v>1</v>
      </c>
      <c r="B811" s="233">
        <v>1992</v>
      </c>
      <c r="C811" s="234"/>
      <c r="D811" s="234" t="s">
        <v>4920</v>
      </c>
      <c r="E811" s="244" t="s">
        <v>3422</v>
      </c>
      <c r="F811" s="244" t="s">
        <v>4914</v>
      </c>
      <c r="G811" s="235" t="s">
        <v>2579</v>
      </c>
      <c r="H811" s="236">
        <v>0.03</v>
      </c>
      <c r="I811" s="236">
        <v>0.03</v>
      </c>
      <c r="J811" s="233">
        <v>3</v>
      </c>
      <c r="K811" s="235"/>
      <c r="L811" s="235"/>
      <c r="M811" s="276"/>
      <c r="N811" s="279" t="s">
        <v>25</v>
      </c>
      <c r="O811" t="str">
        <f t="shared" si="13"/>
        <v>1992 Memorial Penny</v>
      </c>
      <c r="S811" t="str" cm="1">
        <f t="array" ref="S811">_xlfn.REGEXEXTRACT(E811, "[0-9]{1,5}")</f>
        <v>1992</v>
      </c>
      <c r="T811" t="s">
        <v>4198</v>
      </c>
      <c r="U811" t="s">
        <v>3896</v>
      </c>
    </row>
    <row r="812" spans="1:21">
      <c r="A812" s="136">
        <v>1</v>
      </c>
      <c r="B812" s="233">
        <v>1992</v>
      </c>
      <c r="C812" s="234" t="s">
        <v>13</v>
      </c>
      <c r="D812" s="234" t="s">
        <v>4920</v>
      </c>
      <c r="E812" s="244" t="s">
        <v>3423</v>
      </c>
      <c r="F812" s="244" t="s">
        <v>4914</v>
      </c>
      <c r="G812" s="235" t="s">
        <v>2586</v>
      </c>
      <c r="H812" s="236">
        <v>0.25</v>
      </c>
      <c r="I812" s="236">
        <v>0.01</v>
      </c>
      <c r="J812" s="233">
        <v>1</v>
      </c>
      <c r="K812" s="235"/>
      <c r="L812" s="235"/>
      <c r="M812" s="276"/>
      <c r="N812" s="279" t="s">
        <v>25</v>
      </c>
      <c r="O812" t="str">
        <f t="shared" si="13"/>
        <v>1992-D Memorial Penny</v>
      </c>
      <c r="S812" t="str" cm="1">
        <f t="array" ref="S812">_xlfn.REGEXEXTRACT(E812, "[0-9]{1,5}")</f>
        <v>1992</v>
      </c>
      <c r="T812" t="s">
        <v>4198</v>
      </c>
      <c r="U812" t="s">
        <v>3896</v>
      </c>
    </row>
    <row r="813" spans="1:21">
      <c r="A813" s="136">
        <v>1</v>
      </c>
      <c r="B813" s="233">
        <v>1992</v>
      </c>
      <c r="C813" s="234" t="s">
        <v>12</v>
      </c>
      <c r="D813" s="234" t="s">
        <v>4920</v>
      </c>
      <c r="E813" s="244" t="s">
        <v>3424</v>
      </c>
      <c r="F813" s="244" t="s">
        <v>5207</v>
      </c>
      <c r="G813" s="235" t="s">
        <v>2584</v>
      </c>
      <c r="H813" s="236">
        <v>0.4</v>
      </c>
      <c r="I813" s="236">
        <v>0.01</v>
      </c>
      <c r="J813" s="233">
        <v>1</v>
      </c>
      <c r="K813" s="235"/>
      <c r="L813" s="235"/>
      <c r="M813" s="276"/>
      <c r="N813" s="279" t="s">
        <v>25</v>
      </c>
      <c r="O813" t="str">
        <f t="shared" si="13"/>
        <v>1992-S Memorial Penny Proof</v>
      </c>
      <c r="S813" t="str" cm="1">
        <f t="array" ref="S813">_xlfn.REGEXEXTRACT(E813, "[0-9]{1,5}")</f>
        <v>1992</v>
      </c>
      <c r="T813" t="s">
        <v>4198</v>
      </c>
      <c r="U813" t="s">
        <v>3896</v>
      </c>
    </row>
    <row r="814" spans="1:21">
      <c r="A814" s="136">
        <v>1</v>
      </c>
      <c r="B814" s="233">
        <v>1992</v>
      </c>
      <c r="C814" s="234" t="s">
        <v>13</v>
      </c>
      <c r="D814" s="234" t="s">
        <v>4920</v>
      </c>
      <c r="E814" s="244" t="s">
        <v>3425</v>
      </c>
      <c r="F814" s="244" t="s">
        <v>4914</v>
      </c>
      <c r="G814" s="235" t="s">
        <v>2579</v>
      </c>
      <c r="H814" s="236">
        <v>0.01</v>
      </c>
      <c r="I814" s="236">
        <v>0.01</v>
      </c>
      <c r="J814" s="233">
        <v>1</v>
      </c>
      <c r="K814" s="235"/>
      <c r="L814" s="235"/>
      <c r="M814" s="276"/>
      <c r="N814" s="279" t="s">
        <v>25</v>
      </c>
      <c r="O814" t="str">
        <f t="shared" si="13"/>
        <v>1992-D Memorial Penny</v>
      </c>
      <c r="S814" t="str" cm="1">
        <f t="array" ref="S814">_xlfn.REGEXEXTRACT(E814, "[0-9]{1,5}")</f>
        <v>1992</v>
      </c>
      <c r="T814" t="s">
        <v>4198</v>
      </c>
      <c r="U814" t="s">
        <v>3896</v>
      </c>
    </row>
    <row r="815" spans="1:21">
      <c r="A815" s="136">
        <v>1</v>
      </c>
      <c r="B815" s="233">
        <v>1992</v>
      </c>
      <c r="C815" s="234" t="s">
        <v>13</v>
      </c>
      <c r="D815" s="234" t="s">
        <v>4920</v>
      </c>
      <c r="E815" s="244" t="s">
        <v>3426</v>
      </c>
      <c r="F815" s="244" t="s">
        <v>4914</v>
      </c>
      <c r="G815" s="235" t="s">
        <v>2579</v>
      </c>
      <c r="H815" s="236">
        <v>0.01</v>
      </c>
      <c r="I815" s="236">
        <v>0.01</v>
      </c>
      <c r="J815" s="233">
        <v>1</v>
      </c>
      <c r="K815" s="235"/>
      <c r="L815" s="235"/>
      <c r="M815" s="276"/>
      <c r="N815" s="279" t="s">
        <v>25</v>
      </c>
      <c r="O815" t="str">
        <f t="shared" si="13"/>
        <v>1992-D Memorial Penny</v>
      </c>
      <c r="S815" t="str" cm="1">
        <f t="array" ref="S815">_xlfn.REGEXEXTRACT(E815, "[0-9]{1,5}")</f>
        <v>1992</v>
      </c>
      <c r="T815" t="s">
        <v>4198</v>
      </c>
      <c r="U815" t="s">
        <v>3896</v>
      </c>
    </row>
    <row r="816" spans="1:21">
      <c r="A816" s="136">
        <v>1</v>
      </c>
      <c r="B816" s="233">
        <v>1992</v>
      </c>
      <c r="C816" s="234" t="s">
        <v>12</v>
      </c>
      <c r="D816" s="234" t="s">
        <v>4920</v>
      </c>
      <c r="E816" s="244" t="s">
        <v>3427</v>
      </c>
      <c r="F816" s="244" t="s">
        <v>5207</v>
      </c>
      <c r="G816" s="235" t="s">
        <v>2584</v>
      </c>
      <c r="H816" s="236">
        <v>2</v>
      </c>
      <c r="I816" s="236">
        <v>5.84</v>
      </c>
      <c r="J816" s="233">
        <v>1</v>
      </c>
      <c r="K816" s="235"/>
      <c r="L816" s="235"/>
      <c r="M816" s="276"/>
      <c r="N816" s="279" t="s">
        <v>25</v>
      </c>
      <c r="O816" t="str">
        <f t="shared" si="13"/>
        <v>1992-S Memorial Penny Proof</v>
      </c>
      <c r="S816" t="str" cm="1">
        <f t="array" ref="S816">_xlfn.REGEXEXTRACT(E816, "[0-9]{1,5}")</f>
        <v>1992</v>
      </c>
      <c r="T816" t="s">
        <v>4198</v>
      </c>
      <c r="U816" t="s">
        <v>3896</v>
      </c>
    </row>
    <row r="817" spans="1:21">
      <c r="A817" s="136">
        <v>1</v>
      </c>
      <c r="B817" s="233">
        <v>1992</v>
      </c>
      <c r="C817" s="234" t="s">
        <v>25</v>
      </c>
      <c r="D817" s="234" t="s">
        <v>4920</v>
      </c>
      <c r="E817" s="244" t="s">
        <v>3428</v>
      </c>
      <c r="F817" s="244" t="s">
        <v>5207</v>
      </c>
      <c r="G817" s="235" t="s">
        <v>2584</v>
      </c>
      <c r="H817" s="236">
        <v>0.25</v>
      </c>
      <c r="I817" s="236">
        <v>0.34</v>
      </c>
      <c r="J817" s="233">
        <v>1</v>
      </c>
      <c r="K817" s="235"/>
      <c r="L817" s="235"/>
      <c r="M817" s="276"/>
      <c r="N817" s="279" t="s">
        <v>25</v>
      </c>
      <c r="O817" t="str">
        <f t="shared" si="13"/>
        <v>1992-P Memorial Penny Proof</v>
      </c>
      <c r="S817" t="str" cm="1">
        <f t="array" ref="S817">_xlfn.REGEXEXTRACT(E817, "[0-9]{1,5}")</f>
        <v>1992</v>
      </c>
      <c r="T817" t="s">
        <v>4198</v>
      </c>
      <c r="U817" t="s">
        <v>3896</v>
      </c>
    </row>
    <row r="818" spans="1:21">
      <c r="A818" s="136">
        <v>1</v>
      </c>
      <c r="B818" s="233">
        <v>1993</v>
      </c>
      <c r="C818" s="234" t="s">
        <v>13</v>
      </c>
      <c r="D818" s="234" t="s">
        <v>4920</v>
      </c>
      <c r="E818" s="244" t="s">
        <v>3429</v>
      </c>
      <c r="F818" s="244" t="s">
        <v>4914</v>
      </c>
      <c r="G818" s="235" t="s">
        <v>2579</v>
      </c>
      <c r="H818" s="236">
        <v>0.03</v>
      </c>
      <c r="I818" s="236">
        <v>0.03</v>
      </c>
      <c r="J818" s="233">
        <v>3</v>
      </c>
      <c r="K818" s="235"/>
      <c r="L818" s="235"/>
      <c r="M818" s="276"/>
      <c r="N818" s="279" t="s">
        <v>25</v>
      </c>
      <c r="O818" t="str">
        <f t="shared" si="13"/>
        <v>1993-D Memorial Penny</v>
      </c>
      <c r="S818" t="str" cm="1">
        <f t="array" ref="S818">_xlfn.REGEXEXTRACT(E818, "[0-9]{1,5}")</f>
        <v>1993</v>
      </c>
      <c r="T818" t="s">
        <v>4199</v>
      </c>
      <c r="U818" t="s">
        <v>3896</v>
      </c>
    </row>
    <row r="819" spans="1:21">
      <c r="A819" s="136">
        <v>1</v>
      </c>
      <c r="B819" s="233">
        <v>1993</v>
      </c>
      <c r="C819" s="234"/>
      <c r="D819" s="234" t="s">
        <v>4920</v>
      </c>
      <c r="E819" s="244" t="s">
        <v>3430</v>
      </c>
      <c r="F819" s="244" t="s">
        <v>4914</v>
      </c>
      <c r="G819" s="235" t="s">
        <v>2579</v>
      </c>
      <c r="H819" s="236">
        <v>0.03</v>
      </c>
      <c r="I819" s="236">
        <v>0.03</v>
      </c>
      <c r="J819" s="233">
        <v>3</v>
      </c>
      <c r="K819" s="235"/>
      <c r="L819" s="235"/>
      <c r="M819" s="276"/>
      <c r="N819" s="279" t="s">
        <v>25</v>
      </c>
      <c r="O819" t="str">
        <f t="shared" si="13"/>
        <v>1993 Memorial Penny</v>
      </c>
      <c r="S819" t="str" cm="1">
        <f t="array" ref="S819">_xlfn.REGEXEXTRACT(E819, "[0-9]{1,5}")</f>
        <v>1993</v>
      </c>
      <c r="T819" t="s">
        <v>4199</v>
      </c>
      <c r="U819" t="s">
        <v>3896</v>
      </c>
    </row>
    <row r="820" spans="1:21">
      <c r="A820" s="136">
        <v>1</v>
      </c>
      <c r="B820" s="233">
        <v>1993</v>
      </c>
      <c r="C820" s="234" t="s">
        <v>13</v>
      </c>
      <c r="D820" s="234" t="s">
        <v>4920</v>
      </c>
      <c r="E820" s="244" t="s">
        <v>3431</v>
      </c>
      <c r="F820" s="244" t="s">
        <v>4914</v>
      </c>
      <c r="G820" s="235" t="s">
        <v>2579</v>
      </c>
      <c r="H820" s="236">
        <v>0.03</v>
      </c>
      <c r="I820" s="236">
        <v>0.03</v>
      </c>
      <c r="J820" s="233">
        <v>3</v>
      </c>
      <c r="K820" s="235"/>
      <c r="L820" s="235"/>
      <c r="M820" s="276"/>
      <c r="N820" s="279" t="s">
        <v>25</v>
      </c>
      <c r="O820" t="str">
        <f t="shared" si="13"/>
        <v>1993-D Memorial Penny</v>
      </c>
      <c r="S820" t="str" cm="1">
        <f t="array" ref="S820">_xlfn.REGEXEXTRACT(E820, "[0-9]{1,5}")</f>
        <v>1993</v>
      </c>
      <c r="T820" t="s">
        <v>4199</v>
      </c>
      <c r="U820" t="s">
        <v>3896</v>
      </c>
    </row>
    <row r="821" spans="1:21">
      <c r="A821" s="136">
        <v>1</v>
      </c>
      <c r="B821" s="233">
        <v>1993</v>
      </c>
      <c r="C821" s="234" t="s">
        <v>13</v>
      </c>
      <c r="D821" s="234" t="s">
        <v>4920</v>
      </c>
      <c r="E821" s="244" t="s">
        <v>3432</v>
      </c>
      <c r="F821" s="244" t="s">
        <v>4914</v>
      </c>
      <c r="G821" s="235" t="s">
        <v>2579</v>
      </c>
      <c r="H821" s="236">
        <v>0.03</v>
      </c>
      <c r="I821" s="236">
        <v>0.03</v>
      </c>
      <c r="J821" s="233">
        <v>3</v>
      </c>
      <c r="K821" s="235"/>
      <c r="L821" s="235"/>
      <c r="M821" s="276"/>
      <c r="N821" s="279" t="s">
        <v>25</v>
      </c>
      <c r="O821" t="str">
        <f t="shared" si="13"/>
        <v>1993-D Memorial Penny</v>
      </c>
      <c r="S821" t="str" cm="1">
        <f t="array" ref="S821">_xlfn.REGEXEXTRACT(E821, "[0-9]{1,5}")</f>
        <v>1993</v>
      </c>
      <c r="T821" t="s">
        <v>4199</v>
      </c>
      <c r="U821" t="s">
        <v>3896</v>
      </c>
    </row>
    <row r="822" spans="1:21">
      <c r="A822" s="136">
        <v>1</v>
      </c>
      <c r="B822" s="233">
        <v>1993</v>
      </c>
      <c r="C822" s="234"/>
      <c r="D822" s="234" t="s">
        <v>4920</v>
      </c>
      <c r="E822" s="244" t="s">
        <v>3433</v>
      </c>
      <c r="F822" s="244" t="s">
        <v>4914</v>
      </c>
      <c r="G822" s="235" t="s">
        <v>2579</v>
      </c>
      <c r="H822" s="236">
        <v>0.03</v>
      </c>
      <c r="I822" s="236">
        <v>0.03</v>
      </c>
      <c r="J822" s="233">
        <v>3</v>
      </c>
      <c r="K822" s="235"/>
      <c r="L822" s="235"/>
      <c r="M822" s="276"/>
      <c r="N822" s="279" t="s">
        <v>25</v>
      </c>
      <c r="O822" t="str">
        <f t="shared" si="13"/>
        <v>1993 Memorial Penny</v>
      </c>
      <c r="S822" t="str" cm="1">
        <f t="array" ref="S822">_xlfn.REGEXEXTRACT(E822, "[0-9]{1,5}")</f>
        <v>1993</v>
      </c>
      <c r="T822" t="s">
        <v>4199</v>
      </c>
      <c r="U822" t="s">
        <v>3896</v>
      </c>
    </row>
    <row r="823" spans="1:21">
      <c r="A823" s="136">
        <v>1</v>
      </c>
      <c r="B823" s="233">
        <v>1993</v>
      </c>
      <c r="C823" s="234" t="s">
        <v>13</v>
      </c>
      <c r="D823" s="234" t="s">
        <v>4920</v>
      </c>
      <c r="E823" s="244" t="s">
        <v>3434</v>
      </c>
      <c r="F823" s="244" t="s">
        <v>4914</v>
      </c>
      <c r="G823" s="235" t="s">
        <v>2579</v>
      </c>
      <c r="H823" s="236">
        <v>0.01</v>
      </c>
      <c r="I823" s="236">
        <v>0.01</v>
      </c>
      <c r="J823" s="233">
        <v>1</v>
      </c>
      <c r="K823" s="235"/>
      <c r="L823" s="235"/>
      <c r="M823" s="276"/>
      <c r="N823" s="279" t="s">
        <v>25</v>
      </c>
      <c r="O823" t="str">
        <f t="shared" si="13"/>
        <v>1993-D Memorial Penny</v>
      </c>
      <c r="S823" t="str" cm="1">
        <f t="array" ref="S823">_xlfn.REGEXEXTRACT(E823, "[0-9]{1,5}")</f>
        <v>1993</v>
      </c>
      <c r="T823" t="s">
        <v>4199</v>
      </c>
      <c r="U823" t="s">
        <v>3896</v>
      </c>
    </row>
    <row r="824" spans="1:21">
      <c r="A824" s="136">
        <v>1</v>
      </c>
      <c r="B824" s="233">
        <v>1993</v>
      </c>
      <c r="C824" s="234" t="s">
        <v>12</v>
      </c>
      <c r="D824" s="234" t="s">
        <v>4920</v>
      </c>
      <c r="E824" s="244" t="s">
        <v>3435</v>
      </c>
      <c r="F824" s="244" t="s">
        <v>5207</v>
      </c>
      <c r="G824" s="235" t="s">
        <v>2584</v>
      </c>
      <c r="H824" s="236">
        <v>1.3</v>
      </c>
      <c r="I824" s="236">
        <v>0.01</v>
      </c>
      <c r="J824" s="233">
        <v>1</v>
      </c>
      <c r="K824" s="235"/>
      <c r="L824" s="235"/>
      <c r="M824" s="276"/>
      <c r="N824" s="279" t="s">
        <v>25</v>
      </c>
      <c r="O824" t="str">
        <f t="shared" si="13"/>
        <v>1993-S Memorial Penny Proof</v>
      </c>
      <c r="S824" t="str" cm="1">
        <f t="array" ref="S824">_xlfn.REGEXEXTRACT(E824, "[0-9]{1,5}")</f>
        <v>1993</v>
      </c>
      <c r="T824" t="s">
        <v>4199</v>
      </c>
      <c r="U824" t="s">
        <v>3896</v>
      </c>
    </row>
    <row r="825" spans="1:21">
      <c r="A825" s="136">
        <v>1</v>
      </c>
      <c r="B825" s="233">
        <v>1993</v>
      </c>
      <c r="C825" s="234" t="s">
        <v>12</v>
      </c>
      <c r="D825" s="234" t="s">
        <v>4920</v>
      </c>
      <c r="E825" s="244" t="s">
        <v>3436</v>
      </c>
      <c r="F825" s="244" t="s">
        <v>5207</v>
      </c>
      <c r="G825" s="235" t="s">
        <v>2584</v>
      </c>
      <c r="H825" s="236">
        <v>1.75</v>
      </c>
      <c r="I825" s="236">
        <v>10</v>
      </c>
      <c r="J825" s="233">
        <v>1</v>
      </c>
      <c r="K825" s="235"/>
      <c r="L825" s="235"/>
      <c r="M825" s="276"/>
      <c r="N825" s="279" t="s">
        <v>25</v>
      </c>
      <c r="O825" t="str">
        <f t="shared" si="13"/>
        <v>1993-S Memorial Penny Proof</v>
      </c>
      <c r="S825" t="str" cm="1">
        <f t="array" ref="S825">_xlfn.REGEXEXTRACT(E825, "[0-9]{1,5}")</f>
        <v>1993</v>
      </c>
      <c r="T825" t="s">
        <v>4199</v>
      </c>
      <c r="U825" t="s">
        <v>3896</v>
      </c>
    </row>
    <row r="826" spans="1:21">
      <c r="A826" s="136">
        <v>1</v>
      </c>
      <c r="B826" s="233">
        <v>1994</v>
      </c>
      <c r="C826" s="234"/>
      <c r="D826" s="234" t="s">
        <v>4920</v>
      </c>
      <c r="E826" s="244" t="s">
        <v>3437</v>
      </c>
      <c r="F826" s="244" t="s">
        <v>4914</v>
      </c>
      <c r="G826" s="235" t="s">
        <v>2579</v>
      </c>
      <c r="H826" s="236">
        <v>0.01</v>
      </c>
      <c r="I826" s="236">
        <v>0.01</v>
      </c>
      <c r="J826" s="233">
        <v>1</v>
      </c>
      <c r="K826" s="235"/>
      <c r="L826" s="235"/>
      <c r="M826" s="276"/>
      <c r="N826" s="279" t="s">
        <v>25</v>
      </c>
      <c r="O826" t="str">
        <f t="shared" si="13"/>
        <v>1994 Memorial Penny</v>
      </c>
      <c r="S826" t="str" cm="1">
        <f t="array" ref="S826">_xlfn.REGEXEXTRACT(E826, "[0-9]{1,5}")</f>
        <v>1994</v>
      </c>
      <c r="T826" t="s">
        <v>4200</v>
      </c>
      <c r="U826" t="s">
        <v>3896</v>
      </c>
    </row>
    <row r="827" spans="1:21">
      <c r="A827" s="136">
        <v>1</v>
      </c>
      <c r="B827" s="233">
        <v>1994</v>
      </c>
      <c r="C827" s="234"/>
      <c r="D827" s="234" t="s">
        <v>4920</v>
      </c>
      <c r="E827" s="244" t="s">
        <v>3438</v>
      </c>
      <c r="F827" s="244" t="s">
        <v>4914</v>
      </c>
      <c r="G827" s="235" t="s">
        <v>2579</v>
      </c>
      <c r="H827" s="236">
        <v>0.01</v>
      </c>
      <c r="I827" s="236">
        <v>0.01</v>
      </c>
      <c r="J827" s="233">
        <v>1</v>
      </c>
      <c r="K827" s="235"/>
      <c r="L827" s="235"/>
      <c r="M827" s="276"/>
      <c r="N827" s="279" t="s">
        <v>25</v>
      </c>
      <c r="O827" t="str">
        <f t="shared" si="13"/>
        <v>1994 Memorial Penny</v>
      </c>
      <c r="S827" t="str" cm="1">
        <f t="array" ref="S827">_xlfn.REGEXEXTRACT(E827, "[0-9]{1,5}")</f>
        <v>1994</v>
      </c>
      <c r="T827" t="s">
        <v>4200</v>
      </c>
      <c r="U827" t="s">
        <v>3896</v>
      </c>
    </row>
    <row r="828" spans="1:21">
      <c r="A828" s="136">
        <v>1</v>
      </c>
      <c r="B828" s="233">
        <v>1994</v>
      </c>
      <c r="C828" s="234"/>
      <c r="D828" s="234" t="s">
        <v>4920</v>
      </c>
      <c r="E828" s="244" t="s">
        <v>3439</v>
      </c>
      <c r="F828" s="244" t="s">
        <v>4914</v>
      </c>
      <c r="G828" s="235" t="s">
        <v>2579</v>
      </c>
      <c r="H828" s="236">
        <v>0.01</v>
      </c>
      <c r="I828" s="236">
        <v>0.01</v>
      </c>
      <c r="J828" s="233">
        <v>1</v>
      </c>
      <c r="K828" s="235"/>
      <c r="L828" s="235"/>
      <c r="M828" s="276"/>
      <c r="N828" s="279" t="s">
        <v>25</v>
      </c>
      <c r="O828" t="str">
        <f t="shared" si="13"/>
        <v>1994 Memorial Penny</v>
      </c>
      <c r="S828" t="str" cm="1">
        <f t="array" ref="S828">_xlfn.REGEXEXTRACT(E828, "[0-9]{1,5}")</f>
        <v>1994</v>
      </c>
      <c r="T828" t="s">
        <v>4200</v>
      </c>
      <c r="U828" t="s">
        <v>3896</v>
      </c>
    </row>
    <row r="829" spans="1:21">
      <c r="A829" s="136">
        <v>1</v>
      </c>
      <c r="B829" s="233">
        <v>1994</v>
      </c>
      <c r="C829" s="234"/>
      <c r="D829" s="234" t="s">
        <v>4920</v>
      </c>
      <c r="E829" s="244" t="s">
        <v>3440</v>
      </c>
      <c r="F829" s="244" t="s">
        <v>4914</v>
      </c>
      <c r="G829" s="235" t="s">
        <v>2579</v>
      </c>
      <c r="H829" s="236">
        <v>0.01</v>
      </c>
      <c r="I829" s="236">
        <v>0.01</v>
      </c>
      <c r="J829" s="233">
        <v>1</v>
      </c>
      <c r="K829" s="235"/>
      <c r="L829" s="235"/>
      <c r="M829" s="276"/>
      <c r="N829" s="279" t="s">
        <v>25</v>
      </c>
      <c r="O829" t="str">
        <f t="shared" si="13"/>
        <v>1994 Memorial Penny</v>
      </c>
      <c r="S829" t="str" cm="1">
        <f t="array" ref="S829">_xlfn.REGEXEXTRACT(E829, "[0-9]{1,5}")</f>
        <v>1994</v>
      </c>
      <c r="T829" t="s">
        <v>4200</v>
      </c>
      <c r="U829" t="s">
        <v>3896</v>
      </c>
    </row>
    <row r="830" spans="1:21">
      <c r="A830" s="136">
        <v>1</v>
      </c>
      <c r="B830" s="233">
        <v>1994</v>
      </c>
      <c r="C830" s="234" t="s">
        <v>13</v>
      </c>
      <c r="D830" s="234" t="s">
        <v>4920</v>
      </c>
      <c r="E830" s="244" t="s">
        <v>3984</v>
      </c>
      <c r="F830" s="244" t="s">
        <v>4914</v>
      </c>
      <c r="G830" s="235" t="s">
        <v>2579</v>
      </c>
      <c r="H830" s="236">
        <v>0.01</v>
      </c>
      <c r="I830" s="236">
        <v>0.01</v>
      </c>
      <c r="J830" s="233">
        <v>1</v>
      </c>
      <c r="K830" s="235"/>
      <c r="L830" s="235"/>
      <c r="M830" s="276"/>
      <c r="N830" s="279" t="s">
        <v>25</v>
      </c>
      <c r="O830" t="str">
        <f t="shared" si="13"/>
        <v>1994-D Memorial Penny</v>
      </c>
      <c r="S830" t="str" cm="1">
        <f t="array" ref="S830">_xlfn.REGEXEXTRACT(E830, "[0-9]{1,5}")</f>
        <v>1994</v>
      </c>
      <c r="T830" t="s">
        <v>4200</v>
      </c>
      <c r="U830" t="s">
        <v>3896</v>
      </c>
    </row>
    <row r="831" spans="1:21">
      <c r="A831" s="136">
        <v>1</v>
      </c>
      <c r="B831" s="233">
        <v>1994</v>
      </c>
      <c r="C831" s="234" t="s">
        <v>13</v>
      </c>
      <c r="D831" s="234" t="s">
        <v>4920</v>
      </c>
      <c r="E831" s="244" t="s">
        <v>3441</v>
      </c>
      <c r="F831" s="244" t="s">
        <v>4914</v>
      </c>
      <c r="G831" s="235" t="s">
        <v>2579</v>
      </c>
      <c r="H831" s="236">
        <v>0.01</v>
      </c>
      <c r="I831" s="236">
        <v>0.01</v>
      </c>
      <c r="J831" s="233">
        <v>1</v>
      </c>
      <c r="K831" s="235"/>
      <c r="L831" s="235"/>
      <c r="M831" s="276"/>
      <c r="N831" s="279" t="s">
        <v>25</v>
      </c>
      <c r="O831" t="str">
        <f t="shared" si="13"/>
        <v>1994-D Memorial Penny</v>
      </c>
      <c r="S831" t="str" cm="1">
        <f t="array" ref="S831">_xlfn.REGEXEXTRACT(E831, "[0-9]{1,5}")</f>
        <v>1994</v>
      </c>
      <c r="T831" t="s">
        <v>4200</v>
      </c>
      <c r="U831" t="s">
        <v>3896</v>
      </c>
    </row>
    <row r="832" spans="1:21">
      <c r="A832" s="136">
        <v>1</v>
      </c>
      <c r="B832" s="233">
        <v>1994</v>
      </c>
      <c r="C832" s="234" t="s">
        <v>13</v>
      </c>
      <c r="D832" s="234" t="s">
        <v>4920</v>
      </c>
      <c r="E832" s="244" t="s">
        <v>3442</v>
      </c>
      <c r="F832" s="244" t="s">
        <v>4914</v>
      </c>
      <c r="G832" s="235" t="s">
        <v>2579</v>
      </c>
      <c r="H832" s="236">
        <v>0.01</v>
      </c>
      <c r="I832" s="236">
        <v>0.01</v>
      </c>
      <c r="J832" s="233">
        <v>1</v>
      </c>
      <c r="K832" s="235"/>
      <c r="L832" s="235"/>
      <c r="M832" s="276"/>
      <c r="N832" s="279" t="s">
        <v>25</v>
      </c>
      <c r="O832" t="str">
        <f t="shared" si="13"/>
        <v>1994-D Memorial Penny</v>
      </c>
      <c r="S832" t="str" cm="1">
        <f t="array" ref="S832">_xlfn.REGEXEXTRACT(E832, "[0-9]{1,5}")</f>
        <v>1994</v>
      </c>
      <c r="T832" t="s">
        <v>4200</v>
      </c>
      <c r="U832" t="s">
        <v>3896</v>
      </c>
    </row>
    <row r="833" spans="1:21">
      <c r="A833" s="136">
        <v>1</v>
      </c>
      <c r="B833" s="233">
        <v>1994</v>
      </c>
      <c r="C833" s="234" t="s">
        <v>13</v>
      </c>
      <c r="D833" s="234" t="s">
        <v>4920</v>
      </c>
      <c r="E833" s="244" t="s">
        <v>3443</v>
      </c>
      <c r="F833" s="244" t="s">
        <v>4914</v>
      </c>
      <c r="G833" s="235" t="s">
        <v>2579</v>
      </c>
      <c r="H833" s="236">
        <v>0.01</v>
      </c>
      <c r="I833" s="236">
        <v>0.01</v>
      </c>
      <c r="J833" s="233">
        <v>1</v>
      </c>
      <c r="K833" s="235"/>
      <c r="L833" s="235"/>
      <c r="M833" s="276"/>
      <c r="N833" s="279" t="s">
        <v>25</v>
      </c>
      <c r="O833" t="str">
        <f t="shared" si="13"/>
        <v>1994-D Memorial Penny</v>
      </c>
      <c r="S833" t="str" cm="1">
        <f t="array" ref="S833">_xlfn.REGEXEXTRACT(E833, "[0-9]{1,5}")</f>
        <v>1994</v>
      </c>
      <c r="T833" t="s">
        <v>4200</v>
      </c>
      <c r="U833" t="s">
        <v>3896</v>
      </c>
    </row>
    <row r="834" spans="1:21">
      <c r="A834" s="136">
        <v>1</v>
      </c>
      <c r="B834" s="233">
        <v>1994</v>
      </c>
      <c r="C834" s="234"/>
      <c r="D834" s="234" t="s">
        <v>4920</v>
      </c>
      <c r="E834" s="244" t="s">
        <v>3444</v>
      </c>
      <c r="F834" s="244" t="s">
        <v>4914</v>
      </c>
      <c r="G834" s="235" t="s">
        <v>2579</v>
      </c>
      <c r="H834" s="236">
        <v>0.03</v>
      </c>
      <c r="I834" s="236">
        <v>0.03</v>
      </c>
      <c r="J834" s="233">
        <v>3</v>
      </c>
      <c r="K834" s="235"/>
      <c r="L834" s="235"/>
      <c r="M834" s="276"/>
      <c r="N834" s="279" t="s">
        <v>25</v>
      </c>
      <c r="O834" t="str">
        <f t="shared" si="13"/>
        <v>1994 Memorial Penny</v>
      </c>
      <c r="S834" t="str" cm="1">
        <f t="array" ref="S834">_xlfn.REGEXEXTRACT(E834, "[0-9]{1,5}")</f>
        <v>1994</v>
      </c>
      <c r="T834" t="s">
        <v>4200</v>
      </c>
      <c r="U834" t="s">
        <v>3896</v>
      </c>
    </row>
    <row r="835" spans="1:21">
      <c r="A835" s="136">
        <v>1</v>
      </c>
      <c r="B835" s="233">
        <v>1994</v>
      </c>
      <c r="C835" s="234" t="s">
        <v>13</v>
      </c>
      <c r="D835" s="234" t="s">
        <v>4920</v>
      </c>
      <c r="E835" s="244" t="s">
        <v>3445</v>
      </c>
      <c r="F835" s="244" t="s">
        <v>4914</v>
      </c>
      <c r="G835" s="235" t="s">
        <v>2579</v>
      </c>
      <c r="H835" s="236">
        <v>0.01</v>
      </c>
      <c r="I835" s="236">
        <v>0.01</v>
      </c>
      <c r="J835" s="233">
        <v>1</v>
      </c>
      <c r="K835" s="235"/>
      <c r="L835" s="235"/>
      <c r="M835" s="276"/>
      <c r="N835" s="279" t="s">
        <v>25</v>
      </c>
      <c r="O835" t="str">
        <f t="shared" si="13"/>
        <v>1994-D Memorial Penny</v>
      </c>
      <c r="S835" t="str" cm="1">
        <f t="array" ref="S835">_xlfn.REGEXEXTRACT(E835, "[0-9]{1,5}")</f>
        <v>1994</v>
      </c>
      <c r="T835" t="s">
        <v>4200</v>
      </c>
      <c r="U835" t="s">
        <v>3896</v>
      </c>
    </row>
    <row r="836" spans="1:21">
      <c r="A836" s="136">
        <v>1</v>
      </c>
      <c r="B836" s="233">
        <v>1994</v>
      </c>
      <c r="C836" s="234" t="s">
        <v>13</v>
      </c>
      <c r="D836" s="234" t="s">
        <v>4920</v>
      </c>
      <c r="E836" s="244" t="s">
        <v>3446</v>
      </c>
      <c r="F836" s="244" t="s">
        <v>4914</v>
      </c>
      <c r="G836" s="235" t="s">
        <v>2579</v>
      </c>
      <c r="H836" s="236">
        <v>0.01</v>
      </c>
      <c r="I836" s="236">
        <v>0.01</v>
      </c>
      <c r="J836" s="233">
        <v>1</v>
      </c>
      <c r="K836" s="235"/>
      <c r="L836" s="235"/>
      <c r="M836" s="276"/>
      <c r="N836" s="279" t="s">
        <v>25</v>
      </c>
      <c r="O836" t="str">
        <f t="shared" ref="O836:O899" si="14">IF(C836&lt;&gt;"",B836&amp;"-"&amp;C836&amp;" "&amp;F836,B836&amp;" "&amp;F836)</f>
        <v>1994-D Memorial Penny</v>
      </c>
      <c r="S836" t="str" cm="1">
        <f t="array" ref="S836">_xlfn.REGEXEXTRACT(E836, "[0-9]{1,5}")</f>
        <v>1994</v>
      </c>
      <c r="T836" t="s">
        <v>4200</v>
      </c>
      <c r="U836" t="s">
        <v>3896</v>
      </c>
    </row>
    <row r="837" spans="1:21">
      <c r="A837" s="136">
        <v>1</v>
      </c>
      <c r="B837" s="233">
        <v>1994</v>
      </c>
      <c r="C837" s="234" t="s">
        <v>12</v>
      </c>
      <c r="D837" s="234" t="s">
        <v>4920</v>
      </c>
      <c r="E837" s="244" t="s">
        <v>3447</v>
      </c>
      <c r="F837" s="244" t="s">
        <v>5207</v>
      </c>
      <c r="G837" s="235" t="s">
        <v>2584</v>
      </c>
      <c r="H837" s="236">
        <v>1.5</v>
      </c>
      <c r="I837" s="236">
        <v>0.01</v>
      </c>
      <c r="J837" s="233">
        <v>1</v>
      </c>
      <c r="K837" s="235"/>
      <c r="L837" s="235"/>
      <c r="M837" s="276"/>
      <c r="N837" s="279" t="s">
        <v>25</v>
      </c>
      <c r="O837" t="str">
        <f t="shared" si="14"/>
        <v>1994-S Memorial Penny Proof</v>
      </c>
      <c r="S837" t="str" cm="1">
        <f t="array" ref="S837">_xlfn.REGEXEXTRACT(E837, "[0-9]{1,5}")</f>
        <v>1994</v>
      </c>
      <c r="T837" t="s">
        <v>4200</v>
      </c>
      <c r="U837" t="s">
        <v>3896</v>
      </c>
    </row>
    <row r="838" spans="1:21">
      <c r="A838" s="136">
        <v>1</v>
      </c>
      <c r="B838" s="233">
        <v>1994</v>
      </c>
      <c r="C838" s="234"/>
      <c r="D838" s="234" t="s">
        <v>4920</v>
      </c>
      <c r="E838" s="244" t="s">
        <v>3448</v>
      </c>
      <c r="F838" s="244" t="s">
        <v>4914</v>
      </c>
      <c r="G838" s="235" t="s">
        <v>2579</v>
      </c>
      <c r="H838" s="236">
        <v>0.01</v>
      </c>
      <c r="I838" s="236">
        <v>0.01</v>
      </c>
      <c r="J838" s="233">
        <v>1</v>
      </c>
      <c r="K838" s="235"/>
      <c r="L838" s="235"/>
      <c r="M838" s="276"/>
      <c r="N838" s="279" t="s">
        <v>25</v>
      </c>
      <c r="O838" t="str">
        <f t="shared" si="14"/>
        <v>1994 Memorial Penny</v>
      </c>
      <c r="S838" t="str" cm="1">
        <f t="array" ref="S838">_xlfn.REGEXEXTRACT(E838, "[0-9]{1,5}")</f>
        <v>1994</v>
      </c>
      <c r="T838" t="s">
        <v>4200</v>
      </c>
      <c r="U838" t="s">
        <v>3896</v>
      </c>
    </row>
    <row r="839" spans="1:21">
      <c r="A839" s="136">
        <v>1</v>
      </c>
      <c r="B839" s="233">
        <v>1994</v>
      </c>
      <c r="C839" s="234" t="s">
        <v>13</v>
      </c>
      <c r="D839" s="234" t="s">
        <v>4920</v>
      </c>
      <c r="E839" s="244" t="s">
        <v>3449</v>
      </c>
      <c r="F839" s="244" t="s">
        <v>4914</v>
      </c>
      <c r="G839" s="235" t="s">
        <v>2579</v>
      </c>
      <c r="H839" s="236">
        <v>0.01</v>
      </c>
      <c r="I839" s="236">
        <v>0.01</v>
      </c>
      <c r="J839" s="233">
        <v>1</v>
      </c>
      <c r="K839" s="235"/>
      <c r="L839" s="235"/>
      <c r="M839" s="276"/>
      <c r="N839" s="279" t="s">
        <v>25</v>
      </c>
      <c r="O839" t="str">
        <f t="shared" si="14"/>
        <v>1994-D Memorial Penny</v>
      </c>
      <c r="S839" t="str" cm="1">
        <f t="array" ref="S839">_xlfn.REGEXEXTRACT(E839, "[0-9]{1,5}")</f>
        <v>1994</v>
      </c>
      <c r="T839" t="s">
        <v>4200</v>
      </c>
      <c r="U839" t="s">
        <v>3896</v>
      </c>
    </row>
    <row r="840" spans="1:21">
      <c r="A840" s="136">
        <v>1</v>
      </c>
      <c r="B840" s="233">
        <v>1994</v>
      </c>
      <c r="C840" s="234" t="s">
        <v>13</v>
      </c>
      <c r="D840" s="234" t="s">
        <v>4920</v>
      </c>
      <c r="E840" s="244" t="s">
        <v>3450</v>
      </c>
      <c r="F840" s="244" t="s">
        <v>4914</v>
      </c>
      <c r="G840" s="235" t="s">
        <v>2579</v>
      </c>
      <c r="H840" s="236">
        <v>0.01</v>
      </c>
      <c r="I840" s="236">
        <v>0.01</v>
      </c>
      <c r="J840" s="233">
        <v>1</v>
      </c>
      <c r="K840" s="235"/>
      <c r="L840" s="235"/>
      <c r="M840" s="276"/>
      <c r="N840" s="279" t="s">
        <v>25</v>
      </c>
      <c r="O840" t="str">
        <f t="shared" si="14"/>
        <v>1994-D Memorial Penny</v>
      </c>
      <c r="S840" t="str" cm="1">
        <f t="array" ref="S840">_xlfn.REGEXEXTRACT(E840, "[0-9]{1,5}")</f>
        <v>1994</v>
      </c>
      <c r="T840" t="s">
        <v>4200</v>
      </c>
      <c r="U840" t="s">
        <v>3896</v>
      </c>
    </row>
    <row r="841" spans="1:21">
      <c r="A841" s="136">
        <v>1</v>
      </c>
      <c r="B841" s="233">
        <v>1994</v>
      </c>
      <c r="C841" s="234" t="s">
        <v>13</v>
      </c>
      <c r="D841" s="234" t="s">
        <v>4920</v>
      </c>
      <c r="E841" s="244" t="s">
        <v>3451</v>
      </c>
      <c r="F841" s="244" t="s">
        <v>4914</v>
      </c>
      <c r="G841" s="235" t="s">
        <v>2579</v>
      </c>
      <c r="H841" s="236">
        <v>0.01</v>
      </c>
      <c r="I841" s="236">
        <v>0.01</v>
      </c>
      <c r="J841" s="233">
        <v>1</v>
      </c>
      <c r="K841" s="235"/>
      <c r="L841" s="235"/>
      <c r="M841" s="276"/>
      <c r="N841" s="279" t="s">
        <v>25</v>
      </c>
      <c r="O841" t="str">
        <f t="shared" si="14"/>
        <v>1994-D Memorial Penny</v>
      </c>
      <c r="S841" t="str" cm="1">
        <f t="array" ref="S841">_xlfn.REGEXEXTRACT(E841, "[0-9]{1,5}")</f>
        <v>1994</v>
      </c>
      <c r="T841" t="s">
        <v>4200</v>
      </c>
      <c r="U841" t="s">
        <v>3896</v>
      </c>
    </row>
    <row r="842" spans="1:21">
      <c r="A842" s="136">
        <v>1</v>
      </c>
      <c r="B842" s="233">
        <v>1994</v>
      </c>
      <c r="C842" s="234" t="s">
        <v>12</v>
      </c>
      <c r="D842" s="234" t="s">
        <v>4920</v>
      </c>
      <c r="E842" s="244" t="s">
        <v>3452</v>
      </c>
      <c r="F842" s="244" t="s">
        <v>5207</v>
      </c>
      <c r="G842" s="235" t="s">
        <v>2584</v>
      </c>
      <c r="H842" s="236">
        <v>1.25</v>
      </c>
      <c r="I842" s="236">
        <v>1.25</v>
      </c>
      <c r="J842" s="233">
        <v>1</v>
      </c>
      <c r="K842" s="235"/>
      <c r="L842" s="235"/>
      <c r="M842" s="276"/>
      <c r="N842" s="279" t="s">
        <v>25</v>
      </c>
      <c r="O842" t="str">
        <f t="shared" si="14"/>
        <v>1994-S Memorial Penny Proof</v>
      </c>
      <c r="S842" t="str" cm="1">
        <f t="array" ref="S842">_xlfn.REGEXEXTRACT(E842, "[0-9]{1,5}")</f>
        <v>1994</v>
      </c>
      <c r="T842" t="s">
        <v>4200</v>
      </c>
      <c r="U842" t="s">
        <v>3896</v>
      </c>
    </row>
    <row r="843" spans="1:21">
      <c r="A843" s="136">
        <v>1</v>
      </c>
      <c r="B843" s="233">
        <v>1995</v>
      </c>
      <c r="C843" s="234"/>
      <c r="D843" s="234" t="s">
        <v>4920</v>
      </c>
      <c r="E843" s="244" t="s">
        <v>3453</v>
      </c>
      <c r="F843" s="244" t="s">
        <v>4914</v>
      </c>
      <c r="G843" s="235" t="s">
        <v>2579</v>
      </c>
      <c r="H843" s="236">
        <v>0.03</v>
      </c>
      <c r="I843" s="236">
        <v>0.03</v>
      </c>
      <c r="J843" s="233">
        <v>3</v>
      </c>
      <c r="K843" s="235"/>
      <c r="L843" s="235"/>
      <c r="M843" s="276"/>
      <c r="N843" s="279" t="s">
        <v>25</v>
      </c>
      <c r="O843" t="str">
        <f t="shared" si="14"/>
        <v>1995 Memorial Penny</v>
      </c>
      <c r="S843" t="str" cm="1">
        <f t="array" ref="S843">_xlfn.REGEXEXTRACT(E843, "[0-9]{1,5}")</f>
        <v>1995</v>
      </c>
      <c r="T843" t="s">
        <v>4201</v>
      </c>
      <c r="U843" t="s">
        <v>3896</v>
      </c>
    </row>
    <row r="844" spans="1:21">
      <c r="A844" s="136">
        <v>1</v>
      </c>
      <c r="B844" s="233">
        <v>1995</v>
      </c>
      <c r="C844" s="234"/>
      <c r="D844" s="234" t="s">
        <v>4920</v>
      </c>
      <c r="E844" s="244" t="s">
        <v>3454</v>
      </c>
      <c r="F844" s="244" t="s">
        <v>4914</v>
      </c>
      <c r="G844" s="235" t="s">
        <v>2579</v>
      </c>
      <c r="H844" s="236">
        <v>0.03</v>
      </c>
      <c r="I844" s="236">
        <v>0.03</v>
      </c>
      <c r="J844" s="233">
        <v>3</v>
      </c>
      <c r="K844" s="235"/>
      <c r="L844" s="235"/>
      <c r="M844" s="276"/>
      <c r="N844" s="279" t="s">
        <v>25</v>
      </c>
      <c r="O844" t="str">
        <f t="shared" si="14"/>
        <v>1995 Memorial Penny</v>
      </c>
      <c r="S844" t="str" cm="1">
        <f t="array" ref="S844">_xlfn.REGEXEXTRACT(E844, "[0-9]{1,5}")</f>
        <v>1995</v>
      </c>
      <c r="T844" t="s">
        <v>4201</v>
      </c>
      <c r="U844" t="s">
        <v>3896</v>
      </c>
    </row>
    <row r="845" spans="1:21">
      <c r="A845" s="136">
        <v>1</v>
      </c>
      <c r="B845" s="233">
        <v>1995</v>
      </c>
      <c r="C845" s="234" t="s">
        <v>13</v>
      </c>
      <c r="D845" s="234" t="s">
        <v>4920</v>
      </c>
      <c r="E845" s="244" t="s">
        <v>3455</v>
      </c>
      <c r="F845" s="244" t="s">
        <v>4914</v>
      </c>
      <c r="G845" s="235" t="s">
        <v>2579</v>
      </c>
      <c r="H845" s="236">
        <v>0.03</v>
      </c>
      <c r="I845" s="236">
        <v>0.03</v>
      </c>
      <c r="J845" s="233">
        <v>3</v>
      </c>
      <c r="K845" s="235"/>
      <c r="L845" s="235"/>
      <c r="M845" s="276"/>
      <c r="N845" s="279" t="s">
        <v>25</v>
      </c>
      <c r="O845" t="str">
        <f t="shared" si="14"/>
        <v>1995-D Memorial Penny</v>
      </c>
      <c r="S845" t="str" cm="1">
        <f t="array" ref="S845">_xlfn.REGEXEXTRACT(E845, "[0-9]{1,5}")</f>
        <v>1995</v>
      </c>
      <c r="T845" t="s">
        <v>4201</v>
      </c>
      <c r="U845" t="s">
        <v>3896</v>
      </c>
    </row>
    <row r="846" spans="1:21">
      <c r="A846" s="136">
        <v>1</v>
      </c>
      <c r="B846" s="233">
        <v>1995</v>
      </c>
      <c r="C846" s="244"/>
      <c r="D846" s="234" t="s">
        <v>4920</v>
      </c>
      <c r="E846" s="244" t="s">
        <v>3456</v>
      </c>
      <c r="F846" s="244" t="s">
        <v>4914</v>
      </c>
      <c r="G846" s="235" t="s">
        <v>2579</v>
      </c>
      <c r="H846" s="236">
        <v>0.02</v>
      </c>
      <c r="I846" s="236">
        <v>0.03</v>
      </c>
      <c r="J846" s="233">
        <v>3</v>
      </c>
      <c r="K846" s="235"/>
      <c r="L846" s="235"/>
      <c r="M846" s="276"/>
      <c r="N846" s="279" t="s">
        <v>25</v>
      </c>
      <c r="O846" t="str">
        <f t="shared" si="14"/>
        <v>1995 Memorial Penny</v>
      </c>
      <c r="S846" t="str" cm="1">
        <f t="array" ref="S846">_xlfn.REGEXEXTRACT(E846, "[0-9]{1,5}")</f>
        <v>1995</v>
      </c>
      <c r="T846" t="s">
        <v>4201</v>
      </c>
      <c r="U846" t="s">
        <v>3896</v>
      </c>
    </row>
    <row r="847" spans="1:21">
      <c r="A847" s="136">
        <v>1</v>
      </c>
      <c r="B847" s="233">
        <v>1995</v>
      </c>
      <c r="C847" s="234" t="s">
        <v>13</v>
      </c>
      <c r="D847" s="234" t="s">
        <v>4920</v>
      </c>
      <c r="E847" s="244" t="s">
        <v>3457</v>
      </c>
      <c r="F847" s="244" t="s">
        <v>4914</v>
      </c>
      <c r="G847" s="235" t="s">
        <v>2586</v>
      </c>
      <c r="H847" s="236">
        <v>0.2</v>
      </c>
      <c r="I847" s="236">
        <v>0.01</v>
      </c>
      <c r="J847" s="233">
        <v>1</v>
      </c>
      <c r="K847" s="235"/>
      <c r="L847" s="235"/>
      <c r="M847" s="276"/>
      <c r="N847" s="279" t="s">
        <v>25</v>
      </c>
      <c r="O847" t="str">
        <f t="shared" si="14"/>
        <v>1995-D Memorial Penny</v>
      </c>
      <c r="S847" t="str" cm="1">
        <f t="array" ref="S847">_xlfn.REGEXEXTRACT(E847, "[0-9]{1,5}")</f>
        <v>1995</v>
      </c>
      <c r="T847" t="s">
        <v>4201</v>
      </c>
      <c r="U847" t="s">
        <v>3896</v>
      </c>
    </row>
    <row r="848" spans="1:21">
      <c r="A848" s="136">
        <v>1</v>
      </c>
      <c r="B848" s="233">
        <v>1995</v>
      </c>
      <c r="C848" s="234" t="s">
        <v>12</v>
      </c>
      <c r="D848" s="234" t="s">
        <v>4920</v>
      </c>
      <c r="E848" s="244" t="s">
        <v>3458</v>
      </c>
      <c r="F848" s="244" t="s">
        <v>5207</v>
      </c>
      <c r="G848" s="235" t="s">
        <v>2584</v>
      </c>
      <c r="H848" s="236">
        <v>1.25</v>
      </c>
      <c r="I848" s="236">
        <v>0.01</v>
      </c>
      <c r="J848" s="233">
        <v>1</v>
      </c>
      <c r="K848" s="235"/>
      <c r="L848" s="235"/>
      <c r="M848" s="276"/>
      <c r="N848" s="279" t="s">
        <v>25</v>
      </c>
      <c r="O848" t="str">
        <f t="shared" si="14"/>
        <v>1995-S Memorial Penny Proof</v>
      </c>
      <c r="S848" t="str" cm="1">
        <f t="array" ref="S848">_xlfn.REGEXEXTRACT(E848, "[0-9]{1,5}")</f>
        <v>1995</v>
      </c>
      <c r="T848" t="s">
        <v>4201</v>
      </c>
      <c r="U848" t="s">
        <v>3896</v>
      </c>
    </row>
    <row r="849" spans="1:21">
      <c r="A849" s="136">
        <v>1</v>
      </c>
      <c r="B849" s="233">
        <v>1995</v>
      </c>
      <c r="C849" s="234"/>
      <c r="D849" s="234" t="s">
        <v>4920</v>
      </c>
      <c r="E849" s="244" t="s">
        <v>3459</v>
      </c>
      <c r="F849" s="244" t="s">
        <v>4914</v>
      </c>
      <c r="G849" s="235" t="s">
        <v>2579</v>
      </c>
      <c r="H849" s="236">
        <v>0.01</v>
      </c>
      <c r="I849" s="236">
        <v>0.01</v>
      </c>
      <c r="J849" s="233">
        <v>1</v>
      </c>
      <c r="K849" s="235"/>
      <c r="L849" s="235"/>
      <c r="M849" s="276"/>
      <c r="N849" s="279" t="s">
        <v>25</v>
      </c>
      <c r="O849" t="str">
        <f t="shared" si="14"/>
        <v>1995 Memorial Penny</v>
      </c>
      <c r="S849" t="str" cm="1">
        <f t="array" ref="S849">_xlfn.REGEXEXTRACT(E849, "[0-9]{1,5}")</f>
        <v>1995</v>
      </c>
      <c r="T849" t="s">
        <v>4201</v>
      </c>
      <c r="U849" t="s">
        <v>3896</v>
      </c>
    </row>
    <row r="850" spans="1:21">
      <c r="A850" s="136">
        <v>1</v>
      </c>
      <c r="B850" s="233">
        <v>1995</v>
      </c>
      <c r="C850" s="234" t="s">
        <v>13</v>
      </c>
      <c r="D850" s="234" t="s">
        <v>4920</v>
      </c>
      <c r="E850" s="244" t="s">
        <v>3460</v>
      </c>
      <c r="F850" s="244" t="s">
        <v>4914</v>
      </c>
      <c r="G850" s="235" t="s">
        <v>2579</v>
      </c>
      <c r="H850" s="236">
        <v>0.01</v>
      </c>
      <c r="I850" s="236">
        <v>0.01</v>
      </c>
      <c r="J850" s="233">
        <v>1</v>
      </c>
      <c r="K850" s="235"/>
      <c r="L850" s="235"/>
      <c r="M850" s="276"/>
      <c r="N850" s="279" t="s">
        <v>25</v>
      </c>
      <c r="O850" t="str">
        <f t="shared" si="14"/>
        <v>1995-D Memorial Penny</v>
      </c>
      <c r="S850" t="str" cm="1">
        <f t="array" ref="S850">_xlfn.REGEXEXTRACT(E850, "[0-9]{1,5}")</f>
        <v>1995</v>
      </c>
      <c r="T850" t="s">
        <v>4201</v>
      </c>
      <c r="U850" t="s">
        <v>3896</v>
      </c>
    </row>
    <row r="851" spans="1:21">
      <c r="A851" s="136">
        <v>1</v>
      </c>
      <c r="B851" s="233">
        <v>1995</v>
      </c>
      <c r="C851" s="234" t="s">
        <v>12</v>
      </c>
      <c r="D851" s="234" t="s">
        <v>4920</v>
      </c>
      <c r="E851" s="244" t="s">
        <v>3461</v>
      </c>
      <c r="F851" s="244" t="s">
        <v>5207</v>
      </c>
      <c r="G851" s="235" t="s">
        <v>2584</v>
      </c>
      <c r="H851" s="236">
        <v>1.3</v>
      </c>
      <c r="I851" s="236">
        <v>1.3</v>
      </c>
      <c r="J851" s="233">
        <v>1</v>
      </c>
      <c r="K851" s="235"/>
      <c r="L851" s="235"/>
      <c r="M851" s="276"/>
      <c r="N851" s="279" t="s">
        <v>25</v>
      </c>
      <c r="O851" t="str">
        <f t="shared" si="14"/>
        <v>1995-S Memorial Penny Proof</v>
      </c>
      <c r="S851" t="str" cm="1">
        <f t="array" ref="S851">_xlfn.REGEXEXTRACT(E851, "[0-9]{1,5}")</f>
        <v>1995</v>
      </c>
      <c r="T851" t="s">
        <v>4201</v>
      </c>
      <c r="U851" t="s">
        <v>3896</v>
      </c>
    </row>
    <row r="852" spans="1:21">
      <c r="A852" s="136">
        <v>1</v>
      </c>
      <c r="B852" s="233">
        <v>1996</v>
      </c>
      <c r="C852" s="234"/>
      <c r="D852" s="234" t="s">
        <v>4920</v>
      </c>
      <c r="E852" s="244" t="s">
        <v>3462</v>
      </c>
      <c r="F852" s="244" t="s">
        <v>4914</v>
      </c>
      <c r="G852" s="235" t="s">
        <v>2579</v>
      </c>
      <c r="H852" s="236">
        <v>0.03</v>
      </c>
      <c r="I852" s="236">
        <v>0.03</v>
      </c>
      <c r="J852" s="233">
        <v>3</v>
      </c>
      <c r="K852" s="235"/>
      <c r="L852" s="235"/>
      <c r="M852" s="276"/>
      <c r="N852" s="279" t="s">
        <v>25</v>
      </c>
      <c r="O852" t="str">
        <f t="shared" si="14"/>
        <v>1996 Memorial Penny</v>
      </c>
      <c r="S852" t="str" cm="1">
        <f t="array" ref="S852">_xlfn.REGEXEXTRACT(E852, "[0-9]{1,5}")</f>
        <v>1996</v>
      </c>
      <c r="T852" t="s">
        <v>4202</v>
      </c>
      <c r="U852" t="s">
        <v>3896</v>
      </c>
    </row>
    <row r="853" spans="1:21">
      <c r="A853" s="136">
        <v>1</v>
      </c>
      <c r="B853" s="233">
        <v>1996</v>
      </c>
      <c r="C853" s="234"/>
      <c r="D853" s="234" t="s">
        <v>4920</v>
      </c>
      <c r="E853" s="244" t="s">
        <v>3463</v>
      </c>
      <c r="F853" s="244" t="s">
        <v>4914</v>
      </c>
      <c r="G853" s="235" t="s">
        <v>2579</v>
      </c>
      <c r="H853" s="236">
        <v>0.01</v>
      </c>
      <c r="I853" s="236">
        <v>0.01</v>
      </c>
      <c r="J853" s="233">
        <v>1</v>
      </c>
      <c r="K853" s="235"/>
      <c r="L853" s="235"/>
      <c r="M853" s="276"/>
      <c r="N853" s="279" t="s">
        <v>25</v>
      </c>
      <c r="O853" t="str">
        <f t="shared" si="14"/>
        <v>1996 Memorial Penny</v>
      </c>
      <c r="S853" t="str" cm="1">
        <f t="array" ref="S853">_xlfn.REGEXEXTRACT(E853, "[0-9]{1,5}")</f>
        <v>1996</v>
      </c>
      <c r="T853" t="s">
        <v>4202</v>
      </c>
      <c r="U853" t="s">
        <v>3896</v>
      </c>
    </row>
    <row r="854" spans="1:21">
      <c r="A854" s="136">
        <v>1</v>
      </c>
      <c r="B854" s="233">
        <v>1996</v>
      </c>
      <c r="C854" s="234"/>
      <c r="D854" s="234" t="s">
        <v>4920</v>
      </c>
      <c r="E854" s="244" t="s">
        <v>3464</v>
      </c>
      <c r="F854" s="244" t="s">
        <v>4914</v>
      </c>
      <c r="G854" s="235" t="s">
        <v>2579</v>
      </c>
      <c r="H854" s="236">
        <v>0.03</v>
      </c>
      <c r="I854" s="236">
        <v>0.03</v>
      </c>
      <c r="J854" s="233">
        <v>3</v>
      </c>
      <c r="K854" s="235"/>
      <c r="L854" s="235"/>
      <c r="M854" s="276"/>
      <c r="N854" s="279" t="s">
        <v>25</v>
      </c>
      <c r="O854" t="str">
        <f t="shared" si="14"/>
        <v>1996 Memorial Penny</v>
      </c>
      <c r="S854" t="str" cm="1">
        <f t="array" ref="S854">_xlfn.REGEXEXTRACT(E854, "[0-9]{1,5}")</f>
        <v>1996</v>
      </c>
      <c r="T854" t="s">
        <v>4202</v>
      </c>
      <c r="U854" t="s">
        <v>3896</v>
      </c>
    </row>
    <row r="855" spans="1:21">
      <c r="A855" s="136">
        <v>1</v>
      </c>
      <c r="B855" s="233">
        <v>1996</v>
      </c>
      <c r="C855" s="234"/>
      <c r="D855" s="234" t="s">
        <v>4920</v>
      </c>
      <c r="E855" s="244" t="s">
        <v>3465</v>
      </c>
      <c r="F855" s="244" t="s">
        <v>4914</v>
      </c>
      <c r="G855" s="235" t="s">
        <v>2579</v>
      </c>
      <c r="H855" s="236">
        <v>0.03</v>
      </c>
      <c r="I855" s="236">
        <v>0.03</v>
      </c>
      <c r="J855" s="233">
        <v>3</v>
      </c>
      <c r="K855" s="235"/>
      <c r="L855" s="235"/>
      <c r="M855" s="276"/>
      <c r="N855" s="279" t="s">
        <v>25</v>
      </c>
      <c r="O855" t="str">
        <f t="shared" si="14"/>
        <v>1996 Memorial Penny</v>
      </c>
      <c r="S855" t="str" cm="1">
        <f t="array" ref="S855">_xlfn.REGEXEXTRACT(E855, "[0-9]{1,5}")</f>
        <v>1996</v>
      </c>
      <c r="T855" t="s">
        <v>4202</v>
      </c>
      <c r="U855" t="s">
        <v>3896</v>
      </c>
    </row>
    <row r="856" spans="1:21">
      <c r="A856" s="136">
        <v>1</v>
      </c>
      <c r="B856" s="233">
        <v>1996</v>
      </c>
      <c r="C856" s="234" t="s">
        <v>13</v>
      </c>
      <c r="D856" s="234" t="s">
        <v>4920</v>
      </c>
      <c r="E856" s="244" t="s">
        <v>3466</v>
      </c>
      <c r="F856" s="244" t="s">
        <v>4914</v>
      </c>
      <c r="G856" s="235" t="s">
        <v>2586</v>
      </c>
      <c r="H856" s="236">
        <v>0.25</v>
      </c>
      <c r="I856" s="236">
        <v>0.01</v>
      </c>
      <c r="J856" s="233">
        <v>1</v>
      </c>
      <c r="K856" s="235"/>
      <c r="L856" s="235"/>
      <c r="M856" s="276"/>
      <c r="N856" s="279" t="s">
        <v>25</v>
      </c>
      <c r="O856" t="str">
        <f t="shared" si="14"/>
        <v>1996-D Memorial Penny</v>
      </c>
      <c r="S856" t="str" cm="1">
        <f t="array" ref="S856">_xlfn.REGEXEXTRACT(E856, "[0-9]{1,5}")</f>
        <v>1996</v>
      </c>
      <c r="T856" t="s">
        <v>4202</v>
      </c>
      <c r="U856" t="s">
        <v>3896</v>
      </c>
    </row>
    <row r="857" spans="1:21">
      <c r="A857" s="136">
        <v>1</v>
      </c>
      <c r="B857" s="233">
        <v>1996</v>
      </c>
      <c r="C857" s="234" t="s">
        <v>12</v>
      </c>
      <c r="D857" s="234" t="s">
        <v>4920</v>
      </c>
      <c r="E857" s="244" t="s">
        <v>3467</v>
      </c>
      <c r="F857" s="244" t="s">
        <v>5207</v>
      </c>
      <c r="G857" s="235" t="s">
        <v>2584</v>
      </c>
      <c r="H857" s="236">
        <v>1.25</v>
      </c>
      <c r="I857" s="236">
        <v>0.01</v>
      </c>
      <c r="J857" s="233">
        <v>1</v>
      </c>
      <c r="K857" s="235"/>
      <c r="L857" s="235"/>
      <c r="M857" s="276"/>
      <c r="N857" s="279" t="s">
        <v>25</v>
      </c>
      <c r="O857" t="str">
        <f t="shared" si="14"/>
        <v>1996-S Memorial Penny Proof</v>
      </c>
      <c r="S857" t="str" cm="1">
        <f t="array" ref="S857">_xlfn.REGEXEXTRACT(E857, "[0-9]{1,5}")</f>
        <v>1996</v>
      </c>
      <c r="T857" t="s">
        <v>4202</v>
      </c>
      <c r="U857" t="s">
        <v>3896</v>
      </c>
    </row>
    <row r="858" spans="1:21">
      <c r="A858" s="136">
        <v>1</v>
      </c>
      <c r="B858" s="233">
        <v>1996</v>
      </c>
      <c r="C858" s="234"/>
      <c r="D858" s="234" t="s">
        <v>4920</v>
      </c>
      <c r="E858" s="244" t="s">
        <v>3468</v>
      </c>
      <c r="F858" s="244" t="s">
        <v>4914</v>
      </c>
      <c r="G858" s="235" t="s">
        <v>2579</v>
      </c>
      <c r="H858" s="236">
        <v>0.01</v>
      </c>
      <c r="I858" s="236">
        <v>0.01</v>
      </c>
      <c r="J858" s="233">
        <v>1</v>
      </c>
      <c r="K858" s="235"/>
      <c r="L858" s="235"/>
      <c r="M858" s="276"/>
      <c r="N858" s="279" t="s">
        <v>25</v>
      </c>
      <c r="O858" t="str">
        <f t="shared" si="14"/>
        <v>1996 Memorial Penny</v>
      </c>
      <c r="S858" t="str" cm="1">
        <f t="array" ref="S858">_xlfn.REGEXEXTRACT(E858, "[0-9]{1,5}")</f>
        <v>1996</v>
      </c>
      <c r="T858" t="s">
        <v>4202</v>
      </c>
      <c r="U858" t="s">
        <v>3896</v>
      </c>
    </row>
    <row r="859" spans="1:21">
      <c r="A859" s="136">
        <v>1</v>
      </c>
      <c r="B859" s="233">
        <v>1996</v>
      </c>
      <c r="C859" s="234" t="s">
        <v>13</v>
      </c>
      <c r="D859" s="234" t="s">
        <v>4920</v>
      </c>
      <c r="E859" s="244" t="s">
        <v>3469</v>
      </c>
      <c r="F859" s="244" t="s">
        <v>4914</v>
      </c>
      <c r="G859" s="235" t="s">
        <v>2586</v>
      </c>
      <c r="H859" s="236">
        <v>0.25</v>
      </c>
      <c r="I859" s="236">
        <v>0.25</v>
      </c>
      <c r="J859" s="233">
        <v>1</v>
      </c>
      <c r="K859" s="235"/>
      <c r="L859" s="235"/>
      <c r="M859" s="276"/>
      <c r="N859" s="279" t="s">
        <v>25</v>
      </c>
      <c r="O859" t="str">
        <f t="shared" si="14"/>
        <v>1996-D Memorial Penny</v>
      </c>
      <c r="S859" t="str" cm="1">
        <f t="array" ref="S859">_xlfn.REGEXEXTRACT(E859, "[0-9]{1,5}")</f>
        <v>1996</v>
      </c>
      <c r="T859" t="s">
        <v>4202</v>
      </c>
      <c r="U859" t="s">
        <v>3896</v>
      </c>
    </row>
    <row r="860" spans="1:21">
      <c r="A860" s="136">
        <v>1</v>
      </c>
      <c r="B860" s="233">
        <v>1996</v>
      </c>
      <c r="C860" s="234" t="s">
        <v>12</v>
      </c>
      <c r="D860" s="234" t="s">
        <v>4920</v>
      </c>
      <c r="E860" s="244" t="s">
        <v>3470</v>
      </c>
      <c r="F860" s="244" t="s">
        <v>5207</v>
      </c>
      <c r="G860" s="235" t="s">
        <v>2584</v>
      </c>
      <c r="H860" s="236">
        <v>1.1000000000000001</v>
      </c>
      <c r="I860" s="236">
        <v>1.1000000000000001</v>
      </c>
      <c r="J860" s="233">
        <v>1</v>
      </c>
      <c r="K860" s="235"/>
      <c r="L860" s="235"/>
      <c r="M860" s="276"/>
      <c r="N860" s="279" t="s">
        <v>25</v>
      </c>
      <c r="O860" t="str">
        <f t="shared" si="14"/>
        <v>1996-S Memorial Penny Proof</v>
      </c>
      <c r="S860" t="str" cm="1">
        <f t="array" ref="S860">_xlfn.REGEXEXTRACT(E860, "[0-9]{1,5}")</f>
        <v>1996</v>
      </c>
      <c r="T860" t="s">
        <v>4202</v>
      </c>
      <c r="U860" t="s">
        <v>3896</v>
      </c>
    </row>
    <row r="861" spans="1:21">
      <c r="A861" s="136">
        <v>1</v>
      </c>
      <c r="B861" s="233">
        <v>1997</v>
      </c>
      <c r="C861" s="234"/>
      <c r="D861" s="234" t="s">
        <v>4920</v>
      </c>
      <c r="E861" s="244" t="s">
        <v>3471</v>
      </c>
      <c r="F861" s="244" t="s">
        <v>4914</v>
      </c>
      <c r="G861" s="235" t="s">
        <v>2579</v>
      </c>
      <c r="H861" s="236">
        <v>0.03</v>
      </c>
      <c r="I861" s="236">
        <v>0.03</v>
      </c>
      <c r="J861" s="233">
        <v>3</v>
      </c>
      <c r="K861" s="235"/>
      <c r="L861" s="235"/>
      <c r="M861" s="276"/>
      <c r="N861" s="279" t="s">
        <v>25</v>
      </c>
      <c r="O861" t="str">
        <f t="shared" si="14"/>
        <v>1997 Memorial Penny</v>
      </c>
      <c r="S861" t="str" cm="1">
        <f t="array" ref="S861">_xlfn.REGEXEXTRACT(E861, "[0-9]{1,5}")</f>
        <v>1997</v>
      </c>
      <c r="T861" t="s">
        <v>4203</v>
      </c>
      <c r="U861" t="s">
        <v>3896</v>
      </c>
    </row>
    <row r="862" spans="1:21">
      <c r="A862" s="136">
        <v>1</v>
      </c>
      <c r="B862" s="233">
        <v>1997</v>
      </c>
      <c r="C862" s="234"/>
      <c r="D862" s="234" t="s">
        <v>4920</v>
      </c>
      <c r="E862" s="244" t="s">
        <v>3472</v>
      </c>
      <c r="F862" s="244" t="s">
        <v>4914</v>
      </c>
      <c r="G862" s="235" t="s">
        <v>2579</v>
      </c>
      <c r="H862" s="236">
        <v>0.03</v>
      </c>
      <c r="I862" s="236">
        <v>0.03</v>
      </c>
      <c r="J862" s="233">
        <v>3</v>
      </c>
      <c r="K862" s="235"/>
      <c r="L862" s="235"/>
      <c r="M862" s="276"/>
      <c r="N862" s="279" t="s">
        <v>25</v>
      </c>
      <c r="O862" t="str">
        <f t="shared" si="14"/>
        <v>1997 Memorial Penny</v>
      </c>
      <c r="S862" t="str" cm="1">
        <f t="array" ref="S862">_xlfn.REGEXEXTRACT(E862, "[0-9]{1,5}")</f>
        <v>1997</v>
      </c>
      <c r="T862" t="s">
        <v>4203</v>
      </c>
      <c r="U862" t="s">
        <v>3896</v>
      </c>
    </row>
    <row r="863" spans="1:21">
      <c r="A863" s="136">
        <v>1</v>
      </c>
      <c r="B863" s="233">
        <v>1997</v>
      </c>
      <c r="C863" s="234"/>
      <c r="D863" s="234" t="s">
        <v>4920</v>
      </c>
      <c r="E863" s="244" t="s">
        <v>3473</v>
      </c>
      <c r="F863" s="244" t="s">
        <v>4914</v>
      </c>
      <c r="G863" s="235" t="s">
        <v>2579</v>
      </c>
      <c r="H863" s="236">
        <v>0.01</v>
      </c>
      <c r="I863" s="236">
        <v>0.01</v>
      </c>
      <c r="J863" s="233">
        <v>1</v>
      </c>
      <c r="K863" s="235"/>
      <c r="L863" s="235"/>
      <c r="M863" s="276"/>
      <c r="N863" s="279" t="s">
        <v>25</v>
      </c>
      <c r="O863" t="str">
        <f t="shared" si="14"/>
        <v>1997 Memorial Penny</v>
      </c>
      <c r="S863" t="str" cm="1">
        <f t="array" ref="S863">_xlfn.REGEXEXTRACT(E863, "[0-9]{1,5}")</f>
        <v>1997</v>
      </c>
      <c r="T863" t="s">
        <v>4203</v>
      </c>
      <c r="U863" t="s">
        <v>3896</v>
      </c>
    </row>
    <row r="864" spans="1:21">
      <c r="A864" s="136">
        <v>1</v>
      </c>
      <c r="B864" s="233">
        <v>1997</v>
      </c>
      <c r="C864" s="234"/>
      <c r="D864" s="234" t="s">
        <v>4920</v>
      </c>
      <c r="E864" s="244" t="s">
        <v>3474</v>
      </c>
      <c r="F864" s="244" t="s">
        <v>4914</v>
      </c>
      <c r="G864" s="235" t="s">
        <v>2579</v>
      </c>
      <c r="H864" s="236">
        <v>0.03</v>
      </c>
      <c r="I864" s="236">
        <v>0.03</v>
      </c>
      <c r="J864" s="233">
        <v>3</v>
      </c>
      <c r="K864" s="235"/>
      <c r="L864" s="235"/>
      <c r="M864" s="276"/>
      <c r="N864" s="279" t="s">
        <v>25</v>
      </c>
      <c r="O864" t="str">
        <f t="shared" si="14"/>
        <v>1997 Memorial Penny</v>
      </c>
      <c r="S864" t="str" cm="1">
        <f t="array" ref="S864">_xlfn.REGEXEXTRACT(E864, "[0-9]{1,5}")</f>
        <v>1997</v>
      </c>
      <c r="T864" t="s">
        <v>4203</v>
      </c>
      <c r="U864" t="s">
        <v>3896</v>
      </c>
    </row>
    <row r="865" spans="1:21">
      <c r="A865" s="136">
        <v>1</v>
      </c>
      <c r="B865" s="233">
        <v>1997</v>
      </c>
      <c r="C865" s="234" t="s">
        <v>13</v>
      </c>
      <c r="D865" s="234" t="s">
        <v>4920</v>
      </c>
      <c r="E865" s="244" t="s">
        <v>3475</v>
      </c>
      <c r="F865" s="244" t="s">
        <v>4914</v>
      </c>
      <c r="G865" s="235" t="s">
        <v>2579</v>
      </c>
      <c r="H865" s="236">
        <v>0.01</v>
      </c>
      <c r="I865" s="236">
        <v>0.01</v>
      </c>
      <c r="J865" s="233">
        <v>1</v>
      </c>
      <c r="K865" s="235"/>
      <c r="L865" s="235"/>
      <c r="M865" s="276"/>
      <c r="N865" s="279" t="s">
        <v>25</v>
      </c>
      <c r="O865" t="str">
        <f t="shared" si="14"/>
        <v>1997-D Memorial Penny</v>
      </c>
      <c r="S865" t="str" cm="1">
        <f t="array" ref="S865">_xlfn.REGEXEXTRACT(E865, "[0-9]{1,5}")</f>
        <v>1997</v>
      </c>
      <c r="T865" t="s">
        <v>4203</v>
      </c>
      <c r="U865" t="s">
        <v>3896</v>
      </c>
    </row>
    <row r="866" spans="1:21">
      <c r="A866" s="136">
        <v>1</v>
      </c>
      <c r="B866" s="233">
        <v>1997</v>
      </c>
      <c r="C866" s="234" t="s">
        <v>13</v>
      </c>
      <c r="D866" s="234" t="s">
        <v>4920</v>
      </c>
      <c r="E866" s="244" t="s">
        <v>3476</v>
      </c>
      <c r="F866" s="244" t="s">
        <v>4914</v>
      </c>
      <c r="G866" s="235" t="s">
        <v>2586</v>
      </c>
      <c r="H866" s="236">
        <v>0.6</v>
      </c>
      <c r="I866" s="236">
        <v>0.01</v>
      </c>
      <c r="J866" s="233">
        <v>1</v>
      </c>
      <c r="K866" s="235"/>
      <c r="L866" s="235"/>
      <c r="M866" s="276"/>
      <c r="N866" s="279" t="s">
        <v>25</v>
      </c>
      <c r="O866" t="str">
        <f t="shared" si="14"/>
        <v>1997-D Memorial Penny</v>
      </c>
      <c r="S866" t="str" cm="1">
        <f t="array" ref="S866">_xlfn.REGEXEXTRACT(E866, "[0-9]{1,5}")</f>
        <v>1997</v>
      </c>
      <c r="T866" t="s">
        <v>4203</v>
      </c>
      <c r="U866" t="s">
        <v>3896</v>
      </c>
    </row>
    <row r="867" spans="1:21">
      <c r="A867" s="136">
        <v>1</v>
      </c>
      <c r="B867" s="233">
        <v>1997</v>
      </c>
      <c r="C867" s="234" t="s">
        <v>12</v>
      </c>
      <c r="D867" s="234" t="s">
        <v>4920</v>
      </c>
      <c r="E867" s="244" t="s">
        <v>3477</v>
      </c>
      <c r="F867" s="244" t="s">
        <v>5207</v>
      </c>
      <c r="G867" s="235" t="s">
        <v>2584</v>
      </c>
      <c r="H867" s="236">
        <v>1.4</v>
      </c>
      <c r="I867" s="236">
        <v>0.01</v>
      </c>
      <c r="J867" s="233">
        <v>1</v>
      </c>
      <c r="K867" s="235"/>
      <c r="L867" s="235"/>
      <c r="M867" s="276"/>
      <c r="N867" s="279" t="s">
        <v>25</v>
      </c>
      <c r="O867" t="str">
        <f t="shared" si="14"/>
        <v>1997-S Memorial Penny Proof</v>
      </c>
      <c r="S867" t="str" cm="1">
        <f t="array" ref="S867">_xlfn.REGEXEXTRACT(E867, "[0-9]{1,5}")</f>
        <v>1997</v>
      </c>
      <c r="T867" t="s">
        <v>4203</v>
      </c>
      <c r="U867" t="s">
        <v>3896</v>
      </c>
    </row>
    <row r="868" spans="1:21">
      <c r="A868" s="136">
        <v>1</v>
      </c>
      <c r="B868" s="233">
        <v>1997</v>
      </c>
      <c r="C868" s="234" t="s">
        <v>12</v>
      </c>
      <c r="D868" s="234" t="s">
        <v>4920</v>
      </c>
      <c r="E868" s="244" t="s">
        <v>3478</v>
      </c>
      <c r="F868" s="244" t="s">
        <v>5207</v>
      </c>
      <c r="G868" s="235" t="s">
        <v>2584</v>
      </c>
      <c r="H868" s="236">
        <v>1.5</v>
      </c>
      <c r="I868" s="236">
        <v>1.5</v>
      </c>
      <c r="J868" s="233">
        <v>1</v>
      </c>
      <c r="K868" s="235"/>
      <c r="L868" s="235"/>
      <c r="M868" s="276"/>
      <c r="N868" s="279" t="s">
        <v>25</v>
      </c>
      <c r="O868" t="str">
        <f t="shared" si="14"/>
        <v>1997-S Memorial Penny Proof</v>
      </c>
      <c r="S868" t="str" cm="1">
        <f t="array" ref="S868">_xlfn.REGEXEXTRACT(E868, "[0-9]{1,5}")</f>
        <v>1997</v>
      </c>
      <c r="T868" t="s">
        <v>4203</v>
      </c>
      <c r="U868" t="s">
        <v>3896</v>
      </c>
    </row>
    <row r="869" spans="1:21">
      <c r="A869" s="136">
        <v>1</v>
      </c>
      <c r="B869" s="233">
        <v>1998</v>
      </c>
      <c r="C869" s="234"/>
      <c r="D869" s="234" t="s">
        <v>4920</v>
      </c>
      <c r="E869" s="244" t="s">
        <v>3479</v>
      </c>
      <c r="F869" s="244" t="s">
        <v>4914</v>
      </c>
      <c r="G869" s="235" t="s">
        <v>2579</v>
      </c>
      <c r="H869" s="236">
        <v>0.03</v>
      </c>
      <c r="I869" s="236">
        <v>0.03</v>
      </c>
      <c r="J869" s="233">
        <v>3</v>
      </c>
      <c r="K869" s="235"/>
      <c r="L869" s="235"/>
      <c r="M869" s="276"/>
      <c r="N869" s="279" t="s">
        <v>25</v>
      </c>
      <c r="O869" t="str">
        <f t="shared" si="14"/>
        <v>1998 Memorial Penny</v>
      </c>
      <c r="S869" t="str" cm="1">
        <f t="array" ref="S869">_xlfn.REGEXEXTRACT(E869, "[0-9]{1,5}")</f>
        <v>1998</v>
      </c>
      <c r="T869" t="s">
        <v>4204</v>
      </c>
      <c r="U869" t="s">
        <v>3896</v>
      </c>
    </row>
    <row r="870" spans="1:21">
      <c r="A870" s="136">
        <v>1</v>
      </c>
      <c r="B870" s="233">
        <v>1998</v>
      </c>
      <c r="C870" s="234"/>
      <c r="D870" s="234" t="s">
        <v>4920</v>
      </c>
      <c r="E870" s="244" t="s">
        <v>3480</v>
      </c>
      <c r="F870" s="244" t="s">
        <v>4914</v>
      </c>
      <c r="G870" s="235" t="s">
        <v>2579</v>
      </c>
      <c r="H870" s="236">
        <v>0.03</v>
      </c>
      <c r="I870" s="236">
        <v>0.03</v>
      </c>
      <c r="J870" s="233">
        <v>3</v>
      </c>
      <c r="K870" s="235"/>
      <c r="L870" s="235"/>
      <c r="M870" s="276"/>
      <c r="N870" s="279" t="s">
        <v>25</v>
      </c>
      <c r="O870" t="str">
        <f t="shared" si="14"/>
        <v>1998 Memorial Penny</v>
      </c>
      <c r="S870" t="str" cm="1">
        <f t="array" ref="S870">_xlfn.REGEXEXTRACT(E870, "[0-9]{1,5}")</f>
        <v>1998</v>
      </c>
      <c r="T870" t="s">
        <v>4204</v>
      </c>
      <c r="U870" t="s">
        <v>3896</v>
      </c>
    </row>
    <row r="871" spans="1:21">
      <c r="A871" s="136">
        <v>1</v>
      </c>
      <c r="B871" s="233">
        <v>1998</v>
      </c>
      <c r="C871" s="234"/>
      <c r="D871" s="234" t="s">
        <v>4920</v>
      </c>
      <c r="E871" s="244" t="s">
        <v>3481</v>
      </c>
      <c r="F871" s="244" t="s">
        <v>4914</v>
      </c>
      <c r="G871" s="235" t="s">
        <v>2579</v>
      </c>
      <c r="H871" s="236">
        <v>0.03</v>
      </c>
      <c r="I871" s="236">
        <v>0.03</v>
      </c>
      <c r="J871" s="233">
        <v>3</v>
      </c>
      <c r="K871" s="235"/>
      <c r="L871" s="235"/>
      <c r="M871" s="276"/>
      <c r="N871" s="279" t="s">
        <v>25</v>
      </c>
      <c r="O871" t="str">
        <f t="shared" si="14"/>
        <v>1998 Memorial Penny</v>
      </c>
      <c r="S871" t="str" cm="1">
        <f t="array" ref="S871">_xlfn.REGEXEXTRACT(E871, "[0-9]{1,5}")</f>
        <v>1998</v>
      </c>
      <c r="T871" t="s">
        <v>4204</v>
      </c>
      <c r="U871" t="s">
        <v>3896</v>
      </c>
    </row>
    <row r="872" spans="1:21">
      <c r="A872" s="136">
        <v>1</v>
      </c>
      <c r="B872" s="233">
        <v>1998</v>
      </c>
      <c r="C872" s="234"/>
      <c r="D872" s="234" t="s">
        <v>4920</v>
      </c>
      <c r="E872" s="244" t="s">
        <v>3482</v>
      </c>
      <c r="F872" s="244" t="s">
        <v>4914</v>
      </c>
      <c r="G872" s="235" t="s">
        <v>2579</v>
      </c>
      <c r="H872" s="236">
        <v>0.01</v>
      </c>
      <c r="I872" s="236">
        <v>0.01</v>
      </c>
      <c r="J872" s="233">
        <v>1</v>
      </c>
      <c r="K872" s="235"/>
      <c r="L872" s="235"/>
      <c r="M872" s="276"/>
      <c r="N872" s="279" t="s">
        <v>25</v>
      </c>
      <c r="O872" t="str">
        <f t="shared" si="14"/>
        <v>1998 Memorial Penny</v>
      </c>
      <c r="S872" t="str" cm="1">
        <f t="array" ref="S872">_xlfn.REGEXEXTRACT(E872, "[0-9]{1,5}")</f>
        <v>1998</v>
      </c>
      <c r="T872" t="s">
        <v>4204</v>
      </c>
      <c r="U872" t="s">
        <v>3896</v>
      </c>
    </row>
    <row r="873" spans="1:21">
      <c r="A873" s="136">
        <v>1</v>
      </c>
      <c r="B873" s="233">
        <v>1998</v>
      </c>
      <c r="C873" s="234"/>
      <c r="D873" s="234" t="s">
        <v>4920</v>
      </c>
      <c r="E873" s="244" t="s">
        <v>3483</v>
      </c>
      <c r="F873" s="244" t="s">
        <v>4914</v>
      </c>
      <c r="G873" s="235" t="s">
        <v>2579</v>
      </c>
      <c r="H873" s="236">
        <v>0.01</v>
      </c>
      <c r="I873" s="236">
        <v>0.01</v>
      </c>
      <c r="J873" s="233">
        <v>1</v>
      </c>
      <c r="K873" s="235"/>
      <c r="L873" s="235"/>
      <c r="M873" s="276"/>
      <c r="N873" s="279" t="s">
        <v>25</v>
      </c>
      <c r="O873" t="str">
        <f t="shared" si="14"/>
        <v>1998 Memorial Penny</v>
      </c>
      <c r="S873" t="str" cm="1">
        <f t="array" ref="S873">_xlfn.REGEXEXTRACT(E873, "[0-9]{1,5}")</f>
        <v>1998</v>
      </c>
      <c r="T873" t="s">
        <v>4204</v>
      </c>
      <c r="U873" t="s">
        <v>3896</v>
      </c>
    </row>
    <row r="874" spans="1:21">
      <c r="A874" s="136">
        <v>1</v>
      </c>
      <c r="B874" s="233">
        <v>1998</v>
      </c>
      <c r="C874" s="234" t="s">
        <v>13</v>
      </c>
      <c r="D874" s="234" t="s">
        <v>4920</v>
      </c>
      <c r="E874" s="244" t="s">
        <v>3484</v>
      </c>
      <c r="F874" s="244" t="s">
        <v>4914</v>
      </c>
      <c r="G874" s="235" t="s">
        <v>2579</v>
      </c>
      <c r="H874" s="236">
        <v>0.03</v>
      </c>
      <c r="I874" s="236">
        <v>0.03</v>
      </c>
      <c r="J874" s="233">
        <v>3</v>
      </c>
      <c r="K874" s="235"/>
      <c r="L874" s="235"/>
      <c r="M874" s="276"/>
      <c r="N874" s="279" t="s">
        <v>25</v>
      </c>
      <c r="O874" t="str">
        <f t="shared" si="14"/>
        <v>1998-D Memorial Penny</v>
      </c>
      <c r="S874" t="str" cm="1">
        <f t="array" ref="S874">_xlfn.REGEXEXTRACT(E874, "[0-9]{1,5}")</f>
        <v>1998</v>
      </c>
      <c r="T874" t="s">
        <v>4204</v>
      </c>
      <c r="U874" t="s">
        <v>3896</v>
      </c>
    </row>
    <row r="875" spans="1:21">
      <c r="A875" s="136">
        <v>1</v>
      </c>
      <c r="B875" s="233">
        <v>1998</v>
      </c>
      <c r="C875" s="234"/>
      <c r="D875" s="234" t="s">
        <v>4920</v>
      </c>
      <c r="E875" s="244" t="s">
        <v>3485</v>
      </c>
      <c r="F875" s="244" t="s">
        <v>4914</v>
      </c>
      <c r="G875" s="235" t="s">
        <v>2579</v>
      </c>
      <c r="H875" s="236">
        <v>0.03</v>
      </c>
      <c r="I875" s="236">
        <v>0.03</v>
      </c>
      <c r="J875" s="233">
        <v>3</v>
      </c>
      <c r="K875" s="235"/>
      <c r="L875" s="235"/>
      <c r="M875" s="276"/>
      <c r="N875" s="279" t="s">
        <v>25</v>
      </c>
      <c r="O875" t="str">
        <f t="shared" si="14"/>
        <v>1998 Memorial Penny</v>
      </c>
      <c r="S875" t="str" cm="1">
        <f t="array" ref="S875">_xlfn.REGEXEXTRACT(E875, "[0-9]{1,5}")</f>
        <v>1998</v>
      </c>
      <c r="T875" t="s">
        <v>4204</v>
      </c>
      <c r="U875" t="s">
        <v>3896</v>
      </c>
    </row>
    <row r="876" spans="1:21">
      <c r="A876" s="136">
        <v>1</v>
      </c>
      <c r="B876" s="233">
        <v>1998</v>
      </c>
      <c r="C876" s="234" t="s">
        <v>12</v>
      </c>
      <c r="D876" s="234" t="s">
        <v>4920</v>
      </c>
      <c r="E876" s="244" t="s">
        <v>3486</v>
      </c>
      <c r="F876" s="244" t="s">
        <v>5207</v>
      </c>
      <c r="G876" s="235" t="s">
        <v>2584</v>
      </c>
      <c r="H876" s="236">
        <v>1.75</v>
      </c>
      <c r="I876" s="236">
        <v>0.01</v>
      </c>
      <c r="J876" s="233">
        <v>1</v>
      </c>
      <c r="K876" s="235"/>
      <c r="L876" s="235"/>
      <c r="M876" s="276"/>
      <c r="N876" s="279" t="s">
        <v>25</v>
      </c>
      <c r="O876" t="str">
        <f t="shared" si="14"/>
        <v>1998-S Memorial Penny Proof</v>
      </c>
      <c r="S876" t="str" cm="1">
        <f t="array" ref="S876">_xlfn.REGEXEXTRACT(E876, "[0-9]{1,5}")</f>
        <v>1998</v>
      </c>
      <c r="T876" t="s">
        <v>4204</v>
      </c>
      <c r="U876" t="s">
        <v>3896</v>
      </c>
    </row>
    <row r="877" spans="1:21">
      <c r="A877" s="136">
        <v>1</v>
      </c>
      <c r="B877" s="233">
        <v>1998</v>
      </c>
      <c r="C877" s="234" t="s">
        <v>13</v>
      </c>
      <c r="D877" s="234" t="s">
        <v>4920</v>
      </c>
      <c r="E877" s="244" t="s">
        <v>3487</v>
      </c>
      <c r="F877" s="244" t="s">
        <v>4914</v>
      </c>
      <c r="G877" s="235" t="s">
        <v>2586</v>
      </c>
      <c r="H877" s="236">
        <v>0.25</v>
      </c>
      <c r="I877" s="236">
        <v>0.01</v>
      </c>
      <c r="J877" s="233">
        <v>1</v>
      </c>
      <c r="K877" s="235"/>
      <c r="L877" s="235"/>
      <c r="M877" s="276"/>
      <c r="N877" s="279" t="s">
        <v>25</v>
      </c>
      <c r="O877" t="str">
        <f t="shared" si="14"/>
        <v>1998-D Memorial Penny</v>
      </c>
      <c r="S877" t="str" cm="1">
        <f t="array" ref="S877">_xlfn.REGEXEXTRACT(E877, "[0-9]{1,5}")</f>
        <v>1998</v>
      </c>
      <c r="T877" t="s">
        <v>4204</v>
      </c>
      <c r="U877" t="s">
        <v>3896</v>
      </c>
    </row>
    <row r="878" spans="1:21">
      <c r="A878" s="136">
        <v>1</v>
      </c>
      <c r="B878" s="233">
        <v>1998</v>
      </c>
      <c r="C878" s="234" t="s">
        <v>13</v>
      </c>
      <c r="D878" s="234" t="s">
        <v>4920</v>
      </c>
      <c r="E878" s="244" t="s">
        <v>3488</v>
      </c>
      <c r="F878" s="244" t="s">
        <v>4914</v>
      </c>
      <c r="G878" s="235" t="s">
        <v>2579</v>
      </c>
      <c r="H878" s="236">
        <v>0.01</v>
      </c>
      <c r="I878" s="236">
        <v>0.01</v>
      </c>
      <c r="J878" s="233">
        <v>1</v>
      </c>
      <c r="K878" s="235"/>
      <c r="L878" s="235"/>
      <c r="M878" s="276"/>
      <c r="N878" s="279" t="s">
        <v>25</v>
      </c>
      <c r="O878" t="str">
        <f t="shared" si="14"/>
        <v>1998-D Memorial Penny</v>
      </c>
      <c r="S878" t="str" cm="1">
        <f t="array" ref="S878">_xlfn.REGEXEXTRACT(E878, "[0-9]{1,5}")</f>
        <v>1998</v>
      </c>
      <c r="T878" t="s">
        <v>4204</v>
      </c>
      <c r="U878" t="s">
        <v>3896</v>
      </c>
    </row>
    <row r="879" spans="1:21">
      <c r="A879" s="136">
        <v>1</v>
      </c>
      <c r="B879" s="233">
        <v>1998</v>
      </c>
      <c r="C879" s="234" t="s">
        <v>12</v>
      </c>
      <c r="D879" s="234" t="s">
        <v>4920</v>
      </c>
      <c r="E879" s="244" t="s">
        <v>3489</v>
      </c>
      <c r="F879" s="244" t="s">
        <v>5207</v>
      </c>
      <c r="G879" s="235" t="s">
        <v>2584</v>
      </c>
      <c r="H879" s="236">
        <v>2</v>
      </c>
      <c r="I879" s="236">
        <v>2</v>
      </c>
      <c r="J879" s="233">
        <v>1</v>
      </c>
      <c r="K879" s="235"/>
      <c r="L879" s="235"/>
      <c r="M879" s="276"/>
      <c r="N879" s="279" t="s">
        <v>25</v>
      </c>
      <c r="O879" t="str">
        <f t="shared" si="14"/>
        <v>1998-S Memorial Penny Proof</v>
      </c>
      <c r="S879" t="str" cm="1">
        <f t="array" ref="S879">_xlfn.REGEXEXTRACT(E879, "[0-9]{1,5}")</f>
        <v>1998</v>
      </c>
      <c r="T879" t="s">
        <v>4204</v>
      </c>
      <c r="U879" t="s">
        <v>3896</v>
      </c>
    </row>
    <row r="880" spans="1:21">
      <c r="A880" s="136">
        <v>1</v>
      </c>
      <c r="B880" s="233">
        <v>1999</v>
      </c>
      <c r="C880" s="234"/>
      <c r="D880" s="234" t="s">
        <v>4920</v>
      </c>
      <c r="E880" s="244" t="s">
        <v>3490</v>
      </c>
      <c r="F880" s="244" t="s">
        <v>4914</v>
      </c>
      <c r="G880" s="235" t="s">
        <v>2579</v>
      </c>
      <c r="H880" s="236">
        <v>0.01</v>
      </c>
      <c r="I880" s="236">
        <v>0.01</v>
      </c>
      <c r="J880" s="233">
        <v>1</v>
      </c>
      <c r="K880" s="235"/>
      <c r="L880" s="235"/>
      <c r="M880" s="276"/>
      <c r="N880" s="279" t="s">
        <v>25</v>
      </c>
      <c r="O880" t="str">
        <f t="shared" si="14"/>
        <v>1999 Memorial Penny</v>
      </c>
      <c r="S880" t="str" cm="1">
        <f t="array" ref="S880">_xlfn.REGEXEXTRACT(E880, "[0-9]{1,5}")</f>
        <v>1999</v>
      </c>
      <c r="T880" t="s">
        <v>4205</v>
      </c>
      <c r="U880" t="s">
        <v>3896</v>
      </c>
    </row>
    <row r="881" spans="1:21">
      <c r="A881" s="136">
        <v>1</v>
      </c>
      <c r="B881" s="233">
        <v>1999</v>
      </c>
      <c r="C881" s="234"/>
      <c r="D881" s="234" t="s">
        <v>4920</v>
      </c>
      <c r="E881" s="244" t="s">
        <v>3491</v>
      </c>
      <c r="F881" s="244" t="s">
        <v>4914</v>
      </c>
      <c r="G881" s="235" t="s">
        <v>2579</v>
      </c>
      <c r="H881" s="236">
        <v>0.01</v>
      </c>
      <c r="I881" s="236">
        <v>0.01</v>
      </c>
      <c r="J881" s="233">
        <v>1</v>
      </c>
      <c r="K881" s="235"/>
      <c r="L881" s="235"/>
      <c r="M881" s="276"/>
      <c r="N881" s="279" t="s">
        <v>25</v>
      </c>
      <c r="O881" t="str">
        <f t="shared" si="14"/>
        <v>1999 Memorial Penny</v>
      </c>
      <c r="S881" t="str" cm="1">
        <f t="array" ref="S881">_xlfn.REGEXEXTRACT(E881, "[0-9]{1,5}")</f>
        <v>1999</v>
      </c>
      <c r="T881" t="s">
        <v>4205</v>
      </c>
      <c r="U881" t="s">
        <v>3896</v>
      </c>
    </row>
    <row r="882" spans="1:21">
      <c r="A882" s="136">
        <v>1</v>
      </c>
      <c r="B882" s="233">
        <v>1999</v>
      </c>
      <c r="C882" s="234"/>
      <c r="D882" s="234" t="s">
        <v>4920</v>
      </c>
      <c r="E882" s="244" t="s">
        <v>3492</v>
      </c>
      <c r="F882" s="244" t="s">
        <v>4914</v>
      </c>
      <c r="G882" s="235" t="s">
        <v>2579</v>
      </c>
      <c r="H882" s="236">
        <v>0.03</v>
      </c>
      <c r="I882" s="236">
        <v>0.03</v>
      </c>
      <c r="J882" s="233">
        <v>3</v>
      </c>
      <c r="K882" s="235"/>
      <c r="L882" s="235"/>
      <c r="M882" s="276"/>
      <c r="N882" s="279" t="s">
        <v>25</v>
      </c>
      <c r="O882" t="str">
        <f t="shared" si="14"/>
        <v>1999 Memorial Penny</v>
      </c>
      <c r="S882" t="str" cm="1">
        <f t="array" ref="S882">_xlfn.REGEXEXTRACT(E882, "[0-9]{1,5}")</f>
        <v>1999</v>
      </c>
      <c r="T882" t="s">
        <v>4205</v>
      </c>
      <c r="U882" t="s">
        <v>3896</v>
      </c>
    </row>
    <row r="883" spans="1:21">
      <c r="A883" s="136">
        <v>1</v>
      </c>
      <c r="B883" s="233">
        <v>1999</v>
      </c>
      <c r="C883" s="234"/>
      <c r="D883" s="234" t="s">
        <v>4920</v>
      </c>
      <c r="E883" s="244" t="s">
        <v>3493</v>
      </c>
      <c r="F883" s="244" t="s">
        <v>4914</v>
      </c>
      <c r="G883" s="235" t="s">
        <v>2579</v>
      </c>
      <c r="H883" s="236">
        <v>0.03</v>
      </c>
      <c r="I883" s="236">
        <v>0.03</v>
      </c>
      <c r="J883" s="233">
        <v>3</v>
      </c>
      <c r="K883" s="235"/>
      <c r="L883" s="235"/>
      <c r="M883" s="276"/>
      <c r="N883" s="279" t="s">
        <v>25</v>
      </c>
      <c r="O883" t="str">
        <f t="shared" si="14"/>
        <v>1999 Memorial Penny</v>
      </c>
      <c r="S883" t="str" cm="1">
        <f t="array" ref="S883">_xlfn.REGEXEXTRACT(E883, "[0-9]{1,5}")</f>
        <v>1999</v>
      </c>
      <c r="T883" t="s">
        <v>4205</v>
      </c>
      <c r="U883" t="s">
        <v>3896</v>
      </c>
    </row>
    <row r="884" spans="1:21">
      <c r="A884" s="136">
        <v>1</v>
      </c>
      <c r="B884" s="233">
        <v>1999</v>
      </c>
      <c r="C884" s="234"/>
      <c r="D884" s="234" t="s">
        <v>4920</v>
      </c>
      <c r="E884" s="244" t="s">
        <v>3494</v>
      </c>
      <c r="F884" s="244" t="s">
        <v>4914</v>
      </c>
      <c r="G884" s="235" t="s">
        <v>2579</v>
      </c>
      <c r="H884" s="236">
        <v>0.03</v>
      </c>
      <c r="I884" s="236">
        <v>0.03</v>
      </c>
      <c r="J884" s="233">
        <v>3</v>
      </c>
      <c r="K884" s="235"/>
      <c r="L884" s="235"/>
      <c r="M884" s="276"/>
      <c r="N884" s="279" t="s">
        <v>25</v>
      </c>
      <c r="O884" t="str">
        <f t="shared" si="14"/>
        <v>1999 Memorial Penny</v>
      </c>
      <c r="S884" t="str" cm="1">
        <f t="array" ref="S884">_xlfn.REGEXEXTRACT(E884, "[0-9]{1,5}")</f>
        <v>1999</v>
      </c>
      <c r="T884" t="s">
        <v>4205</v>
      </c>
      <c r="U884" t="s">
        <v>3896</v>
      </c>
    </row>
    <row r="885" spans="1:21">
      <c r="A885" s="136">
        <v>1</v>
      </c>
      <c r="B885" s="233">
        <v>1999</v>
      </c>
      <c r="C885" s="234"/>
      <c r="D885" s="234" t="s">
        <v>4920</v>
      </c>
      <c r="E885" s="244" t="s">
        <v>3495</v>
      </c>
      <c r="F885" s="244" t="s">
        <v>4914</v>
      </c>
      <c r="G885" s="235" t="s">
        <v>2579</v>
      </c>
      <c r="H885" s="236">
        <v>0.03</v>
      </c>
      <c r="I885" s="236">
        <v>0.03</v>
      </c>
      <c r="J885" s="233">
        <v>3</v>
      </c>
      <c r="K885" s="235"/>
      <c r="L885" s="235"/>
      <c r="M885" s="276"/>
      <c r="N885" s="279" t="s">
        <v>25</v>
      </c>
      <c r="O885" t="str">
        <f t="shared" si="14"/>
        <v>1999 Memorial Penny</v>
      </c>
      <c r="S885" t="str" cm="1">
        <f t="array" ref="S885">_xlfn.REGEXEXTRACT(E885, "[0-9]{1,5}")</f>
        <v>1999</v>
      </c>
      <c r="T885" t="s">
        <v>4205</v>
      </c>
      <c r="U885" t="s">
        <v>3896</v>
      </c>
    </row>
    <row r="886" spans="1:21">
      <c r="A886" s="136">
        <v>1</v>
      </c>
      <c r="B886" s="233">
        <v>1999</v>
      </c>
      <c r="C886" s="234"/>
      <c r="D886" s="234" t="s">
        <v>4920</v>
      </c>
      <c r="E886" s="244" t="s">
        <v>3496</v>
      </c>
      <c r="F886" s="244" t="s">
        <v>4914</v>
      </c>
      <c r="G886" s="235" t="s">
        <v>2579</v>
      </c>
      <c r="H886" s="236">
        <v>0.03</v>
      </c>
      <c r="I886" s="236">
        <v>0.03</v>
      </c>
      <c r="J886" s="233">
        <v>3</v>
      </c>
      <c r="K886" s="235"/>
      <c r="L886" s="235"/>
      <c r="M886" s="276"/>
      <c r="N886" s="279" t="s">
        <v>25</v>
      </c>
      <c r="O886" t="str">
        <f t="shared" si="14"/>
        <v>1999 Memorial Penny</v>
      </c>
      <c r="S886" t="str" cm="1">
        <f t="array" ref="S886">_xlfn.REGEXEXTRACT(E886, "[0-9]{1,5}")</f>
        <v>1999</v>
      </c>
      <c r="T886" t="s">
        <v>4205</v>
      </c>
      <c r="U886" t="s">
        <v>3896</v>
      </c>
    </row>
    <row r="887" spans="1:21">
      <c r="A887" s="136">
        <v>1</v>
      </c>
      <c r="B887" s="233">
        <v>1999</v>
      </c>
      <c r="C887" s="234" t="s">
        <v>13</v>
      </c>
      <c r="D887" s="234" t="s">
        <v>4920</v>
      </c>
      <c r="E887" s="244" t="s">
        <v>3497</v>
      </c>
      <c r="F887" s="244" t="s">
        <v>4914</v>
      </c>
      <c r="G887" s="235" t="s">
        <v>2579</v>
      </c>
      <c r="H887" s="236">
        <v>0.01</v>
      </c>
      <c r="I887" s="236">
        <v>0.01</v>
      </c>
      <c r="J887" s="233">
        <v>1</v>
      </c>
      <c r="K887" s="235"/>
      <c r="L887" s="235"/>
      <c r="M887" s="276"/>
      <c r="N887" s="279" t="s">
        <v>25</v>
      </c>
      <c r="O887" t="str">
        <f t="shared" si="14"/>
        <v>1999-D Memorial Penny</v>
      </c>
      <c r="S887" t="str" cm="1">
        <f t="array" ref="S887">_xlfn.REGEXEXTRACT(E887, "[0-9]{1,5}")</f>
        <v>1999</v>
      </c>
      <c r="T887" t="s">
        <v>4205</v>
      </c>
      <c r="U887" t="s">
        <v>3896</v>
      </c>
    </row>
    <row r="888" spans="1:21">
      <c r="A888" s="136">
        <v>1</v>
      </c>
      <c r="B888" s="233">
        <v>1999</v>
      </c>
      <c r="C888" s="234"/>
      <c r="D888" s="234" t="s">
        <v>4920</v>
      </c>
      <c r="E888" s="244" t="s">
        <v>3498</v>
      </c>
      <c r="F888" s="244" t="s">
        <v>4914</v>
      </c>
      <c r="G888" s="235" t="s">
        <v>2579</v>
      </c>
      <c r="H888" s="236">
        <v>0.01</v>
      </c>
      <c r="I888" s="236">
        <v>0.01</v>
      </c>
      <c r="J888" s="233">
        <v>1</v>
      </c>
      <c r="K888" s="235"/>
      <c r="L888" s="235"/>
      <c r="M888" s="276"/>
      <c r="N888" s="279" t="s">
        <v>25</v>
      </c>
      <c r="O888" t="str">
        <f t="shared" si="14"/>
        <v>1999 Memorial Penny</v>
      </c>
      <c r="S888" t="str" cm="1">
        <f t="array" ref="S888">_xlfn.REGEXEXTRACT(E888, "[0-9]{1,5}")</f>
        <v>1999</v>
      </c>
      <c r="T888" t="s">
        <v>4205</v>
      </c>
      <c r="U888" t="s">
        <v>3896</v>
      </c>
    </row>
    <row r="889" spans="1:21">
      <c r="A889" s="136">
        <v>1</v>
      </c>
      <c r="B889" s="233">
        <v>1999</v>
      </c>
      <c r="C889" s="234"/>
      <c r="D889" s="234" t="s">
        <v>4920</v>
      </c>
      <c r="E889" s="244" t="s">
        <v>3499</v>
      </c>
      <c r="F889" s="244" t="s">
        <v>4914</v>
      </c>
      <c r="G889" s="235" t="s">
        <v>2579</v>
      </c>
      <c r="H889" s="236">
        <v>0.01</v>
      </c>
      <c r="I889" s="236">
        <v>0.01</v>
      </c>
      <c r="J889" s="233">
        <v>1</v>
      </c>
      <c r="K889" s="235"/>
      <c r="L889" s="235"/>
      <c r="M889" s="276"/>
      <c r="N889" s="279" t="s">
        <v>25</v>
      </c>
      <c r="O889" t="str">
        <f t="shared" si="14"/>
        <v>1999 Memorial Penny</v>
      </c>
      <c r="S889" t="str" cm="1">
        <f t="array" ref="S889">_xlfn.REGEXEXTRACT(E889, "[0-9]{1,5}")</f>
        <v>1999</v>
      </c>
      <c r="T889" t="s">
        <v>4205</v>
      </c>
      <c r="U889" t="s">
        <v>3896</v>
      </c>
    </row>
    <row r="890" spans="1:21">
      <c r="A890" s="136">
        <v>1</v>
      </c>
      <c r="B890" s="233">
        <v>1999</v>
      </c>
      <c r="C890" s="234"/>
      <c r="D890" s="234" t="s">
        <v>4920</v>
      </c>
      <c r="E890" s="244" t="s">
        <v>3500</v>
      </c>
      <c r="F890" s="244" t="s">
        <v>4914</v>
      </c>
      <c r="G890" s="235" t="s">
        <v>2579</v>
      </c>
      <c r="H890" s="236">
        <v>0.01</v>
      </c>
      <c r="I890" s="236">
        <v>0.01</v>
      </c>
      <c r="J890" s="233">
        <v>1</v>
      </c>
      <c r="K890" s="235"/>
      <c r="L890" s="235"/>
      <c r="M890" s="276"/>
      <c r="N890" s="279" t="s">
        <v>25</v>
      </c>
      <c r="O890" t="str">
        <f t="shared" si="14"/>
        <v>1999 Memorial Penny</v>
      </c>
      <c r="S890" t="str" cm="1">
        <f t="array" ref="S890">_xlfn.REGEXEXTRACT(E890, "[0-9]{1,5}")</f>
        <v>1999</v>
      </c>
      <c r="T890" t="s">
        <v>4205</v>
      </c>
      <c r="U890" t="s">
        <v>3896</v>
      </c>
    </row>
    <row r="891" spans="1:21">
      <c r="A891" s="136">
        <v>1</v>
      </c>
      <c r="B891" s="233">
        <v>1999</v>
      </c>
      <c r="C891" s="234" t="s">
        <v>13</v>
      </c>
      <c r="D891" s="234" t="s">
        <v>4920</v>
      </c>
      <c r="E891" s="244" t="s">
        <v>3501</v>
      </c>
      <c r="F891" s="244" t="s">
        <v>4914</v>
      </c>
      <c r="G891" s="235" t="s">
        <v>2579</v>
      </c>
      <c r="H891" s="236">
        <v>0.01</v>
      </c>
      <c r="I891" s="236">
        <v>0.01</v>
      </c>
      <c r="J891" s="233">
        <v>1</v>
      </c>
      <c r="K891" s="235"/>
      <c r="L891" s="235"/>
      <c r="M891" s="276"/>
      <c r="N891" s="279" t="s">
        <v>25</v>
      </c>
      <c r="O891" t="str">
        <f t="shared" si="14"/>
        <v>1999-D Memorial Penny</v>
      </c>
      <c r="S891" t="str" cm="1">
        <f t="array" ref="S891">_xlfn.REGEXEXTRACT(E891, "[0-9]{1,5}")</f>
        <v>1999</v>
      </c>
      <c r="T891" t="s">
        <v>4205</v>
      </c>
      <c r="U891" t="s">
        <v>3896</v>
      </c>
    </row>
    <row r="892" spans="1:21">
      <c r="A892" s="136">
        <v>1</v>
      </c>
      <c r="B892" s="233">
        <v>1999</v>
      </c>
      <c r="C892" s="234" t="s">
        <v>13</v>
      </c>
      <c r="D892" s="234" t="s">
        <v>4920</v>
      </c>
      <c r="E892" s="244" t="s">
        <v>3502</v>
      </c>
      <c r="F892" s="244" t="s">
        <v>4914</v>
      </c>
      <c r="G892" s="235" t="s">
        <v>2579</v>
      </c>
      <c r="H892" s="236">
        <v>0.03</v>
      </c>
      <c r="I892" s="236">
        <v>0.03</v>
      </c>
      <c r="J892" s="233">
        <v>3</v>
      </c>
      <c r="K892" s="235"/>
      <c r="L892" s="235"/>
      <c r="M892" s="276"/>
      <c r="N892" s="279" t="s">
        <v>25</v>
      </c>
      <c r="O892" t="str">
        <f t="shared" si="14"/>
        <v>1999-D Memorial Penny</v>
      </c>
      <c r="S892" t="str" cm="1">
        <f t="array" ref="S892">_xlfn.REGEXEXTRACT(E892, "[0-9]{1,5}")</f>
        <v>1999</v>
      </c>
      <c r="T892" t="s">
        <v>4205</v>
      </c>
      <c r="U892" t="s">
        <v>3896</v>
      </c>
    </row>
    <row r="893" spans="1:21">
      <c r="A893" s="136">
        <v>1</v>
      </c>
      <c r="B893" s="233">
        <v>1999</v>
      </c>
      <c r="C893" s="234" t="s">
        <v>13</v>
      </c>
      <c r="D893" s="234" t="s">
        <v>4920</v>
      </c>
      <c r="E893" s="244" t="s">
        <v>3503</v>
      </c>
      <c r="F893" s="244" t="s">
        <v>4914</v>
      </c>
      <c r="G893" s="235" t="s">
        <v>2579</v>
      </c>
      <c r="H893" s="236">
        <v>0.03</v>
      </c>
      <c r="I893" s="236">
        <v>0.03</v>
      </c>
      <c r="J893" s="233">
        <v>3</v>
      </c>
      <c r="K893" s="235"/>
      <c r="L893" s="235"/>
      <c r="M893" s="276"/>
      <c r="N893" s="279" t="s">
        <v>25</v>
      </c>
      <c r="O893" t="str">
        <f t="shared" si="14"/>
        <v>1999-D Memorial Penny</v>
      </c>
      <c r="S893" t="str" cm="1">
        <f t="array" ref="S893">_xlfn.REGEXEXTRACT(E893, "[0-9]{1,5}")</f>
        <v>1999</v>
      </c>
      <c r="T893" t="s">
        <v>4205</v>
      </c>
      <c r="U893" t="s">
        <v>3896</v>
      </c>
    </row>
    <row r="894" spans="1:21">
      <c r="A894" s="136">
        <v>1</v>
      </c>
      <c r="B894" s="233">
        <v>1999</v>
      </c>
      <c r="C894" s="234"/>
      <c r="D894" s="234" t="s">
        <v>4920</v>
      </c>
      <c r="E894" s="244" t="s">
        <v>3504</v>
      </c>
      <c r="F894" s="244" t="s">
        <v>4914</v>
      </c>
      <c r="G894" s="235" t="s">
        <v>2579</v>
      </c>
      <c r="H894" s="236">
        <v>0.03</v>
      </c>
      <c r="I894" s="236">
        <v>0.03</v>
      </c>
      <c r="J894" s="233">
        <v>3</v>
      </c>
      <c r="K894" s="235"/>
      <c r="L894" s="235"/>
      <c r="M894" s="276"/>
      <c r="N894" s="279" t="s">
        <v>25</v>
      </c>
      <c r="O894" t="str">
        <f t="shared" si="14"/>
        <v>1999 Memorial Penny</v>
      </c>
      <c r="S894" t="str" cm="1">
        <f t="array" ref="S894">_xlfn.REGEXEXTRACT(E894, "[0-9]{1,5}")</f>
        <v>1999</v>
      </c>
      <c r="T894" t="s">
        <v>4205</v>
      </c>
      <c r="U894" t="s">
        <v>3896</v>
      </c>
    </row>
    <row r="895" spans="1:21">
      <c r="A895" s="136">
        <v>1</v>
      </c>
      <c r="B895" s="233">
        <v>1999</v>
      </c>
      <c r="C895" s="234" t="s">
        <v>12</v>
      </c>
      <c r="D895" s="234" t="s">
        <v>4920</v>
      </c>
      <c r="E895" s="244" t="s">
        <v>3505</v>
      </c>
      <c r="F895" s="244" t="s">
        <v>5207</v>
      </c>
      <c r="G895" s="235" t="s">
        <v>2584</v>
      </c>
      <c r="H895" s="236">
        <v>1.25</v>
      </c>
      <c r="I895" s="236">
        <v>0.01</v>
      </c>
      <c r="J895" s="233">
        <v>1</v>
      </c>
      <c r="K895" s="235"/>
      <c r="L895" s="235"/>
      <c r="M895" s="276"/>
      <c r="N895" s="279" t="s">
        <v>25</v>
      </c>
      <c r="O895" t="str">
        <f t="shared" si="14"/>
        <v>1999-S Memorial Penny Proof</v>
      </c>
      <c r="S895" t="str" cm="1">
        <f t="array" ref="S895">_xlfn.REGEXEXTRACT(E895, "[0-9]{1,5}")</f>
        <v>1999</v>
      </c>
      <c r="T895" t="s">
        <v>4205</v>
      </c>
      <c r="U895" t="s">
        <v>3896</v>
      </c>
    </row>
    <row r="896" spans="1:21">
      <c r="A896" s="136">
        <v>1</v>
      </c>
      <c r="B896" s="233">
        <v>1999</v>
      </c>
      <c r="C896" s="234" t="s">
        <v>13</v>
      </c>
      <c r="D896" s="234" t="s">
        <v>4920</v>
      </c>
      <c r="E896" s="244" t="s">
        <v>3506</v>
      </c>
      <c r="F896" s="244" t="s">
        <v>4914</v>
      </c>
      <c r="G896" s="235" t="s">
        <v>2579</v>
      </c>
      <c r="H896" s="236">
        <v>0.01</v>
      </c>
      <c r="I896" s="236">
        <v>0.01</v>
      </c>
      <c r="J896" s="233">
        <v>1</v>
      </c>
      <c r="K896" s="235"/>
      <c r="L896" s="235"/>
      <c r="M896" s="276"/>
      <c r="N896" s="279" t="s">
        <v>25</v>
      </c>
      <c r="O896" t="str">
        <f t="shared" si="14"/>
        <v>1999-D Memorial Penny</v>
      </c>
      <c r="S896" t="str" cm="1">
        <f t="array" ref="S896">_xlfn.REGEXEXTRACT(E896, "[0-9]{1,5}")</f>
        <v>1999</v>
      </c>
      <c r="T896" t="s">
        <v>4205</v>
      </c>
      <c r="U896" t="s">
        <v>3896</v>
      </c>
    </row>
    <row r="897" spans="1:21">
      <c r="A897" s="136">
        <v>1</v>
      </c>
      <c r="B897" s="233">
        <v>1999</v>
      </c>
      <c r="C897" s="234" t="s">
        <v>12</v>
      </c>
      <c r="D897" s="234" t="s">
        <v>4920</v>
      </c>
      <c r="E897" s="244" t="s">
        <v>3507</v>
      </c>
      <c r="F897" s="244" t="s">
        <v>5207</v>
      </c>
      <c r="G897" s="235" t="s">
        <v>2584</v>
      </c>
      <c r="H897" s="236">
        <v>1.4</v>
      </c>
      <c r="I897" s="236">
        <v>1.4</v>
      </c>
      <c r="J897" s="233">
        <v>1</v>
      </c>
      <c r="K897" s="235"/>
      <c r="L897" s="235"/>
      <c r="M897" s="276"/>
      <c r="N897" s="279" t="s">
        <v>25</v>
      </c>
      <c r="O897" t="str">
        <f t="shared" si="14"/>
        <v>1999-S Memorial Penny Proof</v>
      </c>
      <c r="S897" t="str" cm="1">
        <f t="array" ref="S897">_xlfn.REGEXEXTRACT(E897, "[0-9]{1,5}")</f>
        <v>1999</v>
      </c>
      <c r="T897" t="s">
        <v>4205</v>
      </c>
      <c r="U897" t="s">
        <v>3896</v>
      </c>
    </row>
    <row r="898" spans="1:21">
      <c r="A898" s="136">
        <v>1</v>
      </c>
      <c r="B898" s="233">
        <v>2000</v>
      </c>
      <c r="C898" s="234"/>
      <c r="D898" s="234" t="s">
        <v>4920</v>
      </c>
      <c r="E898" s="235" t="s">
        <v>3508</v>
      </c>
      <c r="F898" s="244" t="s">
        <v>4914</v>
      </c>
      <c r="G898" s="235" t="s">
        <v>2579</v>
      </c>
      <c r="H898" s="236">
        <v>0.03</v>
      </c>
      <c r="I898" s="236">
        <v>0.03</v>
      </c>
      <c r="J898" s="233">
        <v>3</v>
      </c>
      <c r="K898" s="237"/>
      <c r="L898" s="235"/>
      <c r="M898" s="276"/>
      <c r="N898" s="279" t="s">
        <v>25</v>
      </c>
      <c r="O898" t="str">
        <f t="shared" si="14"/>
        <v>2000 Memorial Penny</v>
      </c>
      <c r="S898" t="str" cm="1">
        <f t="array" ref="S898">_xlfn.REGEXEXTRACT(E898, "[0-9]{1,5}")</f>
        <v>2000</v>
      </c>
      <c r="T898" t="s">
        <v>4206</v>
      </c>
      <c r="U898" t="s">
        <v>3896</v>
      </c>
    </row>
    <row r="899" spans="1:21">
      <c r="A899" s="136">
        <v>1</v>
      </c>
      <c r="B899" s="233">
        <v>2000</v>
      </c>
      <c r="C899" s="234"/>
      <c r="D899" s="234" t="s">
        <v>4920</v>
      </c>
      <c r="E899" s="235" t="s">
        <v>3509</v>
      </c>
      <c r="F899" s="244" t="s">
        <v>4914</v>
      </c>
      <c r="G899" s="235" t="s">
        <v>2579</v>
      </c>
      <c r="H899" s="236">
        <v>0.03</v>
      </c>
      <c r="I899" s="236">
        <v>0.03</v>
      </c>
      <c r="J899" s="233">
        <v>3</v>
      </c>
      <c r="K899" s="237"/>
      <c r="L899" s="235"/>
      <c r="M899" s="276"/>
      <c r="N899" s="279" t="s">
        <v>25</v>
      </c>
      <c r="O899" t="str">
        <f t="shared" si="14"/>
        <v>2000 Memorial Penny</v>
      </c>
      <c r="S899" t="str" cm="1">
        <f t="array" ref="S899">_xlfn.REGEXEXTRACT(E899, "[0-9]{1,5}")</f>
        <v>2000</v>
      </c>
      <c r="T899" t="s">
        <v>4206</v>
      </c>
      <c r="U899" t="s">
        <v>3896</v>
      </c>
    </row>
    <row r="900" spans="1:21">
      <c r="A900" s="136">
        <v>1</v>
      </c>
      <c r="B900" s="233">
        <v>2000</v>
      </c>
      <c r="C900" s="234" t="s">
        <v>13</v>
      </c>
      <c r="D900" s="234" t="s">
        <v>4920</v>
      </c>
      <c r="E900" s="235" t="s">
        <v>3510</v>
      </c>
      <c r="F900" s="244" t="s">
        <v>4914</v>
      </c>
      <c r="G900" s="235" t="s">
        <v>2579</v>
      </c>
      <c r="H900" s="236">
        <v>0.03</v>
      </c>
      <c r="I900" s="236">
        <v>0.03</v>
      </c>
      <c r="J900" s="233">
        <v>3</v>
      </c>
      <c r="K900" s="237"/>
      <c r="L900" s="235"/>
      <c r="M900" s="276"/>
      <c r="N900" s="279" t="s">
        <v>25</v>
      </c>
      <c r="O900" t="str">
        <f t="shared" ref="O900:O963" si="15">IF(C900&lt;&gt;"",B900&amp;"-"&amp;C900&amp;" "&amp;F900,B900&amp;" "&amp;F900)</f>
        <v>2000-D Memorial Penny</v>
      </c>
      <c r="S900" t="str" cm="1">
        <f t="array" ref="S900">_xlfn.REGEXEXTRACT(E900, "[0-9]{1,5}")</f>
        <v>2000</v>
      </c>
      <c r="T900" t="s">
        <v>4206</v>
      </c>
      <c r="U900" t="s">
        <v>3896</v>
      </c>
    </row>
    <row r="901" spans="1:21">
      <c r="A901" s="136">
        <v>1</v>
      </c>
      <c r="B901" s="233">
        <v>2000</v>
      </c>
      <c r="C901" s="234"/>
      <c r="D901" s="234" t="s">
        <v>4920</v>
      </c>
      <c r="E901" s="235" t="s">
        <v>3511</v>
      </c>
      <c r="F901" s="244" t="s">
        <v>4914</v>
      </c>
      <c r="G901" s="235" t="s">
        <v>2579</v>
      </c>
      <c r="H901" s="236">
        <v>0.03</v>
      </c>
      <c r="I901" s="236">
        <v>0.03</v>
      </c>
      <c r="J901" s="233">
        <v>3</v>
      </c>
      <c r="K901" s="237"/>
      <c r="L901" s="235"/>
      <c r="M901" s="276"/>
      <c r="N901" s="279" t="s">
        <v>25</v>
      </c>
      <c r="O901" t="str">
        <f t="shared" si="15"/>
        <v>2000 Memorial Penny</v>
      </c>
      <c r="S901" t="str" cm="1">
        <f t="array" ref="S901">_xlfn.REGEXEXTRACT(E901, "[0-9]{1,5}")</f>
        <v>2000</v>
      </c>
      <c r="T901" t="s">
        <v>4206</v>
      </c>
      <c r="U901" t="s">
        <v>3896</v>
      </c>
    </row>
    <row r="902" spans="1:21">
      <c r="A902" s="136">
        <v>1</v>
      </c>
      <c r="B902" s="233">
        <v>2000</v>
      </c>
      <c r="C902" s="234"/>
      <c r="D902" s="234" t="s">
        <v>4920</v>
      </c>
      <c r="E902" s="235" t="s">
        <v>3512</v>
      </c>
      <c r="F902" s="244" t="s">
        <v>4914</v>
      </c>
      <c r="G902" s="235" t="s">
        <v>2579</v>
      </c>
      <c r="H902" s="236">
        <v>0.01</v>
      </c>
      <c r="I902" s="236">
        <v>1</v>
      </c>
      <c r="J902" s="233">
        <v>1</v>
      </c>
      <c r="K902" s="237"/>
      <c r="L902" s="235"/>
      <c r="M902" s="276"/>
      <c r="N902" s="279" t="s">
        <v>25</v>
      </c>
      <c r="O902" t="str">
        <f t="shared" si="15"/>
        <v>2000 Memorial Penny</v>
      </c>
      <c r="S902" t="str" cm="1">
        <f t="array" ref="S902">_xlfn.REGEXEXTRACT(E902, "[0-9]{1,5}")</f>
        <v>2000</v>
      </c>
      <c r="T902" t="s">
        <v>4206</v>
      </c>
      <c r="U902" t="s">
        <v>3896</v>
      </c>
    </row>
    <row r="903" spans="1:21">
      <c r="A903" s="136">
        <v>1</v>
      </c>
      <c r="B903" s="233">
        <v>2000</v>
      </c>
      <c r="C903" s="234" t="s">
        <v>13</v>
      </c>
      <c r="D903" s="234" t="s">
        <v>4920</v>
      </c>
      <c r="E903" s="235" t="s">
        <v>3513</v>
      </c>
      <c r="F903" s="244" t="s">
        <v>4914</v>
      </c>
      <c r="G903" s="235" t="s">
        <v>2579</v>
      </c>
      <c r="H903" s="236">
        <v>0.01</v>
      </c>
      <c r="I903" s="236">
        <v>0.01</v>
      </c>
      <c r="J903" s="233">
        <v>1</v>
      </c>
      <c r="K903" s="237"/>
      <c r="L903" s="235"/>
      <c r="M903" s="276"/>
      <c r="N903" s="279" t="s">
        <v>25</v>
      </c>
      <c r="O903" t="str">
        <f t="shared" si="15"/>
        <v>2000-D Memorial Penny</v>
      </c>
      <c r="S903" t="str" cm="1">
        <f t="array" ref="S903">_xlfn.REGEXEXTRACT(E903, "[0-9]{1,5}")</f>
        <v>2000</v>
      </c>
      <c r="T903" t="s">
        <v>4206</v>
      </c>
      <c r="U903" t="s">
        <v>3896</v>
      </c>
    </row>
    <row r="904" spans="1:21">
      <c r="A904" s="136">
        <v>1</v>
      </c>
      <c r="B904" s="233">
        <v>2000</v>
      </c>
      <c r="C904" s="234"/>
      <c r="D904" s="234" t="s">
        <v>4920</v>
      </c>
      <c r="E904" s="235" t="s">
        <v>3514</v>
      </c>
      <c r="F904" s="244" t="s">
        <v>4914</v>
      </c>
      <c r="G904" s="235" t="s">
        <v>2579</v>
      </c>
      <c r="H904" s="236">
        <v>0.01</v>
      </c>
      <c r="I904" s="236">
        <v>0.01</v>
      </c>
      <c r="J904" s="233">
        <v>1</v>
      </c>
      <c r="K904" s="237"/>
      <c r="L904" s="235"/>
      <c r="M904" s="276"/>
      <c r="N904" s="279" t="s">
        <v>25</v>
      </c>
      <c r="O904" t="str">
        <f t="shared" si="15"/>
        <v>2000 Memorial Penny</v>
      </c>
      <c r="S904" t="str" cm="1">
        <f t="array" ref="S904">_xlfn.REGEXEXTRACT(E904, "[0-9]{1,5}")</f>
        <v>2000</v>
      </c>
      <c r="T904" t="s">
        <v>4206</v>
      </c>
      <c r="U904" t="s">
        <v>3896</v>
      </c>
    </row>
    <row r="905" spans="1:21">
      <c r="A905" s="136">
        <v>1</v>
      </c>
      <c r="B905" s="233">
        <v>2000</v>
      </c>
      <c r="C905" s="234" t="s">
        <v>12</v>
      </c>
      <c r="D905" s="234" t="s">
        <v>4920</v>
      </c>
      <c r="E905" s="235" t="s">
        <v>3515</v>
      </c>
      <c r="F905" s="244" t="s">
        <v>5207</v>
      </c>
      <c r="G905" s="235" t="s">
        <v>2584</v>
      </c>
      <c r="H905" s="236">
        <v>0.5</v>
      </c>
      <c r="I905" s="236">
        <v>0.5</v>
      </c>
      <c r="J905" s="233">
        <v>1</v>
      </c>
      <c r="K905" s="237"/>
      <c r="L905" s="235"/>
      <c r="M905" s="276"/>
      <c r="N905" s="279" t="s">
        <v>25</v>
      </c>
      <c r="O905" t="str">
        <f t="shared" si="15"/>
        <v>2000-S Memorial Penny Proof</v>
      </c>
      <c r="S905" t="str" cm="1">
        <f t="array" ref="S905">_xlfn.REGEXEXTRACT(E905, "[0-9]{1,5}")</f>
        <v>2000</v>
      </c>
      <c r="T905" t="s">
        <v>4206</v>
      </c>
      <c r="U905" t="s">
        <v>3896</v>
      </c>
    </row>
    <row r="906" spans="1:21">
      <c r="A906" s="136">
        <v>1</v>
      </c>
      <c r="B906" s="233">
        <v>2000</v>
      </c>
      <c r="C906" s="234" t="s">
        <v>12</v>
      </c>
      <c r="D906" s="234" t="s">
        <v>4920</v>
      </c>
      <c r="E906" s="235" t="s">
        <v>3516</v>
      </c>
      <c r="F906" s="244" t="s">
        <v>5207</v>
      </c>
      <c r="G906" s="235" t="s">
        <v>2584</v>
      </c>
      <c r="H906" s="236">
        <v>0.5</v>
      </c>
      <c r="I906" s="236">
        <v>0.5</v>
      </c>
      <c r="J906" s="233">
        <v>1</v>
      </c>
      <c r="K906" s="237"/>
      <c r="L906" s="235"/>
      <c r="M906" s="276"/>
      <c r="N906" s="279" t="s">
        <v>25</v>
      </c>
      <c r="O906" t="str">
        <f t="shared" si="15"/>
        <v>2000-S Memorial Penny Proof</v>
      </c>
      <c r="S906" t="str" cm="1">
        <f t="array" ref="S906">_xlfn.REGEXEXTRACT(E906, "[0-9]{1,5}")</f>
        <v>2000</v>
      </c>
      <c r="T906" t="s">
        <v>4206</v>
      </c>
      <c r="U906" t="s">
        <v>3896</v>
      </c>
    </row>
    <row r="907" spans="1:21">
      <c r="A907" s="136">
        <v>1</v>
      </c>
      <c r="B907" s="233">
        <v>2001</v>
      </c>
      <c r="C907" s="234"/>
      <c r="D907" s="234" t="s">
        <v>4920</v>
      </c>
      <c r="E907" s="235" t="s">
        <v>3517</v>
      </c>
      <c r="F907" s="244" t="s">
        <v>4914</v>
      </c>
      <c r="G907" s="235" t="s">
        <v>2579</v>
      </c>
      <c r="H907" s="236">
        <v>0.01</v>
      </c>
      <c r="I907" s="236">
        <v>0.01</v>
      </c>
      <c r="J907" s="233">
        <v>3</v>
      </c>
      <c r="K907" s="237"/>
      <c r="L907" s="235"/>
      <c r="M907" s="276"/>
      <c r="N907" s="279" t="s">
        <v>25</v>
      </c>
      <c r="O907" t="str">
        <f t="shared" si="15"/>
        <v>2001 Memorial Penny</v>
      </c>
      <c r="S907" t="str" cm="1">
        <f t="array" ref="S907">_xlfn.REGEXEXTRACT(E907, "[0-9]{1,5}")</f>
        <v>2001</v>
      </c>
      <c r="T907" t="s">
        <v>4207</v>
      </c>
      <c r="U907" t="s">
        <v>3896</v>
      </c>
    </row>
    <row r="908" spans="1:21">
      <c r="A908" s="136">
        <v>1</v>
      </c>
      <c r="B908" s="233">
        <v>2001</v>
      </c>
      <c r="C908" s="234"/>
      <c r="D908" s="234" t="s">
        <v>4920</v>
      </c>
      <c r="E908" s="235" t="s">
        <v>3518</v>
      </c>
      <c r="F908" s="244" t="s">
        <v>4914</v>
      </c>
      <c r="G908" s="235" t="s">
        <v>2579</v>
      </c>
      <c r="H908" s="236">
        <v>0.01</v>
      </c>
      <c r="I908" s="236">
        <v>0.01</v>
      </c>
      <c r="J908" s="233">
        <v>1</v>
      </c>
      <c r="K908" s="237"/>
      <c r="L908" s="235"/>
      <c r="M908" s="276"/>
      <c r="N908" s="279" t="s">
        <v>25</v>
      </c>
      <c r="O908" t="str">
        <f t="shared" si="15"/>
        <v>2001 Memorial Penny</v>
      </c>
      <c r="S908" t="str" cm="1">
        <f t="array" ref="S908">_xlfn.REGEXEXTRACT(E908, "[0-9]{1,5}")</f>
        <v>2001</v>
      </c>
      <c r="T908" t="s">
        <v>4207</v>
      </c>
      <c r="U908" t="s">
        <v>3896</v>
      </c>
    </row>
    <row r="909" spans="1:21">
      <c r="A909" s="136">
        <v>1</v>
      </c>
      <c r="B909" s="233">
        <v>2001</v>
      </c>
      <c r="C909" s="234" t="s">
        <v>13</v>
      </c>
      <c r="D909" s="234" t="s">
        <v>4920</v>
      </c>
      <c r="E909" s="235" t="s">
        <v>3519</v>
      </c>
      <c r="F909" s="244" t="s">
        <v>4914</v>
      </c>
      <c r="G909" s="235" t="s">
        <v>2579</v>
      </c>
      <c r="H909" s="236">
        <v>0.01</v>
      </c>
      <c r="I909" s="236">
        <v>0.01</v>
      </c>
      <c r="J909" s="233">
        <v>1</v>
      </c>
      <c r="K909" s="237"/>
      <c r="L909" s="235"/>
      <c r="M909" s="276"/>
      <c r="N909" s="279" t="s">
        <v>25</v>
      </c>
      <c r="O909" t="str">
        <f t="shared" si="15"/>
        <v>2001-D Memorial Penny</v>
      </c>
      <c r="S909" t="str" cm="1">
        <f t="array" ref="S909">_xlfn.REGEXEXTRACT(E909, "[0-9]{1,5}")</f>
        <v>2001</v>
      </c>
      <c r="T909" t="s">
        <v>4207</v>
      </c>
      <c r="U909" t="s">
        <v>3896</v>
      </c>
    </row>
    <row r="910" spans="1:21">
      <c r="A910" s="136">
        <v>1</v>
      </c>
      <c r="B910" s="233">
        <v>2001</v>
      </c>
      <c r="C910" s="234" t="s">
        <v>13</v>
      </c>
      <c r="D910" s="234" t="s">
        <v>4920</v>
      </c>
      <c r="E910" s="235" t="s">
        <v>3520</v>
      </c>
      <c r="F910" s="244" t="s">
        <v>4914</v>
      </c>
      <c r="G910" s="235" t="s">
        <v>2579</v>
      </c>
      <c r="H910" s="236">
        <v>0.01</v>
      </c>
      <c r="I910" s="236">
        <v>0.01</v>
      </c>
      <c r="J910" s="233">
        <v>1</v>
      </c>
      <c r="K910" s="237"/>
      <c r="L910" s="235"/>
      <c r="M910" s="276"/>
      <c r="N910" s="279" t="s">
        <v>25</v>
      </c>
      <c r="O910" t="str">
        <f t="shared" si="15"/>
        <v>2001-D Memorial Penny</v>
      </c>
      <c r="S910" t="str" cm="1">
        <f t="array" ref="S910">_xlfn.REGEXEXTRACT(E910, "[0-9]{1,5}")</f>
        <v>2001</v>
      </c>
      <c r="T910" t="s">
        <v>4207</v>
      </c>
      <c r="U910" t="s">
        <v>3896</v>
      </c>
    </row>
    <row r="911" spans="1:21">
      <c r="A911" s="136">
        <v>1</v>
      </c>
      <c r="B911" s="233">
        <v>2001</v>
      </c>
      <c r="C911" s="234"/>
      <c r="D911" s="234" t="s">
        <v>4920</v>
      </c>
      <c r="E911" s="235" t="s">
        <v>3521</v>
      </c>
      <c r="F911" s="244" t="s">
        <v>4914</v>
      </c>
      <c r="G911" s="235" t="s">
        <v>2579</v>
      </c>
      <c r="H911" s="236">
        <v>0.01</v>
      </c>
      <c r="I911" s="236">
        <v>0.01</v>
      </c>
      <c r="J911" s="233">
        <v>1</v>
      </c>
      <c r="K911" s="237"/>
      <c r="L911" s="235"/>
      <c r="M911" s="276"/>
      <c r="N911" s="279" t="s">
        <v>25</v>
      </c>
      <c r="O911" t="str">
        <f t="shared" si="15"/>
        <v>2001 Memorial Penny</v>
      </c>
      <c r="S911" t="str" cm="1">
        <f t="array" ref="S911">_xlfn.REGEXEXTRACT(E911, "[0-9]{1,5}")</f>
        <v>2001</v>
      </c>
      <c r="T911" t="s">
        <v>4207</v>
      </c>
      <c r="U911" t="s">
        <v>3896</v>
      </c>
    </row>
    <row r="912" spans="1:21">
      <c r="A912" s="136">
        <v>1</v>
      </c>
      <c r="B912" s="233">
        <v>2001</v>
      </c>
      <c r="C912" s="234" t="s">
        <v>12</v>
      </c>
      <c r="D912" s="234" t="s">
        <v>4920</v>
      </c>
      <c r="E912" s="235" t="s">
        <v>3522</v>
      </c>
      <c r="F912" s="244" t="s">
        <v>5207</v>
      </c>
      <c r="G912" s="235" t="s">
        <v>2584</v>
      </c>
      <c r="H912" s="236">
        <v>0.9</v>
      </c>
      <c r="I912" s="236">
        <v>0.9</v>
      </c>
      <c r="J912" s="233">
        <v>1</v>
      </c>
      <c r="K912" s="237"/>
      <c r="L912" s="235"/>
      <c r="M912" s="276"/>
      <c r="N912" s="279" t="s">
        <v>25</v>
      </c>
      <c r="O912" t="str">
        <f t="shared" si="15"/>
        <v>2001-S Memorial Penny Proof</v>
      </c>
      <c r="S912" t="str" cm="1">
        <f t="array" ref="S912">_xlfn.REGEXEXTRACT(E912, "[0-9]{1,5}")</f>
        <v>2001</v>
      </c>
      <c r="T912" t="s">
        <v>4207</v>
      </c>
      <c r="U912" t="s">
        <v>3896</v>
      </c>
    </row>
    <row r="913" spans="1:21">
      <c r="A913" s="136">
        <v>1</v>
      </c>
      <c r="B913" s="233">
        <v>2001</v>
      </c>
      <c r="C913" s="234" t="s">
        <v>12</v>
      </c>
      <c r="D913" s="234" t="s">
        <v>4920</v>
      </c>
      <c r="E913" s="235" t="s">
        <v>3523</v>
      </c>
      <c r="F913" s="244" t="s">
        <v>5207</v>
      </c>
      <c r="G913" s="235" t="s">
        <v>2584</v>
      </c>
      <c r="H913" s="236">
        <v>0.75</v>
      </c>
      <c r="I913" s="236">
        <v>0.75</v>
      </c>
      <c r="J913" s="233">
        <v>1</v>
      </c>
      <c r="K913" s="237"/>
      <c r="L913" s="235"/>
      <c r="M913" s="276"/>
      <c r="N913" s="279" t="s">
        <v>25</v>
      </c>
      <c r="O913" t="str">
        <f t="shared" si="15"/>
        <v>2001-S Memorial Penny Proof</v>
      </c>
      <c r="S913" t="str" cm="1">
        <f t="array" ref="S913">_xlfn.REGEXEXTRACT(E913, "[0-9]{1,5}")</f>
        <v>2001</v>
      </c>
      <c r="T913" t="s">
        <v>4207</v>
      </c>
      <c r="U913" t="s">
        <v>3896</v>
      </c>
    </row>
    <row r="914" spans="1:21">
      <c r="A914" s="136">
        <v>1</v>
      </c>
      <c r="B914" s="233">
        <v>2002</v>
      </c>
      <c r="C914" s="234"/>
      <c r="D914" s="234" t="s">
        <v>4920</v>
      </c>
      <c r="E914" s="235" t="s">
        <v>3524</v>
      </c>
      <c r="F914" s="244" t="s">
        <v>4914</v>
      </c>
      <c r="G914" s="235" t="s">
        <v>2579</v>
      </c>
      <c r="H914" s="236">
        <v>0.01</v>
      </c>
      <c r="I914" s="236">
        <v>0.01</v>
      </c>
      <c r="J914" s="233">
        <v>1</v>
      </c>
      <c r="K914" s="237"/>
      <c r="L914" s="235"/>
      <c r="M914" s="276"/>
      <c r="N914" s="279" t="s">
        <v>25</v>
      </c>
      <c r="O914" t="str">
        <f t="shared" si="15"/>
        <v>2002 Memorial Penny</v>
      </c>
      <c r="S914" t="str" cm="1">
        <f t="array" ref="S914">_xlfn.REGEXEXTRACT(E914, "[0-9]{1,5}")</f>
        <v>2002</v>
      </c>
      <c r="T914" t="s">
        <v>4208</v>
      </c>
      <c r="U914" t="s">
        <v>3896</v>
      </c>
    </row>
    <row r="915" spans="1:21">
      <c r="A915" s="136">
        <v>1</v>
      </c>
      <c r="B915" s="233">
        <v>2002</v>
      </c>
      <c r="C915" s="234" t="s">
        <v>13</v>
      </c>
      <c r="D915" s="234" t="s">
        <v>4920</v>
      </c>
      <c r="E915" s="235" t="s">
        <v>3525</v>
      </c>
      <c r="F915" s="244" t="s">
        <v>4914</v>
      </c>
      <c r="G915" s="235" t="s">
        <v>2579</v>
      </c>
      <c r="H915" s="236">
        <v>0.01</v>
      </c>
      <c r="I915" s="236">
        <v>0.01</v>
      </c>
      <c r="J915" s="233">
        <v>1</v>
      </c>
      <c r="K915" s="237"/>
      <c r="L915" s="235"/>
      <c r="M915" s="276"/>
      <c r="N915" s="279" t="s">
        <v>25</v>
      </c>
      <c r="O915" t="str">
        <f t="shared" si="15"/>
        <v>2002-D Memorial Penny</v>
      </c>
      <c r="S915" t="str" cm="1">
        <f t="array" ref="S915">_xlfn.REGEXEXTRACT(E915, "[0-9]{1,5}")</f>
        <v>2002</v>
      </c>
      <c r="T915" t="s">
        <v>4208</v>
      </c>
      <c r="U915" t="s">
        <v>3896</v>
      </c>
    </row>
    <row r="916" spans="1:21">
      <c r="A916" s="136">
        <v>1</v>
      </c>
      <c r="B916" s="233">
        <v>2002</v>
      </c>
      <c r="C916" s="234" t="s">
        <v>13</v>
      </c>
      <c r="D916" s="234" t="s">
        <v>4920</v>
      </c>
      <c r="E916" s="235" t="s">
        <v>3526</v>
      </c>
      <c r="F916" s="244" t="s">
        <v>4914</v>
      </c>
      <c r="G916" s="235" t="s">
        <v>2579</v>
      </c>
      <c r="H916" s="236">
        <v>0.01</v>
      </c>
      <c r="I916" s="236">
        <v>0.01</v>
      </c>
      <c r="J916" s="233">
        <v>1</v>
      </c>
      <c r="K916" s="237"/>
      <c r="L916" s="235"/>
      <c r="M916" s="276"/>
      <c r="N916" s="279" t="s">
        <v>25</v>
      </c>
      <c r="O916" t="str">
        <f t="shared" si="15"/>
        <v>2002-D Memorial Penny</v>
      </c>
      <c r="S916" t="str" cm="1">
        <f t="array" ref="S916">_xlfn.REGEXEXTRACT(E916, "[0-9]{1,5}")</f>
        <v>2002</v>
      </c>
      <c r="T916" t="s">
        <v>4208</v>
      </c>
      <c r="U916" t="s">
        <v>3896</v>
      </c>
    </row>
    <row r="917" spans="1:21">
      <c r="A917" s="136">
        <v>1</v>
      </c>
      <c r="B917" s="233">
        <v>2002</v>
      </c>
      <c r="C917" s="234" t="s">
        <v>13</v>
      </c>
      <c r="D917" s="234" t="s">
        <v>4920</v>
      </c>
      <c r="E917" s="235" t="s">
        <v>3527</v>
      </c>
      <c r="F917" s="244" t="s">
        <v>4914</v>
      </c>
      <c r="G917" s="235" t="s">
        <v>2579</v>
      </c>
      <c r="H917" s="236">
        <v>0.01</v>
      </c>
      <c r="I917" s="236">
        <v>0.01</v>
      </c>
      <c r="J917" s="233">
        <v>1</v>
      </c>
      <c r="K917" s="237"/>
      <c r="L917" s="235"/>
      <c r="M917" s="276"/>
      <c r="N917" s="279" t="s">
        <v>25</v>
      </c>
      <c r="O917" t="str">
        <f t="shared" si="15"/>
        <v>2002-D Memorial Penny</v>
      </c>
      <c r="S917" t="str" cm="1">
        <f t="array" ref="S917">_xlfn.REGEXEXTRACT(E917, "[0-9]{1,5}")</f>
        <v>2002</v>
      </c>
      <c r="T917" t="s">
        <v>4208</v>
      </c>
      <c r="U917" t="s">
        <v>3896</v>
      </c>
    </row>
    <row r="918" spans="1:21">
      <c r="A918" s="136">
        <v>1</v>
      </c>
      <c r="B918" s="233">
        <v>2002</v>
      </c>
      <c r="C918" s="234" t="s">
        <v>12</v>
      </c>
      <c r="D918" s="234" t="s">
        <v>4920</v>
      </c>
      <c r="E918" s="235" t="s">
        <v>3528</v>
      </c>
      <c r="F918" s="244" t="s">
        <v>5207</v>
      </c>
      <c r="G918" s="235" t="s">
        <v>2584</v>
      </c>
      <c r="H918" s="236">
        <v>1</v>
      </c>
      <c r="I918" s="236">
        <v>1</v>
      </c>
      <c r="J918" s="233">
        <v>1</v>
      </c>
      <c r="K918" s="237"/>
      <c r="L918" s="235"/>
      <c r="M918" s="276"/>
      <c r="N918" s="279" t="s">
        <v>25</v>
      </c>
      <c r="O918" t="str">
        <f t="shared" si="15"/>
        <v>2002-S Memorial Penny Proof</v>
      </c>
      <c r="S918" t="str" cm="1">
        <f t="array" ref="S918">_xlfn.REGEXEXTRACT(E918, "[0-9]{1,5}")</f>
        <v>2002</v>
      </c>
      <c r="T918" t="s">
        <v>4208</v>
      </c>
      <c r="U918" t="s">
        <v>3896</v>
      </c>
    </row>
    <row r="919" spans="1:21">
      <c r="A919" s="136">
        <v>1</v>
      </c>
      <c r="B919" s="233">
        <v>2002</v>
      </c>
      <c r="C919" s="234" t="s">
        <v>12</v>
      </c>
      <c r="D919" s="234" t="s">
        <v>4920</v>
      </c>
      <c r="E919" s="235" t="s">
        <v>3529</v>
      </c>
      <c r="F919" s="244" t="s">
        <v>5207</v>
      </c>
      <c r="G919" s="235" t="s">
        <v>2584</v>
      </c>
      <c r="H919" s="236">
        <v>0.9</v>
      </c>
      <c r="I919" s="236">
        <v>0.9</v>
      </c>
      <c r="J919" s="233">
        <v>1</v>
      </c>
      <c r="K919" s="237"/>
      <c r="L919" s="235"/>
      <c r="M919" s="276"/>
      <c r="N919" s="279" t="s">
        <v>25</v>
      </c>
      <c r="O919" t="str">
        <f t="shared" si="15"/>
        <v>2002-S Memorial Penny Proof</v>
      </c>
      <c r="S919" t="str" cm="1">
        <f t="array" ref="S919">_xlfn.REGEXEXTRACT(E919, "[0-9]{1,5}")</f>
        <v>2002</v>
      </c>
      <c r="T919" t="s">
        <v>4208</v>
      </c>
      <c r="U919" t="s">
        <v>3896</v>
      </c>
    </row>
    <row r="920" spans="1:21">
      <c r="A920" s="136">
        <v>1</v>
      </c>
      <c r="B920" s="233">
        <v>2002</v>
      </c>
      <c r="C920" s="234"/>
      <c r="D920" s="234" t="s">
        <v>4920</v>
      </c>
      <c r="E920" s="235" t="s">
        <v>3530</v>
      </c>
      <c r="F920" s="244" t="s">
        <v>4914</v>
      </c>
      <c r="G920" s="235" t="s">
        <v>2586</v>
      </c>
      <c r="H920" s="236">
        <v>0.25</v>
      </c>
      <c r="I920" s="236">
        <v>0.25</v>
      </c>
      <c r="J920" s="233">
        <v>1</v>
      </c>
      <c r="K920" s="237"/>
      <c r="L920" s="235"/>
      <c r="M920" s="276"/>
      <c r="N920" s="279" t="s">
        <v>25</v>
      </c>
      <c r="O920" t="str">
        <f t="shared" si="15"/>
        <v>2002 Memorial Penny</v>
      </c>
      <c r="S920" t="str" cm="1">
        <f t="array" ref="S920">_xlfn.REGEXEXTRACT(E920, "[0-9]{1,5}")</f>
        <v>2002</v>
      </c>
      <c r="T920" t="s">
        <v>4208</v>
      </c>
      <c r="U920" t="s">
        <v>3896</v>
      </c>
    </row>
    <row r="921" spans="1:21">
      <c r="A921" s="136">
        <v>1</v>
      </c>
      <c r="B921" s="233">
        <v>2002</v>
      </c>
      <c r="C921" s="234"/>
      <c r="D921" s="234" t="s">
        <v>4920</v>
      </c>
      <c r="E921" s="235" t="s">
        <v>3531</v>
      </c>
      <c r="F921" s="244" t="s">
        <v>4914</v>
      </c>
      <c r="G921" s="235" t="s">
        <v>2586</v>
      </c>
      <c r="H921" s="236">
        <v>0.25</v>
      </c>
      <c r="I921" s="236">
        <v>0.25</v>
      </c>
      <c r="J921" s="233">
        <v>1</v>
      </c>
      <c r="K921" s="237"/>
      <c r="L921" s="235"/>
      <c r="M921" s="276"/>
      <c r="N921" s="279" t="s">
        <v>25</v>
      </c>
      <c r="O921" t="str">
        <f t="shared" si="15"/>
        <v>2002 Memorial Penny</v>
      </c>
      <c r="S921" t="str" cm="1">
        <f t="array" ref="S921">_xlfn.REGEXEXTRACT(E921, "[0-9]{1,5}")</f>
        <v>2002</v>
      </c>
      <c r="T921" t="s">
        <v>4208</v>
      </c>
      <c r="U921" t="s">
        <v>3896</v>
      </c>
    </row>
    <row r="922" spans="1:21">
      <c r="A922" s="136">
        <v>1</v>
      </c>
      <c r="B922" s="233">
        <v>2002</v>
      </c>
      <c r="C922" s="234"/>
      <c r="D922" s="234" t="s">
        <v>4920</v>
      </c>
      <c r="E922" s="235" t="s">
        <v>3831</v>
      </c>
      <c r="F922" s="244" t="s">
        <v>4914</v>
      </c>
      <c r="G922" s="235" t="s">
        <v>2579</v>
      </c>
      <c r="H922" s="236">
        <v>0.01</v>
      </c>
      <c r="I922" s="236">
        <v>0.01</v>
      </c>
      <c r="J922" s="233">
        <v>1</v>
      </c>
      <c r="K922" s="237"/>
      <c r="L922" s="235"/>
      <c r="M922" s="276"/>
      <c r="N922" s="279" t="s">
        <v>25</v>
      </c>
      <c r="O922" t="str">
        <f t="shared" si="15"/>
        <v>2002 Memorial Penny</v>
      </c>
      <c r="S922" t="str" cm="1">
        <f t="array" ref="S922">_xlfn.REGEXEXTRACT(E922, "[0-9]{1,5}")</f>
        <v>2002</v>
      </c>
      <c r="T922" t="s">
        <v>4208</v>
      </c>
      <c r="U922" t="s">
        <v>3896</v>
      </c>
    </row>
    <row r="923" spans="1:21">
      <c r="A923" s="136">
        <v>1</v>
      </c>
      <c r="B923" s="233">
        <v>2003</v>
      </c>
      <c r="C923" s="234"/>
      <c r="D923" s="234" t="s">
        <v>4920</v>
      </c>
      <c r="E923" s="235" t="s">
        <v>3532</v>
      </c>
      <c r="F923" s="244" t="s">
        <v>4914</v>
      </c>
      <c r="G923" s="235" t="s">
        <v>2579</v>
      </c>
      <c r="H923" s="236">
        <v>0.01</v>
      </c>
      <c r="I923" s="236">
        <v>0.01</v>
      </c>
      <c r="J923" s="233">
        <v>1</v>
      </c>
      <c r="K923" s="237"/>
      <c r="L923" s="235"/>
      <c r="M923" s="276"/>
      <c r="N923" s="279" t="s">
        <v>25</v>
      </c>
      <c r="O923" t="str">
        <f t="shared" si="15"/>
        <v>2003 Memorial Penny</v>
      </c>
      <c r="S923" t="str" cm="1">
        <f t="array" ref="S923">_xlfn.REGEXEXTRACT(E923, "[0-9]{1,5}")</f>
        <v>2003</v>
      </c>
      <c r="T923" t="s">
        <v>4209</v>
      </c>
      <c r="U923" t="s">
        <v>3896</v>
      </c>
    </row>
    <row r="924" spans="1:21">
      <c r="A924" s="136">
        <v>1</v>
      </c>
      <c r="B924" s="233">
        <v>2003</v>
      </c>
      <c r="C924" s="234"/>
      <c r="D924" s="234" t="s">
        <v>4920</v>
      </c>
      <c r="E924" s="235" t="s">
        <v>3533</v>
      </c>
      <c r="F924" s="244" t="s">
        <v>4914</v>
      </c>
      <c r="G924" s="235" t="s">
        <v>2579</v>
      </c>
      <c r="H924" s="236">
        <v>0.03</v>
      </c>
      <c r="I924" s="236">
        <v>0.03</v>
      </c>
      <c r="J924" s="233">
        <v>3</v>
      </c>
      <c r="K924" s="237"/>
      <c r="L924" s="235"/>
      <c r="M924" s="276"/>
      <c r="N924" s="279" t="s">
        <v>25</v>
      </c>
      <c r="O924" t="str">
        <f t="shared" si="15"/>
        <v>2003 Memorial Penny</v>
      </c>
      <c r="S924" t="str" cm="1">
        <f t="array" ref="S924">_xlfn.REGEXEXTRACT(E924, "[0-9]{1,5}")</f>
        <v>2003</v>
      </c>
      <c r="T924" t="s">
        <v>4209</v>
      </c>
      <c r="U924" t="s">
        <v>3896</v>
      </c>
    </row>
    <row r="925" spans="1:21">
      <c r="A925" s="136">
        <v>1</v>
      </c>
      <c r="B925" s="233">
        <v>2003</v>
      </c>
      <c r="C925" s="234"/>
      <c r="D925" s="234" t="s">
        <v>4920</v>
      </c>
      <c r="E925" s="235" t="s">
        <v>3534</v>
      </c>
      <c r="F925" s="244" t="s">
        <v>4914</v>
      </c>
      <c r="G925" s="235" t="s">
        <v>2579</v>
      </c>
      <c r="H925" s="236">
        <v>0.03</v>
      </c>
      <c r="I925" s="236">
        <v>0.03</v>
      </c>
      <c r="J925" s="233">
        <v>3</v>
      </c>
      <c r="K925" s="237"/>
      <c r="L925" s="235"/>
      <c r="M925" s="276"/>
      <c r="N925" s="279" t="s">
        <v>25</v>
      </c>
      <c r="O925" t="str">
        <f t="shared" si="15"/>
        <v>2003 Memorial Penny</v>
      </c>
      <c r="S925" t="str" cm="1">
        <f t="array" ref="S925">_xlfn.REGEXEXTRACT(E925, "[0-9]{1,5}")</f>
        <v>2003</v>
      </c>
      <c r="T925" t="s">
        <v>4209</v>
      </c>
      <c r="U925" t="s">
        <v>3896</v>
      </c>
    </row>
    <row r="926" spans="1:21">
      <c r="A926" s="136">
        <v>1</v>
      </c>
      <c r="B926" s="233">
        <v>2003</v>
      </c>
      <c r="C926" s="234"/>
      <c r="D926" s="234" t="s">
        <v>4920</v>
      </c>
      <c r="E926" s="235" t="s">
        <v>3535</v>
      </c>
      <c r="F926" s="244" t="s">
        <v>4914</v>
      </c>
      <c r="G926" s="235" t="s">
        <v>2579</v>
      </c>
      <c r="H926" s="236">
        <v>0.01</v>
      </c>
      <c r="I926" s="236">
        <v>0.01</v>
      </c>
      <c r="J926" s="233">
        <v>1</v>
      </c>
      <c r="K926" s="237"/>
      <c r="L926" s="235"/>
      <c r="M926" s="276"/>
      <c r="N926" s="279" t="s">
        <v>25</v>
      </c>
      <c r="O926" t="str">
        <f t="shared" si="15"/>
        <v>2003 Memorial Penny</v>
      </c>
      <c r="S926" t="str" cm="1">
        <f t="array" ref="S926">_xlfn.REGEXEXTRACT(E926, "[0-9]{1,5}")</f>
        <v>2003</v>
      </c>
      <c r="T926" t="s">
        <v>4209</v>
      </c>
      <c r="U926" t="s">
        <v>3896</v>
      </c>
    </row>
    <row r="927" spans="1:21">
      <c r="A927" s="136">
        <v>1</v>
      </c>
      <c r="B927" s="233">
        <v>2003</v>
      </c>
      <c r="C927" s="234" t="s">
        <v>13</v>
      </c>
      <c r="D927" s="234" t="s">
        <v>4920</v>
      </c>
      <c r="E927" s="235" t="s">
        <v>3536</v>
      </c>
      <c r="F927" s="244" t="s">
        <v>4914</v>
      </c>
      <c r="G927" s="235" t="s">
        <v>2579</v>
      </c>
      <c r="H927" s="236">
        <v>0.01</v>
      </c>
      <c r="I927" s="236">
        <v>0.01</v>
      </c>
      <c r="J927" s="233">
        <v>1</v>
      </c>
      <c r="K927" s="237"/>
      <c r="L927" s="235"/>
      <c r="M927" s="276"/>
      <c r="N927" s="279" t="s">
        <v>25</v>
      </c>
      <c r="O927" t="str">
        <f t="shared" si="15"/>
        <v>2003-D Memorial Penny</v>
      </c>
      <c r="S927" t="str" cm="1">
        <f t="array" ref="S927">_xlfn.REGEXEXTRACT(E927, "[0-9]{1,5}")</f>
        <v>2003</v>
      </c>
      <c r="T927" t="s">
        <v>4209</v>
      </c>
      <c r="U927" t="s">
        <v>3896</v>
      </c>
    </row>
    <row r="928" spans="1:21">
      <c r="A928" s="136">
        <v>1</v>
      </c>
      <c r="B928" s="233">
        <v>2003</v>
      </c>
      <c r="C928" s="234" t="s">
        <v>12</v>
      </c>
      <c r="D928" s="234" t="s">
        <v>4920</v>
      </c>
      <c r="E928" s="235" t="s">
        <v>3537</v>
      </c>
      <c r="F928" s="244" t="s">
        <v>5207</v>
      </c>
      <c r="G928" s="235" t="s">
        <v>2584</v>
      </c>
      <c r="H928" s="236">
        <v>0.6</v>
      </c>
      <c r="I928" s="236">
        <v>0.6</v>
      </c>
      <c r="J928" s="233">
        <v>1</v>
      </c>
      <c r="K928" s="237"/>
      <c r="L928" s="235"/>
      <c r="M928" s="276"/>
      <c r="N928" s="279" t="s">
        <v>25</v>
      </c>
      <c r="O928" t="str">
        <f t="shared" si="15"/>
        <v>2003-S Memorial Penny Proof</v>
      </c>
      <c r="S928" t="str" cm="1">
        <f t="array" ref="S928">_xlfn.REGEXEXTRACT(E928, "[0-9]{1,5}")</f>
        <v>2003</v>
      </c>
      <c r="T928" t="s">
        <v>4209</v>
      </c>
      <c r="U928" t="s">
        <v>3896</v>
      </c>
    </row>
    <row r="929" spans="1:21">
      <c r="A929" s="136">
        <v>1</v>
      </c>
      <c r="B929" s="233">
        <v>2003</v>
      </c>
      <c r="C929" s="234" t="s">
        <v>12</v>
      </c>
      <c r="D929" s="234" t="s">
        <v>4920</v>
      </c>
      <c r="E929" s="235" t="s">
        <v>3538</v>
      </c>
      <c r="F929" s="244" t="s">
        <v>5207</v>
      </c>
      <c r="G929" s="235" t="s">
        <v>2584</v>
      </c>
      <c r="H929" s="236">
        <v>0.75</v>
      </c>
      <c r="I929" s="236">
        <v>0.75</v>
      </c>
      <c r="J929" s="233">
        <v>1</v>
      </c>
      <c r="K929" s="237"/>
      <c r="L929" s="235"/>
      <c r="M929" s="276"/>
      <c r="N929" s="279" t="s">
        <v>25</v>
      </c>
      <c r="O929" t="str">
        <f t="shared" si="15"/>
        <v>2003-S Memorial Penny Proof</v>
      </c>
      <c r="S929" t="str" cm="1">
        <f t="array" ref="S929">_xlfn.REGEXEXTRACT(E929, "[0-9]{1,5}")</f>
        <v>2003</v>
      </c>
      <c r="T929" t="s">
        <v>4209</v>
      </c>
      <c r="U929" t="s">
        <v>3896</v>
      </c>
    </row>
    <row r="930" spans="1:21">
      <c r="A930" s="136">
        <v>1</v>
      </c>
      <c r="B930" s="233">
        <v>2003</v>
      </c>
      <c r="C930" s="234"/>
      <c r="D930" s="234" t="s">
        <v>4920</v>
      </c>
      <c r="E930" s="235" t="s">
        <v>3539</v>
      </c>
      <c r="F930" s="244" t="s">
        <v>4914</v>
      </c>
      <c r="G930" s="235" t="s">
        <v>2579</v>
      </c>
      <c r="H930" s="236">
        <v>0.01</v>
      </c>
      <c r="I930" s="236">
        <v>0.01</v>
      </c>
      <c r="J930" s="233">
        <v>1</v>
      </c>
      <c r="K930" s="237"/>
      <c r="L930" s="235"/>
      <c r="M930" s="276"/>
      <c r="N930" s="279" t="s">
        <v>25</v>
      </c>
      <c r="O930" t="str">
        <f t="shared" si="15"/>
        <v>2003 Memorial Penny</v>
      </c>
      <c r="S930" t="str" cm="1">
        <f t="array" ref="S930">_xlfn.REGEXEXTRACT(E930, "[0-9]{1,5}")</f>
        <v>2003</v>
      </c>
      <c r="T930" t="s">
        <v>4209</v>
      </c>
      <c r="U930" t="s">
        <v>3896</v>
      </c>
    </row>
    <row r="931" spans="1:21">
      <c r="A931" s="136">
        <v>1</v>
      </c>
      <c r="B931" s="233">
        <v>2003</v>
      </c>
      <c r="C931" s="234" t="s">
        <v>13</v>
      </c>
      <c r="D931" s="234" t="s">
        <v>4920</v>
      </c>
      <c r="E931" s="235" t="s">
        <v>3540</v>
      </c>
      <c r="F931" s="244" t="s">
        <v>4914</v>
      </c>
      <c r="G931" s="235" t="s">
        <v>2586</v>
      </c>
      <c r="H931" s="236">
        <v>0.25</v>
      </c>
      <c r="I931" s="236">
        <v>0.25</v>
      </c>
      <c r="J931" s="233">
        <v>1</v>
      </c>
      <c r="K931" s="237"/>
      <c r="L931" s="235"/>
      <c r="M931" s="276"/>
      <c r="N931" s="279" t="s">
        <v>25</v>
      </c>
      <c r="O931" t="str">
        <f t="shared" si="15"/>
        <v>2003-D Memorial Penny</v>
      </c>
      <c r="S931" t="str" cm="1">
        <f t="array" ref="S931">_xlfn.REGEXEXTRACT(E931, "[0-9]{1,5}")</f>
        <v>2003</v>
      </c>
      <c r="T931" t="s">
        <v>4209</v>
      </c>
      <c r="U931" t="s">
        <v>3896</v>
      </c>
    </row>
    <row r="932" spans="1:21">
      <c r="A932" s="136">
        <v>1</v>
      </c>
      <c r="B932" s="233">
        <v>2003</v>
      </c>
      <c r="C932" s="234"/>
      <c r="D932" s="234" t="s">
        <v>4920</v>
      </c>
      <c r="E932" s="235" t="s">
        <v>3541</v>
      </c>
      <c r="F932" s="244" t="s">
        <v>4914</v>
      </c>
      <c r="G932" s="235" t="s">
        <v>2586</v>
      </c>
      <c r="H932" s="236">
        <v>0.25</v>
      </c>
      <c r="I932" s="236">
        <v>0.25</v>
      </c>
      <c r="J932" s="233">
        <v>1</v>
      </c>
      <c r="K932" s="237"/>
      <c r="L932" s="235"/>
      <c r="M932" s="276"/>
      <c r="N932" s="279" t="s">
        <v>25</v>
      </c>
      <c r="O932" t="str">
        <f t="shared" si="15"/>
        <v>2003 Memorial Penny</v>
      </c>
      <c r="S932" t="str" cm="1">
        <f t="array" ref="S932">_xlfn.REGEXEXTRACT(E932, "[0-9]{1,5}")</f>
        <v>2003</v>
      </c>
      <c r="T932" t="s">
        <v>4209</v>
      </c>
      <c r="U932" t="s">
        <v>3896</v>
      </c>
    </row>
    <row r="933" spans="1:21">
      <c r="A933" s="136">
        <v>1</v>
      </c>
      <c r="B933" s="233">
        <v>2004</v>
      </c>
      <c r="C933" s="234"/>
      <c r="D933" s="234" t="s">
        <v>4920</v>
      </c>
      <c r="E933" s="235" t="s">
        <v>3542</v>
      </c>
      <c r="F933" s="244" t="s">
        <v>4914</v>
      </c>
      <c r="G933" s="235" t="s">
        <v>2579</v>
      </c>
      <c r="H933" s="236">
        <v>0.03</v>
      </c>
      <c r="I933" s="236">
        <v>0.03</v>
      </c>
      <c r="J933" s="233">
        <v>3</v>
      </c>
      <c r="K933" s="237"/>
      <c r="L933" s="235"/>
      <c r="M933" s="276"/>
      <c r="N933" s="279" t="s">
        <v>25</v>
      </c>
      <c r="O933" t="str">
        <f t="shared" si="15"/>
        <v>2004 Memorial Penny</v>
      </c>
      <c r="S933" t="str" cm="1">
        <f t="array" ref="S933">_xlfn.REGEXEXTRACT(E933, "[0-9]{1,5}")</f>
        <v>2004</v>
      </c>
      <c r="T933" t="s">
        <v>4210</v>
      </c>
      <c r="U933" t="s">
        <v>3896</v>
      </c>
    </row>
    <row r="934" spans="1:21">
      <c r="A934" s="136">
        <v>1</v>
      </c>
      <c r="B934" s="233">
        <v>2004</v>
      </c>
      <c r="C934" s="234"/>
      <c r="D934" s="234" t="s">
        <v>4920</v>
      </c>
      <c r="E934" s="235" t="s">
        <v>3543</v>
      </c>
      <c r="F934" s="244" t="s">
        <v>4914</v>
      </c>
      <c r="G934" s="235" t="s">
        <v>2579</v>
      </c>
      <c r="H934" s="236">
        <v>0.03</v>
      </c>
      <c r="I934" s="236">
        <v>0.03</v>
      </c>
      <c r="J934" s="233">
        <v>3</v>
      </c>
      <c r="K934" s="237"/>
      <c r="L934" s="235"/>
      <c r="M934" s="276"/>
      <c r="N934" s="279" t="s">
        <v>25</v>
      </c>
      <c r="O934" t="str">
        <f t="shared" si="15"/>
        <v>2004 Memorial Penny</v>
      </c>
      <c r="S934" t="str" cm="1">
        <f t="array" ref="S934">_xlfn.REGEXEXTRACT(E934, "[0-9]{1,5}")</f>
        <v>2004</v>
      </c>
      <c r="T934" t="s">
        <v>4210</v>
      </c>
      <c r="U934" t="s">
        <v>3896</v>
      </c>
    </row>
    <row r="935" spans="1:21">
      <c r="A935" s="136">
        <v>1</v>
      </c>
      <c r="B935" s="233">
        <v>2004</v>
      </c>
      <c r="C935" s="234"/>
      <c r="D935" s="234" t="s">
        <v>4920</v>
      </c>
      <c r="E935" s="235" t="s">
        <v>3544</v>
      </c>
      <c r="F935" s="244" t="s">
        <v>4914</v>
      </c>
      <c r="G935" s="235" t="s">
        <v>2579</v>
      </c>
      <c r="H935" s="236">
        <v>0.03</v>
      </c>
      <c r="I935" s="236">
        <v>0.03</v>
      </c>
      <c r="J935" s="233">
        <v>3</v>
      </c>
      <c r="K935" s="237"/>
      <c r="L935" s="235"/>
      <c r="M935" s="276"/>
      <c r="N935" s="279" t="s">
        <v>25</v>
      </c>
      <c r="O935" t="str">
        <f t="shared" si="15"/>
        <v>2004 Memorial Penny</v>
      </c>
      <c r="S935" t="str" cm="1">
        <f t="array" ref="S935">_xlfn.REGEXEXTRACT(E935, "[0-9]{1,5}")</f>
        <v>2004</v>
      </c>
      <c r="T935" t="s">
        <v>4210</v>
      </c>
      <c r="U935" t="s">
        <v>3896</v>
      </c>
    </row>
    <row r="936" spans="1:21">
      <c r="A936" s="136">
        <v>1</v>
      </c>
      <c r="B936" s="233">
        <v>2004</v>
      </c>
      <c r="C936" s="234"/>
      <c r="D936" s="234" t="s">
        <v>4920</v>
      </c>
      <c r="E936" s="235" t="s">
        <v>3545</v>
      </c>
      <c r="F936" s="244" t="s">
        <v>4914</v>
      </c>
      <c r="G936" s="235" t="s">
        <v>2579</v>
      </c>
      <c r="H936" s="236">
        <v>0.03</v>
      </c>
      <c r="I936" s="236">
        <v>0.03</v>
      </c>
      <c r="J936" s="233">
        <v>3</v>
      </c>
      <c r="K936" s="237"/>
      <c r="L936" s="235"/>
      <c r="M936" s="276"/>
      <c r="N936" s="279" t="s">
        <v>25</v>
      </c>
      <c r="O936" t="str">
        <f t="shared" si="15"/>
        <v>2004 Memorial Penny</v>
      </c>
      <c r="S936" t="str" cm="1">
        <f t="array" ref="S936">_xlfn.REGEXEXTRACT(E936, "[0-9]{1,5}")</f>
        <v>2004</v>
      </c>
      <c r="T936" t="s">
        <v>4210</v>
      </c>
      <c r="U936" t="s">
        <v>3896</v>
      </c>
    </row>
    <row r="937" spans="1:21">
      <c r="A937" s="136">
        <v>1</v>
      </c>
      <c r="B937" s="233">
        <v>2004</v>
      </c>
      <c r="C937" s="234"/>
      <c r="D937" s="234" t="s">
        <v>4920</v>
      </c>
      <c r="E937" s="235" t="s">
        <v>3546</v>
      </c>
      <c r="F937" s="244" t="s">
        <v>4914</v>
      </c>
      <c r="G937" s="235" t="s">
        <v>2579</v>
      </c>
      <c r="H937" s="236">
        <v>0.03</v>
      </c>
      <c r="I937" s="236">
        <v>0.03</v>
      </c>
      <c r="J937" s="233">
        <v>3</v>
      </c>
      <c r="K937" s="237"/>
      <c r="L937" s="235"/>
      <c r="M937" s="276"/>
      <c r="N937" s="279" t="s">
        <v>25</v>
      </c>
      <c r="O937" t="str">
        <f t="shared" si="15"/>
        <v>2004 Memorial Penny</v>
      </c>
      <c r="S937" t="str" cm="1">
        <f t="array" ref="S937">_xlfn.REGEXEXTRACT(E937, "[0-9]{1,5}")</f>
        <v>2004</v>
      </c>
      <c r="T937" t="s">
        <v>4210</v>
      </c>
      <c r="U937" t="s">
        <v>3896</v>
      </c>
    </row>
    <row r="938" spans="1:21">
      <c r="A938" s="136">
        <v>1</v>
      </c>
      <c r="B938" s="233">
        <v>2004</v>
      </c>
      <c r="C938" s="234"/>
      <c r="D938" s="234" t="s">
        <v>4920</v>
      </c>
      <c r="E938" s="235" t="s">
        <v>3547</v>
      </c>
      <c r="F938" s="244" t="s">
        <v>4914</v>
      </c>
      <c r="G938" s="235" t="s">
        <v>2579</v>
      </c>
      <c r="H938" s="236">
        <v>0.01</v>
      </c>
      <c r="I938" s="236">
        <v>0.01</v>
      </c>
      <c r="J938" s="233">
        <v>1</v>
      </c>
      <c r="K938" s="237"/>
      <c r="L938" s="235"/>
      <c r="M938" s="276"/>
      <c r="N938" s="279" t="s">
        <v>25</v>
      </c>
      <c r="O938" t="str">
        <f t="shared" si="15"/>
        <v>2004 Memorial Penny</v>
      </c>
      <c r="S938" t="str" cm="1">
        <f t="array" ref="S938">_xlfn.REGEXEXTRACT(E938, "[0-9]{1,5}")</f>
        <v>2004</v>
      </c>
      <c r="T938" t="s">
        <v>4210</v>
      </c>
      <c r="U938" t="s">
        <v>3896</v>
      </c>
    </row>
    <row r="939" spans="1:21">
      <c r="A939" s="136">
        <v>1</v>
      </c>
      <c r="B939" s="233">
        <v>2004</v>
      </c>
      <c r="C939" s="234" t="s">
        <v>13</v>
      </c>
      <c r="D939" s="234" t="s">
        <v>4920</v>
      </c>
      <c r="E939" s="235" t="s">
        <v>3548</v>
      </c>
      <c r="F939" s="244" t="s">
        <v>4914</v>
      </c>
      <c r="G939" s="235" t="s">
        <v>2579</v>
      </c>
      <c r="H939" s="236">
        <v>0.1</v>
      </c>
      <c r="I939" s="236">
        <v>0.1</v>
      </c>
      <c r="J939" s="233">
        <v>1</v>
      </c>
      <c r="K939" s="237"/>
      <c r="L939" s="235"/>
      <c r="M939" s="276"/>
      <c r="N939" s="279" t="s">
        <v>25</v>
      </c>
      <c r="O939" t="str">
        <f t="shared" si="15"/>
        <v>2004-D Memorial Penny</v>
      </c>
      <c r="S939" t="str" cm="1">
        <f t="array" ref="S939">_xlfn.REGEXEXTRACT(E939, "[0-9]{1,5}")</f>
        <v>2004</v>
      </c>
      <c r="T939" t="s">
        <v>4210</v>
      </c>
      <c r="U939" t="s">
        <v>3896</v>
      </c>
    </row>
    <row r="940" spans="1:21">
      <c r="A940" s="136">
        <v>1</v>
      </c>
      <c r="B940" s="233">
        <v>2004</v>
      </c>
      <c r="C940" s="234" t="s">
        <v>13</v>
      </c>
      <c r="D940" s="234" t="s">
        <v>4920</v>
      </c>
      <c r="E940" s="235" t="s">
        <v>3549</v>
      </c>
      <c r="F940" s="244" t="s">
        <v>4914</v>
      </c>
      <c r="G940" s="235" t="s">
        <v>2579</v>
      </c>
      <c r="H940" s="236">
        <v>0.1</v>
      </c>
      <c r="I940" s="236">
        <v>0.1</v>
      </c>
      <c r="J940" s="233">
        <v>1</v>
      </c>
      <c r="K940" s="237"/>
      <c r="L940" s="235"/>
      <c r="M940" s="276"/>
      <c r="N940" s="279" t="s">
        <v>25</v>
      </c>
      <c r="O940" t="str">
        <f t="shared" si="15"/>
        <v>2004-D Memorial Penny</v>
      </c>
      <c r="S940" t="str" cm="1">
        <f t="array" ref="S940">_xlfn.REGEXEXTRACT(E940, "[0-9]{1,5}")</f>
        <v>2004</v>
      </c>
      <c r="T940" t="s">
        <v>4210</v>
      </c>
      <c r="U940" t="s">
        <v>3896</v>
      </c>
    </row>
    <row r="941" spans="1:21">
      <c r="A941" s="136">
        <v>1</v>
      </c>
      <c r="B941" s="233">
        <v>2004</v>
      </c>
      <c r="C941" s="234" t="s">
        <v>12</v>
      </c>
      <c r="D941" s="234" t="s">
        <v>4920</v>
      </c>
      <c r="E941" s="235" t="s">
        <v>3550</v>
      </c>
      <c r="F941" s="244" t="s">
        <v>5207</v>
      </c>
      <c r="G941" s="235" t="s">
        <v>2584</v>
      </c>
      <c r="H941" s="236">
        <v>0.75</v>
      </c>
      <c r="I941" s="236">
        <v>0.75</v>
      </c>
      <c r="J941" s="233">
        <v>1</v>
      </c>
      <c r="K941" s="237"/>
      <c r="L941" s="235"/>
      <c r="M941" s="276"/>
      <c r="N941" s="279" t="s">
        <v>25</v>
      </c>
      <c r="O941" t="str">
        <f t="shared" si="15"/>
        <v>2004-S Memorial Penny Proof</v>
      </c>
      <c r="S941" t="str" cm="1">
        <f t="array" ref="S941">_xlfn.REGEXEXTRACT(E941, "[0-9]{1,5}")</f>
        <v>2004</v>
      </c>
      <c r="T941" t="s">
        <v>4210</v>
      </c>
      <c r="U941" t="s">
        <v>3896</v>
      </c>
    </row>
    <row r="942" spans="1:21">
      <c r="A942" s="136">
        <v>1</v>
      </c>
      <c r="B942" s="233">
        <v>2004</v>
      </c>
      <c r="C942" s="234" t="s">
        <v>12</v>
      </c>
      <c r="D942" s="234" t="s">
        <v>4920</v>
      </c>
      <c r="E942" s="235" t="s">
        <v>3551</v>
      </c>
      <c r="F942" s="244" t="s">
        <v>5207</v>
      </c>
      <c r="G942" s="235" t="s">
        <v>2584</v>
      </c>
      <c r="H942" s="236">
        <v>0.65</v>
      </c>
      <c r="I942" s="236">
        <v>0.65</v>
      </c>
      <c r="J942" s="233">
        <v>1</v>
      </c>
      <c r="K942" s="237"/>
      <c r="L942" s="235"/>
      <c r="M942" s="276"/>
      <c r="N942" s="279" t="s">
        <v>25</v>
      </c>
      <c r="O942" t="str">
        <f t="shared" si="15"/>
        <v>2004-S Memorial Penny Proof</v>
      </c>
      <c r="S942" t="str" cm="1">
        <f t="array" ref="S942">_xlfn.REGEXEXTRACT(E942, "[0-9]{1,5}")</f>
        <v>2004</v>
      </c>
      <c r="T942" t="s">
        <v>4210</v>
      </c>
      <c r="U942" t="s">
        <v>3896</v>
      </c>
    </row>
    <row r="943" spans="1:21">
      <c r="A943" s="136">
        <v>1</v>
      </c>
      <c r="B943" s="233">
        <v>2004</v>
      </c>
      <c r="C943" s="234"/>
      <c r="D943" s="234" t="s">
        <v>4920</v>
      </c>
      <c r="E943" s="235" t="s">
        <v>3552</v>
      </c>
      <c r="F943" s="244" t="s">
        <v>4914</v>
      </c>
      <c r="G943" s="235" t="s">
        <v>2579</v>
      </c>
      <c r="H943" s="236">
        <v>0.01</v>
      </c>
      <c r="I943" s="236">
        <v>0.01</v>
      </c>
      <c r="J943" s="233">
        <v>1</v>
      </c>
      <c r="K943" s="237"/>
      <c r="L943" s="235"/>
      <c r="M943" s="276"/>
      <c r="N943" s="279" t="s">
        <v>25</v>
      </c>
      <c r="O943" t="str">
        <f t="shared" si="15"/>
        <v>2004 Memorial Penny</v>
      </c>
      <c r="S943" t="str" cm="1">
        <f t="array" ref="S943">_xlfn.REGEXEXTRACT(E943, "[0-9]{1,5}")</f>
        <v>2004</v>
      </c>
      <c r="T943" t="s">
        <v>4210</v>
      </c>
      <c r="U943" t="s">
        <v>3896</v>
      </c>
    </row>
    <row r="944" spans="1:21">
      <c r="A944" s="136">
        <v>1</v>
      </c>
      <c r="B944" s="233">
        <v>2005</v>
      </c>
      <c r="C944" s="234"/>
      <c r="D944" s="234" t="s">
        <v>4920</v>
      </c>
      <c r="E944" s="235" t="s">
        <v>3553</v>
      </c>
      <c r="F944" s="244" t="s">
        <v>4914</v>
      </c>
      <c r="G944" s="235" t="s">
        <v>2579</v>
      </c>
      <c r="H944" s="236">
        <v>0.03</v>
      </c>
      <c r="I944" s="236">
        <v>0.03</v>
      </c>
      <c r="J944" s="233">
        <v>3</v>
      </c>
      <c r="K944" s="237"/>
      <c r="L944" s="235"/>
      <c r="M944" s="276"/>
      <c r="N944" s="279" t="s">
        <v>25</v>
      </c>
      <c r="O944" t="str">
        <f t="shared" si="15"/>
        <v>2005 Memorial Penny</v>
      </c>
      <c r="S944" t="str" cm="1">
        <f t="array" ref="S944">_xlfn.REGEXEXTRACT(E944, "[0-9]{1,5}")</f>
        <v>2005</v>
      </c>
      <c r="T944" t="s">
        <v>4211</v>
      </c>
      <c r="U944" t="s">
        <v>3896</v>
      </c>
    </row>
    <row r="945" spans="1:21">
      <c r="A945" s="136">
        <v>1</v>
      </c>
      <c r="B945" s="233">
        <v>2005</v>
      </c>
      <c r="C945" s="234" t="s">
        <v>13</v>
      </c>
      <c r="D945" s="234" t="s">
        <v>4920</v>
      </c>
      <c r="E945" s="235" t="s">
        <v>3554</v>
      </c>
      <c r="F945" s="244" t="s">
        <v>4914</v>
      </c>
      <c r="G945" s="235" t="s">
        <v>2579</v>
      </c>
      <c r="H945" s="236">
        <v>0.01</v>
      </c>
      <c r="I945" s="236">
        <v>0.01</v>
      </c>
      <c r="J945" s="233">
        <v>1</v>
      </c>
      <c r="K945" s="237"/>
      <c r="L945" s="235"/>
      <c r="M945" s="276"/>
      <c r="N945" s="279" t="s">
        <v>25</v>
      </c>
      <c r="O945" t="str">
        <f t="shared" si="15"/>
        <v>2005-D Memorial Penny</v>
      </c>
      <c r="S945" t="str" cm="1">
        <f t="array" ref="S945">_xlfn.REGEXEXTRACT(E945, "[0-9]{1,5}")</f>
        <v>2005</v>
      </c>
      <c r="T945" t="s">
        <v>4211</v>
      </c>
      <c r="U945" t="s">
        <v>3896</v>
      </c>
    </row>
    <row r="946" spans="1:21">
      <c r="A946" s="136">
        <v>1</v>
      </c>
      <c r="B946" s="233">
        <v>2005</v>
      </c>
      <c r="C946" s="234"/>
      <c r="D946" s="234" t="s">
        <v>4920</v>
      </c>
      <c r="E946" s="235" t="s">
        <v>3555</v>
      </c>
      <c r="F946" s="244" t="s">
        <v>4914</v>
      </c>
      <c r="G946" s="235" t="s">
        <v>2579</v>
      </c>
      <c r="H946" s="236">
        <v>0.01</v>
      </c>
      <c r="I946" s="236">
        <v>0.01</v>
      </c>
      <c r="J946" s="233">
        <v>1</v>
      </c>
      <c r="K946" s="237"/>
      <c r="L946" s="235"/>
      <c r="M946" s="276"/>
      <c r="N946" s="279" t="s">
        <v>25</v>
      </c>
      <c r="O946" t="str">
        <f t="shared" si="15"/>
        <v>2005 Memorial Penny</v>
      </c>
      <c r="S946" t="str" cm="1">
        <f t="array" ref="S946">_xlfn.REGEXEXTRACT(E946, "[0-9]{1,5}")</f>
        <v>2005</v>
      </c>
      <c r="T946" t="s">
        <v>4211</v>
      </c>
      <c r="U946" t="s">
        <v>3896</v>
      </c>
    </row>
    <row r="947" spans="1:21">
      <c r="A947" s="136">
        <v>1</v>
      </c>
      <c r="B947" s="233">
        <v>2005</v>
      </c>
      <c r="C947" s="234"/>
      <c r="D947" s="234" t="s">
        <v>4920</v>
      </c>
      <c r="E947" s="235" t="s">
        <v>3556</v>
      </c>
      <c r="F947" s="244" t="s">
        <v>4914</v>
      </c>
      <c r="G947" s="235" t="s">
        <v>2579</v>
      </c>
      <c r="H947" s="236">
        <v>0.01</v>
      </c>
      <c r="I947" s="236">
        <v>0.01</v>
      </c>
      <c r="J947" s="233">
        <v>1</v>
      </c>
      <c r="K947" s="237"/>
      <c r="L947" s="235"/>
      <c r="M947" s="276"/>
      <c r="N947" s="279" t="s">
        <v>25</v>
      </c>
      <c r="O947" t="str">
        <f t="shared" si="15"/>
        <v>2005 Memorial Penny</v>
      </c>
      <c r="S947" t="str" cm="1">
        <f t="array" ref="S947">_xlfn.REGEXEXTRACT(E947, "[0-9]{1,5}")</f>
        <v>2005</v>
      </c>
      <c r="T947" t="s">
        <v>4211</v>
      </c>
      <c r="U947" t="s">
        <v>3896</v>
      </c>
    </row>
    <row r="948" spans="1:21">
      <c r="A948" s="136">
        <v>1</v>
      </c>
      <c r="B948" s="233">
        <v>2005</v>
      </c>
      <c r="C948" s="234"/>
      <c r="D948" s="234" t="s">
        <v>4920</v>
      </c>
      <c r="E948" s="235" t="s">
        <v>3557</v>
      </c>
      <c r="F948" s="244" t="s">
        <v>4914</v>
      </c>
      <c r="G948" s="235" t="s">
        <v>2579</v>
      </c>
      <c r="H948" s="236">
        <v>0.01</v>
      </c>
      <c r="I948" s="236">
        <v>0.01</v>
      </c>
      <c r="J948" s="233">
        <v>1</v>
      </c>
      <c r="K948" s="237"/>
      <c r="L948" s="235"/>
      <c r="M948" s="276"/>
      <c r="N948" s="279" t="s">
        <v>25</v>
      </c>
      <c r="O948" t="str">
        <f t="shared" si="15"/>
        <v>2005 Memorial Penny</v>
      </c>
      <c r="S948" t="str" cm="1">
        <f t="array" ref="S948">_xlfn.REGEXEXTRACT(E948, "[0-9]{1,5}")</f>
        <v>2005</v>
      </c>
      <c r="T948" t="s">
        <v>4211</v>
      </c>
      <c r="U948" t="s">
        <v>3896</v>
      </c>
    </row>
    <row r="949" spans="1:21">
      <c r="A949" s="136">
        <v>1</v>
      </c>
      <c r="B949" s="233">
        <v>2005</v>
      </c>
      <c r="C949" s="234" t="s">
        <v>12</v>
      </c>
      <c r="D949" s="234" t="s">
        <v>4920</v>
      </c>
      <c r="E949" s="235" t="s">
        <v>3558</v>
      </c>
      <c r="F949" s="244" t="s">
        <v>5207</v>
      </c>
      <c r="G949" s="235" t="s">
        <v>2584</v>
      </c>
      <c r="H949" s="236">
        <v>3</v>
      </c>
      <c r="I949" s="236">
        <v>3</v>
      </c>
      <c r="J949" s="233">
        <v>1</v>
      </c>
      <c r="K949" s="237"/>
      <c r="L949" s="235"/>
      <c r="M949" s="276"/>
      <c r="N949" s="279" t="s">
        <v>25</v>
      </c>
      <c r="O949" t="str">
        <f t="shared" si="15"/>
        <v>2005-S Memorial Penny Proof</v>
      </c>
      <c r="S949" t="str" cm="1">
        <f t="array" ref="S949">_xlfn.REGEXEXTRACT(E949, "[0-9]{1,5}")</f>
        <v>2005</v>
      </c>
      <c r="T949" t="s">
        <v>4211</v>
      </c>
      <c r="U949" t="s">
        <v>3896</v>
      </c>
    </row>
    <row r="950" spans="1:21">
      <c r="A950" s="136">
        <v>1</v>
      </c>
      <c r="B950" s="233">
        <v>2005</v>
      </c>
      <c r="C950" s="234" t="s">
        <v>12</v>
      </c>
      <c r="D950" s="234" t="s">
        <v>4920</v>
      </c>
      <c r="E950" s="235" t="s">
        <v>3559</v>
      </c>
      <c r="F950" s="244" t="s">
        <v>5207</v>
      </c>
      <c r="G950" s="235" t="s">
        <v>2584</v>
      </c>
      <c r="H950" s="236">
        <v>0.75</v>
      </c>
      <c r="I950" s="236">
        <v>0.75</v>
      </c>
      <c r="J950" s="233">
        <v>1</v>
      </c>
      <c r="K950" s="237"/>
      <c r="L950" s="235"/>
      <c r="M950" s="276"/>
      <c r="N950" s="279" t="s">
        <v>25</v>
      </c>
      <c r="O950" t="str">
        <f t="shared" si="15"/>
        <v>2005-S Memorial Penny Proof</v>
      </c>
      <c r="S950" t="str" cm="1">
        <f t="array" ref="S950">_xlfn.REGEXEXTRACT(E950, "[0-9]{1,5}")</f>
        <v>2005</v>
      </c>
      <c r="T950" t="s">
        <v>4211</v>
      </c>
      <c r="U950" t="s">
        <v>3896</v>
      </c>
    </row>
    <row r="951" spans="1:21">
      <c r="A951" s="136">
        <v>1</v>
      </c>
      <c r="B951" s="233">
        <v>2005</v>
      </c>
      <c r="C951" s="234" t="s">
        <v>13</v>
      </c>
      <c r="D951" s="234" t="s">
        <v>4920</v>
      </c>
      <c r="E951" s="235" t="s">
        <v>3560</v>
      </c>
      <c r="F951" s="244" t="s">
        <v>4914</v>
      </c>
      <c r="G951" s="235" t="s">
        <v>2579</v>
      </c>
      <c r="H951" s="236">
        <v>0.4</v>
      </c>
      <c r="I951" s="236">
        <v>0.34</v>
      </c>
      <c r="J951" s="233">
        <v>1</v>
      </c>
      <c r="K951" s="237"/>
      <c r="L951" s="235"/>
      <c r="M951" s="276"/>
      <c r="N951" s="279" t="s">
        <v>25</v>
      </c>
      <c r="O951" t="str">
        <f t="shared" si="15"/>
        <v>2005-D Memorial Penny</v>
      </c>
      <c r="S951" t="str" cm="1">
        <f t="array" ref="S951">_xlfn.REGEXEXTRACT(E951, "[0-9]{1,5}")</f>
        <v>2005</v>
      </c>
      <c r="T951" t="s">
        <v>4211</v>
      </c>
      <c r="U951" t="s">
        <v>3896</v>
      </c>
    </row>
    <row r="952" spans="1:21">
      <c r="A952" s="136">
        <v>1</v>
      </c>
      <c r="B952" s="233">
        <v>2006</v>
      </c>
      <c r="C952" s="234"/>
      <c r="D952" s="234" t="s">
        <v>4920</v>
      </c>
      <c r="E952" s="235" t="s">
        <v>3561</v>
      </c>
      <c r="F952" s="244" t="s">
        <v>4914</v>
      </c>
      <c r="G952" s="235" t="s">
        <v>2579</v>
      </c>
      <c r="H952" s="236">
        <v>0.03</v>
      </c>
      <c r="I952" s="236">
        <v>0.03</v>
      </c>
      <c r="J952" s="233">
        <v>3</v>
      </c>
      <c r="K952" s="237"/>
      <c r="L952" s="235"/>
      <c r="M952" s="276"/>
      <c r="N952" s="279" t="s">
        <v>25</v>
      </c>
      <c r="O952" t="str">
        <f t="shared" si="15"/>
        <v>2006 Memorial Penny</v>
      </c>
      <c r="S952" t="str" cm="1">
        <f t="array" ref="S952">_xlfn.REGEXEXTRACT(E952, "[0-9]{1,5}")</f>
        <v>2006</v>
      </c>
      <c r="T952" t="s">
        <v>4212</v>
      </c>
      <c r="U952" t="s">
        <v>3896</v>
      </c>
    </row>
    <row r="953" spans="1:21">
      <c r="A953" s="136">
        <v>1</v>
      </c>
      <c r="B953" s="233">
        <v>2006</v>
      </c>
      <c r="C953" s="234"/>
      <c r="D953" s="234" t="s">
        <v>4920</v>
      </c>
      <c r="E953" s="235" t="s">
        <v>3562</v>
      </c>
      <c r="F953" s="244" t="s">
        <v>4914</v>
      </c>
      <c r="G953" s="235" t="s">
        <v>2579</v>
      </c>
      <c r="H953" s="236">
        <v>0.01</v>
      </c>
      <c r="I953" s="236">
        <v>0.01</v>
      </c>
      <c r="J953" s="233">
        <v>1</v>
      </c>
      <c r="K953" s="237"/>
      <c r="L953" s="235"/>
      <c r="M953" s="276"/>
      <c r="N953" s="279" t="s">
        <v>25</v>
      </c>
      <c r="O953" t="str">
        <f t="shared" si="15"/>
        <v>2006 Memorial Penny</v>
      </c>
      <c r="S953" t="str" cm="1">
        <f t="array" ref="S953">_xlfn.REGEXEXTRACT(E953, "[0-9]{1,5}")</f>
        <v>2006</v>
      </c>
      <c r="T953" t="s">
        <v>4212</v>
      </c>
      <c r="U953" t="s">
        <v>3896</v>
      </c>
    </row>
    <row r="954" spans="1:21">
      <c r="A954" s="136">
        <v>1</v>
      </c>
      <c r="B954" s="233">
        <v>2006</v>
      </c>
      <c r="C954" s="234" t="s">
        <v>12</v>
      </c>
      <c r="D954" s="234" t="s">
        <v>4920</v>
      </c>
      <c r="E954" s="235" t="s">
        <v>3563</v>
      </c>
      <c r="F954" s="244" t="s">
        <v>5207</v>
      </c>
      <c r="G954" s="235" t="s">
        <v>2584</v>
      </c>
      <c r="H954" s="236">
        <v>0.75</v>
      </c>
      <c r="I954" s="236">
        <v>0.75</v>
      </c>
      <c r="J954" s="233">
        <v>1</v>
      </c>
      <c r="K954" s="237"/>
      <c r="L954" s="235"/>
      <c r="M954" s="276"/>
      <c r="N954" s="279" t="s">
        <v>25</v>
      </c>
      <c r="O954" t="str">
        <f t="shared" si="15"/>
        <v>2006-S Memorial Penny Proof</v>
      </c>
      <c r="S954" t="str" cm="1">
        <f t="array" ref="S954">_xlfn.REGEXEXTRACT(E954, "[0-9]{1,5}")</f>
        <v>2006</v>
      </c>
      <c r="T954" t="s">
        <v>4212</v>
      </c>
      <c r="U954" t="s">
        <v>3896</v>
      </c>
    </row>
    <row r="955" spans="1:21">
      <c r="A955" s="136">
        <v>1</v>
      </c>
      <c r="B955" s="233">
        <v>2006</v>
      </c>
      <c r="C955" s="234" t="s">
        <v>12</v>
      </c>
      <c r="D955" s="234" t="s">
        <v>4920</v>
      </c>
      <c r="E955" s="235" t="s">
        <v>3564</v>
      </c>
      <c r="F955" s="244" t="s">
        <v>5207</v>
      </c>
      <c r="G955" s="235" t="s">
        <v>2584</v>
      </c>
      <c r="H955" s="236">
        <v>1</v>
      </c>
      <c r="I955" s="236">
        <v>1</v>
      </c>
      <c r="J955" s="233">
        <v>1</v>
      </c>
      <c r="K955" s="237"/>
      <c r="L955" s="235"/>
      <c r="M955" s="276"/>
      <c r="N955" s="279" t="s">
        <v>25</v>
      </c>
      <c r="O955" t="str">
        <f t="shared" si="15"/>
        <v>2006-S Memorial Penny Proof</v>
      </c>
      <c r="S955" t="str" cm="1">
        <f t="array" ref="S955">_xlfn.REGEXEXTRACT(E955, "[0-9]{1,5}")</f>
        <v>2006</v>
      </c>
      <c r="T955" t="s">
        <v>4212</v>
      </c>
      <c r="U955" t="s">
        <v>3896</v>
      </c>
    </row>
    <row r="956" spans="1:21">
      <c r="A956" s="136">
        <v>1</v>
      </c>
      <c r="B956" s="233">
        <v>2006</v>
      </c>
      <c r="C956" s="234" t="s">
        <v>13</v>
      </c>
      <c r="D956" s="234" t="s">
        <v>4920</v>
      </c>
      <c r="E956" s="235" t="s">
        <v>3565</v>
      </c>
      <c r="F956" s="244" t="s">
        <v>4914</v>
      </c>
      <c r="G956" s="235" t="s">
        <v>2579</v>
      </c>
      <c r="H956" s="236">
        <v>0.25</v>
      </c>
      <c r="I956" s="236">
        <v>0.25</v>
      </c>
      <c r="J956" s="233">
        <v>1</v>
      </c>
      <c r="K956" s="237"/>
      <c r="L956" s="235"/>
      <c r="M956" s="276"/>
      <c r="N956" s="279" t="s">
        <v>25</v>
      </c>
      <c r="O956" t="str">
        <f t="shared" si="15"/>
        <v>2006-D Memorial Penny</v>
      </c>
      <c r="S956" t="str" cm="1">
        <f t="array" ref="S956">_xlfn.REGEXEXTRACT(E956, "[0-9]{1,5}")</f>
        <v>2006</v>
      </c>
      <c r="T956" t="s">
        <v>4212</v>
      </c>
      <c r="U956" t="s">
        <v>3896</v>
      </c>
    </row>
    <row r="957" spans="1:21">
      <c r="A957" s="136">
        <v>1</v>
      </c>
      <c r="B957" s="233">
        <v>2006</v>
      </c>
      <c r="C957" s="234" t="s">
        <v>13</v>
      </c>
      <c r="D957" s="234" t="s">
        <v>4920</v>
      </c>
      <c r="E957" s="235" t="s">
        <v>3566</v>
      </c>
      <c r="F957" s="244" t="s">
        <v>4914</v>
      </c>
      <c r="G957" s="235" t="s">
        <v>2579</v>
      </c>
      <c r="H957" s="236">
        <v>0.25</v>
      </c>
      <c r="I957" s="236">
        <v>0.34</v>
      </c>
      <c r="J957" s="233">
        <v>1</v>
      </c>
      <c r="K957" s="237"/>
      <c r="L957" s="235"/>
      <c r="M957" s="276"/>
      <c r="N957" s="279" t="s">
        <v>25</v>
      </c>
      <c r="O957" t="str">
        <f t="shared" si="15"/>
        <v>2006-D Memorial Penny</v>
      </c>
      <c r="S957" t="str" cm="1">
        <f t="array" ref="S957">_xlfn.REGEXEXTRACT(E957, "[0-9]{1,5}")</f>
        <v>2006</v>
      </c>
      <c r="T957" t="s">
        <v>4212</v>
      </c>
      <c r="U957" t="s">
        <v>3896</v>
      </c>
    </row>
    <row r="958" spans="1:21">
      <c r="A958" s="136">
        <v>1</v>
      </c>
      <c r="B958" s="233">
        <v>2007</v>
      </c>
      <c r="C958" s="234"/>
      <c r="D958" s="234" t="s">
        <v>4920</v>
      </c>
      <c r="E958" s="235" t="s">
        <v>3567</v>
      </c>
      <c r="F958" s="244" t="s">
        <v>4914</v>
      </c>
      <c r="G958" s="235" t="s">
        <v>2579</v>
      </c>
      <c r="H958" s="236">
        <v>0.01</v>
      </c>
      <c r="I958" s="236">
        <v>0.01</v>
      </c>
      <c r="J958" s="233">
        <v>1</v>
      </c>
      <c r="K958" s="237"/>
      <c r="L958" s="235"/>
      <c r="M958" s="276"/>
      <c r="N958" s="279" t="s">
        <v>25</v>
      </c>
      <c r="O958" t="str">
        <f t="shared" si="15"/>
        <v>2007 Memorial Penny</v>
      </c>
      <c r="S958" t="str" cm="1">
        <f t="array" ref="S958">_xlfn.REGEXEXTRACT(E958, "[0-9]{1,5}")</f>
        <v>2007</v>
      </c>
      <c r="T958" t="s">
        <v>4213</v>
      </c>
      <c r="U958" t="s">
        <v>3896</v>
      </c>
    </row>
    <row r="959" spans="1:21">
      <c r="A959" s="136">
        <v>1</v>
      </c>
      <c r="B959" s="233">
        <v>2007</v>
      </c>
      <c r="C959" s="234" t="s">
        <v>13</v>
      </c>
      <c r="D959" s="234" t="s">
        <v>4920</v>
      </c>
      <c r="E959" s="235" t="s">
        <v>3568</v>
      </c>
      <c r="F959" s="244" t="s">
        <v>4914</v>
      </c>
      <c r="G959" s="235" t="s">
        <v>2579</v>
      </c>
      <c r="H959" s="236">
        <v>0.25</v>
      </c>
      <c r="I959" s="236">
        <v>0.25</v>
      </c>
      <c r="J959" s="233">
        <v>1</v>
      </c>
      <c r="K959" s="237"/>
      <c r="L959" s="235"/>
      <c r="M959" s="276"/>
      <c r="N959" s="279" t="s">
        <v>25</v>
      </c>
      <c r="O959" t="str">
        <f t="shared" si="15"/>
        <v>2007-D Memorial Penny</v>
      </c>
      <c r="S959" t="str" cm="1">
        <f t="array" ref="S959">_xlfn.REGEXEXTRACT(E959, "[0-9]{1,5}")</f>
        <v>2007</v>
      </c>
      <c r="T959" t="s">
        <v>4213</v>
      </c>
      <c r="U959" t="s">
        <v>3896</v>
      </c>
    </row>
    <row r="960" spans="1:21">
      <c r="A960" s="136">
        <v>1</v>
      </c>
      <c r="B960" s="233">
        <v>2007</v>
      </c>
      <c r="C960" s="234" t="s">
        <v>12</v>
      </c>
      <c r="D960" s="234" t="s">
        <v>4920</v>
      </c>
      <c r="E960" s="235" t="s">
        <v>3569</v>
      </c>
      <c r="F960" s="244" t="s">
        <v>5207</v>
      </c>
      <c r="G960" s="235" t="s">
        <v>2584</v>
      </c>
      <c r="H960" s="236">
        <v>0.75</v>
      </c>
      <c r="I960" s="236">
        <v>0.75</v>
      </c>
      <c r="J960" s="233">
        <v>1</v>
      </c>
      <c r="K960" s="237"/>
      <c r="L960" s="235"/>
      <c r="M960" s="276"/>
      <c r="N960" s="279" t="s">
        <v>25</v>
      </c>
      <c r="O960" t="str">
        <f t="shared" si="15"/>
        <v>2007-S Memorial Penny Proof</v>
      </c>
      <c r="S960" t="str" cm="1">
        <f t="array" ref="S960">_xlfn.REGEXEXTRACT(E960, "[0-9]{1,5}")</f>
        <v>2007</v>
      </c>
      <c r="T960" t="s">
        <v>4213</v>
      </c>
      <c r="U960" t="s">
        <v>3896</v>
      </c>
    </row>
    <row r="961" spans="1:21">
      <c r="A961" s="136">
        <v>1</v>
      </c>
      <c r="B961" s="233">
        <v>2007</v>
      </c>
      <c r="C961" s="234" t="s">
        <v>12</v>
      </c>
      <c r="D961" s="234" t="s">
        <v>4920</v>
      </c>
      <c r="E961" s="235" t="s">
        <v>3570</v>
      </c>
      <c r="F961" s="244" t="s">
        <v>5207</v>
      </c>
      <c r="G961" s="235" t="s">
        <v>2584</v>
      </c>
      <c r="H961" s="236">
        <v>3</v>
      </c>
      <c r="I961" s="236">
        <v>3</v>
      </c>
      <c r="J961" s="233">
        <v>1</v>
      </c>
      <c r="K961" s="237"/>
      <c r="L961" s="235"/>
      <c r="M961" s="276"/>
      <c r="N961" s="279" t="s">
        <v>25</v>
      </c>
      <c r="O961" t="str">
        <f t="shared" si="15"/>
        <v>2007-S Memorial Penny Proof</v>
      </c>
      <c r="S961" t="str" cm="1">
        <f t="array" ref="S961">_xlfn.REGEXEXTRACT(E961, "[0-9]{1,5}")</f>
        <v>2007</v>
      </c>
      <c r="T961" t="s">
        <v>4213</v>
      </c>
      <c r="U961" t="s">
        <v>3896</v>
      </c>
    </row>
    <row r="962" spans="1:21">
      <c r="A962" s="136">
        <v>1</v>
      </c>
      <c r="B962" s="233">
        <v>2007</v>
      </c>
      <c r="C962" s="234"/>
      <c r="D962" s="234" t="s">
        <v>4920</v>
      </c>
      <c r="E962" s="235" t="s">
        <v>3571</v>
      </c>
      <c r="F962" s="244" t="s">
        <v>4914</v>
      </c>
      <c r="G962" s="235" t="s">
        <v>2586</v>
      </c>
      <c r="H962" s="236">
        <v>0.2</v>
      </c>
      <c r="I962" s="236">
        <v>0.2</v>
      </c>
      <c r="J962" s="233">
        <v>1</v>
      </c>
      <c r="K962" s="237"/>
      <c r="L962" s="235"/>
      <c r="M962" s="276"/>
      <c r="N962" s="279" t="s">
        <v>25</v>
      </c>
      <c r="O962" t="str">
        <f t="shared" si="15"/>
        <v>2007 Memorial Penny</v>
      </c>
      <c r="S962" t="str" cm="1">
        <f t="array" ref="S962">_xlfn.REGEXEXTRACT(E962, "[0-9]{1,5}")</f>
        <v>2007</v>
      </c>
      <c r="T962" t="s">
        <v>4213</v>
      </c>
      <c r="U962" t="s">
        <v>3896</v>
      </c>
    </row>
    <row r="963" spans="1:21">
      <c r="A963" s="136">
        <v>1</v>
      </c>
      <c r="B963" s="233">
        <v>2007</v>
      </c>
      <c r="C963" s="234" t="s">
        <v>13</v>
      </c>
      <c r="D963" s="234" t="s">
        <v>4920</v>
      </c>
      <c r="E963" s="235" t="s">
        <v>3572</v>
      </c>
      <c r="F963" s="244" t="s">
        <v>4914</v>
      </c>
      <c r="G963" s="235" t="s">
        <v>2579</v>
      </c>
      <c r="H963" s="236">
        <v>0.25</v>
      </c>
      <c r="I963" s="236">
        <v>0.34</v>
      </c>
      <c r="J963" s="233">
        <v>1</v>
      </c>
      <c r="K963" s="237"/>
      <c r="L963" s="235"/>
      <c r="M963" s="276"/>
      <c r="N963" s="279" t="s">
        <v>25</v>
      </c>
      <c r="O963" t="str">
        <f t="shared" si="15"/>
        <v>2007-D Memorial Penny</v>
      </c>
      <c r="S963" t="str" cm="1">
        <f t="array" ref="S963">_xlfn.REGEXEXTRACT(E963, "[0-9]{1,5}")</f>
        <v>2007</v>
      </c>
      <c r="T963" t="s">
        <v>4213</v>
      </c>
      <c r="U963" t="s">
        <v>3896</v>
      </c>
    </row>
    <row r="964" spans="1:21">
      <c r="A964" s="136">
        <v>1</v>
      </c>
      <c r="B964" s="233">
        <v>2008</v>
      </c>
      <c r="C964" s="234"/>
      <c r="D964" s="234" t="s">
        <v>4920</v>
      </c>
      <c r="E964" s="235" t="s">
        <v>3573</v>
      </c>
      <c r="F964" s="244" t="s">
        <v>4914</v>
      </c>
      <c r="G964" s="235" t="s">
        <v>2579</v>
      </c>
      <c r="H964" s="236">
        <v>0.03</v>
      </c>
      <c r="I964" s="236">
        <v>0.03</v>
      </c>
      <c r="J964" s="233">
        <v>3</v>
      </c>
      <c r="K964" s="237"/>
      <c r="L964" s="235"/>
      <c r="M964" s="276"/>
      <c r="N964" s="279" t="s">
        <v>25</v>
      </c>
      <c r="O964" t="str">
        <f t="shared" ref="O964:O1027" si="16">IF(C964&lt;&gt;"",B964&amp;"-"&amp;C964&amp;" "&amp;F964,B964&amp;" "&amp;F964)</f>
        <v>2008 Memorial Penny</v>
      </c>
      <c r="S964" t="str" cm="1">
        <f t="array" ref="S964">_xlfn.REGEXEXTRACT(E964, "[0-9]{1,5}")</f>
        <v>2008</v>
      </c>
      <c r="T964" t="s">
        <v>4214</v>
      </c>
      <c r="U964" t="s">
        <v>3896</v>
      </c>
    </row>
    <row r="965" spans="1:21">
      <c r="A965" s="136">
        <v>1</v>
      </c>
      <c r="B965" s="233">
        <v>2008</v>
      </c>
      <c r="C965" s="234"/>
      <c r="D965" s="234" t="s">
        <v>4920</v>
      </c>
      <c r="E965" s="235" t="s">
        <v>3574</v>
      </c>
      <c r="F965" s="244" t="s">
        <v>4914</v>
      </c>
      <c r="G965" s="235" t="s">
        <v>2579</v>
      </c>
      <c r="H965" s="236">
        <v>0.03</v>
      </c>
      <c r="I965" s="236">
        <v>0.03</v>
      </c>
      <c r="J965" s="233">
        <v>3</v>
      </c>
      <c r="K965" s="237"/>
      <c r="L965" s="235"/>
      <c r="M965" s="276"/>
      <c r="N965" s="279" t="s">
        <v>25</v>
      </c>
      <c r="O965" t="str">
        <f t="shared" si="16"/>
        <v>2008 Memorial Penny</v>
      </c>
      <c r="S965" t="str" cm="1">
        <f t="array" ref="S965">_xlfn.REGEXEXTRACT(E965, "[0-9]{1,5}")</f>
        <v>2008</v>
      </c>
      <c r="T965" t="s">
        <v>4214</v>
      </c>
      <c r="U965" t="s">
        <v>3896</v>
      </c>
    </row>
    <row r="966" spans="1:21">
      <c r="A966" s="136">
        <v>1</v>
      </c>
      <c r="B966" s="233">
        <v>2008</v>
      </c>
      <c r="C966" s="234"/>
      <c r="D966" s="234" t="s">
        <v>4920</v>
      </c>
      <c r="E966" s="235" t="s">
        <v>3575</v>
      </c>
      <c r="F966" s="244" t="s">
        <v>4914</v>
      </c>
      <c r="G966" s="235" t="s">
        <v>2579</v>
      </c>
      <c r="H966" s="236">
        <v>0.01</v>
      </c>
      <c r="I966" s="236">
        <v>0.01</v>
      </c>
      <c r="J966" s="233">
        <v>1</v>
      </c>
      <c r="K966" s="237"/>
      <c r="L966" s="235"/>
      <c r="M966" s="276"/>
      <c r="N966" s="279" t="s">
        <v>25</v>
      </c>
      <c r="O966" t="str">
        <f t="shared" si="16"/>
        <v>2008 Memorial Penny</v>
      </c>
      <c r="S966" t="str" cm="1">
        <f t="array" ref="S966">_xlfn.REGEXEXTRACT(E966, "[0-9]{1,5}")</f>
        <v>2008</v>
      </c>
      <c r="T966" t="s">
        <v>4214</v>
      </c>
      <c r="U966" t="s">
        <v>3896</v>
      </c>
    </row>
    <row r="967" spans="1:21">
      <c r="A967" s="136">
        <v>1</v>
      </c>
      <c r="B967" s="233">
        <v>2008</v>
      </c>
      <c r="C967" s="234"/>
      <c r="D967" s="234" t="s">
        <v>4920</v>
      </c>
      <c r="E967" s="235" t="s">
        <v>3576</v>
      </c>
      <c r="F967" s="244" t="s">
        <v>4914</v>
      </c>
      <c r="G967" s="235" t="s">
        <v>2579</v>
      </c>
      <c r="H967" s="236">
        <v>0.01</v>
      </c>
      <c r="I967" s="236">
        <v>0.01</v>
      </c>
      <c r="J967" s="233">
        <v>1</v>
      </c>
      <c r="K967" s="237"/>
      <c r="L967" s="235"/>
      <c r="M967" s="276"/>
      <c r="N967" s="279" t="s">
        <v>25</v>
      </c>
      <c r="O967" t="str">
        <f t="shared" si="16"/>
        <v>2008 Memorial Penny</v>
      </c>
      <c r="S967" t="str" cm="1">
        <f t="array" ref="S967">_xlfn.REGEXEXTRACT(E967, "[0-9]{1,5}")</f>
        <v>2008</v>
      </c>
      <c r="T967" t="s">
        <v>4214</v>
      </c>
      <c r="U967" t="s">
        <v>3896</v>
      </c>
    </row>
    <row r="968" spans="1:21">
      <c r="A968" s="136">
        <v>1</v>
      </c>
      <c r="B968" s="233">
        <v>2008</v>
      </c>
      <c r="C968" s="234"/>
      <c r="D968" s="234" t="s">
        <v>4920</v>
      </c>
      <c r="E968" s="235" t="s">
        <v>3577</v>
      </c>
      <c r="F968" s="244" t="s">
        <v>4914</v>
      </c>
      <c r="G968" s="235" t="s">
        <v>2579</v>
      </c>
      <c r="H968" s="236">
        <v>0.01</v>
      </c>
      <c r="I968" s="236">
        <v>0.01</v>
      </c>
      <c r="J968" s="233">
        <v>1</v>
      </c>
      <c r="K968" s="237"/>
      <c r="L968" s="235"/>
      <c r="M968" s="276"/>
      <c r="N968" s="279" t="s">
        <v>25</v>
      </c>
      <c r="O968" t="str">
        <f t="shared" si="16"/>
        <v>2008 Memorial Penny</v>
      </c>
      <c r="S968" t="str" cm="1">
        <f t="array" ref="S968">_xlfn.REGEXEXTRACT(E968, "[0-9]{1,5}")</f>
        <v>2008</v>
      </c>
      <c r="T968" t="s">
        <v>4214</v>
      </c>
      <c r="U968" t="s">
        <v>3896</v>
      </c>
    </row>
    <row r="969" spans="1:21">
      <c r="A969" s="136">
        <v>1</v>
      </c>
      <c r="B969" s="233">
        <v>2008</v>
      </c>
      <c r="C969" s="234" t="s">
        <v>13</v>
      </c>
      <c r="D969" s="234" t="s">
        <v>4920</v>
      </c>
      <c r="E969" s="235" t="s">
        <v>3578</v>
      </c>
      <c r="F969" s="244" t="s">
        <v>4914</v>
      </c>
      <c r="G969" s="235" t="s">
        <v>2579</v>
      </c>
      <c r="H969" s="236">
        <v>0.1</v>
      </c>
      <c r="I969" s="236">
        <v>0.1</v>
      </c>
      <c r="J969" s="233">
        <v>1</v>
      </c>
      <c r="K969" s="237"/>
      <c r="L969" s="235"/>
      <c r="M969" s="276"/>
      <c r="N969" s="279" t="s">
        <v>25</v>
      </c>
      <c r="O969" t="str">
        <f t="shared" si="16"/>
        <v>2008-D Memorial Penny</v>
      </c>
      <c r="S969" t="str" cm="1">
        <f t="array" ref="S969">_xlfn.REGEXEXTRACT(E969, "[0-9]{1,5}")</f>
        <v>2008</v>
      </c>
      <c r="T969" t="s">
        <v>4214</v>
      </c>
      <c r="U969" t="s">
        <v>3896</v>
      </c>
    </row>
    <row r="970" spans="1:21">
      <c r="A970" s="136">
        <v>1</v>
      </c>
      <c r="B970" s="233">
        <v>2008</v>
      </c>
      <c r="C970" s="234" t="s">
        <v>13</v>
      </c>
      <c r="D970" s="234" t="s">
        <v>4920</v>
      </c>
      <c r="E970" s="235" t="s">
        <v>3579</v>
      </c>
      <c r="F970" s="244" t="s">
        <v>4914</v>
      </c>
      <c r="G970" s="235" t="s">
        <v>2586</v>
      </c>
      <c r="H970" s="236">
        <v>0.25</v>
      </c>
      <c r="I970" s="236">
        <v>0.25</v>
      </c>
      <c r="J970" s="233">
        <v>1</v>
      </c>
      <c r="K970" s="237"/>
      <c r="L970" s="235"/>
      <c r="M970" s="276"/>
      <c r="N970" s="279" t="s">
        <v>25</v>
      </c>
      <c r="O970" t="str">
        <f t="shared" si="16"/>
        <v>2008-D Memorial Penny</v>
      </c>
      <c r="S970" t="str" cm="1">
        <f t="array" ref="S970">_xlfn.REGEXEXTRACT(E970, "[0-9]{1,5}")</f>
        <v>2008</v>
      </c>
      <c r="T970" t="s">
        <v>4214</v>
      </c>
      <c r="U970" t="s">
        <v>3896</v>
      </c>
    </row>
    <row r="971" spans="1:21">
      <c r="A971" s="136">
        <v>1</v>
      </c>
      <c r="B971" s="233">
        <v>2008</v>
      </c>
      <c r="C971" s="234" t="s">
        <v>13</v>
      </c>
      <c r="D971" s="234" t="s">
        <v>4920</v>
      </c>
      <c r="E971" s="235" t="s">
        <v>3580</v>
      </c>
      <c r="F971" s="244" t="s">
        <v>4914</v>
      </c>
      <c r="G971" s="235" t="s">
        <v>2586</v>
      </c>
      <c r="H971" s="236">
        <v>0.25</v>
      </c>
      <c r="I971" s="236">
        <v>0.25</v>
      </c>
      <c r="J971" s="233">
        <v>1</v>
      </c>
      <c r="K971" s="237"/>
      <c r="L971" s="235"/>
      <c r="M971" s="276"/>
      <c r="N971" s="279" t="s">
        <v>25</v>
      </c>
      <c r="O971" t="str">
        <f t="shared" si="16"/>
        <v>2008-D Memorial Penny</v>
      </c>
      <c r="S971" t="str" cm="1">
        <f t="array" ref="S971">_xlfn.REGEXEXTRACT(E971, "[0-9]{1,5}")</f>
        <v>2008</v>
      </c>
      <c r="T971" t="s">
        <v>4214</v>
      </c>
      <c r="U971" t="s">
        <v>3896</v>
      </c>
    </row>
    <row r="972" spans="1:21">
      <c r="A972" s="136">
        <v>1</v>
      </c>
      <c r="B972" s="233">
        <v>2008</v>
      </c>
      <c r="C972" s="234" t="s">
        <v>12</v>
      </c>
      <c r="D972" s="234" t="s">
        <v>4920</v>
      </c>
      <c r="E972" s="235" t="s">
        <v>3581</v>
      </c>
      <c r="F972" s="244" t="s">
        <v>5207</v>
      </c>
      <c r="G972" s="235" t="s">
        <v>2584</v>
      </c>
      <c r="H972" s="236">
        <v>3.5</v>
      </c>
      <c r="I972" s="236">
        <v>3.5</v>
      </c>
      <c r="J972" s="233">
        <v>1</v>
      </c>
      <c r="K972" s="237"/>
      <c r="L972" s="235"/>
      <c r="M972" s="276"/>
      <c r="N972" s="279" t="s">
        <v>25</v>
      </c>
      <c r="O972" t="str">
        <f t="shared" si="16"/>
        <v>2008-S Memorial Penny Proof</v>
      </c>
      <c r="S972" t="str" cm="1">
        <f t="array" ref="S972">_xlfn.REGEXEXTRACT(E972, "[0-9]{1,5}")</f>
        <v>2008</v>
      </c>
      <c r="T972" t="s">
        <v>4214</v>
      </c>
      <c r="U972" t="s">
        <v>3896</v>
      </c>
    </row>
    <row r="973" spans="1:21">
      <c r="A973" s="136">
        <v>1</v>
      </c>
      <c r="B973" s="233">
        <v>2008</v>
      </c>
      <c r="C973" s="234" t="s">
        <v>12</v>
      </c>
      <c r="D973" s="234" t="s">
        <v>4920</v>
      </c>
      <c r="E973" s="235" t="s">
        <v>3582</v>
      </c>
      <c r="F973" s="244" t="s">
        <v>5207</v>
      </c>
      <c r="G973" s="235" t="s">
        <v>2584</v>
      </c>
      <c r="H973" s="236">
        <v>3.5</v>
      </c>
      <c r="I973" s="236">
        <v>3.5</v>
      </c>
      <c r="J973" s="233">
        <v>1</v>
      </c>
      <c r="K973" s="237"/>
      <c r="L973" s="235"/>
      <c r="M973" s="276"/>
      <c r="N973" s="279" t="s">
        <v>25</v>
      </c>
      <c r="O973" t="str">
        <f t="shared" si="16"/>
        <v>2008-S Memorial Penny Proof</v>
      </c>
      <c r="S973" t="str" cm="1">
        <f t="array" ref="S973">_xlfn.REGEXEXTRACT(E973, "[0-9]{1,5}")</f>
        <v>2008</v>
      </c>
      <c r="T973" t="s">
        <v>4214</v>
      </c>
      <c r="U973" t="s">
        <v>3896</v>
      </c>
    </row>
    <row r="974" spans="1:21">
      <c r="A974" s="136">
        <v>1</v>
      </c>
      <c r="B974" s="233">
        <v>2008</v>
      </c>
      <c r="C974" s="234" t="s">
        <v>12</v>
      </c>
      <c r="D974" s="234" t="s">
        <v>4920</v>
      </c>
      <c r="E974" s="235" t="s">
        <v>3583</v>
      </c>
      <c r="F974" s="244" t="s">
        <v>5207</v>
      </c>
      <c r="G974" s="235" t="s">
        <v>2584</v>
      </c>
      <c r="H974" s="236">
        <v>1.75</v>
      </c>
      <c r="I974" s="236">
        <v>1.75</v>
      </c>
      <c r="J974" s="233">
        <v>1</v>
      </c>
      <c r="K974" s="237"/>
      <c r="L974" s="235"/>
      <c r="M974" s="276"/>
      <c r="N974" s="279" t="s">
        <v>25</v>
      </c>
      <c r="O974" t="str">
        <f t="shared" si="16"/>
        <v>2008-S Memorial Penny Proof</v>
      </c>
      <c r="S974" t="str" cm="1">
        <f t="array" ref="S974">_xlfn.REGEXEXTRACT(E974, "[0-9]{1,5}")</f>
        <v>2008</v>
      </c>
      <c r="T974" t="s">
        <v>4214</v>
      </c>
      <c r="U974" t="s">
        <v>3896</v>
      </c>
    </row>
    <row r="975" spans="1:21">
      <c r="A975" s="136">
        <v>1</v>
      </c>
      <c r="B975" s="233">
        <v>2009</v>
      </c>
      <c r="C975" s="234"/>
      <c r="D975" s="234" t="s">
        <v>4920</v>
      </c>
      <c r="E975" s="235" t="s">
        <v>3584</v>
      </c>
      <c r="F975" s="244" t="s">
        <v>4914</v>
      </c>
      <c r="G975" s="235" t="s">
        <v>2579</v>
      </c>
      <c r="H975" s="236">
        <v>0.01</v>
      </c>
      <c r="I975" s="236">
        <v>0.01</v>
      </c>
      <c r="J975" s="233">
        <v>1</v>
      </c>
      <c r="K975" s="237"/>
      <c r="L975" s="235"/>
      <c r="M975" s="276"/>
      <c r="N975" s="279" t="s">
        <v>25</v>
      </c>
      <c r="O975" t="str">
        <f t="shared" si="16"/>
        <v>2009 Memorial Penny</v>
      </c>
      <c r="S975" t="str" cm="1">
        <f t="array" ref="S975">_xlfn.REGEXEXTRACT(E975, "[0-9]{1,5}")</f>
        <v>2009</v>
      </c>
      <c r="T975" t="s">
        <v>4215</v>
      </c>
      <c r="U975" t="s">
        <v>3896</v>
      </c>
    </row>
    <row r="976" spans="1:21">
      <c r="A976" s="136">
        <v>1</v>
      </c>
      <c r="B976" s="233">
        <v>2009</v>
      </c>
      <c r="C976" s="234"/>
      <c r="D976" s="234" t="s">
        <v>4920</v>
      </c>
      <c r="E976" s="235" t="s">
        <v>3585</v>
      </c>
      <c r="F976" s="244" t="s">
        <v>4914</v>
      </c>
      <c r="G976" s="235" t="s">
        <v>2586</v>
      </c>
      <c r="H976" s="236">
        <v>0.25</v>
      </c>
      <c r="I976" s="236">
        <v>0.25</v>
      </c>
      <c r="J976" s="233">
        <v>1</v>
      </c>
      <c r="K976" s="237"/>
      <c r="L976" s="237" t="s">
        <v>3811</v>
      </c>
      <c r="M976" s="276"/>
      <c r="N976" s="279" t="s">
        <v>25</v>
      </c>
      <c r="O976" t="str">
        <f t="shared" si="16"/>
        <v>2009 Memorial Penny</v>
      </c>
      <c r="S976" t="str" cm="1">
        <f t="array" ref="S976">_xlfn.REGEXEXTRACT(E976, "[0-9]{1,5}")</f>
        <v>2009</v>
      </c>
      <c r="T976" t="s">
        <v>4215</v>
      </c>
      <c r="U976" t="s">
        <v>3896</v>
      </c>
    </row>
    <row r="977" spans="1:21">
      <c r="A977" s="136">
        <v>1</v>
      </c>
      <c r="B977" s="233">
        <v>2009</v>
      </c>
      <c r="C977" s="234" t="s">
        <v>13</v>
      </c>
      <c r="D977" s="234" t="s">
        <v>4920</v>
      </c>
      <c r="E977" s="235" t="s">
        <v>3586</v>
      </c>
      <c r="F977" s="244" t="s">
        <v>4914</v>
      </c>
      <c r="G977" s="235" t="s">
        <v>2579</v>
      </c>
      <c r="H977" s="236">
        <v>0.25</v>
      </c>
      <c r="I977" s="236">
        <v>0.25</v>
      </c>
      <c r="J977" s="233">
        <v>1</v>
      </c>
      <c r="K977" s="237"/>
      <c r="L977" s="237" t="s">
        <v>3812</v>
      </c>
      <c r="M977" s="276"/>
      <c r="N977" s="279" t="s">
        <v>25</v>
      </c>
      <c r="O977" t="str">
        <f t="shared" si="16"/>
        <v>2009-D Memorial Penny</v>
      </c>
      <c r="S977" t="str" cm="1">
        <f t="array" ref="S977">_xlfn.REGEXEXTRACT(E977, "[0-9]{1,5}")</f>
        <v>2009</v>
      </c>
      <c r="T977" t="s">
        <v>4215</v>
      </c>
      <c r="U977" t="s">
        <v>3896</v>
      </c>
    </row>
    <row r="978" spans="1:21">
      <c r="A978" s="136">
        <v>1</v>
      </c>
      <c r="B978" s="233">
        <v>2009</v>
      </c>
      <c r="C978" s="234" t="s">
        <v>13</v>
      </c>
      <c r="D978" s="234" t="s">
        <v>4920</v>
      </c>
      <c r="E978" s="235" t="s">
        <v>3587</v>
      </c>
      <c r="F978" s="244" t="s">
        <v>4914</v>
      </c>
      <c r="G978" s="235" t="s">
        <v>2579</v>
      </c>
      <c r="H978" s="236">
        <v>0.25</v>
      </c>
      <c r="I978" s="236">
        <v>0.25</v>
      </c>
      <c r="J978" s="233">
        <v>1</v>
      </c>
      <c r="K978" s="237"/>
      <c r="L978" s="237" t="s">
        <v>3812</v>
      </c>
      <c r="M978" s="276"/>
      <c r="N978" s="279" t="s">
        <v>25</v>
      </c>
      <c r="O978" t="str">
        <f t="shared" si="16"/>
        <v>2009-D Memorial Penny</v>
      </c>
      <c r="S978" t="str" cm="1">
        <f t="array" ref="S978">_xlfn.REGEXEXTRACT(E978, "[0-9]{1,5}")</f>
        <v>2009</v>
      </c>
      <c r="T978" t="s">
        <v>4215</v>
      </c>
      <c r="U978" t="s">
        <v>3896</v>
      </c>
    </row>
    <row r="979" spans="1:21">
      <c r="A979" s="136">
        <v>1</v>
      </c>
      <c r="B979" s="233">
        <v>2009</v>
      </c>
      <c r="C979" s="234"/>
      <c r="D979" s="234" t="s">
        <v>4920</v>
      </c>
      <c r="E979" s="235" t="s">
        <v>3588</v>
      </c>
      <c r="F979" s="244" t="s">
        <v>4914</v>
      </c>
      <c r="G979" s="235" t="s">
        <v>2579</v>
      </c>
      <c r="H979" s="236">
        <v>8</v>
      </c>
      <c r="I979" s="236">
        <v>9</v>
      </c>
      <c r="J979" s="233">
        <v>8</v>
      </c>
      <c r="K979" s="237"/>
      <c r="L979" s="235" t="s">
        <v>1183</v>
      </c>
      <c r="M979" s="276"/>
      <c r="N979" s="279"/>
      <c r="O979" t="str">
        <f t="shared" si="16"/>
        <v>2009 Memorial Penny</v>
      </c>
      <c r="S979" t="str" cm="1">
        <f t="array" ref="S979">_xlfn.REGEXEXTRACT(E979, "[0-9]{1,5}")</f>
        <v>2009</v>
      </c>
      <c r="T979" t="s">
        <v>4215</v>
      </c>
      <c r="U979" t="s">
        <v>3896</v>
      </c>
    </row>
    <row r="980" spans="1:21">
      <c r="A980" s="136">
        <v>1</v>
      </c>
      <c r="B980" s="233">
        <v>2009</v>
      </c>
      <c r="C980" s="234" t="s">
        <v>13</v>
      </c>
      <c r="D980" s="234" t="s">
        <v>4920</v>
      </c>
      <c r="E980" s="235" t="s">
        <v>3589</v>
      </c>
      <c r="F980" s="244" t="s">
        <v>4914</v>
      </c>
      <c r="G980" s="235" t="s">
        <v>2579</v>
      </c>
      <c r="H980" s="236">
        <v>8</v>
      </c>
      <c r="I980" s="236">
        <v>9</v>
      </c>
      <c r="J980" s="233">
        <v>8</v>
      </c>
      <c r="K980" s="237"/>
      <c r="L980" s="235" t="s">
        <v>1183</v>
      </c>
      <c r="M980" s="276"/>
      <c r="N980" s="279"/>
      <c r="O980" t="str">
        <f t="shared" si="16"/>
        <v>2009-D Memorial Penny</v>
      </c>
      <c r="S980" t="str" cm="1">
        <f t="array" ref="S980">_xlfn.REGEXEXTRACT(E980, "[0-9]{1,5}")</f>
        <v>2009</v>
      </c>
      <c r="T980" t="s">
        <v>4215</v>
      </c>
      <c r="U980" t="s">
        <v>3896</v>
      </c>
    </row>
    <row r="981" spans="1:21">
      <c r="A981" s="136">
        <v>1</v>
      </c>
      <c r="B981" s="233">
        <v>2009</v>
      </c>
      <c r="C981" s="234"/>
      <c r="D981" s="234" t="s">
        <v>4920</v>
      </c>
      <c r="E981" s="235" t="s">
        <v>3590</v>
      </c>
      <c r="F981" s="244" t="s">
        <v>4914</v>
      </c>
      <c r="G981" s="235" t="s">
        <v>2579</v>
      </c>
      <c r="H981" s="236">
        <v>0.01</v>
      </c>
      <c r="I981" s="236">
        <v>0.01</v>
      </c>
      <c r="J981" s="233">
        <v>1</v>
      </c>
      <c r="K981" s="237"/>
      <c r="L981" s="237" t="s">
        <v>26</v>
      </c>
      <c r="M981" s="276"/>
      <c r="N981" s="279" t="s">
        <v>25</v>
      </c>
      <c r="O981" t="str">
        <f t="shared" si="16"/>
        <v>2009 Memorial Penny</v>
      </c>
      <c r="S981" t="str" cm="1">
        <f t="array" ref="S981">_xlfn.REGEXEXTRACT(E981, "[0-9]{1,5}")</f>
        <v>2009</v>
      </c>
      <c r="T981" t="s">
        <v>4215</v>
      </c>
      <c r="U981" t="s">
        <v>3896</v>
      </c>
    </row>
    <row r="982" spans="1:21">
      <c r="A982" s="136">
        <v>1</v>
      </c>
      <c r="B982" s="233">
        <v>2009</v>
      </c>
      <c r="C982" s="234" t="s">
        <v>12</v>
      </c>
      <c r="D982" s="234" t="s">
        <v>4920</v>
      </c>
      <c r="E982" s="235" t="s">
        <v>3591</v>
      </c>
      <c r="F982" s="244" t="s">
        <v>5207</v>
      </c>
      <c r="G982" s="235" t="s">
        <v>2584</v>
      </c>
      <c r="H982" s="236">
        <v>2.75</v>
      </c>
      <c r="I982" s="236">
        <v>4.63</v>
      </c>
      <c r="J982" s="233">
        <v>1</v>
      </c>
      <c r="K982" s="237" t="s">
        <v>3755</v>
      </c>
      <c r="L982" s="237" t="s">
        <v>3812</v>
      </c>
      <c r="M982" s="276"/>
      <c r="N982" s="279" t="s">
        <v>25</v>
      </c>
      <c r="O982" t="str">
        <f t="shared" si="16"/>
        <v>2009-S Memorial Penny Proof</v>
      </c>
      <c r="S982" t="str" cm="1">
        <f t="array" ref="S982">_xlfn.REGEXEXTRACT(E982, "[0-9]{1,5}")</f>
        <v>2009</v>
      </c>
      <c r="T982" t="s">
        <v>4215</v>
      </c>
      <c r="U982" t="s">
        <v>3896</v>
      </c>
    </row>
    <row r="983" spans="1:21">
      <c r="A983" s="136">
        <v>1</v>
      </c>
      <c r="B983" s="233">
        <v>2009</v>
      </c>
      <c r="C983" s="234" t="s">
        <v>12</v>
      </c>
      <c r="D983" s="234" t="s">
        <v>4920</v>
      </c>
      <c r="E983" s="235" t="s">
        <v>3592</v>
      </c>
      <c r="F983" s="244" t="s">
        <v>5207</v>
      </c>
      <c r="G983" s="235" t="s">
        <v>2584</v>
      </c>
      <c r="H983" s="236">
        <v>2.75</v>
      </c>
      <c r="I983" s="236">
        <v>4.63</v>
      </c>
      <c r="J983" s="233">
        <v>1</v>
      </c>
      <c r="K983" s="237" t="s">
        <v>3755</v>
      </c>
      <c r="L983" s="237" t="s">
        <v>3813</v>
      </c>
      <c r="M983" s="276"/>
      <c r="N983" s="279" t="s">
        <v>25</v>
      </c>
      <c r="O983" t="str">
        <f t="shared" si="16"/>
        <v>2009-S Memorial Penny Proof</v>
      </c>
      <c r="S983" t="str" cm="1">
        <f t="array" ref="S983">_xlfn.REGEXEXTRACT(E983, "[0-9]{1,5}")</f>
        <v>2009</v>
      </c>
      <c r="T983" t="s">
        <v>4215</v>
      </c>
      <c r="U983" t="s">
        <v>3896</v>
      </c>
    </row>
    <row r="984" spans="1:21">
      <c r="A984" s="136">
        <v>1</v>
      </c>
      <c r="B984" s="233">
        <v>2009</v>
      </c>
      <c r="C984" s="234" t="s">
        <v>12</v>
      </c>
      <c r="D984" s="234" t="s">
        <v>4920</v>
      </c>
      <c r="E984" s="235" t="s">
        <v>3593</v>
      </c>
      <c r="F984" s="244" t="s">
        <v>5207</v>
      </c>
      <c r="G984" s="235" t="s">
        <v>2584</v>
      </c>
      <c r="H984" s="236">
        <v>2.75</v>
      </c>
      <c r="I984" s="236">
        <v>4.63</v>
      </c>
      <c r="J984" s="233">
        <v>1</v>
      </c>
      <c r="K984" s="237" t="s">
        <v>3755</v>
      </c>
      <c r="L984" s="237" t="s">
        <v>3814</v>
      </c>
      <c r="M984" s="276"/>
      <c r="N984" s="279" t="s">
        <v>25</v>
      </c>
      <c r="O984" t="str">
        <f t="shared" si="16"/>
        <v>2009-S Memorial Penny Proof</v>
      </c>
      <c r="S984" t="str" cm="1">
        <f t="array" ref="S984">_xlfn.REGEXEXTRACT(E984, "[0-9]{1,5}")</f>
        <v>2009</v>
      </c>
      <c r="T984" t="s">
        <v>4215</v>
      </c>
      <c r="U984" t="s">
        <v>3896</v>
      </c>
    </row>
    <row r="985" spans="1:21">
      <c r="A985" s="136">
        <v>1</v>
      </c>
      <c r="B985" s="233">
        <v>2009</v>
      </c>
      <c r="C985" s="234" t="s">
        <v>12</v>
      </c>
      <c r="D985" s="234" t="s">
        <v>4920</v>
      </c>
      <c r="E985" s="235" t="s">
        <v>3948</v>
      </c>
      <c r="F985" s="244" t="s">
        <v>4914</v>
      </c>
      <c r="G985" s="235" t="s">
        <v>2586</v>
      </c>
      <c r="H985" s="236">
        <v>2.75</v>
      </c>
      <c r="I985" s="236">
        <v>2.75</v>
      </c>
      <c r="J985" s="233">
        <v>1</v>
      </c>
      <c r="K985" s="237"/>
      <c r="L985" s="237" t="s">
        <v>3812</v>
      </c>
      <c r="M985" s="276"/>
      <c r="N985" s="279" t="s">
        <v>25</v>
      </c>
      <c r="O985" t="str">
        <f t="shared" si="16"/>
        <v>2009-S Memorial Penny</v>
      </c>
      <c r="S985" t="str" cm="1">
        <f t="array" ref="S985">_xlfn.REGEXEXTRACT(E985, "[0-9]{1,5}")</f>
        <v>2009</v>
      </c>
      <c r="T985" t="s">
        <v>4215</v>
      </c>
      <c r="U985" t="s">
        <v>3896</v>
      </c>
    </row>
    <row r="986" spans="1:21">
      <c r="A986" s="136">
        <v>1</v>
      </c>
      <c r="B986" s="233">
        <v>2009</v>
      </c>
      <c r="C986" s="234" t="s">
        <v>12</v>
      </c>
      <c r="D986" s="234" t="s">
        <v>4920</v>
      </c>
      <c r="E986" s="235" t="s">
        <v>3949</v>
      </c>
      <c r="F986" s="244" t="s">
        <v>4914</v>
      </c>
      <c r="G986" s="235" t="s">
        <v>2586</v>
      </c>
      <c r="H986" s="236">
        <v>0.3</v>
      </c>
      <c r="I986" s="236">
        <v>0.3</v>
      </c>
      <c r="J986" s="233">
        <v>1</v>
      </c>
      <c r="K986" s="237"/>
      <c r="L986" s="237" t="s">
        <v>3812</v>
      </c>
      <c r="M986" s="276"/>
      <c r="N986" s="279" t="s">
        <v>25</v>
      </c>
      <c r="O986" t="str">
        <f t="shared" si="16"/>
        <v>2009-S Memorial Penny</v>
      </c>
      <c r="S986" t="str" cm="1">
        <f t="array" ref="S986">_xlfn.REGEXEXTRACT(E986, "[0-9]{1,5}")</f>
        <v>2009</v>
      </c>
      <c r="T986" t="s">
        <v>4215</v>
      </c>
      <c r="U986" t="s">
        <v>3896</v>
      </c>
    </row>
    <row r="987" spans="1:21">
      <c r="A987" s="136">
        <v>1</v>
      </c>
      <c r="B987" s="233">
        <v>2009</v>
      </c>
      <c r="C987" s="234" t="s">
        <v>12</v>
      </c>
      <c r="D987" s="234" t="s">
        <v>4920</v>
      </c>
      <c r="E987" s="235" t="s">
        <v>3950</v>
      </c>
      <c r="F987" s="244" t="s">
        <v>4914</v>
      </c>
      <c r="G987" s="235" t="s">
        <v>2586</v>
      </c>
      <c r="H987" s="236">
        <v>0.3</v>
      </c>
      <c r="I987" s="236">
        <v>0.3</v>
      </c>
      <c r="J987" s="233">
        <v>1</v>
      </c>
      <c r="K987" s="237"/>
      <c r="L987" s="237" t="s">
        <v>3811</v>
      </c>
      <c r="M987" s="276"/>
      <c r="N987" s="279" t="s">
        <v>25</v>
      </c>
      <c r="O987" t="str">
        <f t="shared" si="16"/>
        <v>2009-S Memorial Penny</v>
      </c>
      <c r="S987" t="str" cm="1">
        <f t="array" ref="S987">_xlfn.REGEXEXTRACT(E987, "[0-9]{1,5}")</f>
        <v>2009</v>
      </c>
      <c r="T987" t="s">
        <v>4215</v>
      </c>
      <c r="U987" t="s">
        <v>3896</v>
      </c>
    </row>
    <row r="988" spans="1:21">
      <c r="A988" s="136">
        <v>1</v>
      </c>
      <c r="B988" s="233">
        <v>2009</v>
      </c>
      <c r="C988" s="234" t="s">
        <v>13</v>
      </c>
      <c r="D988" s="234" t="s">
        <v>4920</v>
      </c>
      <c r="E988" s="235" t="s">
        <v>3951</v>
      </c>
      <c r="F988" s="244" t="s">
        <v>4914</v>
      </c>
      <c r="G988" s="235" t="s">
        <v>2586</v>
      </c>
      <c r="H988" s="236">
        <v>0.4</v>
      </c>
      <c r="I988" s="236">
        <v>0.4</v>
      </c>
      <c r="J988" s="233">
        <v>1</v>
      </c>
      <c r="K988" s="237"/>
      <c r="L988" s="237" t="s">
        <v>3952</v>
      </c>
      <c r="M988" s="276"/>
      <c r="N988" s="279" t="s">
        <v>25</v>
      </c>
      <c r="O988" t="str">
        <f t="shared" si="16"/>
        <v>2009-D Memorial Penny</v>
      </c>
      <c r="S988" t="str" cm="1">
        <f t="array" ref="S988">_xlfn.REGEXEXTRACT(E988, "[0-9]{1,5}")</f>
        <v>2009</v>
      </c>
      <c r="T988" t="s">
        <v>4215</v>
      </c>
      <c r="U988" t="s">
        <v>3896</v>
      </c>
    </row>
    <row r="989" spans="1:21">
      <c r="A989" s="136">
        <v>1</v>
      </c>
      <c r="B989" s="233">
        <v>2009</v>
      </c>
      <c r="C989" s="234"/>
      <c r="D989" s="234" t="s">
        <v>4920</v>
      </c>
      <c r="E989" s="235" t="s">
        <v>3953</v>
      </c>
      <c r="F989" s="244" t="s">
        <v>4914</v>
      </c>
      <c r="G989" s="235" t="s">
        <v>2586</v>
      </c>
      <c r="H989" s="236">
        <v>0.4</v>
      </c>
      <c r="I989" s="236">
        <v>0.4</v>
      </c>
      <c r="J989" s="233">
        <v>1</v>
      </c>
      <c r="K989" s="237"/>
      <c r="L989" s="237" t="s">
        <v>3811</v>
      </c>
      <c r="M989" s="276"/>
      <c r="N989" s="279" t="s">
        <v>25</v>
      </c>
      <c r="O989" t="str">
        <f t="shared" si="16"/>
        <v>2009 Memorial Penny</v>
      </c>
      <c r="S989" t="str" cm="1">
        <f t="array" ref="S989">_xlfn.REGEXEXTRACT(E989, "[0-9]{1,5}")</f>
        <v>2009</v>
      </c>
      <c r="T989" t="s">
        <v>4215</v>
      </c>
      <c r="U989" t="s">
        <v>3896</v>
      </c>
    </row>
    <row r="990" spans="1:21">
      <c r="A990" s="136">
        <v>1</v>
      </c>
      <c r="B990" s="233">
        <v>2009</v>
      </c>
      <c r="C990" s="234"/>
      <c r="D990" s="234" t="s">
        <v>4920</v>
      </c>
      <c r="E990" s="235" t="s">
        <v>3954</v>
      </c>
      <c r="F990" s="244" t="s">
        <v>4914</v>
      </c>
      <c r="G990" s="235" t="s">
        <v>2586</v>
      </c>
      <c r="H990" s="236">
        <v>0.4</v>
      </c>
      <c r="I990" s="236">
        <v>0.4</v>
      </c>
      <c r="J990" s="233">
        <v>1</v>
      </c>
      <c r="K990" s="237"/>
      <c r="L990" s="237" t="s">
        <v>3814</v>
      </c>
      <c r="M990" s="276"/>
      <c r="N990" s="279" t="s">
        <v>25</v>
      </c>
      <c r="O990" t="str">
        <f t="shared" si="16"/>
        <v>2009 Memorial Penny</v>
      </c>
      <c r="S990" t="str" cm="1">
        <f t="array" ref="S990">_xlfn.REGEXEXTRACT(E990, "[0-9]{1,5}")</f>
        <v>2009</v>
      </c>
      <c r="T990" t="s">
        <v>4215</v>
      </c>
      <c r="U990" t="s">
        <v>3896</v>
      </c>
    </row>
    <row r="991" spans="1:21">
      <c r="A991" s="136">
        <v>1</v>
      </c>
      <c r="B991" s="233">
        <v>2009</v>
      </c>
      <c r="C991" s="234"/>
      <c r="D991" s="234" t="s">
        <v>4920</v>
      </c>
      <c r="E991" s="235" t="s">
        <v>3955</v>
      </c>
      <c r="F991" s="244" t="s">
        <v>4914</v>
      </c>
      <c r="G991" s="235" t="s">
        <v>2586</v>
      </c>
      <c r="H991" s="236">
        <v>0.4</v>
      </c>
      <c r="I991" s="236">
        <v>0.4</v>
      </c>
      <c r="J991" s="233">
        <v>1</v>
      </c>
      <c r="K991" s="237"/>
      <c r="L991" s="237" t="s">
        <v>3814</v>
      </c>
      <c r="M991" s="276"/>
      <c r="N991" s="279" t="s">
        <v>25</v>
      </c>
      <c r="O991" t="str">
        <f t="shared" si="16"/>
        <v>2009 Memorial Penny</v>
      </c>
      <c r="S991" t="str" cm="1">
        <f t="array" ref="S991">_xlfn.REGEXEXTRACT(E991, "[0-9]{1,5}")</f>
        <v>2009</v>
      </c>
      <c r="T991" t="s">
        <v>4215</v>
      </c>
      <c r="U991" t="s">
        <v>3896</v>
      </c>
    </row>
    <row r="992" spans="1:21">
      <c r="A992" s="136">
        <v>1</v>
      </c>
      <c r="B992" s="233">
        <v>2009</v>
      </c>
      <c r="C992" s="234"/>
      <c r="D992" s="234" t="s">
        <v>4920</v>
      </c>
      <c r="E992" s="235" t="s">
        <v>3956</v>
      </c>
      <c r="F992" s="244" t="s">
        <v>4914</v>
      </c>
      <c r="G992" s="235" t="s">
        <v>2586</v>
      </c>
      <c r="H992" s="236">
        <v>0.3</v>
      </c>
      <c r="I992" s="236">
        <v>0.3</v>
      </c>
      <c r="J992" s="233">
        <v>1</v>
      </c>
      <c r="K992" s="237"/>
      <c r="L992" s="237" t="s">
        <v>3813</v>
      </c>
      <c r="M992" s="276"/>
      <c r="N992" s="279" t="s">
        <v>25</v>
      </c>
      <c r="O992" t="str">
        <f t="shared" si="16"/>
        <v>2009 Memorial Penny</v>
      </c>
      <c r="S992" t="str" cm="1">
        <f t="array" ref="S992">_xlfn.REGEXEXTRACT(E992, "[0-9]{1,5}")</f>
        <v>2009</v>
      </c>
      <c r="T992" t="s">
        <v>4215</v>
      </c>
      <c r="U992" t="s">
        <v>3896</v>
      </c>
    </row>
    <row r="993" spans="1:21">
      <c r="A993" s="136">
        <v>1</v>
      </c>
      <c r="B993" s="233">
        <v>2009</v>
      </c>
      <c r="C993" s="234" t="s">
        <v>25</v>
      </c>
      <c r="D993" s="234" t="s">
        <v>4920</v>
      </c>
      <c r="E993" s="235" t="s">
        <v>3957</v>
      </c>
      <c r="F993" s="244" t="s">
        <v>4914</v>
      </c>
      <c r="G993" s="235" t="s">
        <v>2586</v>
      </c>
      <c r="H993" s="236">
        <v>0.3</v>
      </c>
      <c r="I993" s="236">
        <v>0.3</v>
      </c>
      <c r="J993" s="233">
        <v>1</v>
      </c>
      <c r="K993" s="237"/>
      <c r="L993" s="237" t="s">
        <v>3813</v>
      </c>
      <c r="M993" s="276"/>
      <c r="N993" s="279" t="s">
        <v>25</v>
      </c>
      <c r="O993" t="str">
        <f t="shared" si="16"/>
        <v>2009-P Memorial Penny</v>
      </c>
      <c r="S993" t="str" cm="1">
        <f t="array" ref="S993">_xlfn.REGEXEXTRACT(E993, "[0-9]{1,5}")</f>
        <v>2009</v>
      </c>
      <c r="T993" t="s">
        <v>4215</v>
      </c>
      <c r="U993" t="s">
        <v>3896</v>
      </c>
    </row>
    <row r="994" spans="1:21">
      <c r="A994" s="136">
        <v>1</v>
      </c>
      <c r="B994" s="233">
        <v>2010</v>
      </c>
      <c r="C994" s="234"/>
      <c r="D994" s="234" t="s">
        <v>4920</v>
      </c>
      <c r="E994" s="235" t="s">
        <v>3598</v>
      </c>
      <c r="F994" s="235" t="s">
        <v>4951</v>
      </c>
      <c r="G994" s="235" t="s">
        <v>2579</v>
      </c>
      <c r="H994" s="236">
        <v>0.01</v>
      </c>
      <c r="I994" s="236">
        <v>0.01</v>
      </c>
      <c r="J994" s="233">
        <v>1</v>
      </c>
      <c r="K994" s="237" t="s">
        <v>1183</v>
      </c>
      <c r="L994" s="235"/>
      <c r="M994" s="276"/>
      <c r="N994" s="279" t="s">
        <v>25</v>
      </c>
      <c r="O994" t="str">
        <f t="shared" si="16"/>
        <v>2010 Shield Penny</v>
      </c>
      <c r="S994" t="str" cm="1">
        <f t="array" ref="S994">_xlfn.REGEXEXTRACT(E994, "[0-9]{1,5}")</f>
        <v>2010</v>
      </c>
      <c r="T994" t="s">
        <v>4216</v>
      </c>
      <c r="U994" t="s">
        <v>3896</v>
      </c>
    </row>
    <row r="995" spans="1:21">
      <c r="A995" s="136">
        <v>1</v>
      </c>
      <c r="B995" s="233">
        <v>2010</v>
      </c>
      <c r="C995" s="234"/>
      <c r="D995" s="234" t="s">
        <v>4920</v>
      </c>
      <c r="E995" s="235" t="s">
        <v>3599</v>
      </c>
      <c r="F995" s="235" t="s">
        <v>4951</v>
      </c>
      <c r="G995" s="235" t="s">
        <v>2579</v>
      </c>
      <c r="H995" s="236">
        <v>0.25</v>
      </c>
      <c r="I995" s="236">
        <v>0.25</v>
      </c>
      <c r="J995" s="233">
        <v>1</v>
      </c>
      <c r="K995" s="237" t="s">
        <v>1183</v>
      </c>
      <c r="L995" s="235"/>
      <c r="M995" s="276"/>
      <c r="N995" s="279" t="s">
        <v>25</v>
      </c>
      <c r="O995" t="str">
        <f t="shared" si="16"/>
        <v>2010 Shield Penny</v>
      </c>
      <c r="S995" t="str" cm="1">
        <f t="array" ref="S995">_xlfn.REGEXEXTRACT(E995, "[0-9]{1,5}")</f>
        <v>2010</v>
      </c>
      <c r="T995" t="s">
        <v>4216</v>
      </c>
      <c r="U995" t="s">
        <v>3896</v>
      </c>
    </row>
    <row r="996" spans="1:21">
      <c r="A996" s="136">
        <v>1</v>
      </c>
      <c r="B996" s="233">
        <v>2010</v>
      </c>
      <c r="C996" s="234" t="s">
        <v>13</v>
      </c>
      <c r="D996" s="234" t="s">
        <v>4920</v>
      </c>
      <c r="E996" s="235" t="s">
        <v>3600</v>
      </c>
      <c r="F996" s="235" t="s">
        <v>4951</v>
      </c>
      <c r="G996" s="235" t="s">
        <v>2579</v>
      </c>
      <c r="H996" s="236">
        <v>0.2</v>
      </c>
      <c r="I996" s="236">
        <v>0.2</v>
      </c>
      <c r="J996" s="233">
        <v>1</v>
      </c>
      <c r="K996" s="237" t="s">
        <v>1183</v>
      </c>
      <c r="L996" s="235"/>
      <c r="M996" s="276"/>
      <c r="N996" s="279" t="s">
        <v>25</v>
      </c>
      <c r="O996" t="str">
        <f t="shared" si="16"/>
        <v>2010-D Shield Penny</v>
      </c>
      <c r="S996" t="str" cm="1">
        <f t="array" ref="S996">_xlfn.REGEXEXTRACT(E996, "[0-9]{1,5}")</f>
        <v>2010</v>
      </c>
      <c r="T996" t="s">
        <v>4216</v>
      </c>
      <c r="U996" t="s">
        <v>3896</v>
      </c>
    </row>
    <row r="997" spans="1:21">
      <c r="A997" s="136">
        <v>1</v>
      </c>
      <c r="B997" s="233">
        <v>2010</v>
      </c>
      <c r="C997" s="234" t="s">
        <v>13</v>
      </c>
      <c r="D997" s="234" t="s">
        <v>4920</v>
      </c>
      <c r="E997" s="235" t="s">
        <v>3601</v>
      </c>
      <c r="F997" s="235" t="s">
        <v>4951</v>
      </c>
      <c r="G997" s="235" t="s">
        <v>2579</v>
      </c>
      <c r="H997" s="236">
        <v>0.25</v>
      </c>
      <c r="I997" s="236">
        <v>0.25</v>
      </c>
      <c r="J997" s="233">
        <v>1</v>
      </c>
      <c r="K997" s="237" t="s">
        <v>1183</v>
      </c>
      <c r="L997" s="235"/>
      <c r="M997" s="276"/>
      <c r="N997" s="279" t="s">
        <v>25</v>
      </c>
      <c r="O997" t="str">
        <f t="shared" si="16"/>
        <v>2010-D Shield Penny</v>
      </c>
      <c r="S997" t="str" cm="1">
        <f t="array" ref="S997">_xlfn.REGEXEXTRACT(E997, "[0-9]{1,5}")</f>
        <v>2010</v>
      </c>
      <c r="T997" t="s">
        <v>4216</v>
      </c>
      <c r="U997" t="s">
        <v>3896</v>
      </c>
    </row>
    <row r="998" spans="1:21">
      <c r="A998" s="136">
        <v>1</v>
      </c>
      <c r="B998" s="233">
        <v>2010</v>
      </c>
      <c r="C998" s="234" t="s">
        <v>12</v>
      </c>
      <c r="D998" s="234" t="s">
        <v>4920</v>
      </c>
      <c r="E998" s="235" t="s">
        <v>3602</v>
      </c>
      <c r="F998" s="235" t="s">
        <v>5208</v>
      </c>
      <c r="G998" s="235" t="s">
        <v>2584</v>
      </c>
      <c r="H998" s="236">
        <v>2.5</v>
      </c>
      <c r="I998" s="236">
        <v>2.5</v>
      </c>
      <c r="J998" s="233">
        <v>1</v>
      </c>
      <c r="K998" s="237" t="s">
        <v>3755</v>
      </c>
      <c r="L998" s="235"/>
      <c r="M998" s="276"/>
      <c r="N998" s="279" t="s">
        <v>25</v>
      </c>
      <c r="O998" t="str">
        <f t="shared" si="16"/>
        <v>2010-S Shield Penny Proof</v>
      </c>
      <c r="S998" t="str" cm="1">
        <f t="array" ref="S998">_xlfn.REGEXEXTRACT(E998, "[0-9]{1,5}")</f>
        <v>2010</v>
      </c>
      <c r="T998" t="s">
        <v>4216</v>
      </c>
      <c r="U998" t="s">
        <v>3896</v>
      </c>
    </row>
    <row r="999" spans="1:21">
      <c r="A999" s="136">
        <v>1</v>
      </c>
      <c r="B999" s="233">
        <v>2010</v>
      </c>
      <c r="C999" s="234" t="s">
        <v>12</v>
      </c>
      <c r="D999" s="234" t="s">
        <v>4920</v>
      </c>
      <c r="E999" s="235" t="s">
        <v>3603</v>
      </c>
      <c r="F999" s="235" t="s">
        <v>5208</v>
      </c>
      <c r="G999" s="235" t="s">
        <v>2584</v>
      </c>
      <c r="H999" s="236">
        <v>2.5</v>
      </c>
      <c r="I999" s="236">
        <v>2.5</v>
      </c>
      <c r="J999" s="233">
        <v>1</v>
      </c>
      <c r="K999" s="237" t="s">
        <v>3755</v>
      </c>
      <c r="L999" s="235"/>
      <c r="M999" s="276"/>
      <c r="N999" s="279" t="s">
        <v>25</v>
      </c>
      <c r="O999" t="str">
        <f t="shared" si="16"/>
        <v>2010-S Shield Penny Proof</v>
      </c>
      <c r="S999" t="str" cm="1">
        <f t="array" ref="S999">_xlfn.REGEXEXTRACT(E999, "[0-9]{1,5}")</f>
        <v>2010</v>
      </c>
      <c r="T999" t="s">
        <v>4216</v>
      </c>
      <c r="U999" t="s">
        <v>3896</v>
      </c>
    </row>
    <row r="1000" spans="1:21">
      <c r="A1000" s="136">
        <v>1</v>
      </c>
      <c r="B1000" s="233">
        <v>2011</v>
      </c>
      <c r="C1000" s="234"/>
      <c r="D1000" s="234" t="s">
        <v>4920</v>
      </c>
      <c r="E1000" s="235" t="s">
        <v>3604</v>
      </c>
      <c r="F1000" s="235" t="s">
        <v>4951</v>
      </c>
      <c r="G1000" s="235" t="s">
        <v>2579</v>
      </c>
      <c r="H1000" s="236">
        <v>0.03</v>
      </c>
      <c r="I1000" s="236">
        <v>0.03</v>
      </c>
      <c r="J1000" s="233">
        <v>3</v>
      </c>
      <c r="K1000" s="237" t="s">
        <v>1183</v>
      </c>
      <c r="L1000" s="235"/>
      <c r="M1000" s="276"/>
      <c r="N1000" s="279" t="s">
        <v>25</v>
      </c>
      <c r="O1000" t="str">
        <f t="shared" si="16"/>
        <v>2011 Shield Penny</v>
      </c>
      <c r="S1000" t="str" cm="1">
        <f t="array" ref="S1000">_xlfn.REGEXEXTRACT(E1000, "[0-9]{1,5}")</f>
        <v>2011</v>
      </c>
      <c r="T1000" t="s">
        <v>4217</v>
      </c>
      <c r="U1000" t="s">
        <v>3896</v>
      </c>
    </row>
    <row r="1001" spans="1:21">
      <c r="A1001" s="136">
        <v>1</v>
      </c>
      <c r="B1001" s="233">
        <v>2011</v>
      </c>
      <c r="C1001" s="234">
        <v>9</v>
      </c>
      <c r="D1001" s="234" t="s">
        <v>4920</v>
      </c>
      <c r="E1001" s="235" t="s">
        <v>3605</v>
      </c>
      <c r="F1001" s="235" t="s">
        <v>4951</v>
      </c>
      <c r="G1001" s="235" t="s">
        <v>2579</v>
      </c>
      <c r="H1001" s="236">
        <v>0.03</v>
      </c>
      <c r="I1001" s="236">
        <v>0.03</v>
      </c>
      <c r="J1001" s="233">
        <v>3</v>
      </c>
      <c r="K1001" s="237" t="s">
        <v>1183</v>
      </c>
      <c r="L1001" s="235"/>
      <c r="M1001" s="276"/>
      <c r="N1001" s="279" t="s">
        <v>25</v>
      </c>
      <c r="O1001" t="str">
        <f t="shared" si="16"/>
        <v>2011-9 Shield Penny</v>
      </c>
      <c r="S1001" t="str" cm="1">
        <f t="array" ref="S1001">_xlfn.REGEXEXTRACT(E1001, "[0-9]{1,5}")</f>
        <v>2011</v>
      </c>
      <c r="T1001" t="s">
        <v>4217</v>
      </c>
      <c r="U1001" t="s">
        <v>3896</v>
      </c>
    </row>
    <row r="1002" spans="1:21">
      <c r="A1002" s="136">
        <v>1</v>
      </c>
      <c r="B1002" s="233">
        <v>2011</v>
      </c>
      <c r="C1002" s="234" t="s">
        <v>13</v>
      </c>
      <c r="D1002" s="234" t="s">
        <v>4920</v>
      </c>
      <c r="E1002" s="235" t="s">
        <v>3606</v>
      </c>
      <c r="F1002" s="235" t="s">
        <v>4951</v>
      </c>
      <c r="G1002" s="235" t="s">
        <v>2579</v>
      </c>
      <c r="H1002" s="236">
        <v>0.25</v>
      </c>
      <c r="I1002" s="236">
        <v>0.25</v>
      </c>
      <c r="J1002" s="233">
        <v>1</v>
      </c>
      <c r="K1002" s="237" t="s">
        <v>1183</v>
      </c>
      <c r="L1002" s="235"/>
      <c r="M1002" s="276"/>
      <c r="N1002" s="279" t="s">
        <v>25</v>
      </c>
      <c r="O1002" t="str">
        <f t="shared" si="16"/>
        <v>2011-D Shield Penny</v>
      </c>
      <c r="S1002" t="str" cm="1">
        <f t="array" ref="S1002">_xlfn.REGEXEXTRACT(E1002, "[0-9]{1,5}")</f>
        <v>2011</v>
      </c>
      <c r="T1002" t="s">
        <v>4217</v>
      </c>
      <c r="U1002" t="s">
        <v>3896</v>
      </c>
    </row>
    <row r="1003" spans="1:21">
      <c r="A1003" s="136">
        <v>1</v>
      </c>
      <c r="B1003" s="233">
        <v>2011</v>
      </c>
      <c r="C1003" s="234" t="s">
        <v>13</v>
      </c>
      <c r="D1003" s="234" t="s">
        <v>4920</v>
      </c>
      <c r="E1003" s="235" t="s">
        <v>3607</v>
      </c>
      <c r="F1003" s="235" t="s">
        <v>4951</v>
      </c>
      <c r="G1003" s="235" t="s">
        <v>2579</v>
      </c>
      <c r="H1003" s="236">
        <v>0.25</v>
      </c>
      <c r="I1003" s="236">
        <v>0.25</v>
      </c>
      <c r="J1003" s="233">
        <v>1</v>
      </c>
      <c r="K1003" s="237" t="s">
        <v>1183</v>
      </c>
      <c r="L1003" s="235"/>
      <c r="M1003" s="276"/>
      <c r="N1003" s="279" t="s">
        <v>25</v>
      </c>
      <c r="O1003" t="str">
        <f t="shared" si="16"/>
        <v>2011-D Shield Penny</v>
      </c>
      <c r="S1003" t="str" cm="1">
        <f t="array" ref="S1003">_xlfn.REGEXEXTRACT(E1003, "[0-9]{1,5}")</f>
        <v>2011</v>
      </c>
      <c r="T1003" t="s">
        <v>4217</v>
      </c>
      <c r="U1003" t="s">
        <v>3896</v>
      </c>
    </row>
    <row r="1004" spans="1:21">
      <c r="A1004" s="136">
        <v>1</v>
      </c>
      <c r="B1004" s="233">
        <v>2011</v>
      </c>
      <c r="C1004" s="234" t="s">
        <v>12</v>
      </c>
      <c r="D1004" s="234" t="s">
        <v>4920</v>
      </c>
      <c r="E1004" s="235" t="s">
        <v>3608</v>
      </c>
      <c r="F1004" s="235" t="s">
        <v>5208</v>
      </c>
      <c r="G1004" s="235" t="s">
        <v>2584</v>
      </c>
      <c r="H1004" s="236">
        <v>4</v>
      </c>
      <c r="I1004" s="236">
        <v>4</v>
      </c>
      <c r="J1004" s="233">
        <v>1</v>
      </c>
      <c r="K1004" s="237" t="s">
        <v>3755</v>
      </c>
      <c r="L1004" s="235"/>
      <c r="M1004" s="276"/>
      <c r="N1004" s="279" t="s">
        <v>25</v>
      </c>
      <c r="O1004" t="str">
        <f t="shared" si="16"/>
        <v>2011-S Shield Penny Proof</v>
      </c>
      <c r="S1004" t="str" cm="1">
        <f t="array" ref="S1004">_xlfn.REGEXEXTRACT(E1004, "[0-9]{1,5}")</f>
        <v>2011</v>
      </c>
      <c r="T1004" t="s">
        <v>4217</v>
      </c>
      <c r="U1004" t="s">
        <v>3896</v>
      </c>
    </row>
    <row r="1005" spans="1:21">
      <c r="A1005" s="136">
        <v>1</v>
      </c>
      <c r="B1005" s="233">
        <v>2011</v>
      </c>
      <c r="C1005" s="234" t="s">
        <v>12</v>
      </c>
      <c r="D1005" s="234" t="s">
        <v>4920</v>
      </c>
      <c r="E1005" s="235" t="s">
        <v>3609</v>
      </c>
      <c r="F1005" s="235" t="s">
        <v>5208</v>
      </c>
      <c r="G1005" s="235" t="s">
        <v>2584</v>
      </c>
      <c r="H1005" s="236">
        <v>4</v>
      </c>
      <c r="I1005" s="236">
        <v>4</v>
      </c>
      <c r="J1005" s="233">
        <v>1</v>
      </c>
      <c r="K1005" s="237" t="s">
        <v>3755</v>
      </c>
      <c r="L1005" s="235"/>
      <c r="M1005" s="276"/>
      <c r="N1005" s="279" t="s">
        <v>25</v>
      </c>
      <c r="O1005" t="str">
        <f t="shared" si="16"/>
        <v>2011-S Shield Penny Proof</v>
      </c>
      <c r="S1005" t="str" cm="1">
        <f t="array" ref="S1005">_xlfn.REGEXEXTRACT(E1005, "[0-9]{1,5}")</f>
        <v>2011</v>
      </c>
      <c r="T1005" t="s">
        <v>4217</v>
      </c>
      <c r="U1005" t="s">
        <v>3896</v>
      </c>
    </row>
    <row r="1006" spans="1:21">
      <c r="A1006" s="136">
        <v>1</v>
      </c>
      <c r="B1006" s="233">
        <v>2012</v>
      </c>
      <c r="C1006" s="234"/>
      <c r="D1006" s="234" t="s">
        <v>4920</v>
      </c>
      <c r="E1006" s="235" t="s">
        <v>3610</v>
      </c>
      <c r="F1006" s="235" t="s">
        <v>4951</v>
      </c>
      <c r="G1006" s="235" t="s">
        <v>2579</v>
      </c>
      <c r="H1006" s="236">
        <v>0.03</v>
      </c>
      <c r="I1006" s="236">
        <v>0.03</v>
      </c>
      <c r="J1006" s="233">
        <v>3</v>
      </c>
      <c r="K1006" s="237" t="s">
        <v>1183</v>
      </c>
      <c r="L1006" s="235"/>
      <c r="M1006" s="276"/>
      <c r="N1006" s="279" t="s">
        <v>25</v>
      </c>
      <c r="O1006" t="str">
        <f t="shared" si="16"/>
        <v>2012 Shield Penny</v>
      </c>
      <c r="S1006" t="str" cm="1">
        <f t="array" ref="S1006">_xlfn.REGEXEXTRACT(E1006, "[0-9]{1,5}")</f>
        <v>2012</v>
      </c>
      <c r="T1006" t="s">
        <v>4218</v>
      </c>
      <c r="U1006" t="s">
        <v>3896</v>
      </c>
    </row>
    <row r="1007" spans="1:21">
      <c r="A1007" s="136">
        <v>1</v>
      </c>
      <c r="B1007" s="233">
        <v>2012</v>
      </c>
      <c r="C1007" s="234"/>
      <c r="D1007" s="234" t="s">
        <v>4920</v>
      </c>
      <c r="E1007" s="235" t="s">
        <v>3611</v>
      </c>
      <c r="F1007" s="235" t="s">
        <v>4951</v>
      </c>
      <c r="G1007" s="235" t="s">
        <v>2579</v>
      </c>
      <c r="H1007" s="236">
        <v>0.03</v>
      </c>
      <c r="I1007" s="236">
        <v>0.03</v>
      </c>
      <c r="J1007" s="233">
        <v>3</v>
      </c>
      <c r="K1007" s="237" t="s">
        <v>1183</v>
      </c>
      <c r="L1007" s="235"/>
      <c r="M1007" s="276"/>
      <c r="N1007" s="279" t="s">
        <v>25</v>
      </c>
      <c r="O1007" t="str">
        <f t="shared" si="16"/>
        <v>2012 Shield Penny</v>
      </c>
      <c r="S1007" t="str" cm="1">
        <f t="array" ref="S1007">_xlfn.REGEXEXTRACT(E1007, "[0-9]{1,5}")</f>
        <v>2012</v>
      </c>
      <c r="T1007" t="s">
        <v>4218</v>
      </c>
      <c r="U1007" t="s">
        <v>3896</v>
      </c>
    </row>
    <row r="1008" spans="1:21">
      <c r="A1008" s="136">
        <v>1</v>
      </c>
      <c r="B1008" s="233">
        <v>2012</v>
      </c>
      <c r="C1008" s="234"/>
      <c r="D1008" s="234" t="s">
        <v>4920</v>
      </c>
      <c r="E1008" s="235" t="s">
        <v>3612</v>
      </c>
      <c r="F1008" s="235" t="s">
        <v>4951</v>
      </c>
      <c r="G1008" s="235" t="s">
        <v>2579</v>
      </c>
      <c r="H1008" s="236">
        <v>0.03</v>
      </c>
      <c r="I1008" s="236">
        <v>0.03</v>
      </c>
      <c r="J1008" s="233">
        <v>1</v>
      </c>
      <c r="K1008" s="237" t="s">
        <v>1183</v>
      </c>
      <c r="L1008" s="235"/>
      <c r="M1008" s="276"/>
      <c r="N1008" s="279" t="s">
        <v>25</v>
      </c>
      <c r="O1008" t="str">
        <f t="shared" si="16"/>
        <v>2012 Shield Penny</v>
      </c>
      <c r="S1008" t="str" cm="1">
        <f t="array" ref="S1008">_xlfn.REGEXEXTRACT(E1008, "[0-9]{1,5}")</f>
        <v>2012</v>
      </c>
      <c r="T1008" t="s">
        <v>4218</v>
      </c>
      <c r="U1008" t="s">
        <v>3896</v>
      </c>
    </row>
    <row r="1009" spans="1:21">
      <c r="A1009" s="136">
        <v>1</v>
      </c>
      <c r="B1009" s="233">
        <v>2012</v>
      </c>
      <c r="C1009" s="234"/>
      <c r="D1009" s="234" t="s">
        <v>4920</v>
      </c>
      <c r="E1009" s="235" t="s">
        <v>3613</v>
      </c>
      <c r="F1009" s="235" t="s">
        <v>4951</v>
      </c>
      <c r="G1009" s="235" t="s">
        <v>2579</v>
      </c>
      <c r="H1009" s="236">
        <v>0.03</v>
      </c>
      <c r="I1009" s="236">
        <v>0.03</v>
      </c>
      <c r="J1009" s="233">
        <v>1</v>
      </c>
      <c r="K1009" s="237" t="s">
        <v>1183</v>
      </c>
      <c r="L1009" s="235"/>
      <c r="M1009" s="276"/>
      <c r="N1009" s="279" t="s">
        <v>25</v>
      </c>
      <c r="O1009" t="str">
        <f t="shared" si="16"/>
        <v>2012 Shield Penny</v>
      </c>
      <c r="S1009" t="str" cm="1">
        <f t="array" ref="S1009">_xlfn.REGEXEXTRACT(E1009, "[0-9]{1,5}")</f>
        <v>2012</v>
      </c>
      <c r="T1009" t="s">
        <v>4218</v>
      </c>
      <c r="U1009" t="s">
        <v>3896</v>
      </c>
    </row>
    <row r="1010" spans="1:21">
      <c r="A1010" s="136">
        <v>1</v>
      </c>
      <c r="B1010" s="233">
        <v>2012</v>
      </c>
      <c r="C1010" s="234" t="s">
        <v>13</v>
      </c>
      <c r="D1010" s="234" t="s">
        <v>4920</v>
      </c>
      <c r="E1010" s="235" t="s">
        <v>3614</v>
      </c>
      <c r="F1010" s="235" t="s">
        <v>4951</v>
      </c>
      <c r="G1010" s="235" t="s">
        <v>2579</v>
      </c>
      <c r="H1010" s="236">
        <v>0.03</v>
      </c>
      <c r="I1010" s="236">
        <v>0.03</v>
      </c>
      <c r="J1010" s="233">
        <v>1</v>
      </c>
      <c r="K1010" s="237" t="s">
        <v>1183</v>
      </c>
      <c r="L1010" s="235"/>
      <c r="M1010" s="276"/>
      <c r="N1010" s="279" t="s">
        <v>25</v>
      </c>
      <c r="O1010" t="str">
        <f t="shared" si="16"/>
        <v>2012-D Shield Penny</v>
      </c>
      <c r="S1010" t="str" cm="1">
        <f t="array" ref="S1010">_xlfn.REGEXEXTRACT(E1010, "[0-9]{1,5}")</f>
        <v>2012</v>
      </c>
      <c r="T1010" t="s">
        <v>4218</v>
      </c>
      <c r="U1010" t="s">
        <v>3896</v>
      </c>
    </row>
    <row r="1011" spans="1:21">
      <c r="A1011" s="136">
        <v>1</v>
      </c>
      <c r="B1011" s="233">
        <v>2012</v>
      </c>
      <c r="C1011" s="234" t="s">
        <v>12</v>
      </c>
      <c r="D1011" s="234" t="s">
        <v>4920</v>
      </c>
      <c r="E1011" s="235" t="s">
        <v>3615</v>
      </c>
      <c r="F1011" s="235" t="s">
        <v>5208</v>
      </c>
      <c r="G1011" s="235" t="s">
        <v>2584</v>
      </c>
      <c r="H1011" s="236">
        <v>6</v>
      </c>
      <c r="I1011" s="236">
        <v>6</v>
      </c>
      <c r="J1011" s="233">
        <v>1</v>
      </c>
      <c r="K1011" s="237" t="s">
        <v>3755</v>
      </c>
      <c r="L1011" s="235"/>
      <c r="M1011" s="276"/>
      <c r="N1011" s="279" t="s">
        <v>25</v>
      </c>
      <c r="O1011" t="str">
        <f t="shared" si="16"/>
        <v>2012-S Shield Penny Proof</v>
      </c>
      <c r="S1011" t="str" cm="1">
        <f t="array" ref="S1011">_xlfn.REGEXEXTRACT(E1011, "[0-9]{1,5}")</f>
        <v>2012</v>
      </c>
      <c r="T1011" t="s">
        <v>4218</v>
      </c>
      <c r="U1011" t="s">
        <v>3896</v>
      </c>
    </row>
    <row r="1012" spans="1:21">
      <c r="A1012" s="136">
        <v>1</v>
      </c>
      <c r="B1012" s="233">
        <v>2012</v>
      </c>
      <c r="C1012" s="234" t="s">
        <v>12</v>
      </c>
      <c r="D1012" s="234" t="s">
        <v>4920</v>
      </c>
      <c r="E1012" s="235" t="s">
        <v>3616</v>
      </c>
      <c r="F1012" s="235" t="s">
        <v>5208</v>
      </c>
      <c r="G1012" s="235" t="s">
        <v>2584</v>
      </c>
      <c r="H1012" s="236">
        <v>6</v>
      </c>
      <c r="I1012" s="236">
        <v>6</v>
      </c>
      <c r="J1012" s="233">
        <v>1</v>
      </c>
      <c r="K1012" s="237" t="s">
        <v>3755</v>
      </c>
      <c r="L1012" s="235"/>
      <c r="M1012" s="276"/>
      <c r="N1012" s="279" t="s">
        <v>25</v>
      </c>
      <c r="O1012" t="str">
        <f t="shared" si="16"/>
        <v>2012-S Shield Penny Proof</v>
      </c>
      <c r="S1012" t="str" cm="1">
        <f t="array" ref="S1012">_xlfn.REGEXEXTRACT(E1012, "[0-9]{1,5}")</f>
        <v>2012</v>
      </c>
      <c r="T1012" t="s">
        <v>4218</v>
      </c>
      <c r="U1012" t="s">
        <v>3896</v>
      </c>
    </row>
    <row r="1013" spans="1:21">
      <c r="A1013" s="136">
        <v>1</v>
      </c>
      <c r="B1013" s="233">
        <v>2012</v>
      </c>
      <c r="C1013" s="234" t="s">
        <v>13</v>
      </c>
      <c r="D1013" s="234" t="s">
        <v>4920</v>
      </c>
      <c r="E1013" s="235" t="s">
        <v>3617</v>
      </c>
      <c r="F1013" s="235" t="s">
        <v>4951</v>
      </c>
      <c r="G1013" s="235" t="s">
        <v>2579</v>
      </c>
      <c r="H1013" s="236">
        <v>0.6</v>
      </c>
      <c r="I1013" s="236">
        <v>0.34</v>
      </c>
      <c r="J1013" s="233">
        <v>1</v>
      </c>
      <c r="K1013" s="237"/>
      <c r="L1013" s="235"/>
      <c r="M1013" s="276"/>
      <c r="N1013" s="279" t="s">
        <v>25</v>
      </c>
      <c r="O1013" t="str">
        <f t="shared" si="16"/>
        <v>2012-D Shield Penny</v>
      </c>
      <c r="S1013" t="str" cm="1">
        <f t="array" ref="S1013">_xlfn.REGEXEXTRACT(E1013, "[0-9]{1,5}")</f>
        <v>2012</v>
      </c>
      <c r="T1013" t="s">
        <v>4218</v>
      </c>
      <c r="U1013" t="s">
        <v>3896</v>
      </c>
    </row>
    <row r="1014" spans="1:21">
      <c r="A1014" s="136">
        <v>1</v>
      </c>
      <c r="B1014" s="233">
        <v>2013</v>
      </c>
      <c r="C1014" s="234"/>
      <c r="D1014" s="234" t="s">
        <v>4920</v>
      </c>
      <c r="E1014" s="235" t="s">
        <v>3618</v>
      </c>
      <c r="F1014" s="235" t="s">
        <v>4951</v>
      </c>
      <c r="G1014" s="235" t="s">
        <v>2579</v>
      </c>
      <c r="H1014" s="236">
        <v>0.03</v>
      </c>
      <c r="I1014" s="236">
        <v>0.03</v>
      </c>
      <c r="J1014" s="233">
        <v>3</v>
      </c>
      <c r="K1014" s="237"/>
      <c r="L1014" s="235"/>
      <c r="M1014" s="276"/>
      <c r="N1014" s="279" t="s">
        <v>25</v>
      </c>
      <c r="O1014" t="str">
        <f t="shared" si="16"/>
        <v>2013 Shield Penny</v>
      </c>
      <c r="S1014" t="str" cm="1">
        <f t="array" ref="S1014">_xlfn.REGEXEXTRACT(E1014, "[0-9]{1,5}")</f>
        <v>2013</v>
      </c>
      <c r="T1014" t="s">
        <v>4219</v>
      </c>
      <c r="U1014" t="s">
        <v>3896</v>
      </c>
    </row>
    <row r="1015" spans="1:21">
      <c r="A1015" s="136">
        <v>1</v>
      </c>
      <c r="B1015" s="233">
        <v>2013</v>
      </c>
      <c r="C1015" s="234"/>
      <c r="D1015" s="234" t="s">
        <v>4920</v>
      </c>
      <c r="E1015" s="235" t="s">
        <v>3619</v>
      </c>
      <c r="F1015" s="235" t="s">
        <v>4951</v>
      </c>
      <c r="G1015" s="235" t="s">
        <v>2579</v>
      </c>
      <c r="H1015" s="236">
        <v>0.03</v>
      </c>
      <c r="I1015" s="236">
        <v>0.03</v>
      </c>
      <c r="J1015" s="233">
        <v>3</v>
      </c>
      <c r="K1015" s="237"/>
      <c r="L1015" s="235"/>
      <c r="M1015" s="276"/>
      <c r="N1015" s="279" t="s">
        <v>25</v>
      </c>
      <c r="O1015" t="str">
        <f t="shared" si="16"/>
        <v>2013 Shield Penny</v>
      </c>
      <c r="S1015" t="str" cm="1">
        <f t="array" ref="S1015">_xlfn.REGEXEXTRACT(E1015, "[0-9]{1,5}")</f>
        <v>2013</v>
      </c>
      <c r="T1015" t="s">
        <v>4219</v>
      </c>
      <c r="U1015" t="s">
        <v>3896</v>
      </c>
    </row>
    <row r="1016" spans="1:21">
      <c r="A1016" s="136">
        <v>1</v>
      </c>
      <c r="B1016" s="233">
        <v>2013</v>
      </c>
      <c r="C1016" s="234"/>
      <c r="D1016" s="234" t="s">
        <v>4920</v>
      </c>
      <c r="E1016" s="235" t="s">
        <v>3620</v>
      </c>
      <c r="F1016" s="235" t="s">
        <v>4951</v>
      </c>
      <c r="G1016" s="235" t="s">
        <v>2579</v>
      </c>
      <c r="H1016" s="236">
        <v>0.03</v>
      </c>
      <c r="I1016" s="236">
        <v>0.03</v>
      </c>
      <c r="J1016" s="233">
        <v>3</v>
      </c>
      <c r="K1016" s="237"/>
      <c r="L1016" s="235"/>
      <c r="M1016" s="276"/>
      <c r="N1016" s="279" t="s">
        <v>25</v>
      </c>
      <c r="O1016" t="str">
        <f t="shared" si="16"/>
        <v>2013 Shield Penny</v>
      </c>
      <c r="S1016" t="str" cm="1">
        <f t="array" ref="S1016">_xlfn.REGEXEXTRACT(E1016, "[0-9]{1,5}")</f>
        <v>2013</v>
      </c>
      <c r="T1016" t="s">
        <v>4219</v>
      </c>
      <c r="U1016" t="s">
        <v>3896</v>
      </c>
    </row>
    <row r="1017" spans="1:21">
      <c r="A1017" s="136">
        <v>1</v>
      </c>
      <c r="B1017" s="233">
        <v>2013</v>
      </c>
      <c r="C1017" s="234"/>
      <c r="D1017" s="234" t="s">
        <v>4920</v>
      </c>
      <c r="E1017" s="235" t="s">
        <v>3621</v>
      </c>
      <c r="F1017" s="235" t="s">
        <v>4951</v>
      </c>
      <c r="G1017" s="235" t="s">
        <v>2579</v>
      </c>
      <c r="H1017" s="236">
        <v>0.01</v>
      </c>
      <c r="I1017" s="236">
        <v>0.01</v>
      </c>
      <c r="J1017" s="233">
        <v>1</v>
      </c>
      <c r="K1017" s="237"/>
      <c r="L1017" s="235"/>
      <c r="M1017" s="276"/>
      <c r="N1017" s="279" t="s">
        <v>25</v>
      </c>
      <c r="O1017" t="str">
        <f t="shared" si="16"/>
        <v>2013 Shield Penny</v>
      </c>
      <c r="S1017" t="str" cm="1">
        <f t="array" ref="S1017">_xlfn.REGEXEXTRACT(E1017, "[0-9]{1,5}")</f>
        <v>2013</v>
      </c>
      <c r="T1017" t="s">
        <v>4219</v>
      </c>
      <c r="U1017" t="s">
        <v>3896</v>
      </c>
    </row>
    <row r="1018" spans="1:21">
      <c r="A1018" s="136">
        <v>1</v>
      </c>
      <c r="B1018" s="233">
        <v>2013</v>
      </c>
      <c r="C1018" s="234"/>
      <c r="D1018" s="234" t="s">
        <v>4920</v>
      </c>
      <c r="E1018" s="235" t="s">
        <v>3622</v>
      </c>
      <c r="F1018" s="235" t="s">
        <v>4951</v>
      </c>
      <c r="G1018" s="235" t="s">
        <v>2579</v>
      </c>
      <c r="H1018" s="236">
        <v>0.01</v>
      </c>
      <c r="I1018" s="236">
        <v>0.01</v>
      </c>
      <c r="J1018" s="233">
        <v>1</v>
      </c>
      <c r="K1018" s="237"/>
      <c r="L1018" s="235"/>
      <c r="M1018" s="276"/>
      <c r="N1018" s="279" t="s">
        <v>25</v>
      </c>
      <c r="O1018" t="str">
        <f t="shared" si="16"/>
        <v>2013 Shield Penny</v>
      </c>
      <c r="S1018" t="str" cm="1">
        <f t="array" ref="S1018">_xlfn.REGEXEXTRACT(E1018, "[0-9]{1,5}")</f>
        <v>2013</v>
      </c>
      <c r="T1018" t="s">
        <v>4219</v>
      </c>
      <c r="U1018" t="s">
        <v>3896</v>
      </c>
    </row>
    <row r="1019" spans="1:21">
      <c r="A1019" s="136">
        <v>1</v>
      </c>
      <c r="B1019" s="233">
        <v>2013</v>
      </c>
      <c r="C1019" s="234" t="s">
        <v>13</v>
      </c>
      <c r="D1019" s="234" t="s">
        <v>4920</v>
      </c>
      <c r="E1019" s="235" t="s">
        <v>3623</v>
      </c>
      <c r="F1019" s="235" t="s">
        <v>4951</v>
      </c>
      <c r="G1019" s="235" t="s">
        <v>2579</v>
      </c>
      <c r="H1019" s="236">
        <v>0.01</v>
      </c>
      <c r="I1019" s="236">
        <v>0.01</v>
      </c>
      <c r="J1019" s="233">
        <v>1</v>
      </c>
      <c r="K1019" s="237"/>
      <c r="L1019" s="235"/>
      <c r="M1019" s="276"/>
      <c r="N1019" s="279" t="s">
        <v>25</v>
      </c>
      <c r="O1019" t="str">
        <f t="shared" si="16"/>
        <v>2013-D Shield Penny</v>
      </c>
      <c r="S1019" t="str" cm="1">
        <f t="array" ref="S1019">_xlfn.REGEXEXTRACT(E1019, "[0-9]{1,5}")</f>
        <v>2013</v>
      </c>
      <c r="T1019" t="s">
        <v>4219</v>
      </c>
      <c r="U1019" t="s">
        <v>3896</v>
      </c>
    </row>
    <row r="1020" spans="1:21">
      <c r="A1020" s="136">
        <v>1</v>
      </c>
      <c r="B1020" s="233">
        <v>2013</v>
      </c>
      <c r="C1020" s="234"/>
      <c r="D1020" s="234" t="s">
        <v>4920</v>
      </c>
      <c r="E1020" s="235" t="s">
        <v>3624</v>
      </c>
      <c r="F1020" s="235" t="s">
        <v>4951</v>
      </c>
      <c r="G1020" s="235" t="s">
        <v>2579</v>
      </c>
      <c r="H1020" s="236">
        <v>0.01</v>
      </c>
      <c r="I1020" s="236">
        <v>0.01</v>
      </c>
      <c r="J1020" s="233">
        <v>1</v>
      </c>
      <c r="K1020" s="237"/>
      <c r="L1020" s="235"/>
      <c r="M1020" s="276"/>
      <c r="N1020" s="279" t="s">
        <v>25</v>
      </c>
      <c r="O1020" t="str">
        <f t="shared" si="16"/>
        <v>2013 Shield Penny</v>
      </c>
      <c r="S1020" t="str" cm="1">
        <f t="array" ref="S1020">_xlfn.REGEXEXTRACT(E1020, "[0-9]{1,5}")</f>
        <v>2013</v>
      </c>
      <c r="T1020" t="s">
        <v>4219</v>
      </c>
      <c r="U1020" t="s">
        <v>3896</v>
      </c>
    </row>
    <row r="1021" spans="1:21">
      <c r="A1021" s="136">
        <v>1</v>
      </c>
      <c r="B1021" s="233">
        <v>2013</v>
      </c>
      <c r="C1021" s="234"/>
      <c r="D1021" s="234" t="s">
        <v>4920</v>
      </c>
      <c r="E1021" s="235" t="s">
        <v>3625</v>
      </c>
      <c r="F1021" s="235" t="s">
        <v>4951</v>
      </c>
      <c r="G1021" s="235" t="s">
        <v>2579</v>
      </c>
      <c r="H1021" s="236">
        <v>0.01</v>
      </c>
      <c r="I1021" s="236">
        <v>0.01</v>
      </c>
      <c r="J1021" s="233">
        <v>1</v>
      </c>
      <c r="K1021" s="237"/>
      <c r="L1021" s="235"/>
      <c r="M1021" s="276"/>
      <c r="N1021" s="279" t="s">
        <v>25</v>
      </c>
      <c r="O1021" t="str">
        <f t="shared" si="16"/>
        <v>2013 Shield Penny</v>
      </c>
      <c r="S1021" t="str" cm="1">
        <f t="array" ref="S1021">_xlfn.REGEXEXTRACT(E1021, "[0-9]{1,5}")</f>
        <v>2013</v>
      </c>
      <c r="T1021" t="s">
        <v>4219</v>
      </c>
      <c r="U1021" t="s">
        <v>3896</v>
      </c>
    </row>
    <row r="1022" spans="1:21">
      <c r="A1022" s="136">
        <v>1</v>
      </c>
      <c r="B1022" s="233">
        <v>2013</v>
      </c>
      <c r="C1022" s="234" t="s">
        <v>13</v>
      </c>
      <c r="D1022" s="234" t="s">
        <v>4920</v>
      </c>
      <c r="E1022" s="235" t="s">
        <v>3626</v>
      </c>
      <c r="F1022" s="235" t="s">
        <v>4951</v>
      </c>
      <c r="G1022" s="235" t="s">
        <v>2579</v>
      </c>
      <c r="H1022" s="236">
        <v>0.25</v>
      </c>
      <c r="I1022" s="236">
        <v>0.25</v>
      </c>
      <c r="J1022" s="233">
        <v>1</v>
      </c>
      <c r="K1022" s="237"/>
      <c r="L1022" s="235"/>
      <c r="M1022" s="276"/>
      <c r="N1022" s="279" t="s">
        <v>25</v>
      </c>
      <c r="O1022" t="str">
        <f t="shared" si="16"/>
        <v>2013-D Shield Penny</v>
      </c>
      <c r="S1022" t="str" cm="1">
        <f t="array" ref="S1022">_xlfn.REGEXEXTRACT(E1022, "[0-9]{1,5}")</f>
        <v>2013</v>
      </c>
      <c r="T1022" t="s">
        <v>4219</v>
      </c>
      <c r="U1022" t="s">
        <v>3896</v>
      </c>
    </row>
    <row r="1023" spans="1:21">
      <c r="A1023" s="136">
        <v>1</v>
      </c>
      <c r="B1023" s="233">
        <v>2013</v>
      </c>
      <c r="C1023" s="234" t="s">
        <v>12</v>
      </c>
      <c r="D1023" s="234" t="s">
        <v>4920</v>
      </c>
      <c r="E1023" s="235" t="s">
        <v>3627</v>
      </c>
      <c r="F1023" s="235" t="s">
        <v>5208</v>
      </c>
      <c r="G1023" s="235" t="s">
        <v>2584</v>
      </c>
      <c r="H1023" s="236">
        <v>2.25</v>
      </c>
      <c r="I1023" s="236">
        <v>2.25</v>
      </c>
      <c r="J1023" s="233">
        <v>1</v>
      </c>
      <c r="K1023" s="237" t="s">
        <v>3755</v>
      </c>
      <c r="L1023" s="235"/>
      <c r="M1023" s="276"/>
      <c r="N1023" s="279" t="s">
        <v>25</v>
      </c>
      <c r="O1023" t="str">
        <f t="shared" si="16"/>
        <v>2013-S Shield Penny Proof</v>
      </c>
      <c r="S1023" t="str" cm="1">
        <f t="array" ref="S1023">_xlfn.REGEXEXTRACT(E1023, "[0-9]{1,5}")</f>
        <v>2013</v>
      </c>
      <c r="T1023" t="s">
        <v>4219</v>
      </c>
      <c r="U1023" t="s">
        <v>3896</v>
      </c>
    </row>
    <row r="1024" spans="1:21">
      <c r="A1024" s="136">
        <v>1</v>
      </c>
      <c r="B1024" s="233">
        <v>2013</v>
      </c>
      <c r="C1024" s="234" t="s">
        <v>12</v>
      </c>
      <c r="D1024" s="234" t="s">
        <v>4920</v>
      </c>
      <c r="E1024" s="235" t="s">
        <v>3628</v>
      </c>
      <c r="F1024" s="235" t="s">
        <v>5208</v>
      </c>
      <c r="G1024" s="235" t="s">
        <v>2584</v>
      </c>
      <c r="H1024" s="236">
        <v>2.1</v>
      </c>
      <c r="I1024" s="236">
        <v>2.1</v>
      </c>
      <c r="J1024" s="233">
        <v>1</v>
      </c>
      <c r="K1024" s="237" t="s">
        <v>3755</v>
      </c>
      <c r="L1024" s="235"/>
      <c r="M1024" s="276"/>
      <c r="N1024" s="279" t="s">
        <v>25</v>
      </c>
      <c r="O1024" t="str">
        <f t="shared" si="16"/>
        <v>2013-S Shield Penny Proof</v>
      </c>
      <c r="S1024" t="str" cm="1">
        <f t="array" ref="S1024">_xlfn.REGEXEXTRACT(E1024, "[0-9]{1,5}")</f>
        <v>2013</v>
      </c>
      <c r="T1024" t="s">
        <v>4219</v>
      </c>
      <c r="U1024" t="s">
        <v>3896</v>
      </c>
    </row>
    <row r="1025" spans="1:21">
      <c r="A1025" s="136">
        <v>1</v>
      </c>
      <c r="B1025" s="233">
        <v>2014</v>
      </c>
      <c r="C1025" s="234"/>
      <c r="D1025" s="234" t="s">
        <v>4920</v>
      </c>
      <c r="E1025" s="235" t="s">
        <v>3629</v>
      </c>
      <c r="F1025" s="235" t="s">
        <v>4951</v>
      </c>
      <c r="G1025" s="235" t="s">
        <v>2579</v>
      </c>
      <c r="H1025" s="236">
        <v>0.03</v>
      </c>
      <c r="I1025" s="236">
        <v>0.03</v>
      </c>
      <c r="J1025" s="233">
        <v>3</v>
      </c>
      <c r="K1025" s="237"/>
      <c r="L1025" s="235"/>
      <c r="M1025" s="276"/>
      <c r="N1025" s="279" t="s">
        <v>25</v>
      </c>
      <c r="O1025" t="str">
        <f t="shared" si="16"/>
        <v>2014 Shield Penny</v>
      </c>
      <c r="S1025" t="str" cm="1">
        <f t="array" ref="S1025">_xlfn.REGEXEXTRACT(E1025, "[0-9]{1,5}")</f>
        <v>2014</v>
      </c>
      <c r="T1025" t="s">
        <v>4220</v>
      </c>
      <c r="U1025" t="s">
        <v>3896</v>
      </c>
    </row>
    <row r="1026" spans="1:21">
      <c r="A1026" s="136">
        <v>1</v>
      </c>
      <c r="B1026" s="233">
        <v>2014</v>
      </c>
      <c r="C1026" s="234"/>
      <c r="D1026" s="234" t="s">
        <v>4920</v>
      </c>
      <c r="E1026" s="235" t="s">
        <v>3630</v>
      </c>
      <c r="F1026" s="235" t="s">
        <v>4951</v>
      </c>
      <c r="G1026" s="235" t="s">
        <v>2579</v>
      </c>
      <c r="H1026" s="236">
        <v>0.03</v>
      </c>
      <c r="I1026" s="236">
        <v>0.03</v>
      </c>
      <c r="J1026" s="233">
        <v>3</v>
      </c>
      <c r="K1026" s="237"/>
      <c r="L1026" s="235"/>
      <c r="M1026" s="276"/>
      <c r="N1026" s="279" t="s">
        <v>25</v>
      </c>
      <c r="O1026" t="str">
        <f t="shared" si="16"/>
        <v>2014 Shield Penny</v>
      </c>
      <c r="S1026" t="str" cm="1">
        <f t="array" ref="S1026">_xlfn.REGEXEXTRACT(E1026, "[0-9]{1,5}")</f>
        <v>2014</v>
      </c>
      <c r="T1026" t="s">
        <v>4220</v>
      </c>
      <c r="U1026" t="s">
        <v>3896</v>
      </c>
    </row>
    <row r="1027" spans="1:21">
      <c r="A1027" s="136">
        <v>1</v>
      </c>
      <c r="B1027" s="233">
        <v>2014</v>
      </c>
      <c r="C1027" s="234"/>
      <c r="D1027" s="234" t="s">
        <v>4920</v>
      </c>
      <c r="E1027" s="235" t="s">
        <v>3631</v>
      </c>
      <c r="F1027" s="235" t="s">
        <v>4951</v>
      </c>
      <c r="G1027" s="235" t="s">
        <v>2579</v>
      </c>
      <c r="H1027" s="236">
        <v>0.01</v>
      </c>
      <c r="I1027" s="236">
        <v>0.01</v>
      </c>
      <c r="J1027" s="233">
        <v>1</v>
      </c>
      <c r="K1027" s="237"/>
      <c r="L1027" s="235"/>
      <c r="M1027" s="276"/>
      <c r="N1027" s="279" t="s">
        <v>25</v>
      </c>
      <c r="O1027" t="str">
        <f t="shared" si="16"/>
        <v>2014 Shield Penny</v>
      </c>
      <c r="S1027" t="str" cm="1">
        <f t="array" ref="S1027">_xlfn.REGEXEXTRACT(E1027, "[0-9]{1,5}")</f>
        <v>2014</v>
      </c>
      <c r="T1027" t="s">
        <v>4220</v>
      </c>
      <c r="U1027" t="s">
        <v>3896</v>
      </c>
    </row>
    <row r="1028" spans="1:21">
      <c r="A1028" s="136">
        <v>1</v>
      </c>
      <c r="B1028" s="233">
        <v>2014</v>
      </c>
      <c r="C1028" s="234"/>
      <c r="D1028" s="234" t="s">
        <v>4920</v>
      </c>
      <c r="E1028" s="235" t="s">
        <v>3632</v>
      </c>
      <c r="F1028" s="235" t="s">
        <v>4951</v>
      </c>
      <c r="G1028" s="235" t="s">
        <v>2579</v>
      </c>
      <c r="H1028" s="236">
        <v>0.01</v>
      </c>
      <c r="I1028" s="236">
        <v>0.01</v>
      </c>
      <c r="J1028" s="233">
        <v>1</v>
      </c>
      <c r="K1028" s="237"/>
      <c r="L1028" s="235"/>
      <c r="M1028" s="276"/>
      <c r="N1028" s="279" t="s">
        <v>25</v>
      </c>
      <c r="O1028" t="str">
        <f t="shared" ref="O1028:O1091" si="17">IF(C1028&lt;&gt;"",B1028&amp;"-"&amp;C1028&amp;" "&amp;F1028,B1028&amp;" "&amp;F1028)</f>
        <v>2014 Shield Penny</v>
      </c>
      <c r="S1028" t="str" cm="1">
        <f t="array" ref="S1028">_xlfn.REGEXEXTRACT(E1028, "[0-9]{1,5}")</f>
        <v>2014</v>
      </c>
      <c r="T1028" t="s">
        <v>4220</v>
      </c>
      <c r="U1028" t="s">
        <v>3896</v>
      </c>
    </row>
    <row r="1029" spans="1:21">
      <c r="A1029" s="136">
        <v>1</v>
      </c>
      <c r="B1029" s="233">
        <v>2014</v>
      </c>
      <c r="C1029" s="234"/>
      <c r="D1029" s="234" t="s">
        <v>4920</v>
      </c>
      <c r="E1029" s="235" t="s">
        <v>3633</v>
      </c>
      <c r="F1029" s="235" t="s">
        <v>4951</v>
      </c>
      <c r="G1029" s="235" t="s">
        <v>2579</v>
      </c>
      <c r="H1029" s="236">
        <v>0.01</v>
      </c>
      <c r="I1029" s="236">
        <v>0.01</v>
      </c>
      <c r="J1029" s="233">
        <v>1</v>
      </c>
      <c r="K1029" s="237"/>
      <c r="L1029" s="235"/>
      <c r="M1029" s="276"/>
      <c r="N1029" s="279" t="s">
        <v>25</v>
      </c>
      <c r="O1029" t="str">
        <f t="shared" si="17"/>
        <v>2014 Shield Penny</v>
      </c>
      <c r="S1029" t="str" cm="1">
        <f t="array" ref="S1029">_xlfn.REGEXEXTRACT(E1029, "[0-9]{1,5}")</f>
        <v>2014</v>
      </c>
      <c r="T1029" t="s">
        <v>4220</v>
      </c>
      <c r="U1029" t="s">
        <v>3896</v>
      </c>
    </row>
    <row r="1030" spans="1:21">
      <c r="A1030" s="136">
        <v>1</v>
      </c>
      <c r="B1030" s="233">
        <v>2014</v>
      </c>
      <c r="C1030" s="234" t="s">
        <v>13</v>
      </c>
      <c r="D1030" s="234" t="s">
        <v>4920</v>
      </c>
      <c r="E1030" s="235" t="s">
        <v>3634</v>
      </c>
      <c r="F1030" s="235" t="s">
        <v>4951</v>
      </c>
      <c r="G1030" s="235" t="s">
        <v>2579</v>
      </c>
      <c r="H1030" s="236">
        <v>0.25</v>
      </c>
      <c r="I1030" s="236">
        <v>0.25</v>
      </c>
      <c r="J1030" s="233">
        <v>1</v>
      </c>
      <c r="K1030" s="237"/>
      <c r="L1030" s="235"/>
      <c r="M1030" s="276"/>
      <c r="N1030" s="279" t="s">
        <v>25</v>
      </c>
      <c r="O1030" t="str">
        <f t="shared" si="17"/>
        <v>2014-D Shield Penny</v>
      </c>
      <c r="S1030" t="str" cm="1">
        <f t="array" ref="S1030">_xlfn.REGEXEXTRACT(E1030, "[0-9]{1,5}")</f>
        <v>2014</v>
      </c>
      <c r="T1030" t="s">
        <v>4220</v>
      </c>
      <c r="U1030" t="s">
        <v>3896</v>
      </c>
    </row>
    <row r="1031" spans="1:21">
      <c r="A1031" s="136">
        <v>1</v>
      </c>
      <c r="B1031" s="233">
        <v>2014</v>
      </c>
      <c r="C1031" s="234" t="s">
        <v>13</v>
      </c>
      <c r="D1031" s="234" t="s">
        <v>4920</v>
      </c>
      <c r="E1031" s="235" t="s">
        <v>3635</v>
      </c>
      <c r="F1031" s="235" t="s">
        <v>4951</v>
      </c>
      <c r="G1031" s="235" t="s">
        <v>2579</v>
      </c>
      <c r="H1031" s="236">
        <v>0.25</v>
      </c>
      <c r="I1031" s="236">
        <v>0.25</v>
      </c>
      <c r="J1031" s="233">
        <v>1</v>
      </c>
      <c r="K1031" s="237"/>
      <c r="L1031" s="235"/>
      <c r="M1031" s="276"/>
      <c r="N1031" s="279" t="s">
        <v>25</v>
      </c>
      <c r="O1031" t="str">
        <f t="shared" si="17"/>
        <v>2014-D Shield Penny</v>
      </c>
      <c r="S1031" t="str" cm="1">
        <f t="array" ref="S1031">_xlfn.REGEXEXTRACT(E1031, "[0-9]{1,5}")</f>
        <v>2014</v>
      </c>
      <c r="T1031" t="s">
        <v>4220</v>
      </c>
      <c r="U1031" t="s">
        <v>3896</v>
      </c>
    </row>
    <row r="1032" spans="1:21">
      <c r="A1032" s="136">
        <v>1</v>
      </c>
      <c r="B1032" s="233">
        <v>2014</v>
      </c>
      <c r="C1032" s="234"/>
      <c r="D1032" s="234" t="s">
        <v>4920</v>
      </c>
      <c r="E1032" s="235" t="s">
        <v>3636</v>
      </c>
      <c r="F1032" s="235" t="s">
        <v>5208</v>
      </c>
      <c r="G1032" s="235" t="s">
        <v>2584</v>
      </c>
      <c r="H1032" s="236">
        <v>1.75</v>
      </c>
      <c r="I1032" s="236">
        <v>1.75</v>
      </c>
      <c r="J1032" s="233">
        <v>1</v>
      </c>
      <c r="K1032" s="237" t="s">
        <v>3755</v>
      </c>
      <c r="L1032" s="235"/>
      <c r="M1032" s="276"/>
      <c r="N1032" s="279" t="s">
        <v>25</v>
      </c>
      <c r="O1032" t="str">
        <f t="shared" si="17"/>
        <v>2014 Shield Penny Proof</v>
      </c>
      <c r="S1032" t="str" cm="1">
        <f t="array" ref="S1032">_xlfn.REGEXEXTRACT(E1032, "[0-9]{1,5}")</f>
        <v>2014</v>
      </c>
      <c r="T1032" t="s">
        <v>4220</v>
      </c>
      <c r="U1032" t="s">
        <v>3896</v>
      </c>
    </row>
    <row r="1033" spans="1:21">
      <c r="A1033" s="136">
        <v>1</v>
      </c>
      <c r="B1033" s="233">
        <v>2014</v>
      </c>
      <c r="C1033" s="234"/>
      <c r="D1033" s="234" t="s">
        <v>4920</v>
      </c>
      <c r="E1033" s="235" t="s">
        <v>3637</v>
      </c>
      <c r="F1033" s="235" t="s">
        <v>5208</v>
      </c>
      <c r="G1033" s="235" t="s">
        <v>2584</v>
      </c>
      <c r="H1033" s="236">
        <v>2.1</v>
      </c>
      <c r="I1033" s="236">
        <v>2.1</v>
      </c>
      <c r="J1033" s="233">
        <v>1</v>
      </c>
      <c r="K1033" s="237" t="s">
        <v>3755</v>
      </c>
      <c r="L1033" s="235"/>
      <c r="M1033" s="276"/>
      <c r="N1033" s="279" t="s">
        <v>25</v>
      </c>
      <c r="O1033" t="str">
        <f t="shared" si="17"/>
        <v>2014 Shield Penny Proof</v>
      </c>
      <c r="S1033" t="str" cm="1">
        <f t="array" ref="S1033">_xlfn.REGEXEXTRACT(E1033, "[0-9]{1,5}")</f>
        <v>2014</v>
      </c>
      <c r="T1033" t="s">
        <v>4220</v>
      </c>
      <c r="U1033" t="s">
        <v>3896</v>
      </c>
    </row>
    <row r="1034" spans="1:21">
      <c r="A1034" s="136">
        <v>1</v>
      </c>
      <c r="B1034" s="233">
        <v>2015</v>
      </c>
      <c r="C1034" s="234"/>
      <c r="D1034" s="234" t="s">
        <v>4920</v>
      </c>
      <c r="E1034" s="235" t="s">
        <v>3638</v>
      </c>
      <c r="F1034" s="235" t="s">
        <v>4951</v>
      </c>
      <c r="G1034" s="235" t="s">
        <v>2579</v>
      </c>
      <c r="H1034" s="236">
        <v>0.03</v>
      </c>
      <c r="I1034" s="236">
        <v>0.03</v>
      </c>
      <c r="J1034" s="233">
        <v>3</v>
      </c>
      <c r="K1034" s="237" t="s">
        <v>1183</v>
      </c>
      <c r="L1034" s="235"/>
      <c r="M1034" s="276"/>
      <c r="N1034" s="279" t="s">
        <v>25</v>
      </c>
      <c r="O1034" t="str">
        <f t="shared" si="17"/>
        <v>2015 Shield Penny</v>
      </c>
      <c r="S1034" t="str" cm="1">
        <f t="array" ref="S1034">_xlfn.REGEXEXTRACT(E1034, "[0-9]{1,5}")</f>
        <v>2015</v>
      </c>
      <c r="T1034" t="s">
        <v>4221</v>
      </c>
      <c r="U1034" t="s">
        <v>3896</v>
      </c>
    </row>
    <row r="1035" spans="1:21">
      <c r="A1035" s="136">
        <v>1</v>
      </c>
      <c r="B1035" s="233">
        <v>2015</v>
      </c>
      <c r="C1035" s="234"/>
      <c r="D1035" s="234" t="s">
        <v>4920</v>
      </c>
      <c r="E1035" s="235" t="s">
        <v>3639</v>
      </c>
      <c r="F1035" s="235" t="s">
        <v>4951</v>
      </c>
      <c r="G1035" s="235" t="s">
        <v>2579</v>
      </c>
      <c r="H1035" s="236">
        <v>0.03</v>
      </c>
      <c r="I1035" s="236">
        <v>0.03</v>
      </c>
      <c r="J1035" s="233">
        <v>3</v>
      </c>
      <c r="K1035" s="237" t="s">
        <v>1183</v>
      </c>
      <c r="L1035" s="235"/>
      <c r="M1035" s="276"/>
      <c r="N1035" s="279" t="s">
        <v>25</v>
      </c>
      <c r="O1035" t="str">
        <f t="shared" si="17"/>
        <v>2015 Shield Penny</v>
      </c>
      <c r="S1035" t="str" cm="1">
        <f t="array" ref="S1035">_xlfn.REGEXEXTRACT(E1035, "[0-9]{1,5}")</f>
        <v>2015</v>
      </c>
      <c r="T1035" t="s">
        <v>4221</v>
      </c>
      <c r="U1035" t="s">
        <v>3896</v>
      </c>
    </row>
    <row r="1036" spans="1:21">
      <c r="A1036" s="136">
        <v>1</v>
      </c>
      <c r="B1036" s="233">
        <v>2015</v>
      </c>
      <c r="C1036" s="234"/>
      <c r="D1036" s="234" t="s">
        <v>4920</v>
      </c>
      <c r="E1036" s="235" t="s">
        <v>3640</v>
      </c>
      <c r="F1036" s="235" t="s">
        <v>4951</v>
      </c>
      <c r="G1036" s="235" t="s">
        <v>2579</v>
      </c>
      <c r="H1036" s="236">
        <v>0.03</v>
      </c>
      <c r="I1036" s="236">
        <v>0.03</v>
      </c>
      <c r="J1036" s="233">
        <v>3</v>
      </c>
      <c r="K1036" s="237" t="s">
        <v>1183</v>
      </c>
      <c r="L1036" s="235"/>
      <c r="M1036" s="276"/>
      <c r="N1036" s="279" t="s">
        <v>25</v>
      </c>
      <c r="O1036" t="str">
        <f t="shared" si="17"/>
        <v>2015 Shield Penny</v>
      </c>
      <c r="S1036" t="str" cm="1">
        <f t="array" ref="S1036">_xlfn.REGEXEXTRACT(E1036, "[0-9]{1,5}")</f>
        <v>2015</v>
      </c>
      <c r="T1036" t="s">
        <v>4221</v>
      </c>
      <c r="U1036" t="s">
        <v>3896</v>
      </c>
    </row>
    <row r="1037" spans="1:21">
      <c r="A1037" s="136">
        <v>1</v>
      </c>
      <c r="B1037" s="233">
        <v>2015</v>
      </c>
      <c r="C1037" s="234"/>
      <c r="D1037" s="234" t="s">
        <v>4920</v>
      </c>
      <c r="E1037" s="235" t="s">
        <v>3641</v>
      </c>
      <c r="F1037" s="235" t="s">
        <v>4951</v>
      </c>
      <c r="G1037" s="235" t="s">
        <v>2579</v>
      </c>
      <c r="H1037" s="236">
        <v>0.01</v>
      </c>
      <c r="I1037" s="236">
        <v>0.01</v>
      </c>
      <c r="J1037" s="233">
        <v>1</v>
      </c>
      <c r="K1037" s="237" t="s">
        <v>1183</v>
      </c>
      <c r="L1037" s="235"/>
      <c r="M1037" s="276"/>
      <c r="N1037" s="279" t="s">
        <v>25</v>
      </c>
      <c r="O1037" t="str">
        <f t="shared" si="17"/>
        <v>2015 Shield Penny</v>
      </c>
      <c r="S1037" t="str" cm="1">
        <f t="array" ref="S1037">_xlfn.REGEXEXTRACT(E1037, "[0-9]{1,5}")</f>
        <v>2015</v>
      </c>
      <c r="T1037" t="s">
        <v>4221</v>
      </c>
      <c r="U1037" t="s">
        <v>3896</v>
      </c>
    </row>
    <row r="1038" spans="1:21">
      <c r="A1038" s="136">
        <v>1</v>
      </c>
      <c r="B1038" s="233">
        <v>2015</v>
      </c>
      <c r="C1038" s="234"/>
      <c r="D1038" s="234" t="s">
        <v>4920</v>
      </c>
      <c r="E1038" s="235" t="s">
        <v>3642</v>
      </c>
      <c r="F1038" s="235" t="s">
        <v>4951</v>
      </c>
      <c r="G1038" s="235" t="s">
        <v>2579</v>
      </c>
      <c r="H1038" s="236">
        <v>0.01</v>
      </c>
      <c r="I1038" s="236">
        <v>0.01</v>
      </c>
      <c r="J1038" s="233">
        <v>1</v>
      </c>
      <c r="K1038" s="237" t="s">
        <v>1183</v>
      </c>
      <c r="L1038" s="235"/>
      <c r="M1038" s="276"/>
      <c r="N1038" s="279" t="s">
        <v>25</v>
      </c>
      <c r="O1038" t="str">
        <f t="shared" si="17"/>
        <v>2015 Shield Penny</v>
      </c>
      <c r="S1038" t="str" cm="1">
        <f t="array" ref="S1038">_xlfn.REGEXEXTRACT(E1038, "[0-9]{1,5}")</f>
        <v>2015</v>
      </c>
      <c r="T1038" t="s">
        <v>4221</v>
      </c>
      <c r="U1038" t="s">
        <v>3896</v>
      </c>
    </row>
    <row r="1039" spans="1:21">
      <c r="A1039" s="136">
        <v>1</v>
      </c>
      <c r="B1039" s="233">
        <v>2015</v>
      </c>
      <c r="C1039" s="234"/>
      <c r="D1039" s="234" t="s">
        <v>4920</v>
      </c>
      <c r="E1039" s="235" t="s">
        <v>3643</v>
      </c>
      <c r="F1039" s="235" t="s">
        <v>4951</v>
      </c>
      <c r="G1039" s="235" t="s">
        <v>2579</v>
      </c>
      <c r="H1039" s="236">
        <v>0.01</v>
      </c>
      <c r="I1039" s="236">
        <v>0.01</v>
      </c>
      <c r="J1039" s="233">
        <v>1</v>
      </c>
      <c r="K1039" s="237" t="s">
        <v>1183</v>
      </c>
      <c r="L1039" s="235"/>
      <c r="M1039" s="276"/>
      <c r="N1039" s="279" t="s">
        <v>25</v>
      </c>
      <c r="O1039" t="str">
        <f t="shared" si="17"/>
        <v>2015 Shield Penny</v>
      </c>
      <c r="S1039" t="str" cm="1">
        <f t="array" ref="S1039">_xlfn.REGEXEXTRACT(E1039, "[0-9]{1,5}")</f>
        <v>2015</v>
      </c>
      <c r="T1039" t="s">
        <v>4221</v>
      </c>
      <c r="U1039" t="s">
        <v>3896</v>
      </c>
    </row>
    <row r="1040" spans="1:21">
      <c r="A1040" s="136">
        <v>1</v>
      </c>
      <c r="B1040" s="233">
        <v>2015</v>
      </c>
      <c r="C1040" s="234" t="s">
        <v>13</v>
      </c>
      <c r="D1040" s="234" t="s">
        <v>4920</v>
      </c>
      <c r="E1040" s="235" t="s">
        <v>3644</v>
      </c>
      <c r="F1040" s="235" t="s">
        <v>4951</v>
      </c>
      <c r="G1040" s="235" t="s">
        <v>2579</v>
      </c>
      <c r="H1040" s="236">
        <v>0.25</v>
      </c>
      <c r="I1040" s="236">
        <v>0.25</v>
      </c>
      <c r="J1040" s="233">
        <v>1</v>
      </c>
      <c r="K1040" s="237" t="s">
        <v>1183</v>
      </c>
      <c r="L1040" s="235"/>
      <c r="M1040" s="276"/>
      <c r="N1040" s="279" t="s">
        <v>25</v>
      </c>
      <c r="O1040" t="str">
        <f t="shared" si="17"/>
        <v>2015-D Shield Penny</v>
      </c>
      <c r="S1040" t="str" cm="1">
        <f t="array" ref="S1040">_xlfn.REGEXEXTRACT(E1040, "[0-9]{1,5}")</f>
        <v>2015</v>
      </c>
      <c r="T1040" t="s">
        <v>4221</v>
      </c>
      <c r="U1040" t="s">
        <v>3896</v>
      </c>
    </row>
    <row r="1041" spans="1:21">
      <c r="A1041" s="136">
        <v>1</v>
      </c>
      <c r="B1041" s="233">
        <v>2015</v>
      </c>
      <c r="C1041" s="234" t="s">
        <v>13</v>
      </c>
      <c r="D1041" s="234" t="s">
        <v>4920</v>
      </c>
      <c r="E1041" s="235" t="s">
        <v>3645</v>
      </c>
      <c r="F1041" s="235" t="s">
        <v>4951</v>
      </c>
      <c r="G1041" s="235" t="s">
        <v>2579</v>
      </c>
      <c r="H1041" s="236">
        <v>0.1</v>
      </c>
      <c r="I1041" s="236">
        <v>0.1</v>
      </c>
      <c r="J1041" s="233">
        <v>1</v>
      </c>
      <c r="K1041" s="237" t="s">
        <v>1183</v>
      </c>
      <c r="L1041" s="235"/>
      <c r="M1041" s="276"/>
      <c r="N1041" s="279" t="s">
        <v>25</v>
      </c>
      <c r="O1041" t="str">
        <f t="shared" si="17"/>
        <v>2015-D Shield Penny</v>
      </c>
      <c r="S1041" t="str" cm="1">
        <f t="array" ref="S1041">_xlfn.REGEXEXTRACT(E1041, "[0-9]{1,5}")</f>
        <v>2015</v>
      </c>
      <c r="T1041" t="s">
        <v>4221</v>
      </c>
      <c r="U1041" t="s">
        <v>3896</v>
      </c>
    </row>
    <row r="1042" spans="1:21">
      <c r="A1042" s="136">
        <v>1</v>
      </c>
      <c r="B1042" s="233">
        <v>2015</v>
      </c>
      <c r="C1042" s="234" t="s">
        <v>12</v>
      </c>
      <c r="D1042" s="234" t="s">
        <v>4920</v>
      </c>
      <c r="E1042" s="235" t="s">
        <v>3646</v>
      </c>
      <c r="F1042" s="235" t="s">
        <v>4951</v>
      </c>
      <c r="G1042" s="235" t="s">
        <v>2579</v>
      </c>
      <c r="H1042" s="236">
        <v>2.5</v>
      </c>
      <c r="I1042" s="236">
        <v>2.5</v>
      </c>
      <c r="J1042" s="233">
        <v>1</v>
      </c>
      <c r="K1042" s="237" t="s">
        <v>3755</v>
      </c>
      <c r="L1042" s="235"/>
      <c r="M1042" s="276"/>
      <c r="N1042" s="279" t="s">
        <v>25</v>
      </c>
      <c r="O1042" t="str">
        <f t="shared" si="17"/>
        <v>2015-S Shield Penny</v>
      </c>
      <c r="S1042" t="str" cm="1">
        <f t="array" ref="S1042">_xlfn.REGEXEXTRACT(E1042, "[0-9]{1,5}")</f>
        <v>2015</v>
      </c>
      <c r="T1042" t="s">
        <v>4221</v>
      </c>
      <c r="U1042" t="s">
        <v>3896</v>
      </c>
    </row>
    <row r="1043" spans="1:21">
      <c r="A1043" s="136">
        <v>1</v>
      </c>
      <c r="B1043" s="233">
        <v>2015</v>
      </c>
      <c r="C1043" s="234" t="s">
        <v>12</v>
      </c>
      <c r="D1043" s="234" t="s">
        <v>4920</v>
      </c>
      <c r="E1043" s="235" t="s">
        <v>3647</v>
      </c>
      <c r="F1043" s="235" t="s">
        <v>5208</v>
      </c>
      <c r="G1043" s="235" t="s">
        <v>2584</v>
      </c>
      <c r="H1043" s="236">
        <v>2.5</v>
      </c>
      <c r="I1043" s="236">
        <v>2.5</v>
      </c>
      <c r="J1043" s="233">
        <v>1</v>
      </c>
      <c r="K1043" s="237" t="s">
        <v>3755</v>
      </c>
      <c r="L1043" s="235"/>
      <c r="M1043" s="276"/>
      <c r="N1043" s="279" t="s">
        <v>25</v>
      </c>
      <c r="O1043" t="str">
        <f t="shared" si="17"/>
        <v>2015-S Shield Penny Proof</v>
      </c>
      <c r="S1043" t="str" cm="1">
        <f t="array" ref="S1043">_xlfn.REGEXEXTRACT(E1043, "[0-9]{1,5}")</f>
        <v>2015</v>
      </c>
      <c r="T1043" t="s">
        <v>4221</v>
      </c>
      <c r="U1043" t="s">
        <v>3896</v>
      </c>
    </row>
    <row r="1044" spans="1:21">
      <c r="A1044" s="136">
        <v>1</v>
      </c>
      <c r="B1044" s="233">
        <v>2016</v>
      </c>
      <c r="C1044" s="234"/>
      <c r="D1044" s="234" t="s">
        <v>4920</v>
      </c>
      <c r="E1044" s="235" t="s">
        <v>3648</v>
      </c>
      <c r="F1044" s="235" t="s">
        <v>5208</v>
      </c>
      <c r="G1044" s="235" t="s">
        <v>2584</v>
      </c>
      <c r="H1044" s="236">
        <v>0.03</v>
      </c>
      <c r="I1044" s="236">
        <v>0.03</v>
      </c>
      <c r="J1044" s="233">
        <v>3</v>
      </c>
      <c r="K1044" s="237"/>
      <c r="L1044" s="235"/>
      <c r="M1044" s="276"/>
      <c r="N1044" s="279" t="s">
        <v>25</v>
      </c>
      <c r="O1044" t="str">
        <f t="shared" si="17"/>
        <v>2016 Shield Penny Proof</v>
      </c>
      <c r="S1044" t="str" cm="1">
        <f t="array" ref="S1044">_xlfn.REGEXEXTRACT(E1044, "[0-9]{1,5}")</f>
        <v>2016</v>
      </c>
      <c r="T1044" t="s">
        <v>4222</v>
      </c>
      <c r="U1044" t="s">
        <v>3896</v>
      </c>
    </row>
    <row r="1045" spans="1:21">
      <c r="A1045" s="136">
        <v>1</v>
      </c>
      <c r="B1045" s="233">
        <v>2016</v>
      </c>
      <c r="C1045" s="234"/>
      <c r="D1045" s="234" t="s">
        <v>4920</v>
      </c>
      <c r="E1045" s="235" t="s">
        <v>3649</v>
      </c>
      <c r="F1045" s="235" t="s">
        <v>4951</v>
      </c>
      <c r="G1045" s="235" t="s">
        <v>2579</v>
      </c>
      <c r="H1045" s="236">
        <v>0.03</v>
      </c>
      <c r="I1045" s="236">
        <v>0.03</v>
      </c>
      <c r="J1045" s="233">
        <v>3</v>
      </c>
      <c r="K1045" s="237"/>
      <c r="L1045" s="235"/>
      <c r="M1045" s="276"/>
      <c r="N1045" s="279" t="s">
        <v>25</v>
      </c>
      <c r="O1045" t="str">
        <f t="shared" si="17"/>
        <v>2016 Shield Penny</v>
      </c>
      <c r="S1045" t="str" cm="1">
        <f t="array" ref="S1045">_xlfn.REGEXEXTRACT(E1045, "[0-9]{1,5}")</f>
        <v>2016</v>
      </c>
      <c r="T1045" t="s">
        <v>4222</v>
      </c>
      <c r="U1045" t="s">
        <v>3896</v>
      </c>
    </row>
    <row r="1046" spans="1:21">
      <c r="A1046" s="136">
        <v>1</v>
      </c>
      <c r="B1046" s="233">
        <v>2016</v>
      </c>
      <c r="C1046" s="234"/>
      <c r="D1046" s="234" t="s">
        <v>4920</v>
      </c>
      <c r="E1046" s="235" t="s">
        <v>3650</v>
      </c>
      <c r="F1046" s="235" t="s">
        <v>4951</v>
      </c>
      <c r="G1046" s="235" t="s">
        <v>2579</v>
      </c>
      <c r="H1046" s="236">
        <v>0.03</v>
      </c>
      <c r="I1046" s="236">
        <v>0.03</v>
      </c>
      <c r="J1046" s="233">
        <v>3</v>
      </c>
      <c r="K1046" s="237"/>
      <c r="L1046" s="235"/>
      <c r="M1046" s="276"/>
      <c r="N1046" s="279" t="s">
        <v>25</v>
      </c>
      <c r="O1046" t="str">
        <f t="shared" si="17"/>
        <v>2016 Shield Penny</v>
      </c>
      <c r="S1046" t="str" cm="1">
        <f t="array" ref="S1046">_xlfn.REGEXEXTRACT(E1046, "[0-9]{1,5}")</f>
        <v>2016</v>
      </c>
      <c r="T1046" t="s">
        <v>4222</v>
      </c>
      <c r="U1046" t="s">
        <v>3896</v>
      </c>
    </row>
    <row r="1047" spans="1:21">
      <c r="A1047" s="136">
        <v>1</v>
      </c>
      <c r="B1047" s="233">
        <v>2016</v>
      </c>
      <c r="C1047" s="234"/>
      <c r="D1047" s="234" t="s">
        <v>4920</v>
      </c>
      <c r="E1047" s="235" t="s">
        <v>3651</v>
      </c>
      <c r="F1047" s="235" t="s">
        <v>4951</v>
      </c>
      <c r="G1047" s="235" t="s">
        <v>2579</v>
      </c>
      <c r="H1047" s="236">
        <v>0.01</v>
      </c>
      <c r="I1047" s="236">
        <v>0.01</v>
      </c>
      <c r="J1047" s="233">
        <v>1</v>
      </c>
      <c r="K1047" s="237"/>
      <c r="L1047" s="235"/>
      <c r="M1047" s="276"/>
      <c r="N1047" s="279" t="s">
        <v>25</v>
      </c>
      <c r="O1047" t="str">
        <f t="shared" si="17"/>
        <v>2016 Shield Penny</v>
      </c>
      <c r="S1047" t="str" cm="1">
        <f t="array" ref="S1047">_xlfn.REGEXEXTRACT(E1047, "[0-9]{1,5}")</f>
        <v>2016</v>
      </c>
      <c r="T1047" t="s">
        <v>4222</v>
      </c>
      <c r="U1047" t="s">
        <v>3896</v>
      </c>
    </row>
    <row r="1048" spans="1:21">
      <c r="A1048" s="136">
        <v>1</v>
      </c>
      <c r="B1048" s="233">
        <v>2016</v>
      </c>
      <c r="C1048" s="234"/>
      <c r="D1048" s="234" t="s">
        <v>4920</v>
      </c>
      <c r="E1048" s="235" t="s">
        <v>3652</v>
      </c>
      <c r="F1048" s="235" t="s">
        <v>4951</v>
      </c>
      <c r="G1048" s="235" t="s">
        <v>2579</v>
      </c>
      <c r="H1048" s="236">
        <v>0.01</v>
      </c>
      <c r="I1048" s="236">
        <v>0.01</v>
      </c>
      <c r="J1048" s="233">
        <v>1</v>
      </c>
      <c r="K1048" s="237"/>
      <c r="L1048" s="235"/>
      <c r="M1048" s="276"/>
      <c r="N1048" s="279" t="s">
        <v>25</v>
      </c>
      <c r="O1048" t="str">
        <f t="shared" si="17"/>
        <v>2016 Shield Penny</v>
      </c>
      <c r="S1048" t="str" cm="1">
        <f t="array" ref="S1048">_xlfn.REGEXEXTRACT(E1048, "[0-9]{1,5}")</f>
        <v>2016</v>
      </c>
      <c r="T1048" t="s">
        <v>4222</v>
      </c>
      <c r="U1048" t="s">
        <v>3896</v>
      </c>
    </row>
    <row r="1049" spans="1:21">
      <c r="A1049" s="136">
        <v>1</v>
      </c>
      <c r="B1049" s="233">
        <v>2016</v>
      </c>
      <c r="C1049" s="234"/>
      <c r="D1049" s="234" t="s">
        <v>4920</v>
      </c>
      <c r="E1049" s="235" t="s">
        <v>3653</v>
      </c>
      <c r="F1049" s="235" t="s">
        <v>4951</v>
      </c>
      <c r="G1049" s="235" t="s">
        <v>2579</v>
      </c>
      <c r="H1049" s="236">
        <v>0.01</v>
      </c>
      <c r="I1049" s="236">
        <v>0.01</v>
      </c>
      <c r="J1049" s="233">
        <v>1</v>
      </c>
      <c r="K1049" s="237"/>
      <c r="L1049" s="235"/>
      <c r="M1049" s="276"/>
      <c r="N1049" s="279" t="s">
        <v>25</v>
      </c>
      <c r="O1049" t="str">
        <f t="shared" si="17"/>
        <v>2016 Shield Penny</v>
      </c>
      <c r="S1049" t="str" cm="1">
        <f t="array" ref="S1049">_xlfn.REGEXEXTRACT(E1049, "[0-9]{1,5}")</f>
        <v>2016</v>
      </c>
      <c r="T1049" t="s">
        <v>4222</v>
      </c>
      <c r="U1049" t="s">
        <v>3896</v>
      </c>
    </row>
    <row r="1050" spans="1:21">
      <c r="A1050" s="136">
        <v>1</v>
      </c>
      <c r="B1050" s="233">
        <v>2016</v>
      </c>
      <c r="C1050" s="234"/>
      <c r="D1050" s="234" t="s">
        <v>4920</v>
      </c>
      <c r="E1050" s="235" t="s">
        <v>3654</v>
      </c>
      <c r="F1050" s="235" t="s">
        <v>4951</v>
      </c>
      <c r="G1050" s="235" t="s">
        <v>2579</v>
      </c>
      <c r="H1050" s="236">
        <v>0.01</v>
      </c>
      <c r="I1050" s="236">
        <v>0.01</v>
      </c>
      <c r="J1050" s="233">
        <v>1</v>
      </c>
      <c r="K1050" s="237"/>
      <c r="L1050" s="235"/>
      <c r="M1050" s="276"/>
      <c r="N1050" s="279" t="s">
        <v>25</v>
      </c>
      <c r="O1050" t="str">
        <f t="shared" si="17"/>
        <v>2016 Shield Penny</v>
      </c>
      <c r="S1050" t="str" cm="1">
        <f t="array" ref="S1050">_xlfn.REGEXEXTRACT(E1050, "[0-9]{1,5}")</f>
        <v>2016</v>
      </c>
      <c r="T1050" t="s">
        <v>4222</v>
      </c>
      <c r="U1050" t="s">
        <v>3896</v>
      </c>
    </row>
    <row r="1051" spans="1:21">
      <c r="A1051" s="136">
        <v>1</v>
      </c>
      <c r="B1051" s="233">
        <v>2016</v>
      </c>
      <c r="C1051" s="234"/>
      <c r="D1051" s="234" t="s">
        <v>4920</v>
      </c>
      <c r="E1051" s="235" t="s">
        <v>3655</v>
      </c>
      <c r="F1051" s="235" t="s">
        <v>4951</v>
      </c>
      <c r="G1051" s="235" t="s">
        <v>2579</v>
      </c>
      <c r="H1051" s="236">
        <v>0.03</v>
      </c>
      <c r="I1051" s="236">
        <v>0.03</v>
      </c>
      <c r="J1051" s="233">
        <v>3</v>
      </c>
      <c r="K1051" s="237"/>
      <c r="L1051" s="235"/>
      <c r="M1051" s="276"/>
      <c r="N1051" s="279" t="s">
        <v>25</v>
      </c>
      <c r="O1051" t="str">
        <f t="shared" si="17"/>
        <v>2016 Shield Penny</v>
      </c>
      <c r="S1051" t="str" cm="1">
        <f t="array" ref="S1051">_xlfn.REGEXEXTRACT(E1051, "[0-9]{1,5}")</f>
        <v>2016</v>
      </c>
      <c r="T1051" t="s">
        <v>4222</v>
      </c>
      <c r="U1051" t="s">
        <v>3896</v>
      </c>
    </row>
    <row r="1052" spans="1:21">
      <c r="A1052" s="136">
        <v>1</v>
      </c>
      <c r="B1052" s="233">
        <v>2016</v>
      </c>
      <c r="C1052" s="234"/>
      <c r="D1052" s="234" t="s">
        <v>4920</v>
      </c>
      <c r="E1052" s="235" t="s">
        <v>3656</v>
      </c>
      <c r="F1052" s="235" t="s">
        <v>4951</v>
      </c>
      <c r="G1052" s="235" t="s">
        <v>2579</v>
      </c>
      <c r="H1052" s="236">
        <v>0.03</v>
      </c>
      <c r="I1052" s="236">
        <v>0.03</v>
      </c>
      <c r="J1052" s="233">
        <v>3</v>
      </c>
      <c r="K1052" s="237"/>
      <c r="L1052" s="235"/>
      <c r="M1052" s="276"/>
      <c r="N1052" s="279" t="s">
        <v>25</v>
      </c>
      <c r="O1052" t="str">
        <f t="shared" si="17"/>
        <v>2016 Shield Penny</v>
      </c>
      <c r="S1052" t="str" cm="1">
        <f t="array" ref="S1052">_xlfn.REGEXEXTRACT(E1052, "[0-9]{1,5}")</f>
        <v>2016</v>
      </c>
      <c r="T1052" t="s">
        <v>4222</v>
      </c>
      <c r="U1052" t="s">
        <v>3896</v>
      </c>
    </row>
    <row r="1053" spans="1:21">
      <c r="A1053" s="136">
        <v>1</v>
      </c>
      <c r="B1053" s="233">
        <v>2016</v>
      </c>
      <c r="C1053" s="234"/>
      <c r="D1053" s="234" t="s">
        <v>4920</v>
      </c>
      <c r="E1053" s="235" t="s">
        <v>3657</v>
      </c>
      <c r="F1053" s="235" t="s">
        <v>4951</v>
      </c>
      <c r="G1053" s="235" t="s">
        <v>2579</v>
      </c>
      <c r="H1053" s="236">
        <v>0.03</v>
      </c>
      <c r="I1053" s="236">
        <v>0.03</v>
      </c>
      <c r="J1053" s="233">
        <v>3</v>
      </c>
      <c r="K1053" s="237"/>
      <c r="L1053" s="235"/>
      <c r="M1053" s="276"/>
      <c r="N1053" s="279" t="s">
        <v>25</v>
      </c>
      <c r="O1053" t="str">
        <f t="shared" si="17"/>
        <v>2016 Shield Penny</v>
      </c>
      <c r="S1053" t="str" cm="1">
        <f t="array" ref="S1053">_xlfn.REGEXEXTRACT(E1053, "[0-9]{1,5}")</f>
        <v>2016</v>
      </c>
      <c r="T1053" t="s">
        <v>4222</v>
      </c>
      <c r="U1053" t="s">
        <v>3896</v>
      </c>
    </row>
    <row r="1054" spans="1:21">
      <c r="A1054" s="136">
        <v>1</v>
      </c>
      <c r="B1054" s="233">
        <v>2016</v>
      </c>
      <c r="C1054" s="234"/>
      <c r="D1054" s="234" t="s">
        <v>4920</v>
      </c>
      <c r="E1054" s="235" t="s">
        <v>3658</v>
      </c>
      <c r="F1054" s="235" t="s">
        <v>4951</v>
      </c>
      <c r="G1054" s="235" t="s">
        <v>2579</v>
      </c>
      <c r="H1054" s="236">
        <v>0.03</v>
      </c>
      <c r="I1054" s="236">
        <v>0.03</v>
      </c>
      <c r="J1054" s="233">
        <v>3</v>
      </c>
      <c r="K1054" s="237"/>
      <c r="L1054" s="235"/>
      <c r="M1054" s="276"/>
      <c r="N1054" s="279" t="s">
        <v>25</v>
      </c>
      <c r="O1054" t="str">
        <f t="shared" si="17"/>
        <v>2016 Shield Penny</v>
      </c>
      <c r="S1054" t="str" cm="1">
        <f t="array" ref="S1054">_xlfn.REGEXEXTRACT(E1054, "[0-9]{1,5}")</f>
        <v>2016</v>
      </c>
      <c r="T1054" t="s">
        <v>4222</v>
      </c>
      <c r="U1054" t="s">
        <v>3896</v>
      </c>
    </row>
    <row r="1055" spans="1:21">
      <c r="A1055" s="136">
        <v>1</v>
      </c>
      <c r="B1055" s="233">
        <v>2016</v>
      </c>
      <c r="C1055" s="234"/>
      <c r="D1055" s="234" t="s">
        <v>4920</v>
      </c>
      <c r="E1055" s="235" t="s">
        <v>3659</v>
      </c>
      <c r="F1055" s="235" t="s">
        <v>4951</v>
      </c>
      <c r="G1055" s="235" t="s">
        <v>2579</v>
      </c>
      <c r="H1055" s="236">
        <v>0.03</v>
      </c>
      <c r="I1055" s="236">
        <v>0.03</v>
      </c>
      <c r="J1055" s="233">
        <v>3</v>
      </c>
      <c r="K1055" s="237"/>
      <c r="L1055" s="235"/>
      <c r="M1055" s="276"/>
      <c r="N1055" s="279" t="s">
        <v>25</v>
      </c>
      <c r="O1055" t="str">
        <f t="shared" si="17"/>
        <v>2016 Shield Penny</v>
      </c>
      <c r="S1055" t="str" cm="1">
        <f t="array" ref="S1055">_xlfn.REGEXEXTRACT(E1055, "[0-9]{1,5}")</f>
        <v>2016</v>
      </c>
      <c r="T1055" t="s">
        <v>4222</v>
      </c>
      <c r="U1055" t="s">
        <v>3896</v>
      </c>
    </row>
    <row r="1056" spans="1:21">
      <c r="A1056" s="136">
        <v>1</v>
      </c>
      <c r="B1056" s="233">
        <v>2016</v>
      </c>
      <c r="C1056" s="234"/>
      <c r="D1056" s="234" t="s">
        <v>4920</v>
      </c>
      <c r="E1056" s="235" t="s">
        <v>3660</v>
      </c>
      <c r="F1056" s="235" t="s">
        <v>4951</v>
      </c>
      <c r="G1056" s="235" t="s">
        <v>2579</v>
      </c>
      <c r="H1056" s="236">
        <v>0.03</v>
      </c>
      <c r="I1056" s="236">
        <v>0.03</v>
      </c>
      <c r="J1056" s="233">
        <v>3</v>
      </c>
      <c r="K1056" s="237"/>
      <c r="L1056" s="235"/>
      <c r="M1056" s="276"/>
      <c r="N1056" s="279" t="s">
        <v>25</v>
      </c>
      <c r="O1056" t="str">
        <f t="shared" si="17"/>
        <v>2016 Shield Penny</v>
      </c>
      <c r="S1056" t="str" cm="1">
        <f t="array" ref="S1056">_xlfn.REGEXEXTRACT(E1056, "[0-9]{1,5}")</f>
        <v>2016</v>
      </c>
      <c r="T1056" t="s">
        <v>4222</v>
      </c>
      <c r="U1056" t="s">
        <v>3896</v>
      </c>
    </row>
    <row r="1057" spans="1:21">
      <c r="A1057" s="136">
        <v>1</v>
      </c>
      <c r="B1057" s="233">
        <v>2016</v>
      </c>
      <c r="C1057" s="234" t="s">
        <v>13</v>
      </c>
      <c r="D1057" s="234" t="s">
        <v>4920</v>
      </c>
      <c r="E1057" s="235" t="s">
        <v>3661</v>
      </c>
      <c r="F1057" s="235" t="s">
        <v>4951</v>
      </c>
      <c r="G1057" s="235" t="s">
        <v>2579</v>
      </c>
      <c r="H1057" s="236">
        <v>0.2</v>
      </c>
      <c r="I1057" s="236">
        <v>0.2</v>
      </c>
      <c r="J1057" s="233">
        <v>1</v>
      </c>
      <c r="K1057" s="237"/>
      <c r="L1057" s="235"/>
      <c r="M1057" s="276"/>
      <c r="N1057" s="279" t="s">
        <v>25</v>
      </c>
      <c r="O1057" t="str">
        <f t="shared" si="17"/>
        <v>2016-D Shield Penny</v>
      </c>
      <c r="S1057" t="str" cm="1">
        <f t="array" ref="S1057">_xlfn.REGEXEXTRACT(E1057, "[0-9]{1,5}")</f>
        <v>2016</v>
      </c>
      <c r="T1057" t="s">
        <v>4222</v>
      </c>
      <c r="U1057" t="s">
        <v>3896</v>
      </c>
    </row>
    <row r="1058" spans="1:21">
      <c r="A1058" s="136">
        <v>1</v>
      </c>
      <c r="B1058" s="233">
        <v>2016</v>
      </c>
      <c r="C1058" s="234" t="s">
        <v>13</v>
      </c>
      <c r="D1058" s="234" t="s">
        <v>4920</v>
      </c>
      <c r="E1058" s="235" t="s">
        <v>3662</v>
      </c>
      <c r="F1058" s="235" t="s">
        <v>4951</v>
      </c>
      <c r="G1058" s="235" t="s">
        <v>2579</v>
      </c>
      <c r="H1058" s="236">
        <v>0.2</v>
      </c>
      <c r="I1058" s="236">
        <v>0.2</v>
      </c>
      <c r="J1058" s="233">
        <v>1</v>
      </c>
      <c r="K1058" s="237"/>
      <c r="L1058" s="235"/>
      <c r="M1058" s="276"/>
      <c r="N1058" s="279" t="s">
        <v>25</v>
      </c>
      <c r="O1058" t="str">
        <f t="shared" si="17"/>
        <v>2016-D Shield Penny</v>
      </c>
      <c r="S1058" t="str" cm="1">
        <f t="array" ref="S1058">_xlfn.REGEXEXTRACT(E1058, "[0-9]{1,5}")</f>
        <v>2016</v>
      </c>
      <c r="T1058" t="s">
        <v>4222</v>
      </c>
      <c r="U1058" t="s">
        <v>3896</v>
      </c>
    </row>
    <row r="1059" spans="1:21">
      <c r="A1059" s="136">
        <v>1</v>
      </c>
      <c r="B1059" s="233">
        <v>2016</v>
      </c>
      <c r="C1059" s="234" t="s">
        <v>12</v>
      </c>
      <c r="D1059" s="234" t="s">
        <v>4920</v>
      </c>
      <c r="E1059" s="235" t="s">
        <v>3663</v>
      </c>
      <c r="F1059" s="235" t="s">
        <v>5208</v>
      </c>
      <c r="G1059" s="235" t="s">
        <v>2584</v>
      </c>
      <c r="H1059" s="236">
        <v>3</v>
      </c>
      <c r="I1059" s="236">
        <v>3</v>
      </c>
      <c r="J1059" s="233">
        <v>1</v>
      </c>
      <c r="K1059" s="237" t="s">
        <v>3755</v>
      </c>
      <c r="L1059" s="235"/>
      <c r="M1059" s="276"/>
      <c r="N1059" s="279" t="s">
        <v>25</v>
      </c>
      <c r="O1059" t="str">
        <f t="shared" si="17"/>
        <v>2016-S Shield Penny Proof</v>
      </c>
      <c r="S1059" t="str" cm="1">
        <f t="array" ref="S1059">_xlfn.REGEXEXTRACT(E1059, "[0-9]{1,5}")</f>
        <v>2016</v>
      </c>
      <c r="T1059" t="s">
        <v>4222</v>
      </c>
      <c r="U1059" t="s">
        <v>3896</v>
      </c>
    </row>
    <row r="1060" spans="1:21">
      <c r="A1060" s="136">
        <v>1</v>
      </c>
      <c r="B1060" s="233">
        <v>2016</v>
      </c>
      <c r="C1060" s="234" t="s">
        <v>12</v>
      </c>
      <c r="D1060" s="234" t="s">
        <v>4920</v>
      </c>
      <c r="E1060" s="235" t="s">
        <v>3664</v>
      </c>
      <c r="F1060" s="235" t="s">
        <v>5208</v>
      </c>
      <c r="G1060" s="235" t="s">
        <v>2584</v>
      </c>
      <c r="H1060" s="236">
        <v>3</v>
      </c>
      <c r="I1060" s="236">
        <v>3</v>
      </c>
      <c r="J1060" s="233">
        <v>1</v>
      </c>
      <c r="K1060" s="237" t="s">
        <v>3755</v>
      </c>
      <c r="L1060" s="235"/>
      <c r="M1060" s="276"/>
      <c r="N1060" s="279" t="s">
        <v>25</v>
      </c>
      <c r="O1060" t="str">
        <f t="shared" si="17"/>
        <v>2016-S Shield Penny Proof</v>
      </c>
      <c r="S1060" t="str" cm="1">
        <f t="array" ref="S1060">_xlfn.REGEXEXTRACT(E1060, "[0-9]{1,5}")</f>
        <v>2016</v>
      </c>
      <c r="T1060" t="s">
        <v>4222</v>
      </c>
      <c r="U1060" t="s">
        <v>3896</v>
      </c>
    </row>
    <row r="1061" spans="1:21">
      <c r="A1061" s="136">
        <v>1</v>
      </c>
      <c r="B1061" s="233">
        <v>2017</v>
      </c>
      <c r="C1061" s="234" t="s">
        <v>25</v>
      </c>
      <c r="D1061" s="234" t="s">
        <v>4920</v>
      </c>
      <c r="E1061" s="235" t="s">
        <v>3665</v>
      </c>
      <c r="F1061" s="235" t="s">
        <v>4951</v>
      </c>
      <c r="G1061" s="235" t="s">
        <v>2579</v>
      </c>
      <c r="H1061" s="236">
        <v>0.03</v>
      </c>
      <c r="I1061" s="236">
        <v>0.03</v>
      </c>
      <c r="J1061" s="233">
        <v>3</v>
      </c>
      <c r="K1061" s="237" t="s">
        <v>1183</v>
      </c>
      <c r="L1061" s="235"/>
      <c r="M1061" s="276"/>
      <c r="N1061" s="279" t="s">
        <v>25</v>
      </c>
      <c r="O1061" t="str">
        <f t="shared" si="17"/>
        <v>2017-P Shield Penny</v>
      </c>
      <c r="S1061" t="str" cm="1">
        <f t="array" ref="S1061">_xlfn.REGEXEXTRACT(E1061, "[0-9]{1,5}")</f>
        <v>2017</v>
      </c>
      <c r="T1061" t="s">
        <v>4223</v>
      </c>
      <c r="U1061" t="s">
        <v>3896</v>
      </c>
    </row>
    <row r="1062" spans="1:21">
      <c r="A1062" s="136">
        <v>1</v>
      </c>
      <c r="B1062" s="233">
        <v>2017</v>
      </c>
      <c r="C1062" s="234" t="s">
        <v>25</v>
      </c>
      <c r="D1062" s="234" t="s">
        <v>4920</v>
      </c>
      <c r="E1062" s="235" t="s">
        <v>3666</v>
      </c>
      <c r="F1062" s="235" t="s">
        <v>4951</v>
      </c>
      <c r="G1062" s="235" t="s">
        <v>2579</v>
      </c>
      <c r="H1062" s="236">
        <v>0.03</v>
      </c>
      <c r="I1062" s="236">
        <v>0.03</v>
      </c>
      <c r="J1062" s="233">
        <v>3</v>
      </c>
      <c r="K1062" s="237" t="s">
        <v>1183</v>
      </c>
      <c r="L1062" s="235"/>
      <c r="M1062" s="276"/>
      <c r="N1062" s="279" t="s">
        <v>25</v>
      </c>
      <c r="O1062" t="str">
        <f t="shared" si="17"/>
        <v>2017-P Shield Penny</v>
      </c>
      <c r="S1062" t="str" cm="1">
        <f t="array" ref="S1062">_xlfn.REGEXEXTRACT(E1062, "[0-9]{1,5}")</f>
        <v>2017</v>
      </c>
      <c r="T1062" t="s">
        <v>4223</v>
      </c>
      <c r="U1062" t="s">
        <v>3896</v>
      </c>
    </row>
    <row r="1063" spans="1:21">
      <c r="A1063" s="136">
        <v>1</v>
      </c>
      <c r="B1063" s="233">
        <v>2017</v>
      </c>
      <c r="C1063" s="234" t="s">
        <v>25</v>
      </c>
      <c r="D1063" s="234" t="s">
        <v>4920</v>
      </c>
      <c r="E1063" s="235" t="s">
        <v>3667</v>
      </c>
      <c r="F1063" s="235" t="s">
        <v>4951</v>
      </c>
      <c r="G1063" s="235" t="s">
        <v>2579</v>
      </c>
      <c r="H1063" s="236">
        <v>0.03</v>
      </c>
      <c r="I1063" s="236">
        <v>0.03</v>
      </c>
      <c r="J1063" s="233">
        <v>3</v>
      </c>
      <c r="K1063" s="237" t="s">
        <v>1183</v>
      </c>
      <c r="L1063" s="235"/>
      <c r="M1063" s="276"/>
      <c r="N1063" s="279" t="s">
        <v>25</v>
      </c>
      <c r="O1063" t="str">
        <f t="shared" si="17"/>
        <v>2017-P Shield Penny</v>
      </c>
      <c r="S1063" t="str" cm="1">
        <f t="array" ref="S1063">_xlfn.REGEXEXTRACT(E1063, "[0-9]{1,5}")</f>
        <v>2017</v>
      </c>
      <c r="T1063" t="s">
        <v>4223</v>
      </c>
      <c r="U1063" t="s">
        <v>3896</v>
      </c>
    </row>
    <row r="1064" spans="1:21">
      <c r="A1064" s="136">
        <v>1</v>
      </c>
      <c r="B1064" s="233">
        <v>2017</v>
      </c>
      <c r="C1064" s="234" t="s">
        <v>25</v>
      </c>
      <c r="D1064" s="234" t="s">
        <v>4920</v>
      </c>
      <c r="E1064" s="235" t="s">
        <v>3668</v>
      </c>
      <c r="F1064" s="235" t="s">
        <v>4951</v>
      </c>
      <c r="G1064" s="235" t="s">
        <v>2579</v>
      </c>
      <c r="H1064" s="236">
        <v>0.01</v>
      </c>
      <c r="I1064" s="236">
        <v>0.01</v>
      </c>
      <c r="J1064" s="233">
        <v>1</v>
      </c>
      <c r="K1064" s="237" t="s">
        <v>1183</v>
      </c>
      <c r="L1064" s="235"/>
      <c r="M1064" s="276"/>
      <c r="N1064" s="279" t="s">
        <v>25</v>
      </c>
      <c r="O1064" t="str">
        <f t="shared" si="17"/>
        <v>2017-P Shield Penny</v>
      </c>
      <c r="S1064" t="str" cm="1">
        <f t="array" ref="S1064">_xlfn.REGEXEXTRACT(E1064, "[0-9]{1,5}")</f>
        <v>2017</v>
      </c>
      <c r="T1064" t="s">
        <v>4223</v>
      </c>
      <c r="U1064" t="s">
        <v>3896</v>
      </c>
    </row>
    <row r="1065" spans="1:21">
      <c r="A1065" s="136">
        <v>1</v>
      </c>
      <c r="B1065" s="233">
        <v>2017</v>
      </c>
      <c r="C1065" s="234" t="s">
        <v>25</v>
      </c>
      <c r="D1065" s="234" t="s">
        <v>4920</v>
      </c>
      <c r="E1065" s="235" t="s">
        <v>3669</v>
      </c>
      <c r="F1065" s="235" t="s">
        <v>4951</v>
      </c>
      <c r="G1065" s="235" t="s">
        <v>2579</v>
      </c>
      <c r="H1065" s="236">
        <v>0.01</v>
      </c>
      <c r="I1065" s="236">
        <v>0.01</v>
      </c>
      <c r="J1065" s="233">
        <v>1</v>
      </c>
      <c r="K1065" s="237" t="s">
        <v>1183</v>
      </c>
      <c r="L1065" s="235"/>
      <c r="M1065" s="276"/>
      <c r="N1065" s="279" t="s">
        <v>25</v>
      </c>
      <c r="O1065" t="str">
        <f t="shared" si="17"/>
        <v>2017-P Shield Penny</v>
      </c>
      <c r="S1065" t="str" cm="1">
        <f t="array" ref="S1065">_xlfn.REGEXEXTRACT(E1065, "[0-9]{1,5}")</f>
        <v>2017</v>
      </c>
      <c r="T1065" t="s">
        <v>4223</v>
      </c>
      <c r="U1065" t="s">
        <v>3896</v>
      </c>
    </row>
    <row r="1066" spans="1:21">
      <c r="A1066" s="136">
        <v>1</v>
      </c>
      <c r="B1066" s="233">
        <v>2017</v>
      </c>
      <c r="C1066" s="234" t="s">
        <v>25</v>
      </c>
      <c r="D1066" s="234" t="s">
        <v>4920</v>
      </c>
      <c r="E1066" s="235" t="s">
        <v>3670</v>
      </c>
      <c r="F1066" s="235" t="s">
        <v>4951</v>
      </c>
      <c r="G1066" s="235" t="s">
        <v>2579</v>
      </c>
      <c r="H1066" s="236">
        <v>0.01</v>
      </c>
      <c r="I1066" s="236">
        <v>0.01</v>
      </c>
      <c r="J1066" s="233">
        <v>1</v>
      </c>
      <c r="K1066" s="237" t="s">
        <v>1183</v>
      </c>
      <c r="L1066" s="235"/>
      <c r="M1066" s="276"/>
      <c r="N1066" s="279" t="s">
        <v>25</v>
      </c>
      <c r="O1066" t="str">
        <f t="shared" si="17"/>
        <v>2017-P Shield Penny</v>
      </c>
      <c r="S1066" t="str" cm="1">
        <f t="array" ref="S1066">_xlfn.REGEXEXTRACT(E1066, "[0-9]{1,5}")</f>
        <v>2017</v>
      </c>
      <c r="T1066" t="s">
        <v>4223</v>
      </c>
      <c r="U1066" t="s">
        <v>3896</v>
      </c>
    </row>
    <row r="1067" spans="1:21">
      <c r="A1067" s="136">
        <v>1</v>
      </c>
      <c r="B1067" s="233">
        <v>2017</v>
      </c>
      <c r="C1067" s="234" t="s">
        <v>25</v>
      </c>
      <c r="D1067" s="234" t="s">
        <v>4920</v>
      </c>
      <c r="E1067" s="235" t="s">
        <v>3671</v>
      </c>
      <c r="F1067" s="235" t="s">
        <v>4951</v>
      </c>
      <c r="G1067" s="235" t="s">
        <v>2579</v>
      </c>
      <c r="H1067" s="236">
        <v>0.01</v>
      </c>
      <c r="I1067" s="236">
        <v>0.01</v>
      </c>
      <c r="J1067" s="233">
        <v>1</v>
      </c>
      <c r="K1067" s="237" t="s">
        <v>1183</v>
      </c>
      <c r="L1067" s="235"/>
      <c r="M1067" s="276"/>
      <c r="N1067" s="279" t="s">
        <v>25</v>
      </c>
      <c r="O1067" t="str">
        <f t="shared" si="17"/>
        <v>2017-P Shield Penny</v>
      </c>
      <c r="S1067" t="str" cm="1">
        <f t="array" ref="S1067">_xlfn.REGEXEXTRACT(E1067, "[0-9]{1,5}")</f>
        <v>2017</v>
      </c>
      <c r="T1067" t="s">
        <v>4223</v>
      </c>
      <c r="U1067" t="s">
        <v>3896</v>
      </c>
    </row>
    <row r="1068" spans="1:21">
      <c r="A1068" s="136">
        <v>1</v>
      </c>
      <c r="B1068" s="233">
        <v>2017</v>
      </c>
      <c r="C1068" s="234" t="s">
        <v>25</v>
      </c>
      <c r="D1068" s="234" t="s">
        <v>4920</v>
      </c>
      <c r="E1068" s="235" t="s">
        <v>3672</v>
      </c>
      <c r="F1068" s="235" t="s">
        <v>4951</v>
      </c>
      <c r="G1068" s="235" t="s">
        <v>2579</v>
      </c>
      <c r="H1068" s="236">
        <v>0.01</v>
      </c>
      <c r="I1068" s="236">
        <v>0.01</v>
      </c>
      <c r="J1068" s="233">
        <v>1</v>
      </c>
      <c r="K1068" s="237" t="s">
        <v>1183</v>
      </c>
      <c r="L1068" s="235"/>
      <c r="M1068" s="276"/>
      <c r="N1068" s="279" t="s">
        <v>25</v>
      </c>
      <c r="O1068" t="str">
        <f t="shared" si="17"/>
        <v>2017-P Shield Penny</v>
      </c>
      <c r="S1068" t="str" cm="1">
        <f t="array" ref="S1068">_xlfn.REGEXEXTRACT(E1068, "[0-9]{1,5}")</f>
        <v>2017</v>
      </c>
      <c r="T1068" t="s">
        <v>4223</v>
      </c>
      <c r="U1068" t="s">
        <v>3896</v>
      </c>
    </row>
    <row r="1069" spans="1:21">
      <c r="A1069" s="136">
        <v>1</v>
      </c>
      <c r="B1069" s="233">
        <v>2017</v>
      </c>
      <c r="C1069" s="234" t="s">
        <v>25</v>
      </c>
      <c r="D1069" s="234" t="s">
        <v>4920</v>
      </c>
      <c r="E1069" s="235" t="s">
        <v>3673</v>
      </c>
      <c r="F1069" s="235" t="s">
        <v>4951</v>
      </c>
      <c r="G1069" s="235" t="s">
        <v>2579</v>
      </c>
      <c r="H1069" s="236">
        <v>0.01</v>
      </c>
      <c r="I1069" s="236">
        <v>0.01</v>
      </c>
      <c r="J1069" s="233">
        <v>1</v>
      </c>
      <c r="K1069" s="237" t="s">
        <v>1183</v>
      </c>
      <c r="L1069" s="235"/>
      <c r="M1069" s="276"/>
      <c r="N1069" s="279" t="s">
        <v>25</v>
      </c>
      <c r="O1069" t="str">
        <f t="shared" si="17"/>
        <v>2017-P Shield Penny</v>
      </c>
      <c r="S1069" t="str" cm="1">
        <f t="array" ref="S1069">_xlfn.REGEXEXTRACT(E1069, "[0-9]{1,5}")</f>
        <v>2017</v>
      </c>
      <c r="T1069" t="s">
        <v>4223</v>
      </c>
      <c r="U1069" t="s">
        <v>3896</v>
      </c>
    </row>
    <row r="1070" spans="1:21">
      <c r="A1070" s="136">
        <v>1</v>
      </c>
      <c r="B1070" s="233">
        <v>2017</v>
      </c>
      <c r="C1070" s="234" t="s">
        <v>13</v>
      </c>
      <c r="D1070" s="234" t="s">
        <v>4920</v>
      </c>
      <c r="E1070" s="235" t="s">
        <v>3674</v>
      </c>
      <c r="F1070" s="235" t="s">
        <v>4951</v>
      </c>
      <c r="G1070" s="235" t="s">
        <v>2579</v>
      </c>
      <c r="H1070" s="236">
        <v>0.01</v>
      </c>
      <c r="I1070" s="236">
        <v>0.01</v>
      </c>
      <c r="J1070" s="233">
        <v>1</v>
      </c>
      <c r="K1070" s="237" t="s">
        <v>1183</v>
      </c>
      <c r="L1070" s="235"/>
      <c r="M1070" s="276"/>
      <c r="N1070" s="279" t="s">
        <v>25</v>
      </c>
      <c r="O1070" t="str">
        <f t="shared" si="17"/>
        <v>2017-D Shield Penny</v>
      </c>
      <c r="S1070" t="str" cm="1">
        <f t="array" ref="S1070">_xlfn.REGEXEXTRACT(E1070, "[0-9]{1,5}")</f>
        <v>2017</v>
      </c>
      <c r="T1070" t="s">
        <v>4223</v>
      </c>
      <c r="U1070" t="s">
        <v>3896</v>
      </c>
    </row>
    <row r="1071" spans="1:21">
      <c r="A1071" s="136">
        <v>1</v>
      </c>
      <c r="B1071" s="233">
        <v>2017</v>
      </c>
      <c r="C1071" s="234" t="s">
        <v>13</v>
      </c>
      <c r="D1071" s="234" t="s">
        <v>4920</v>
      </c>
      <c r="E1071" s="235" t="s">
        <v>3675</v>
      </c>
      <c r="F1071" s="235" t="s">
        <v>4951</v>
      </c>
      <c r="G1071" s="235" t="s">
        <v>2579</v>
      </c>
      <c r="H1071" s="236">
        <v>0.01</v>
      </c>
      <c r="I1071" s="236">
        <v>0.01</v>
      </c>
      <c r="J1071" s="233">
        <v>1</v>
      </c>
      <c r="K1071" s="237" t="s">
        <v>1183</v>
      </c>
      <c r="L1071" s="235"/>
      <c r="M1071" s="276"/>
      <c r="N1071" s="279" t="s">
        <v>25</v>
      </c>
      <c r="O1071" t="str">
        <f t="shared" si="17"/>
        <v>2017-D Shield Penny</v>
      </c>
      <c r="S1071" t="str" cm="1">
        <f t="array" ref="S1071">_xlfn.REGEXEXTRACT(E1071, "[0-9]{1,5}")</f>
        <v>2017</v>
      </c>
      <c r="T1071" t="s">
        <v>4223</v>
      </c>
      <c r="U1071" t="s">
        <v>3896</v>
      </c>
    </row>
    <row r="1072" spans="1:21">
      <c r="A1072" s="136">
        <v>1</v>
      </c>
      <c r="B1072" s="233">
        <v>2017</v>
      </c>
      <c r="C1072" s="234" t="s">
        <v>13</v>
      </c>
      <c r="D1072" s="234" t="s">
        <v>4920</v>
      </c>
      <c r="E1072" s="235" t="s">
        <v>3676</v>
      </c>
      <c r="F1072" s="235" t="s">
        <v>4951</v>
      </c>
      <c r="G1072" s="235" t="s">
        <v>2579</v>
      </c>
      <c r="H1072" s="236">
        <v>0.01</v>
      </c>
      <c r="I1072" s="236">
        <v>0.01</v>
      </c>
      <c r="J1072" s="233">
        <v>1</v>
      </c>
      <c r="K1072" s="237" t="s">
        <v>1183</v>
      </c>
      <c r="L1072" s="235"/>
      <c r="M1072" s="276"/>
      <c r="N1072" s="279" t="s">
        <v>25</v>
      </c>
      <c r="O1072" t="str">
        <f t="shared" si="17"/>
        <v>2017-D Shield Penny</v>
      </c>
      <c r="S1072" t="str" cm="1">
        <f t="array" ref="S1072">_xlfn.REGEXEXTRACT(E1072, "[0-9]{1,5}")</f>
        <v>2017</v>
      </c>
      <c r="T1072" t="s">
        <v>4223</v>
      </c>
      <c r="U1072" t="s">
        <v>3896</v>
      </c>
    </row>
    <row r="1073" spans="1:21">
      <c r="A1073" s="136">
        <v>1</v>
      </c>
      <c r="B1073" s="233">
        <v>2017</v>
      </c>
      <c r="C1073" s="234" t="s">
        <v>12</v>
      </c>
      <c r="D1073" s="234" t="s">
        <v>4920</v>
      </c>
      <c r="E1073" s="235" t="s">
        <v>3677</v>
      </c>
      <c r="F1073" s="235" t="s">
        <v>5208</v>
      </c>
      <c r="G1073" s="235" t="s">
        <v>2584</v>
      </c>
      <c r="H1073" s="236">
        <v>3</v>
      </c>
      <c r="I1073" s="236">
        <v>3</v>
      </c>
      <c r="J1073" s="233">
        <v>1</v>
      </c>
      <c r="K1073" s="237" t="s">
        <v>3755</v>
      </c>
      <c r="L1073" s="235"/>
      <c r="M1073" s="276"/>
      <c r="N1073" s="279" t="s">
        <v>25</v>
      </c>
      <c r="O1073" t="str">
        <f t="shared" si="17"/>
        <v>2017-S Shield Penny Proof</v>
      </c>
      <c r="S1073" t="str" cm="1">
        <f t="array" ref="S1073">_xlfn.REGEXEXTRACT(E1073, "[0-9]{1,5}")</f>
        <v>2017</v>
      </c>
      <c r="T1073" t="s">
        <v>4223</v>
      </c>
      <c r="U1073" t="s">
        <v>3896</v>
      </c>
    </row>
    <row r="1074" spans="1:21">
      <c r="A1074" s="136">
        <v>1</v>
      </c>
      <c r="B1074" s="233">
        <v>2017</v>
      </c>
      <c r="C1074" s="234" t="s">
        <v>12</v>
      </c>
      <c r="D1074" s="234" t="s">
        <v>4920</v>
      </c>
      <c r="E1074" s="235" t="s">
        <v>3678</v>
      </c>
      <c r="F1074" s="235" t="s">
        <v>5208</v>
      </c>
      <c r="G1074" s="235" t="s">
        <v>2584</v>
      </c>
      <c r="H1074" s="236">
        <v>3.75</v>
      </c>
      <c r="I1074" s="236">
        <v>3.75</v>
      </c>
      <c r="J1074" s="233">
        <v>1</v>
      </c>
      <c r="K1074" s="237" t="s">
        <v>3755</v>
      </c>
      <c r="L1074" s="235"/>
      <c r="M1074" s="276"/>
      <c r="N1074" s="279" t="s">
        <v>25</v>
      </c>
      <c r="O1074" t="str">
        <f t="shared" si="17"/>
        <v>2017-S Shield Penny Proof</v>
      </c>
      <c r="S1074" t="str" cm="1">
        <f t="array" ref="S1074">_xlfn.REGEXEXTRACT(E1074, "[0-9]{1,5}")</f>
        <v>2017</v>
      </c>
      <c r="T1074" t="s">
        <v>4223</v>
      </c>
      <c r="U1074" t="s">
        <v>3896</v>
      </c>
    </row>
    <row r="1075" spans="1:21">
      <c r="A1075" s="136">
        <v>1</v>
      </c>
      <c r="B1075" s="233">
        <v>2017</v>
      </c>
      <c r="C1075" s="234" t="s">
        <v>13</v>
      </c>
      <c r="D1075" s="234" t="s">
        <v>4920</v>
      </c>
      <c r="E1075" s="235" t="s">
        <v>3679</v>
      </c>
      <c r="F1075" s="235" t="s">
        <v>4951</v>
      </c>
      <c r="G1075" s="235" t="s">
        <v>2579</v>
      </c>
      <c r="H1075" s="236">
        <v>0.01</v>
      </c>
      <c r="I1075" s="236">
        <v>0.01</v>
      </c>
      <c r="J1075" s="233">
        <v>1</v>
      </c>
      <c r="K1075" s="237" t="s">
        <v>1183</v>
      </c>
      <c r="L1075" s="235"/>
      <c r="M1075" s="276"/>
      <c r="N1075" s="279" t="s">
        <v>25</v>
      </c>
      <c r="O1075" t="str">
        <f t="shared" si="17"/>
        <v>2017-D Shield Penny</v>
      </c>
      <c r="S1075" t="str" cm="1">
        <f t="array" ref="S1075">_xlfn.REGEXEXTRACT(E1075, "[0-9]{1,5}")</f>
        <v>2017</v>
      </c>
      <c r="T1075" t="s">
        <v>4223</v>
      </c>
      <c r="U1075" t="s">
        <v>3896</v>
      </c>
    </row>
    <row r="1076" spans="1:21">
      <c r="A1076" s="136">
        <v>1</v>
      </c>
      <c r="B1076" s="233">
        <v>2018</v>
      </c>
      <c r="C1076" s="234" t="s">
        <v>13</v>
      </c>
      <c r="D1076" s="234" t="s">
        <v>4920</v>
      </c>
      <c r="E1076" s="235" t="s">
        <v>3680</v>
      </c>
      <c r="F1076" s="235" t="s">
        <v>4951</v>
      </c>
      <c r="G1076" s="235" t="s">
        <v>2579</v>
      </c>
      <c r="H1076" s="236">
        <v>0.2</v>
      </c>
      <c r="I1076" s="236">
        <v>0.01</v>
      </c>
      <c r="J1076" s="233">
        <v>1</v>
      </c>
      <c r="K1076" s="237" t="s">
        <v>1183</v>
      </c>
      <c r="L1076" s="235"/>
      <c r="M1076" s="276"/>
      <c r="N1076" s="279" t="s">
        <v>25</v>
      </c>
      <c r="O1076" t="str">
        <f t="shared" si="17"/>
        <v>2018-D Shield Penny</v>
      </c>
      <c r="S1076" t="str" cm="1">
        <f t="array" ref="S1076">_xlfn.REGEXEXTRACT(E1076, "[0-9]{1,5}")</f>
        <v>2018</v>
      </c>
      <c r="T1076" t="s">
        <v>4224</v>
      </c>
      <c r="U1076" t="s">
        <v>3896</v>
      </c>
    </row>
    <row r="1077" spans="1:21">
      <c r="A1077" s="136">
        <v>1</v>
      </c>
      <c r="B1077" s="233">
        <v>2018</v>
      </c>
      <c r="C1077" s="234" t="s">
        <v>25</v>
      </c>
      <c r="D1077" s="234" t="s">
        <v>4920</v>
      </c>
      <c r="E1077" s="235" t="s">
        <v>3681</v>
      </c>
      <c r="F1077" s="235" t="s">
        <v>4951</v>
      </c>
      <c r="G1077" s="235" t="s">
        <v>2579</v>
      </c>
      <c r="H1077" s="236">
        <v>0.2</v>
      </c>
      <c r="I1077" s="236">
        <v>0.01</v>
      </c>
      <c r="J1077" s="233">
        <v>1</v>
      </c>
      <c r="K1077" s="237" t="s">
        <v>1183</v>
      </c>
      <c r="L1077" s="235"/>
      <c r="M1077" s="276"/>
      <c r="N1077" s="279" t="s">
        <v>25</v>
      </c>
      <c r="O1077" t="str">
        <f t="shared" si="17"/>
        <v>2018-P Shield Penny</v>
      </c>
      <c r="S1077" t="str" cm="1">
        <f t="array" ref="S1077">_xlfn.REGEXEXTRACT(E1077, "[0-9]{1,5}")</f>
        <v>2018</v>
      </c>
      <c r="T1077" t="s">
        <v>4224</v>
      </c>
      <c r="U1077" t="s">
        <v>3896</v>
      </c>
    </row>
    <row r="1078" spans="1:21">
      <c r="A1078" s="136">
        <v>1</v>
      </c>
      <c r="B1078" s="233">
        <v>2018</v>
      </c>
      <c r="C1078" s="234" t="s">
        <v>25</v>
      </c>
      <c r="D1078" s="234" t="s">
        <v>4920</v>
      </c>
      <c r="E1078" s="235" t="s">
        <v>3682</v>
      </c>
      <c r="F1078" s="235" t="s">
        <v>4951</v>
      </c>
      <c r="G1078" s="235" t="s">
        <v>2579</v>
      </c>
      <c r="H1078" s="236">
        <v>0.2</v>
      </c>
      <c r="I1078" s="236">
        <v>0.01</v>
      </c>
      <c r="J1078" s="233">
        <v>1</v>
      </c>
      <c r="K1078" s="237" t="s">
        <v>1183</v>
      </c>
      <c r="L1078" s="235"/>
      <c r="M1078" s="276"/>
      <c r="N1078" s="279" t="s">
        <v>25</v>
      </c>
      <c r="O1078" t="str">
        <f t="shared" si="17"/>
        <v>2018-P Shield Penny</v>
      </c>
      <c r="S1078" t="str" cm="1">
        <f t="array" ref="S1078">_xlfn.REGEXEXTRACT(E1078, "[0-9]{1,5}")</f>
        <v>2018</v>
      </c>
      <c r="T1078" t="s">
        <v>4224</v>
      </c>
      <c r="U1078" t="s">
        <v>3896</v>
      </c>
    </row>
    <row r="1079" spans="1:21">
      <c r="A1079" s="136">
        <v>1</v>
      </c>
      <c r="B1079" s="233">
        <v>2018</v>
      </c>
      <c r="C1079" s="234" t="s">
        <v>13</v>
      </c>
      <c r="D1079" s="234" t="s">
        <v>4920</v>
      </c>
      <c r="E1079" s="235" t="s">
        <v>3683</v>
      </c>
      <c r="F1079" s="235" t="s">
        <v>4951</v>
      </c>
      <c r="G1079" s="235" t="s">
        <v>2579</v>
      </c>
      <c r="H1079" s="236">
        <v>0.2</v>
      </c>
      <c r="I1079" s="236">
        <v>0.01</v>
      </c>
      <c r="J1079" s="233">
        <v>1</v>
      </c>
      <c r="K1079" s="237" t="s">
        <v>1183</v>
      </c>
      <c r="L1079" s="235"/>
      <c r="M1079" s="276"/>
      <c r="N1079" s="279" t="s">
        <v>25</v>
      </c>
      <c r="O1079" t="str">
        <f t="shared" si="17"/>
        <v>2018-D Shield Penny</v>
      </c>
      <c r="S1079" t="str" cm="1">
        <f t="array" ref="S1079">_xlfn.REGEXEXTRACT(E1079, "[0-9]{1,5}")</f>
        <v>2018</v>
      </c>
      <c r="T1079" t="s">
        <v>4224</v>
      </c>
      <c r="U1079" t="s">
        <v>3896</v>
      </c>
    </row>
    <row r="1080" spans="1:21">
      <c r="A1080" s="136">
        <v>1</v>
      </c>
      <c r="B1080" s="233">
        <v>2018</v>
      </c>
      <c r="C1080" s="234"/>
      <c r="D1080" s="234" t="s">
        <v>4920</v>
      </c>
      <c r="E1080" s="235" t="s">
        <v>3684</v>
      </c>
      <c r="F1080" s="235" t="s">
        <v>4951</v>
      </c>
      <c r="G1080" s="235" t="s">
        <v>2579</v>
      </c>
      <c r="H1080" s="236">
        <v>0.01</v>
      </c>
      <c r="I1080" s="236">
        <v>0.01</v>
      </c>
      <c r="J1080" s="233">
        <v>1</v>
      </c>
      <c r="K1080" s="237" t="s">
        <v>1183</v>
      </c>
      <c r="L1080" s="235"/>
      <c r="M1080" s="276"/>
      <c r="N1080" s="279" t="s">
        <v>25</v>
      </c>
      <c r="O1080" t="str">
        <f t="shared" si="17"/>
        <v>2018 Shield Penny</v>
      </c>
      <c r="S1080" t="str" cm="1">
        <f t="array" ref="S1080">_xlfn.REGEXEXTRACT(E1080, "[0-9]{1,5}")</f>
        <v>2018</v>
      </c>
      <c r="T1080" t="s">
        <v>4224</v>
      </c>
      <c r="U1080" t="s">
        <v>3896</v>
      </c>
    </row>
    <row r="1081" spans="1:21">
      <c r="A1081" s="136">
        <v>1</v>
      </c>
      <c r="B1081" s="233">
        <v>2018</v>
      </c>
      <c r="C1081" s="234"/>
      <c r="D1081" s="234" t="s">
        <v>4920</v>
      </c>
      <c r="E1081" s="235" t="s">
        <v>3685</v>
      </c>
      <c r="F1081" s="235" t="s">
        <v>4951</v>
      </c>
      <c r="G1081" s="235" t="s">
        <v>2579</v>
      </c>
      <c r="H1081" s="236">
        <v>0.01</v>
      </c>
      <c r="I1081" s="236">
        <v>0.01</v>
      </c>
      <c r="J1081" s="233">
        <v>1</v>
      </c>
      <c r="K1081" s="237" t="s">
        <v>1183</v>
      </c>
      <c r="L1081" s="235"/>
      <c r="M1081" s="276"/>
      <c r="N1081" s="279" t="s">
        <v>25</v>
      </c>
      <c r="O1081" t="str">
        <f t="shared" si="17"/>
        <v>2018 Shield Penny</v>
      </c>
      <c r="S1081" t="str" cm="1">
        <f t="array" ref="S1081">_xlfn.REGEXEXTRACT(E1081, "[0-9]{1,5}")</f>
        <v>2018</v>
      </c>
      <c r="T1081" t="s">
        <v>4224</v>
      </c>
      <c r="U1081" t="s">
        <v>3896</v>
      </c>
    </row>
    <row r="1082" spans="1:21">
      <c r="A1082" s="136">
        <v>1</v>
      </c>
      <c r="B1082" s="233">
        <v>2018</v>
      </c>
      <c r="C1082" s="234"/>
      <c r="D1082" s="234" t="s">
        <v>4920</v>
      </c>
      <c r="E1082" s="235" t="s">
        <v>3686</v>
      </c>
      <c r="F1082" s="235" t="s">
        <v>4951</v>
      </c>
      <c r="G1082" s="235" t="s">
        <v>2579</v>
      </c>
      <c r="H1082" s="236">
        <v>0.01</v>
      </c>
      <c r="I1082" s="236">
        <v>0.01</v>
      </c>
      <c r="J1082" s="233">
        <v>1</v>
      </c>
      <c r="K1082" s="237" t="s">
        <v>1183</v>
      </c>
      <c r="L1082" s="235"/>
      <c r="M1082" s="276"/>
      <c r="N1082" s="279" t="s">
        <v>25</v>
      </c>
      <c r="O1082" t="str">
        <f t="shared" si="17"/>
        <v>2018 Shield Penny</v>
      </c>
      <c r="S1082" t="str" cm="1">
        <f t="array" ref="S1082">_xlfn.REGEXEXTRACT(E1082, "[0-9]{1,5}")</f>
        <v>2018</v>
      </c>
      <c r="T1082" t="s">
        <v>4224</v>
      </c>
      <c r="U1082" t="s">
        <v>3896</v>
      </c>
    </row>
    <row r="1083" spans="1:21">
      <c r="A1083" s="136">
        <v>1</v>
      </c>
      <c r="B1083" s="233">
        <v>2018</v>
      </c>
      <c r="C1083" s="234"/>
      <c r="D1083" s="234" t="s">
        <v>4920</v>
      </c>
      <c r="E1083" s="235" t="s">
        <v>3687</v>
      </c>
      <c r="F1083" s="235" t="s">
        <v>4951</v>
      </c>
      <c r="G1083" s="235" t="s">
        <v>2579</v>
      </c>
      <c r="H1083" s="236">
        <v>0.01</v>
      </c>
      <c r="I1083" s="236">
        <v>0.01</v>
      </c>
      <c r="J1083" s="233">
        <v>1</v>
      </c>
      <c r="K1083" s="237" t="s">
        <v>1183</v>
      </c>
      <c r="L1083" s="235"/>
      <c r="M1083" s="276"/>
      <c r="N1083" s="279" t="s">
        <v>25</v>
      </c>
      <c r="O1083" t="str">
        <f t="shared" si="17"/>
        <v>2018 Shield Penny</v>
      </c>
      <c r="S1083" t="str" cm="1">
        <f t="array" ref="S1083">_xlfn.REGEXEXTRACT(E1083, "[0-9]{1,5}")</f>
        <v>2018</v>
      </c>
      <c r="T1083" t="s">
        <v>4224</v>
      </c>
      <c r="U1083" t="s">
        <v>3896</v>
      </c>
    </row>
    <row r="1084" spans="1:21">
      <c r="A1084" s="136">
        <v>1</v>
      </c>
      <c r="B1084" s="233">
        <v>2018</v>
      </c>
      <c r="C1084" s="234"/>
      <c r="D1084" s="234" t="s">
        <v>4920</v>
      </c>
      <c r="E1084" s="235" t="s">
        <v>3688</v>
      </c>
      <c r="F1084" s="235" t="s">
        <v>4951</v>
      </c>
      <c r="G1084" s="235" t="s">
        <v>2579</v>
      </c>
      <c r="H1084" s="236">
        <v>0.01</v>
      </c>
      <c r="I1084" s="236">
        <v>0.01</v>
      </c>
      <c r="J1084" s="233">
        <v>1</v>
      </c>
      <c r="K1084" s="237" t="s">
        <v>1183</v>
      </c>
      <c r="L1084" s="235"/>
      <c r="M1084" s="276"/>
      <c r="N1084" s="279" t="s">
        <v>25</v>
      </c>
      <c r="O1084" t="str">
        <f t="shared" si="17"/>
        <v>2018 Shield Penny</v>
      </c>
      <c r="S1084" t="str" cm="1">
        <f t="array" ref="S1084">_xlfn.REGEXEXTRACT(E1084, "[0-9]{1,5}")</f>
        <v>2018</v>
      </c>
      <c r="T1084" t="s">
        <v>4224</v>
      </c>
      <c r="U1084" t="s">
        <v>3896</v>
      </c>
    </row>
    <row r="1085" spans="1:21">
      <c r="A1085" s="136">
        <v>1</v>
      </c>
      <c r="B1085" s="233">
        <v>2018</v>
      </c>
      <c r="C1085" s="234" t="s">
        <v>13</v>
      </c>
      <c r="D1085" s="234" t="s">
        <v>4920</v>
      </c>
      <c r="E1085" s="235" t="s">
        <v>3689</v>
      </c>
      <c r="F1085" s="235" t="s">
        <v>4951</v>
      </c>
      <c r="G1085" s="235" t="s">
        <v>2579</v>
      </c>
      <c r="H1085" s="236">
        <v>0.2</v>
      </c>
      <c r="I1085" s="236">
        <v>0.2</v>
      </c>
      <c r="J1085" s="233">
        <v>1</v>
      </c>
      <c r="K1085" s="237" t="s">
        <v>1183</v>
      </c>
      <c r="L1085" s="235"/>
      <c r="M1085" s="276"/>
      <c r="N1085" s="279" t="s">
        <v>25</v>
      </c>
      <c r="O1085" t="str">
        <f t="shared" si="17"/>
        <v>2018-D Shield Penny</v>
      </c>
      <c r="S1085" t="str" cm="1">
        <f t="array" ref="S1085">_xlfn.REGEXEXTRACT(E1085, "[0-9]{1,5}")</f>
        <v>2018</v>
      </c>
      <c r="T1085" t="s">
        <v>4224</v>
      </c>
      <c r="U1085" t="s">
        <v>3896</v>
      </c>
    </row>
    <row r="1086" spans="1:21">
      <c r="A1086" s="136">
        <v>1</v>
      </c>
      <c r="B1086" s="233">
        <v>2018</v>
      </c>
      <c r="C1086" s="234" t="s">
        <v>12</v>
      </c>
      <c r="D1086" s="234" t="s">
        <v>4920</v>
      </c>
      <c r="E1086" s="235" t="s">
        <v>3690</v>
      </c>
      <c r="F1086" s="235" t="s">
        <v>5208</v>
      </c>
      <c r="G1086" s="235" t="s">
        <v>2579</v>
      </c>
      <c r="H1086" s="236">
        <v>2.5</v>
      </c>
      <c r="I1086" s="236">
        <v>2.5</v>
      </c>
      <c r="J1086" s="233">
        <v>1</v>
      </c>
      <c r="K1086" s="237" t="s">
        <v>3755</v>
      </c>
      <c r="L1086" s="235"/>
      <c r="M1086" s="276"/>
      <c r="N1086" s="279" t="s">
        <v>25</v>
      </c>
      <c r="O1086" t="str">
        <f t="shared" si="17"/>
        <v>2018-S Shield Penny Proof</v>
      </c>
      <c r="S1086" t="str" cm="1">
        <f t="array" ref="S1086">_xlfn.REGEXEXTRACT(E1086, "[0-9]{1,5}")</f>
        <v>2018</v>
      </c>
      <c r="T1086" t="s">
        <v>4224</v>
      </c>
      <c r="U1086" t="s">
        <v>3896</v>
      </c>
    </row>
    <row r="1087" spans="1:21">
      <c r="A1087" s="136">
        <v>1</v>
      </c>
      <c r="B1087" s="233">
        <v>2018</v>
      </c>
      <c r="C1087" s="234" t="s">
        <v>12</v>
      </c>
      <c r="D1087" s="234" t="s">
        <v>4920</v>
      </c>
      <c r="E1087" s="235" t="s">
        <v>3691</v>
      </c>
      <c r="F1087" s="235" t="s">
        <v>5208</v>
      </c>
      <c r="G1087" s="235" t="s">
        <v>2579</v>
      </c>
      <c r="H1087" s="236">
        <v>2.5</v>
      </c>
      <c r="I1087" s="236">
        <v>2.5</v>
      </c>
      <c r="J1087" s="233">
        <v>1</v>
      </c>
      <c r="K1087" s="237" t="s">
        <v>3755</v>
      </c>
      <c r="L1087" s="235"/>
      <c r="M1087" s="276"/>
      <c r="N1087" s="279" t="s">
        <v>25</v>
      </c>
      <c r="O1087" t="str">
        <f t="shared" si="17"/>
        <v>2018-S Shield Penny Proof</v>
      </c>
      <c r="S1087" t="str" cm="1">
        <f t="array" ref="S1087">_xlfn.REGEXEXTRACT(E1087, "[0-9]{1,5}")</f>
        <v>2018</v>
      </c>
      <c r="T1087" t="s">
        <v>4224</v>
      </c>
      <c r="U1087" t="s">
        <v>3896</v>
      </c>
    </row>
    <row r="1088" spans="1:21">
      <c r="A1088" s="136">
        <v>1</v>
      </c>
      <c r="B1088" s="233">
        <v>2018</v>
      </c>
      <c r="C1088" s="234"/>
      <c r="D1088" s="234" t="s">
        <v>4920</v>
      </c>
      <c r="E1088" s="235" t="s">
        <v>4645</v>
      </c>
      <c r="F1088" s="235" t="s">
        <v>4951</v>
      </c>
      <c r="G1088" s="235" t="s">
        <v>2579</v>
      </c>
      <c r="H1088" s="236">
        <v>0.01</v>
      </c>
      <c r="I1088" s="236">
        <v>0.01</v>
      </c>
      <c r="J1088" s="233">
        <v>5</v>
      </c>
      <c r="K1088" s="237"/>
      <c r="L1088" s="235"/>
      <c r="M1088" s="276"/>
      <c r="N1088" s="279" t="s">
        <v>25</v>
      </c>
      <c r="O1088" t="str">
        <f t="shared" si="17"/>
        <v>2018 Shield Penny</v>
      </c>
      <c r="S1088" t="str" cm="1">
        <f t="array" ref="S1088">_xlfn.REGEXEXTRACT(E1088, "[0-9]{1,5}")</f>
        <v>2018</v>
      </c>
      <c r="T1088" t="s">
        <v>4225</v>
      </c>
      <c r="U1088" t="s">
        <v>3896</v>
      </c>
    </row>
    <row r="1089" spans="1:21">
      <c r="A1089" s="136">
        <v>1</v>
      </c>
      <c r="B1089" s="233">
        <v>2018</v>
      </c>
      <c r="C1089" s="234" t="s">
        <v>12</v>
      </c>
      <c r="D1089" s="234" t="s">
        <v>4920</v>
      </c>
      <c r="E1089" s="235" t="s">
        <v>4644</v>
      </c>
      <c r="F1089" s="235" t="s">
        <v>5208</v>
      </c>
      <c r="G1089" s="235" t="s">
        <v>2579</v>
      </c>
      <c r="H1089" s="236">
        <v>0.01</v>
      </c>
      <c r="I1089" s="236">
        <v>0.01</v>
      </c>
      <c r="J1089" s="233">
        <v>1</v>
      </c>
      <c r="K1089" s="237"/>
      <c r="L1089" s="235"/>
      <c r="M1089" s="276"/>
      <c r="N1089" s="279" t="s">
        <v>25</v>
      </c>
      <c r="O1089" t="str">
        <f t="shared" si="17"/>
        <v>2018-S Shield Penny Proof</v>
      </c>
      <c r="S1089" t="str" cm="1">
        <f t="array" ref="S1089">_xlfn.REGEXEXTRACT(E1089, "[0-9]{1,5}")</f>
        <v>2018</v>
      </c>
      <c r="T1089" t="s">
        <v>4226</v>
      </c>
      <c r="U1089" t="s">
        <v>3896</v>
      </c>
    </row>
    <row r="1090" spans="1:21">
      <c r="A1090" s="136">
        <v>1</v>
      </c>
      <c r="B1090" s="233">
        <v>2019</v>
      </c>
      <c r="C1090" s="234" t="s">
        <v>12</v>
      </c>
      <c r="D1090" s="234" t="s">
        <v>4920</v>
      </c>
      <c r="E1090" s="235" t="s">
        <v>3692</v>
      </c>
      <c r="F1090" s="235" t="s">
        <v>5208</v>
      </c>
      <c r="G1090" s="235" t="s">
        <v>2579</v>
      </c>
      <c r="H1090" s="236">
        <v>2.5</v>
      </c>
      <c r="I1090" s="236">
        <v>2.5</v>
      </c>
      <c r="J1090" s="233">
        <v>1</v>
      </c>
      <c r="K1090" s="237" t="s">
        <v>3755</v>
      </c>
      <c r="L1090" s="235"/>
      <c r="M1090" s="276" t="str">
        <f t="shared" ref="M1090:M1121" si="18">HYPERLINK($Y$2&amp;E1090&amp;$AA$2,"Photo")</f>
        <v>Photo</v>
      </c>
      <c r="N1090" s="279" t="s">
        <v>25</v>
      </c>
      <c r="O1090" t="str">
        <f t="shared" si="17"/>
        <v>2019-S Shield Penny Proof</v>
      </c>
      <c r="S1090" t="str" cm="1">
        <f t="array" ref="S1090">_xlfn.REGEXEXTRACT(E1090, "[0-9]{1,5}")</f>
        <v>2019</v>
      </c>
      <c r="T1090" t="s">
        <v>4225</v>
      </c>
      <c r="U1090" t="s">
        <v>3896</v>
      </c>
    </row>
    <row r="1091" spans="1:21">
      <c r="A1091" s="136">
        <v>1</v>
      </c>
      <c r="B1091" s="233">
        <v>2019</v>
      </c>
      <c r="C1091" s="234" t="s">
        <v>12</v>
      </c>
      <c r="D1091" s="234" t="s">
        <v>4920</v>
      </c>
      <c r="E1091" s="235" t="s">
        <v>3693</v>
      </c>
      <c r="F1091" s="235" t="s">
        <v>5208</v>
      </c>
      <c r="G1091" s="235" t="s">
        <v>2579</v>
      </c>
      <c r="H1091" s="236">
        <v>2.25</v>
      </c>
      <c r="I1091" s="236">
        <v>2.25</v>
      </c>
      <c r="J1091" s="233">
        <v>1</v>
      </c>
      <c r="K1091" s="237" t="s">
        <v>3755</v>
      </c>
      <c r="L1091" s="235"/>
      <c r="M1091" s="276" t="str">
        <f t="shared" si="18"/>
        <v>Photo</v>
      </c>
      <c r="N1091" s="279" t="s">
        <v>25</v>
      </c>
      <c r="O1091" t="str">
        <f t="shared" si="17"/>
        <v>2019-S Shield Penny Proof</v>
      </c>
      <c r="S1091" t="str" cm="1">
        <f t="array" ref="S1091">_xlfn.REGEXEXTRACT(E1091, "[0-9]{1,5}")</f>
        <v>2019</v>
      </c>
      <c r="T1091" t="s">
        <v>4225</v>
      </c>
      <c r="U1091" t="s">
        <v>3896</v>
      </c>
    </row>
    <row r="1092" spans="1:21">
      <c r="A1092" s="136">
        <v>1</v>
      </c>
      <c r="B1092" s="233">
        <v>2019</v>
      </c>
      <c r="C1092" s="234"/>
      <c r="D1092" s="234" t="s">
        <v>4920</v>
      </c>
      <c r="E1092" s="235" t="s">
        <v>3694</v>
      </c>
      <c r="F1092" s="235" t="s">
        <v>4951</v>
      </c>
      <c r="G1092" s="235" t="s">
        <v>2579</v>
      </c>
      <c r="H1092" s="236">
        <v>0.01</v>
      </c>
      <c r="I1092" s="236">
        <v>0.01</v>
      </c>
      <c r="J1092" s="233">
        <v>1</v>
      </c>
      <c r="K1092" s="237"/>
      <c r="L1092" s="235"/>
      <c r="M1092" s="276" t="str">
        <f t="shared" si="18"/>
        <v>Photo</v>
      </c>
      <c r="N1092" s="279" t="s">
        <v>25</v>
      </c>
      <c r="O1092" t="str">
        <f t="shared" ref="O1092:O1155" si="19">IF(C1092&lt;&gt;"",B1092&amp;"-"&amp;C1092&amp;" "&amp;F1092,B1092&amp;" "&amp;F1092)</f>
        <v>2019 Shield Penny</v>
      </c>
      <c r="S1092" t="str" cm="1">
        <f t="array" ref="S1092">_xlfn.REGEXEXTRACT(E1092, "[0-9]{1,5}")</f>
        <v>2019</v>
      </c>
      <c r="T1092" t="s">
        <v>4225</v>
      </c>
      <c r="U1092" t="s">
        <v>3896</v>
      </c>
    </row>
    <row r="1093" spans="1:21">
      <c r="A1093" s="136">
        <v>1</v>
      </c>
      <c r="B1093" s="233">
        <v>2019</v>
      </c>
      <c r="C1093" s="234"/>
      <c r="D1093" s="234" t="s">
        <v>4920</v>
      </c>
      <c r="E1093" s="235" t="s">
        <v>3695</v>
      </c>
      <c r="F1093" s="235" t="s">
        <v>4951</v>
      </c>
      <c r="G1093" s="235" t="s">
        <v>2579</v>
      </c>
      <c r="H1093" s="236">
        <v>0.01</v>
      </c>
      <c r="I1093" s="236">
        <v>0.01</v>
      </c>
      <c r="J1093" s="233">
        <v>1</v>
      </c>
      <c r="K1093" s="237"/>
      <c r="L1093" s="235"/>
      <c r="M1093" s="276" t="str">
        <f t="shared" si="18"/>
        <v>Photo</v>
      </c>
      <c r="N1093" s="279" t="s">
        <v>25</v>
      </c>
      <c r="O1093" t="str">
        <f t="shared" si="19"/>
        <v>2019 Shield Penny</v>
      </c>
      <c r="S1093" t="str" cm="1">
        <f t="array" ref="S1093">_xlfn.REGEXEXTRACT(E1093, "[0-9]{1,5}")</f>
        <v>2019</v>
      </c>
      <c r="T1093" t="s">
        <v>4225</v>
      </c>
      <c r="U1093" t="s">
        <v>3896</v>
      </c>
    </row>
    <row r="1094" spans="1:21">
      <c r="A1094" s="136">
        <v>1</v>
      </c>
      <c r="B1094" s="233">
        <v>2019</v>
      </c>
      <c r="C1094" s="234"/>
      <c r="D1094" s="234" t="s">
        <v>4920</v>
      </c>
      <c r="E1094" s="235" t="s">
        <v>3696</v>
      </c>
      <c r="F1094" s="235" t="s">
        <v>4951</v>
      </c>
      <c r="G1094" s="235" t="s">
        <v>2579</v>
      </c>
      <c r="H1094" s="236">
        <v>0.01</v>
      </c>
      <c r="I1094" s="236">
        <v>0.01</v>
      </c>
      <c r="J1094" s="233">
        <v>1</v>
      </c>
      <c r="K1094" s="237"/>
      <c r="L1094" s="235"/>
      <c r="M1094" s="276" t="str">
        <f t="shared" si="18"/>
        <v>Photo</v>
      </c>
      <c r="N1094" s="279" t="s">
        <v>25</v>
      </c>
      <c r="O1094" t="str">
        <f t="shared" si="19"/>
        <v>2019 Shield Penny</v>
      </c>
      <c r="S1094" t="str" cm="1">
        <f t="array" ref="S1094">_xlfn.REGEXEXTRACT(E1094, "[0-9]{1,5}")</f>
        <v>2019</v>
      </c>
      <c r="T1094" t="s">
        <v>4225</v>
      </c>
      <c r="U1094" t="s">
        <v>3896</v>
      </c>
    </row>
    <row r="1095" spans="1:21">
      <c r="A1095" s="136">
        <v>1</v>
      </c>
      <c r="B1095" s="233">
        <v>2019</v>
      </c>
      <c r="C1095" s="234"/>
      <c r="D1095" s="234" t="s">
        <v>4920</v>
      </c>
      <c r="E1095" s="235" t="s">
        <v>3697</v>
      </c>
      <c r="F1095" s="235" t="s">
        <v>4951</v>
      </c>
      <c r="G1095" s="235" t="s">
        <v>2579</v>
      </c>
      <c r="H1095" s="236">
        <v>0.01</v>
      </c>
      <c r="I1095" s="236">
        <v>0.01</v>
      </c>
      <c r="J1095" s="233">
        <v>1</v>
      </c>
      <c r="K1095" s="237"/>
      <c r="L1095" s="235"/>
      <c r="M1095" s="276" t="str">
        <f t="shared" si="18"/>
        <v>Photo</v>
      </c>
      <c r="N1095" s="279" t="s">
        <v>25</v>
      </c>
      <c r="O1095" t="str">
        <f t="shared" si="19"/>
        <v>2019 Shield Penny</v>
      </c>
      <c r="S1095" t="str" cm="1">
        <f t="array" ref="S1095">_xlfn.REGEXEXTRACT(E1095, "[0-9]{1,5}")</f>
        <v>2019</v>
      </c>
      <c r="T1095" t="s">
        <v>4225</v>
      </c>
      <c r="U1095" t="s">
        <v>3896</v>
      </c>
    </row>
    <row r="1096" spans="1:21">
      <c r="A1096" s="136">
        <v>1</v>
      </c>
      <c r="B1096" s="233">
        <v>2019</v>
      </c>
      <c r="C1096" s="234"/>
      <c r="D1096" s="234" t="s">
        <v>4920</v>
      </c>
      <c r="E1096" s="235" t="s">
        <v>3698</v>
      </c>
      <c r="F1096" s="235" t="s">
        <v>4951</v>
      </c>
      <c r="G1096" s="235" t="s">
        <v>2579</v>
      </c>
      <c r="H1096" s="236">
        <v>0.01</v>
      </c>
      <c r="I1096" s="236">
        <v>0.01</v>
      </c>
      <c r="J1096" s="233">
        <v>1</v>
      </c>
      <c r="K1096" s="237"/>
      <c r="L1096" s="235"/>
      <c r="M1096" s="276" t="str">
        <f t="shared" si="18"/>
        <v>Photo</v>
      </c>
      <c r="N1096" s="279" t="s">
        <v>25</v>
      </c>
      <c r="O1096" t="str">
        <f t="shared" si="19"/>
        <v>2019 Shield Penny</v>
      </c>
      <c r="S1096" t="str" cm="1">
        <f t="array" ref="S1096">_xlfn.REGEXEXTRACT(E1096, "[0-9]{1,5}")</f>
        <v>2019</v>
      </c>
      <c r="T1096" t="s">
        <v>4225</v>
      </c>
      <c r="U1096" t="s">
        <v>3896</v>
      </c>
    </row>
    <row r="1097" spans="1:21">
      <c r="A1097" s="136">
        <v>1</v>
      </c>
      <c r="B1097" s="233">
        <v>2019</v>
      </c>
      <c r="C1097" s="234"/>
      <c r="D1097" s="234" t="s">
        <v>4920</v>
      </c>
      <c r="E1097" s="235" t="s">
        <v>3699</v>
      </c>
      <c r="F1097" s="235" t="s">
        <v>4951</v>
      </c>
      <c r="G1097" s="235" t="s">
        <v>2579</v>
      </c>
      <c r="H1097" s="236">
        <v>0.01</v>
      </c>
      <c r="I1097" s="236">
        <v>0.01</v>
      </c>
      <c r="J1097" s="233">
        <v>1</v>
      </c>
      <c r="K1097" s="237"/>
      <c r="L1097" s="235"/>
      <c r="M1097" s="276" t="str">
        <f t="shared" si="18"/>
        <v>Photo</v>
      </c>
      <c r="N1097" s="279" t="s">
        <v>25</v>
      </c>
      <c r="O1097" t="str">
        <f t="shared" si="19"/>
        <v>2019 Shield Penny</v>
      </c>
      <c r="S1097" t="str" cm="1">
        <f t="array" ref="S1097">_xlfn.REGEXEXTRACT(E1097, "[0-9]{1,5}")</f>
        <v>2019</v>
      </c>
      <c r="T1097" t="s">
        <v>4225</v>
      </c>
      <c r="U1097" t="s">
        <v>3896</v>
      </c>
    </row>
    <row r="1098" spans="1:21">
      <c r="A1098" s="136">
        <v>1</v>
      </c>
      <c r="B1098" s="233">
        <v>2019</v>
      </c>
      <c r="C1098" s="234"/>
      <c r="D1098" s="234" t="s">
        <v>4920</v>
      </c>
      <c r="E1098" s="235" t="s">
        <v>3700</v>
      </c>
      <c r="F1098" s="235" t="s">
        <v>4951</v>
      </c>
      <c r="G1098" s="235" t="s">
        <v>2579</v>
      </c>
      <c r="H1098" s="236">
        <v>0.01</v>
      </c>
      <c r="I1098" s="236">
        <v>0.01</v>
      </c>
      <c r="J1098" s="233">
        <v>1</v>
      </c>
      <c r="K1098" s="237"/>
      <c r="L1098" s="235"/>
      <c r="M1098" s="276" t="str">
        <f t="shared" si="18"/>
        <v>Photo</v>
      </c>
      <c r="N1098" s="279" t="s">
        <v>25</v>
      </c>
      <c r="O1098" t="str">
        <f t="shared" si="19"/>
        <v>2019 Shield Penny</v>
      </c>
      <c r="S1098" t="str" cm="1">
        <f t="array" ref="S1098">_xlfn.REGEXEXTRACT(E1098, "[0-9]{1,5}")</f>
        <v>2019</v>
      </c>
      <c r="T1098" t="s">
        <v>4225</v>
      </c>
      <c r="U1098" t="s">
        <v>3896</v>
      </c>
    </row>
    <row r="1099" spans="1:21">
      <c r="A1099" s="136">
        <v>1</v>
      </c>
      <c r="B1099" s="233">
        <v>2019</v>
      </c>
      <c r="C1099" s="234"/>
      <c r="D1099" s="234" t="s">
        <v>4920</v>
      </c>
      <c r="E1099" s="235" t="s">
        <v>3701</v>
      </c>
      <c r="F1099" s="235" t="s">
        <v>4951</v>
      </c>
      <c r="G1099" s="235" t="s">
        <v>2579</v>
      </c>
      <c r="H1099" s="236">
        <v>0.01</v>
      </c>
      <c r="I1099" s="236">
        <v>0.01</v>
      </c>
      <c r="J1099" s="233">
        <v>1</v>
      </c>
      <c r="K1099" s="237"/>
      <c r="L1099" s="235"/>
      <c r="M1099" s="276" t="str">
        <f t="shared" si="18"/>
        <v>Photo</v>
      </c>
      <c r="N1099" s="279" t="s">
        <v>25</v>
      </c>
      <c r="O1099" t="str">
        <f t="shared" si="19"/>
        <v>2019 Shield Penny</v>
      </c>
      <c r="S1099" t="str" cm="1">
        <f t="array" ref="S1099">_xlfn.REGEXEXTRACT(E1099, "[0-9]{1,5}")</f>
        <v>2019</v>
      </c>
      <c r="T1099" t="s">
        <v>4225</v>
      </c>
      <c r="U1099" t="s">
        <v>3896</v>
      </c>
    </row>
    <row r="1100" spans="1:21">
      <c r="A1100" s="136">
        <v>1</v>
      </c>
      <c r="B1100" s="233">
        <v>2019</v>
      </c>
      <c r="C1100" s="234"/>
      <c r="D1100" s="234" t="s">
        <v>4920</v>
      </c>
      <c r="E1100" s="235" t="s">
        <v>3702</v>
      </c>
      <c r="F1100" s="235" t="s">
        <v>4951</v>
      </c>
      <c r="G1100" s="235" t="s">
        <v>2579</v>
      </c>
      <c r="H1100" s="236">
        <v>0.01</v>
      </c>
      <c r="I1100" s="236">
        <v>0.01</v>
      </c>
      <c r="J1100" s="233">
        <v>1</v>
      </c>
      <c r="K1100" s="237"/>
      <c r="L1100" s="235"/>
      <c r="M1100" s="276" t="str">
        <f t="shared" si="18"/>
        <v>Photo</v>
      </c>
      <c r="N1100" s="279" t="s">
        <v>25</v>
      </c>
      <c r="O1100" t="str">
        <f t="shared" si="19"/>
        <v>2019 Shield Penny</v>
      </c>
      <c r="S1100" t="str" cm="1">
        <f t="array" ref="S1100">_xlfn.REGEXEXTRACT(E1100, "[0-9]{1,5}")</f>
        <v>2019</v>
      </c>
      <c r="T1100" t="s">
        <v>4225</v>
      </c>
      <c r="U1100" t="s">
        <v>3896</v>
      </c>
    </row>
    <row r="1101" spans="1:21">
      <c r="A1101" s="136">
        <v>1</v>
      </c>
      <c r="B1101" s="233">
        <v>2019</v>
      </c>
      <c r="C1101" s="234"/>
      <c r="D1101" s="234" t="s">
        <v>4920</v>
      </c>
      <c r="E1101" s="235" t="s">
        <v>3703</v>
      </c>
      <c r="F1101" s="235" t="s">
        <v>4951</v>
      </c>
      <c r="G1101" s="235" t="s">
        <v>2579</v>
      </c>
      <c r="H1101" s="236">
        <v>0.01</v>
      </c>
      <c r="I1101" s="236">
        <v>0.01</v>
      </c>
      <c r="J1101" s="233">
        <v>1</v>
      </c>
      <c r="K1101" s="237"/>
      <c r="L1101" s="235"/>
      <c r="M1101" s="276" t="str">
        <f t="shared" si="18"/>
        <v>Photo</v>
      </c>
      <c r="N1101" s="279" t="s">
        <v>25</v>
      </c>
      <c r="O1101" t="str">
        <f t="shared" si="19"/>
        <v>2019 Shield Penny</v>
      </c>
      <c r="S1101" t="str" cm="1">
        <f t="array" ref="S1101">_xlfn.REGEXEXTRACT(E1101, "[0-9]{1,5}")</f>
        <v>2019</v>
      </c>
      <c r="T1101" t="s">
        <v>4225</v>
      </c>
      <c r="U1101" t="s">
        <v>3896</v>
      </c>
    </row>
    <row r="1102" spans="1:21">
      <c r="A1102" s="136">
        <v>1</v>
      </c>
      <c r="B1102" s="233">
        <v>2019</v>
      </c>
      <c r="C1102" s="234" t="s">
        <v>13</v>
      </c>
      <c r="D1102" s="234" t="s">
        <v>4920</v>
      </c>
      <c r="E1102" s="235" t="s">
        <v>3704</v>
      </c>
      <c r="F1102" s="235" t="s">
        <v>4951</v>
      </c>
      <c r="G1102" s="235" t="s">
        <v>2579</v>
      </c>
      <c r="H1102" s="236">
        <v>2.25</v>
      </c>
      <c r="I1102" s="236">
        <v>2.25</v>
      </c>
      <c r="J1102" s="233">
        <v>1</v>
      </c>
      <c r="K1102" s="237"/>
      <c r="L1102" s="235"/>
      <c r="M1102" s="276" t="str">
        <f t="shared" si="18"/>
        <v>Photo</v>
      </c>
      <c r="N1102" s="279" t="s">
        <v>25</v>
      </c>
      <c r="O1102" t="str">
        <f t="shared" si="19"/>
        <v>2019-D Shield Penny</v>
      </c>
      <c r="S1102" t="str" cm="1">
        <f t="array" ref="S1102">_xlfn.REGEXEXTRACT(E1102, "[0-9]{1,5}")</f>
        <v>2019</v>
      </c>
      <c r="T1102" t="s">
        <v>4225</v>
      </c>
      <c r="U1102" t="s">
        <v>3896</v>
      </c>
    </row>
    <row r="1103" spans="1:21">
      <c r="A1103" s="136">
        <v>1</v>
      </c>
      <c r="B1103" s="233">
        <v>2019</v>
      </c>
      <c r="C1103" s="234" t="s">
        <v>13</v>
      </c>
      <c r="D1103" s="234" t="s">
        <v>4920</v>
      </c>
      <c r="E1103" s="235" t="s">
        <v>3705</v>
      </c>
      <c r="F1103" s="235" t="s">
        <v>4951</v>
      </c>
      <c r="G1103" s="235" t="s">
        <v>2579</v>
      </c>
      <c r="H1103" s="236">
        <v>0.2</v>
      </c>
      <c r="I1103" s="236">
        <v>0.2</v>
      </c>
      <c r="J1103" s="233">
        <v>1</v>
      </c>
      <c r="K1103" s="237"/>
      <c r="L1103" s="235"/>
      <c r="M1103" s="276" t="str">
        <f t="shared" si="18"/>
        <v>Photo</v>
      </c>
      <c r="N1103" s="279" t="s">
        <v>25</v>
      </c>
      <c r="O1103" t="str">
        <f t="shared" si="19"/>
        <v>2019-D Shield Penny</v>
      </c>
      <c r="S1103" t="str" cm="1">
        <f t="array" ref="S1103">_xlfn.REGEXEXTRACT(E1103, "[0-9]{1,5}")</f>
        <v>2019</v>
      </c>
      <c r="T1103" t="s">
        <v>4225</v>
      </c>
      <c r="U1103" t="s">
        <v>3896</v>
      </c>
    </row>
    <row r="1104" spans="1:21">
      <c r="A1104" s="136">
        <v>1</v>
      </c>
      <c r="B1104" s="233">
        <v>2020</v>
      </c>
      <c r="C1104" s="234"/>
      <c r="D1104" s="234" t="s">
        <v>4920</v>
      </c>
      <c r="E1104" s="235" t="s">
        <v>3706</v>
      </c>
      <c r="F1104" s="235" t="s">
        <v>4951</v>
      </c>
      <c r="G1104" s="235" t="s">
        <v>2579</v>
      </c>
      <c r="H1104" s="236">
        <v>0.01</v>
      </c>
      <c r="I1104" s="236">
        <v>0.01</v>
      </c>
      <c r="J1104" s="233">
        <v>1</v>
      </c>
      <c r="K1104" s="237"/>
      <c r="L1104" s="235"/>
      <c r="M1104" s="276" t="str">
        <f t="shared" si="18"/>
        <v>Photo</v>
      </c>
      <c r="N1104" s="279" t="s">
        <v>25</v>
      </c>
      <c r="O1104" t="str">
        <f t="shared" si="19"/>
        <v>2020 Shield Penny</v>
      </c>
      <c r="S1104" t="str" cm="1">
        <f t="array" ref="S1104">_xlfn.REGEXEXTRACT(E1104, "[0-9]{1,5}")</f>
        <v>2020</v>
      </c>
      <c r="T1104" t="s">
        <v>4226</v>
      </c>
      <c r="U1104" t="s">
        <v>3896</v>
      </c>
    </row>
    <row r="1105" spans="1:21">
      <c r="A1105" s="136">
        <v>1</v>
      </c>
      <c r="B1105" s="233">
        <v>2020</v>
      </c>
      <c r="C1105" s="234"/>
      <c r="D1105" s="234" t="s">
        <v>4920</v>
      </c>
      <c r="E1105" s="235" t="s">
        <v>3707</v>
      </c>
      <c r="F1105" s="235" t="s">
        <v>4951</v>
      </c>
      <c r="G1105" s="235" t="s">
        <v>2579</v>
      </c>
      <c r="H1105" s="236">
        <v>0.01</v>
      </c>
      <c r="I1105" s="236">
        <v>0.01</v>
      </c>
      <c r="J1105" s="233">
        <v>1</v>
      </c>
      <c r="K1105" s="237"/>
      <c r="L1105" s="235"/>
      <c r="M1105" s="276" t="str">
        <f t="shared" si="18"/>
        <v>Photo</v>
      </c>
      <c r="N1105" s="279" t="s">
        <v>25</v>
      </c>
      <c r="O1105" t="str">
        <f t="shared" si="19"/>
        <v>2020 Shield Penny</v>
      </c>
      <c r="S1105" t="str" cm="1">
        <f t="array" ref="S1105">_xlfn.REGEXEXTRACT(E1105, "[0-9]{1,5}")</f>
        <v>2020</v>
      </c>
      <c r="T1105" t="s">
        <v>4226</v>
      </c>
      <c r="U1105" t="s">
        <v>3896</v>
      </c>
    </row>
    <row r="1106" spans="1:21">
      <c r="A1106" s="136">
        <v>1</v>
      </c>
      <c r="B1106" s="233">
        <v>2020</v>
      </c>
      <c r="C1106" s="234" t="s">
        <v>13</v>
      </c>
      <c r="D1106" s="234" t="s">
        <v>4920</v>
      </c>
      <c r="E1106" s="235" t="s">
        <v>3708</v>
      </c>
      <c r="F1106" s="235" t="s">
        <v>4951</v>
      </c>
      <c r="G1106" s="235" t="s">
        <v>2579</v>
      </c>
      <c r="H1106" s="236">
        <v>0.25</v>
      </c>
      <c r="I1106" s="236">
        <v>0.25</v>
      </c>
      <c r="J1106" s="233">
        <v>1</v>
      </c>
      <c r="K1106" s="237"/>
      <c r="L1106" s="235"/>
      <c r="M1106" s="276" t="str">
        <f t="shared" si="18"/>
        <v>Photo</v>
      </c>
      <c r="N1106" s="279" t="s">
        <v>25</v>
      </c>
      <c r="O1106" t="str">
        <f t="shared" si="19"/>
        <v>2020-D Shield Penny</v>
      </c>
      <c r="S1106" t="str" cm="1">
        <f t="array" ref="S1106">_xlfn.REGEXEXTRACT(E1106, "[0-9]{1,5}")</f>
        <v>2020</v>
      </c>
      <c r="T1106" t="s">
        <v>4226</v>
      </c>
      <c r="U1106" t="s">
        <v>3896</v>
      </c>
    </row>
    <row r="1107" spans="1:21">
      <c r="A1107" s="136">
        <v>1</v>
      </c>
      <c r="B1107" s="233">
        <v>2020</v>
      </c>
      <c r="C1107" s="234" t="s">
        <v>13</v>
      </c>
      <c r="D1107" s="234" t="s">
        <v>4920</v>
      </c>
      <c r="E1107" s="235" t="s">
        <v>3709</v>
      </c>
      <c r="F1107" s="235" t="s">
        <v>4951</v>
      </c>
      <c r="G1107" s="235" t="s">
        <v>2579</v>
      </c>
      <c r="H1107" s="236">
        <v>0.25</v>
      </c>
      <c r="I1107" s="236">
        <v>0.25</v>
      </c>
      <c r="J1107" s="233">
        <v>1</v>
      </c>
      <c r="K1107" s="237"/>
      <c r="L1107" s="235"/>
      <c r="M1107" s="276" t="str">
        <f t="shared" si="18"/>
        <v>Photo</v>
      </c>
      <c r="N1107" s="279" t="s">
        <v>25</v>
      </c>
      <c r="O1107" t="str">
        <f t="shared" si="19"/>
        <v>2020-D Shield Penny</v>
      </c>
      <c r="S1107" t="str" cm="1">
        <f t="array" ref="S1107">_xlfn.REGEXEXTRACT(E1107, "[0-9]{1,5}")</f>
        <v>2020</v>
      </c>
      <c r="T1107" t="s">
        <v>4226</v>
      </c>
      <c r="U1107" t="s">
        <v>3896</v>
      </c>
    </row>
    <row r="1108" spans="1:21">
      <c r="A1108" s="136">
        <v>1</v>
      </c>
      <c r="B1108" s="233">
        <v>2020</v>
      </c>
      <c r="C1108" s="234" t="s">
        <v>12</v>
      </c>
      <c r="D1108" s="234" t="s">
        <v>4920</v>
      </c>
      <c r="E1108" s="235" t="s">
        <v>3710</v>
      </c>
      <c r="F1108" s="235" t="s">
        <v>5208</v>
      </c>
      <c r="G1108" s="235" t="s">
        <v>2579</v>
      </c>
      <c r="H1108" s="236">
        <v>5.25</v>
      </c>
      <c r="I1108" s="236">
        <v>5.25</v>
      </c>
      <c r="J1108" s="233">
        <v>1</v>
      </c>
      <c r="K1108" s="237" t="s">
        <v>3755</v>
      </c>
      <c r="L1108" s="235"/>
      <c r="M1108" s="276" t="str">
        <f t="shared" si="18"/>
        <v>Photo</v>
      </c>
      <c r="N1108" s="279" t="s">
        <v>25</v>
      </c>
      <c r="O1108" t="str">
        <f t="shared" si="19"/>
        <v>2020-S Shield Penny Proof</v>
      </c>
      <c r="S1108" t="str" cm="1">
        <f t="array" ref="S1108">_xlfn.REGEXEXTRACT(E1108, "[0-9]{1,5}")</f>
        <v>2020</v>
      </c>
      <c r="T1108" t="s">
        <v>4226</v>
      </c>
      <c r="U1108" t="s">
        <v>3896</v>
      </c>
    </row>
    <row r="1109" spans="1:21">
      <c r="A1109" s="136">
        <v>1</v>
      </c>
      <c r="B1109" s="233">
        <v>2020</v>
      </c>
      <c r="C1109" s="234" t="s">
        <v>12</v>
      </c>
      <c r="D1109" s="234" t="s">
        <v>4920</v>
      </c>
      <c r="E1109" s="235" t="s">
        <v>3711</v>
      </c>
      <c r="F1109" s="235" t="s">
        <v>5208</v>
      </c>
      <c r="G1109" s="235" t="s">
        <v>2579</v>
      </c>
      <c r="H1109" s="236">
        <v>5.25</v>
      </c>
      <c r="I1109" s="236">
        <v>5.25</v>
      </c>
      <c r="J1109" s="233">
        <v>1</v>
      </c>
      <c r="K1109" s="237" t="s">
        <v>3755</v>
      </c>
      <c r="L1109" s="235"/>
      <c r="M1109" s="276" t="str">
        <f t="shared" si="18"/>
        <v>Photo</v>
      </c>
      <c r="N1109" s="279" t="s">
        <v>25</v>
      </c>
      <c r="O1109" t="str">
        <f t="shared" si="19"/>
        <v>2020-S Shield Penny Proof</v>
      </c>
      <c r="S1109" t="str" cm="1">
        <f t="array" ref="S1109">_xlfn.REGEXEXTRACT(E1109, "[0-9]{1,5}")</f>
        <v>2020</v>
      </c>
      <c r="T1109" t="s">
        <v>4226</v>
      </c>
      <c r="U1109" t="s">
        <v>3896</v>
      </c>
    </row>
    <row r="1110" spans="1:21">
      <c r="A1110" s="136">
        <v>1</v>
      </c>
      <c r="B1110" s="233">
        <v>2020</v>
      </c>
      <c r="C1110" s="234"/>
      <c r="D1110" s="234" t="s">
        <v>4920</v>
      </c>
      <c r="E1110" s="235" t="s">
        <v>3712</v>
      </c>
      <c r="F1110" s="235" t="s">
        <v>4951</v>
      </c>
      <c r="G1110" s="235" t="s">
        <v>2579</v>
      </c>
      <c r="H1110" s="236">
        <v>0.01</v>
      </c>
      <c r="I1110" s="236">
        <v>0.01</v>
      </c>
      <c r="J1110" s="233">
        <v>1</v>
      </c>
      <c r="K1110" s="237" t="s">
        <v>1183</v>
      </c>
      <c r="L1110" s="235"/>
      <c r="M1110" s="276" t="str">
        <f t="shared" si="18"/>
        <v>Photo</v>
      </c>
      <c r="N1110" s="279" t="s">
        <v>25</v>
      </c>
      <c r="O1110" t="str">
        <f t="shared" si="19"/>
        <v>2020 Shield Penny</v>
      </c>
      <c r="S1110" t="str" cm="1">
        <f t="array" ref="S1110">_xlfn.REGEXEXTRACT(E1110, "[0-9]{1,5}")</f>
        <v>2020</v>
      </c>
      <c r="T1110" t="s">
        <v>4226</v>
      </c>
      <c r="U1110" t="s">
        <v>3896</v>
      </c>
    </row>
    <row r="1111" spans="1:21">
      <c r="A1111" s="136">
        <v>1</v>
      </c>
      <c r="B1111" s="233">
        <v>2021</v>
      </c>
      <c r="C1111" s="234"/>
      <c r="D1111" s="234" t="s">
        <v>4920</v>
      </c>
      <c r="E1111" s="235" t="s">
        <v>3713</v>
      </c>
      <c r="F1111" s="235" t="s">
        <v>4951</v>
      </c>
      <c r="G1111" s="235" t="s">
        <v>2579</v>
      </c>
      <c r="H1111" s="236">
        <v>0.01</v>
      </c>
      <c r="I1111" s="236">
        <v>0.01</v>
      </c>
      <c r="J1111" s="233">
        <v>1</v>
      </c>
      <c r="K1111" s="237" t="s">
        <v>1183</v>
      </c>
      <c r="L1111" s="235"/>
      <c r="M1111" s="276" t="str">
        <f t="shared" si="18"/>
        <v>Photo</v>
      </c>
      <c r="N1111" s="279" t="s">
        <v>25</v>
      </c>
      <c r="O1111" t="str">
        <f t="shared" si="19"/>
        <v>2021 Shield Penny</v>
      </c>
      <c r="S1111" t="str" cm="1">
        <f t="array" ref="S1111">_xlfn.REGEXEXTRACT(E1111, "[0-9]{1,5}")</f>
        <v>2021</v>
      </c>
      <c r="T1111" t="s">
        <v>4227</v>
      </c>
      <c r="U1111" t="s">
        <v>3896</v>
      </c>
    </row>
    <row r="1112" spans="1:21">
      <c r="A1112" s="136">
        <v>1</v>
      </c>
      <c r="B1112" s="233">
        <v>2021</v>
      </c>
      <c r="C1112" s="234"/>
      <c r="D1112" s="234" t="s">
        <v>4920</v>
      </c>
      <c r="E1112" s="235" t="s">
        <v>3714</v>
      </c>
      <c r="F1112" s="235" t="s">
        <v>4951</v>
      </c>
      <c r="G1112" s="235" t="s">
        <v>2579</v>
      </c>
      <c r="H1112" s="236">
        <v>0.01</v>
      </c>
      <c r="I1112" s="236">
        <v>0.01</v>
      </c>
      <c r="J1112" s="233">
        <v>1</v>
      </c>
      <c r="K1112" s="237" t="s">
        <v>1183</v>
      </c>
      <c r="L1112" s="235"/>
      <c r="M1112" s="276" t="str">
        <f t="shared" si="18"/>
        <v>Photo</v>
      </c>
      <c r="N1112" s="279" t="s">
        <v>25</v>
      </c>
      <c r="O1112" t="str">
        <f t="shared" si="19"/>
        <v>2021 Shield Penny</v>
      </c>
      <c r="S1112" t="str" cm="1">
        <f t="array" ref="S1112">_xlfn.REGEXEXTRACT(E1112, "[0-9]{1,5}")</f>
        <v>2021</v>
      </c>
      <c r="T1112" t="s">
        <v>4227</v>
      </c>
      <c r="U1112" t="s">
        <v>3896</v>
      </c>
    </row>
    <row r="1113" spans="1:21">
      <c r="A1113" s="136">
        <v>1</v>
      </c>
      <c r="B1113" s="233">
        <v>2021</v>
      </c>
      <c r="C1113" s="234"/>
      <c r="D1113" s="234" t="s">
        <v>4920</v>
      </c>
      <c r="E1113" s="235" t="s">
        <v>3715</v>
      </c>
      <c r="F1113" s="235" t="s">
        <v>4951</v>
      </c>
      <c r="G1113" s="235" t="s">
        <v>2579</v>
      </c>
      <c r="H1113" s="236">
        <v>0.01</v>
      </c>
      <c r="I1113" s="236">
        <v>0.01</v>
      </c>
      <c r="J1113" s="233">
        <v>1</v>
      </c>
      <c r="K1113" s="237" t="s">
        <v>1183</v>
      </c>
      <c r="L1113" s="235"/>
      <c r="M1113" s="276" t="str">
        <f t="shared" si="18"/>
        <v>Photo</v>
      </c>
      <c r="N1113" s="279" t="s">
        <v>25</v>
      </c>
      <c r="O1113" t="str">
        <f t="shared" si="19"/>
        <v>2021 Shield Penny</v>
      </c>
      <c r="S1113" t="str" cm="1">
        <f t="array" ref="S1113">_xlfn.REGEXEXTRACT(E1113, "[0-9]{1,5}")</f>
        <v>2021</v>
      </c>
      <c r="T1113" t="s">
        <v>4227</v>
      </c>
      <c r="U1113" t="s">
        <v>3896</v>
      </c>
    </row>
    <row r="1114" spans="1:21">
      <c r="A1114" s="136">
        <v>1</v>
      </c>
      <c r="B1114" s="233">
        <v>2021</v>
      </c>
      <c r="C1114" s="234"/>
      <c r="D1114" s="234" t="s">
        <v>4920</v>
      </c>
      <c r="E1114" s="235" t="s">
        <v>3716</v>
      </c>
      <c r="F1114" s="235" t="s">
        <v>4951</v>
      </c>
      <c r="G1114" s="235" t="s">
        <v>2579</v>
      </c>
      <c r="H1114" s="236">
        <v>0.01</v>
      </c>
      <c r="I1114" s="236">
        <v>0.01</v>
      </c>
      <c r="J1114" s="233">
        <v>1</v>
      </c>
      <c r="K1114" s="237" t="s">
        <v>1183</v>
      </c>
      <c r="L1114" s="235"/>
      <c r="M1114" s="276" t="str">
        <f t="shared" si="18"/>
        <v>Photo</v>
      </c>
      <c r="N1114" s="279" t="s">
        <v>25</v>
      </c>
      <c r="O1114" t="str">
        <f t="shared" si="19"/>
        <v>2021 Shield Penny</v>
      </c>
      <c r="S1114" t="str" cm="1">
        <f t="array" ref="S1114">_xlfn.REGEXEXTRACT(E1114, "[0-9]{1,5}")</f>
        <v>2021</v>
      </c>
      <c r="T1114" t="s">
        <v>4227</v>
      </c>
      <c r="U1114" t="s">
        <v>3896</v>
      </c>
    </row>
    <row r="1115" spans="1:21">
      <c r="A1115" s="136">
        <v>1</v>
      </c>
      <c r="B1115" s="233">
        <v>2021</v>
      </c>
      <c r="C1115" s="234" t="s">
        <v>13</v>
      </c>
      <c r="D1115" s="234" t="s">
        <v>4920</v>
      </c>
      <c r="E1115" s="235" t="s">
        <v>3717</v>
      </c>
      <c r="F1115" s="235" t="s">
        <v>4951</v>
      </c>
      <c r="G1115" s="235" t="s">
        <v>2579</v>
      </c>
      <c r="H1115" s="236">
        <v>0.25</v>
      </c>
      <c r="I1115" s="236">
        <v>0.25</v>
      </c>
      <c r="J1115" s="233">
        <v>1</v>
      </c>
      <c r="K1115" s="237" t="s">
        <v>1183</v>
      </c>
      <c r="L1115" s="235"/>
      <c r="M1115" s="276" t="str">
        <f t="shared" si="18"/>
        <v>Photo</v>
      </c>
      <c r="N1115" s="279" t="s">
        <v>25</v>
      </c>
      <c r="O1115" t="str">
        <f t="shared" si="19"/>
        <v>2021-D Shield Penny</v>
      </c>
      <c r="S1115" t="str" cm="1">
        <f t="array" ref="S1115">_xlfn.REGEXEXTRACT(E1115, "[0-9]{1,5}")</f>
        <v>2021</v>
      </c>
      <c r="T1115" t="s">
        <v>4227</v>
      </c>
      <c r="U1115" t="s">
        <v>3896</v>
      </c>
    </row>
    <row r="1116" spans="1:21">
      <c r="A1116" s="136">
        <v>1</v>
      </c>
      <c r="B1116" s="233">
        <v>2021</v>
      </c>
      <c r="C1116" s="234" t="s">
        <v>13</v>
      </c>
      <c r="D1116" s="234" t="s">
        <v>4920</v>
      </c>
      <c r="E1116" s="235" t="s">
        <v>3718</v>
      </c>
      <c r="F1116" s="235" t="s">
        <v>4951</v>
      </c>
      <c r="G1116" s="235" t="s">
        <v>2579</v>
      </c>
      <c r="H1116" s="236">
        <v>0.25</v>
      </c>
      <c r="I1116" s="236">
        <v>0.25</v>
      </c>
      <c r="J1116" s="233">
        <v>1</v>
      </c>
      <c r="K1116" s="237" t="s">
        <v>1183</v>
      </c>
      <c r="L1116" s="235"/>
      <c r="M1116" s="276" t="str">
        <f t="shared" si="18"/>
        <v>Photo</v>
      </c>
      <c r="N1116" s="279" t="s">
        <v>25</v>
      </c>
      <c r="O1116" t="str">
        <f t="shared" si="19"/>
        <v>2021-D Shield Penny</v>
      </c>
      <c r="S1116" t="str" cm="1">
        <f t="array" ref="S1116">_xlfn.REGEXEXTRACT(E1116, "[0-9]{1,5}")</f>
        <v>2021</v>
      </c>
      <c r="T1116" t="s">
        <v>4227</v>
      </c>
      <c r="U1116" t="s">
        <v>3896</v>
      </c>
    </row>
    <row r="1117" spans="1:21">
      <c r="A1117" s="136">
        <v>1</v>
      </c>
      <c r="B1117" s="233">
        <v>2021</v>
      </c>
      <c r="C1117" s="234" t="s">
        <v>12</v>
      </c>
      <c r="D1117" s="234" t="s">
        <v>4920</v>
      </c>
      <c r="E1117" s="235" t="s">
        <v>3721</v>
      </c>
      <c r="F1117" s="235" t="s">
        <v>5208</v>
      </c>
      <c r="G1117" s="235" t="s">
        <v>2579</v>
      </c>
      <c r="H1117" s="236">
        <v>6</v>
      </c>
      <c r="I1117" s="236">
        <v>6</v>
      </c>
      <c r="J1117" s="233">
        <v>1</v>
      </c>
      <c r="K1117" s="237" t="s">
        <v>3755</v>
      </c>
      <c r="L1117" s="235"/>
      <c r="M1117" s="276" t="str">
        <f t="shared" si="18"/>
        <v>Photo</v>
      </c>
      <c r="N1117" s="279" t="s">
        <v>25</v>
      </c>
      <c r="O1117" t="str">
        <f t="shared" si="19"/>
        <v>2021-S Shield Penny Proof</v>
      </c>
      <c r="S1117" t="str" cm="1">
        <f t="array" ref="S1117">_xlfn.REGEXEXTRACT(E1117, "[0-9]{1,5}")</f>
        <v>2021</v>
      </c>
      <c r="T1117" t="s">
        <v>4227</v>
      </c>
      <c r="U1117" t="s">
        <v>3896</v>
      </c>
    </row>
    <row r="1118" spans="1:21">
      <c r="A1118" s="136">
        <v>1</v>
      </c>
      <c r="B1118" s="233">
        <v>2021</v>
      </c>
      <c r="C1118" s="234" t="s">
        <v>12</v>
      </c>
      <c r="D1118" s="234" t="s">
        <v>4920</v>
      </c>
      <c r="E1118" s="235" t="s">
        <v>3719</v>
      </c>
      <c r="F1118" s="235" t="s">
        <v>5208</v>
      </c>
      <c r="G1118" s="235" t="s">
        <v>2579</v>
      </c>
      <c r="H1118" s="236">
        <v>6</v>
      </c>
      <c r="I1118" s="236">
        <v>6</v>
      </c>
      <c r="J1118" s="233">
        <v>1</v>
      </c>
      <c r="K1118" s="237" t="s">
        <v>3755</v>
      </c>
      <c r="L1118" s="235"/>
      <c r="M1118" s="276" t="str">
        <f t="shared" si="18"/>
        <v>Photo</v>
      </c>
      <c r="N1118" s="279" t="s">
        <v>25</v>
      </c>
      <c r="O1118" t="str">
        <f t="shared" si="19"/>
        <v>2021-S Shield Penny Proof</v>
      </c>
      <c r="S1118" t="str" cm="1">
        <f t="array" ref="S1118">_xlfn.REGEXEXTRACT(E1118, "[0-9]{1,5}")</f>
        <v>2021</v>
      </c>
      <c r="T1118" t="s">
        <v>4227</v>
      </c>
      <c r="U1118" t="s">
        <v>3896</v>
      </c>
    </row>
    <row r="1119" spans="1:21">
      <c r="A1119" s="136">
        <v>1</v>
      </c>
      <c r="B1119" s="233">
        <v>2021</v>
      </c>
      <c r="C1119" s="234"/>
      <c r="D1119" s="234" t="s">
        <v>4920</v>
      </c>
      <c r="E1119" s="235" t="s">
        <v>3720</v>
      </c>
      <c r="F1119" s="235" t="s">
        <v>4951</v>
      </c>
      <c r="G1119" s="235" t="s">
        <v>2579</v>
      </c>
      <c r="H1119" s="236">
        <v>0.01</v>
      </c>
      <c r="I1119" s="236">
        <v>0.01</v>
      </c>
      <c r="J1119" s="233">
        <v>1</v>
      </c>
      <c r="K1119" s="237" t="s">
        <v>1183</v>
      </c>
      <c r="L1119" s="235"/>
      <c r="M1119" s="276" t="str">
        <f t="shared" si="18"/>
        <v>Photo</v>
      </c>
      <c r="N1119" s="279" t="s">
        <v>25</v>
      </c>
      <c r="O1119" t="str">
        <f t="shared" si="19"/>
        <v>2021 Shield Penny</v>
      </c>
      <c r="S1119" t="str" cm="1">
        <f t="array" ref="S1119">_xlfn.REGEXEXTRACT(E1119, "[0-9]{1,5}")</f>
        <v>2021</v>
      </c>
      <c r="T1119" t="s">
        <v>4227</v>
      </c>
      <c r="U1119" t="s">
        <v>3896</v>
      </c>
    </row>
    <row r="1120" spans="1:21">
      <c r="A1120" s="136">
        <v>1</v>
      </c>
      <c r="B1120" s="233">
        <v>2021</v>
      </c>
      <c r="C1120" s="234" t="s">
        <v>12</v>
      </c>
      <c r="D1120" s="234" t="s">
        <v>4920</v>
      </c>
      <c r="E1120" s="235" t="s">
        <v>3722</v>
      </c>
      <c r="F1120" s="235" t="s">
        <v>5208</v>
      </c>
      <c r="G1120" s="235" t="s">
        <v>2579</v>
      </c>
      <c r="H1120" s="236">
        <v>6</v>
      </c>
      <c r="I1120" s="236">
        <v>5.84</v>
      </c>
      <c r="J1120" s="233">
        <v>1</v>
      </c>
      <c r="K1120" s="237" t="s">
        <v>3755</v>
      </c>
      <c r="L1120" s="235"/>
      <c r="M1120" s="276" t="str">
        <f t="shared" si="18"/>
        <v>Photo</v>
      </c>
      <c r="N1120" s="279" t="s">
        <v>25</v>
      </c>
      <c r="O1120" t="str">
        <f t="shared" si="19"/>
        <v>2021-S Shield Penny Proof</v>
      </c>
      <c r="S1120" t="str" cm="1">
        <f t="array" ref="S1120">_xlfn.REGEXEXTRACT(E1120, "[0-9]{1,5}")</f>
        <v>2024</v>
      </c>
      <c r="T1120" t="s">
        <v>4228</v>
      </c>
      <c r="U1120" t="s">
        <v>3896</v>
      </c>
    </row>
    <row r="1121" spans="1:21">
      <c r="A1121" s="136">
        <v>1</v>
      </c>
      <c r="B1121" s="233">
        <v>2022</v>
      </c>
      <c r="C1121" s="234" t="s">
        <v>12</v>
      </c>
      <c r="D1121" s="234" t="s">
        <v>4920</v>
      </c>
      <c r="E1121" s="235" t="s">
        <v>3723</v>
      </c>
      <c r="F1121" s="235" t="s">
        <v>5208</v>
      </c>
      <c r="G1121" s="235" t="s">
        <v>2579</v>
      </c>
      <c r="H1121" s="236">
        <v>6</v>
      </c>
      <c r="I1121" s="236">
        <v>5.84</v>
      </c>
      <c r="J1121" s="233">
        <v>1</v>
      </c>
      <c r="K1121" s="237" t="s">
        <v>3755</v>
      </c>
      <c r="L1121" s="235"/>
      <c r="M1121" s="276" t="str">
        <f t="shared" si="18"/>
        <v>Photo</v>
      </c>
      <c r="N1121" s="279" t="s">
        <v>25</v>
      </c>
      <c r="O1121" t="str">
        <f t="shared" si="19"/>
        <v>2022-S Shield Penny Proof</v>
      </c>
      <c r="S1121" t="str" cm="1">
        <f t="array" ref="S1121">_xlfn.REGEXEXTRACT(E1121, "[0-9]{1,5}")</f>
        <v>2022</v>
      </c>
      <c r="T1121" t="s">
        <v>4229</v>
      </c>
      <c r="U1121" t="s">
        <v>3896</v>
      </c>
    </row>
    <row r="1122" spans="1:21">
      <c r="A1122" s="136">
        <v>1</v>
      </c>
      <c r="B1122" s="233">
        <v>2022</v>
      </c>
      <c r="C1122" s="234" t="s">
        <v>12</v>
      </c>
      <c r="D1122" s="234" t="s">
        <v>4920</v>
      </c>
      <c r="E1122" s="235" t="s">
        <v>3724</v>
      </c>
      <c r="F1122" s="235" t="s">
        <v>5208</v>
      </c>
      <c r="G1122" s="235" t="s">
        <v>2579</v>
      </c>
      <c r="H1122" s="236">
        <v>6</v>
      </c>
      <c r="I1122" s="236">
        <v>5.84</v>
      </c>
      <c r="J1122" s="233">
        <v>1</v>
      </c>
      <c r="K1122" s="237" t="s">
        <v>3755</v>
      </c>
      <c r="L1122" s="235"/>
      <c r="M1122" s="276" t="str">
        <f t="shared" ref="M1122:M1153" si="20">HYPERLINK($Y$2&amp;E1122&amp;$AA$2,"Photo")</f>
        <v>Photo</v>
      </c>
      <c r="N1122" s="279" t="s">
        <v>25</v>
      </c>
      <c r="O1122" t="str">
        <f t="shared" si="19"/>
        <v>2022-S Shield Penny Proof</v>
      </c>
      <c r="S1122" t="str" cm="1">
        <f t="array" ref="S1122">_xlfn.REGEXEXTRACT(E1122, "[0-9]{1,5}")</f>
        <v>2022</v>
      </c>
      <c r="T1122" t="s">
        <v>4229</v>
      </c>
      <c r="U1122" t="s">
        <v>3896</v>
      </c>
    </row>
    <row r="1123" spans="1:21">
      <c r="A1123" s="136">
        <v>1</v>
      </c>
      <c r="B1123" s="233">
        <v>2022</v>
      </c>
      <c r="C1123" s="234" t="s">
        <v>12</v>
      </c>
      <c r="D1123" s="234" t="s">
        <v>4920</v>
      </c>
      <c r="E1123" s="235" t="s">
        <v>3725</v>
      </c>
      <c r="F1123" s="235" t="s">
        <v>5208</v>
      </c>
      <c r="G1123" s="235" t="s">
        <v>2579</v>
      </c>
      <c r="H1123" s="236">
        <v>6</v>
      </c>
      <c r="I1123" s="236">
        <v>5.84</v>
      </c>
      <c r="J1123" s="233">
        <v>1</v>
      </c>
      <c r="K1123" s="237" t="s">
        <v>1183</v>
      </c>
      <c r="L1123" s="235"/>
      <c r="M1123" s="276" t="str">
        <f t="shared" si="20"/>
        <v>Photo</v>
      </c>
      <c r="N1123" s="279" t="s">
        <v>25</v>
      </c>
      <c r="O1123" t="str">
        <f t="shared" si="19"/>
        <v>2022-S Shield Penny Proof</v>
      </c>
      <c r="S1123" t="str" cm="1">
        <f t="array" ref="S1123">_xlfn.REGEXEXTRACT(E1123, "[0-9]{1,5}")</f>
        <v>2022</v>
      </c>
      <c r="T1123" t="s">
        <v>4229</v>
      </c>
      <c r="U1123" t="s">
        <v>3896</v>
      </c>
    </row>
    <row r="1124" spans="1:21">
      <c r="A1124" s="136">
        <v>1</v>
      </c>
      <c r="B1124" s="233">
        <v>2022</v>
      </c>
      <c r="C1124" s="234"/>
      <c r="D1124" s="234" t="s">
        <v>4920</v>
      </c>
      <c r="E1124" s="235" t="s">
        <v>3726</v>
      </c>
      <c r="F1124" s="235" t="s">
        <v>4951</v>
      </c>
      <c r="G1124" s="235" t="s">
        <v>2579</v>
      </c>
      <c r="H1124" s="236">
        <v>0.25</v>
      </c>
      <c r="I1124" s="236">
        <v>0.34</v>
      </c>
      <c r="J1124" s="233">
        <v>1</v>
      </c>
      <c r="K1124" s="237"/>
      <c r="L1124" s="235"/>
      <c r="M1124" s="276" t="str">
        <f t="shared" si="20"/>
        <v>Photo</v>
      </c>
      <c r="N1124" s="279" t="s">
        <v>25</v>
      </c>
      <c r="O1124" t="str">
        <f t="shared" si="19"/>
        <v>2022 Shield Penny</v>
      </c>
      <c r="S1124" t="str" cm="1">
        <f t="array" ref="S1124">_xlfn.REGEXEXTRACT(E1124, "[0-9]{1,5}")</f>
        <v>2022</v>
      </c>
      <c r="T1124" t="s">
        <v>4229</v>
      </c>
      <c r="U1124" t="s">
        <v>3896</v>
      </c>
    </row>
    <row r="1125" spans="1:21">
      <c r="A1125" s="136">
        <v>1</v>
      </c>
      <c r="B1125" s="233">
        <v>2022</v>
      </c>
      <c r="C1125" s="234"/>
      <c r="D1125" s="234" t="s">
        <v>4920</v>
      </c>
      <c r="E1125" s="235" t="s">
        <v>3727</v>
      </c>
      <c r="F1125" s="235" t="s">
        <v>4951</v>
      </c>
      <c r="G1125" s="235" t="s">
        <v>2579</v>
      </c>
      <c r="H1125" s="236">
        <v>0.25</v>
      </c>
      <c r="I1125" s="236">
        <v>0.34</v>
      </c>
      <c r="J1125" s="233">
        <v>1</v>
      </c>
      <c r="K1125" s="237"/>
      <c r="L1125" s="235"/>
      <c r="M1125" s="276" t="str">
        <f t="shared" si="20"/>
        <v>Photo</v>
      </c>
      <c r="N1125" s="279" t="s">
        <v>25</v>
      </c>
      <c r="O1125" t="str">
        <f t="shared" si="19"/>
        <v>2022 Shield Penny</v>
      </c>
      <c r="S1125" t="str" cm="1">
        <f t="array" ref="S1125">_xlfn.REGEXEXTRACT(E1125, "[0-9]{1,5}")</f>
        <v>2022</v>
      </c>
      <c r="T1125" t="s">
        <v>4229</v>
      </c>
      <c r="U1125" t="s">
        <v>3896</v>
      </c>
    </row>
    <row r="1126" spans="1:21">
      <c r="A1126" s="136">
        <v>1</v>
      </c>
      <c r="B1126" s="233">
        <v>2022</v>
      </c>
      <c r="C1126" s="234" t="s">
        <v>13</v>
      </c>
      <c r="D1126" s="234" t="s">
        <v>4920</v>
      </c>
      <c r="E1126" s="235" t="s">
        <v>3728</v>
      </c>
      <c r="F1126" s="235" t="s">
        <v>4951</v>
      </c>
      <c r="G1126" s="235" t="s">
        <v>2579</v>
      </c>
      <c r="H1126" s="236">
        <v>0.25</v>
      </c>
      <c r="I1126" s="236">
        <v>0.34</v>
      </c>
      <c r="J1126" s="233">
        <v>1</v>
      </c>
      <c r="K1126" s="237"/>
      <c r="L1126" s="235"/>
      <c r="M1126" s="276" t="str">
        <f t="shared" si="20"/>
        <v>Photo</v>
      </c>
      <c r="N1126" s="279" t="s">
        <v>25</v>
      </c>
      <c r="O1126" t="str">
        <f t="shared" si="19"/>
        <v>2022-D Shield Penny</v>
      </c>
      <c r="S1126" t="str" cm="1">
        <f t="array" ref="S1126">_xlfn.REGEXEXTRACT(E1126, "[0-9]{1,5}")</f>
        <v>2022</v>
      </c>
      <c r="T1126" t="s">
        <v>4229</v>
      </c>
      <c r="U1126" t="s">
        <v>3896</v>
      </c>
    </row>
    <row r="1127" spans="1:21">
      <c r="A1127" s="136">
        <v>1</v>
      </c>
      <c r="B1127" s="233">
        <v>2022</v>
      </c>
      <c r="C1127" s="234" t="s">
        <v>13</v>
      </c>
      <c r="D1127" s="234" t="s">
        <v>4920</v>
      </c>
      <c r="E1127" s="235" t="s">
        <v>3729</v>
      </c>
      <c r="F1127" s="235" t="s">
        <v>4951</v>
      </c>
      <c r="G1127" s="235" t="s">
        <v>2579</v>
      </c>
      <c r="H1127" s="236">
        <v>0.25</v>
      </c>
      <c r="I1127" s="236">
        <v>0.34</v>
      </c>
      <c r="J1127" s="233">
        <v>1</v>
      </c>
      <c r="K1127" s="237"/>
      <c r="L1127" s="235"/>
      <c r="M1127" s="276" t="str">
        <f t="shared" si="20"/>
        <v>Photo</v>
      </c>
      <c r="N1127" s="279" t="s">
        <v>25</v>
      </c>
      <c r="O1127" t="str">
        <f t="shared" si="19"/>
        <v>2022-D Shield Penny</v>
      </c>
      <c r="S1127" t="str" cm="1">
        <f t="array" ref="S1127">_xlfn.REGEXEXTRACT(E1127, "[0-9]{1,5}")</f>
        <v>2022</v>
      </c>
      <c r="T1127" t="s">
        <v>4229</v>
      </c>
      <c r="U1127" t="s">
        <v>3896</v>
      </c>
    </row>
    <row r="1128" spans="1:21">
      <c r="A1128" s="136">
        <v>1</v>
      </c>
      <c r="B1128" s="233">
        <v>2022</v>
      </c>
      <c r="C1128" s="234" t="s">
        <v>13</v>
      </c>
      <c r="D1128" s="234" t="s">
        <v>4920</v>
      </c>
      <c r="E1128" s="235" t="s">
        <v>3730</v>
      </c>
      <c r="F1128" s="235" t="s">
        <v>4951</v>
      </c>
      <c r="G1128" s="235" t="s">
        <v>2579</v>
      </c>
      <c r="H1128" s="236">
        <v>0.25</v>
      </c>
      <c r="I1128" s="236">
        <v>0.34</v>
      </c>
      <c r="J1128" s="233">
        <v>1</v>
      </c>
      <c r="K1128" s="237"/>
      <c r="L1128" s="235"/>
      <c r="M1128" s="276" t="str">
        <f t="shared" si="20"/>
        <v>Photo</v>
      </c>
      <c r="N1128" s="279" t="s">
        <v>25</v>
      </c>
      <c r="O1128" t="str">
        <f t="shared" si="19"/>
        <v>2022-D Shield Penny</v>
      </c>
      <c r="S1128" t="str" cm="1">
        <f t="array" ref="S1128">_xlfn.REGEXEXTRACT(E1128, "[0-9]{1,5}")</f>
        <v>2022</v>
      </c>
      <c r="T1128" t="s">
        <v>4229</v>
      </c>
      <c r="U1128" t="s">
        <v>3896</v>
      </c>
    </row>
    <row r="1129" spans="1:21">
      <c r="A1129" s="136">
        <v>1</v>
      </c>
      <c r="B1129" s="233">
        <v>2023</v>
      </c>
      <c r="C1129" s="234"/>
      <c r="D1129" s="234" t="s">
        <v>4920</v>
      </c>
      <c r="E1129" s="235" t="s">
        <v>3731</v>
      </c>
      <c r="F1129" s="235" t="s">
        <v>4951</v>
      </c>
      <c r="G1129" s="235" t="s">
        <v>2579</v>
      </c>
      <c r="H1129" s="236">
        <v>0.3</v>
      </c>
      <c r="I1129" s="236">
        <v>0.34</v>
      </c>
      <c r="J1129" s="233">
        <v>1</v>
      </c>
      <c r="K1129" s="237"/>
      <c r="L1129" s="235"/>
      <c r="M1129" s="276" t="str">
        <f t="shared" si="20"/>
        <v>Photo</v>
      </c>
      <c r="N1129" s="279" t="s">
        <v>25</v>
      </c>
      <c r="O1129" t="str">
        <f t="shared" si="19"/>
        <v>2023 Shield Penny</v>
      </c>
      <c r="S1129" t="str" cm="1">
        <f t="array" ref="S1129">_xlfn.REGEXEXTRACT(E1129, "[0-9]{1,5}")</f>
        <v>2023</v>
      </c>
      <c r="T1129" t="s">
        <v>4230</v>
      </c>
      <c r="U1129" t="s">
        <v>3896</v>
      </c>
    </row>
    <row r="1130" spans="1:21">
      <c r="A1130" s="136">
        <v>1</v>
      </c>
      <c r="B1130" s="233">
        <v>2023</v>
      </c>
      <c r="C1130" s="234"/>
      <c r="D1130" s="234" t="s">
        <v>4920</v>
      </c>
      <c r="E1130" s="235" t="s">
        <v>3732</v>
      </c>
      <c r="F1130" s="235" t="s">
        <v>4951</v>
      </c>
      <c r="G1130" s="235" t="s">
        <v>2579</v>
      </c>
      <c r="H1130" s="236">
        <v>0.3</v>
      </c>
      <c r="I1130" s="236">
        <v>0.34</v>
      </c>
      <c r="J1130" s="233">
        <v>1</v>
      </c>
      <c r="K1130" s="237"/>
      <c r="L1130" s="235"/>
      <c r="M1130" s="276" t="str">
        <f t="shared" si="20"/>
        <v>Photo</v>
      </c>
      <c r="N1130" s="279" t="s">
        <v>25</v>
      </c>
      <c r="O1130" t="str">
        <f t="shared" si="19"/>
        <v>2023 Shield Penny</v>
      </c>
      <c r="S1130" t="str" cm="1">
        <f t="array" ref="S1130">_xlfn.REGEXEXTRACT(E1130, "[0-9]{1,5}")</f>
        <v>2023</v>
      </c>
      <c r="T1130" t="s">
        <v>4230</v>
      </c>
      <c r="U1130" t="s">
        <v>3896</v>
      </c>
    </row>
    <row r="1131" spans="1:21">
      <c r="A1131" s="136">
        <v>1</v>
      </c>
      <c r="B1131" s="233">
        <v>2023</v>
      </c>
      <c r="C1131" s="234" t="s">
        <v>13</v>
      </c>
      <c r="D1131" s="234" t="s">
        <v>4920</v>
      </c>
      <c r="E1131" s="235" t="s">
        <v>3733</v>
      </c>
      <c r="F1131" s="235" t="s">
        <v>4951</v>
      </c>
      <c r="G1131" s="235" t="s">
        <v>2579</v>
      </c>
      <c r="H1131" s="236">
        <v>0.3</v>
      </c>
      <c r="I1131" s="236">
        <v>0.34</v>
      </c>
      <c r="J1131" s="233">
        <v>1</v>
      </c>
      <c r="K1131" s="237"/>
      <c r="L1131" s="235"/>
      <c r="M1131" s="276" t="str">
        <f t="shared" si="20"/>
        <v>Photo</v>
      </c>
      <c r="N1131" s="279" t="s">
        <v>25</v>
      </c>
      <c r="O1131" t="str">
        <f t="shared" si="19"/>
        <v>2023-D Shield Penny</v>
      </c>
      <c r="S1131" t="str" cm="1">
        <f t="array" ref="S1131">_xlfn.REGEXEXTRACT(E1131, "[0-9]{1,5}")</f>
        <v>2023</v>
      </c>
      <c r="T1131" t="s">
        <v>4230</v>
      </c>
      <c r="U1131" t="s">
        <v>3896</v>
      </c>
    </row>
    <row r="1132" spans="1:21">
      <c r="A1132" s="136">
        <v>1</v>
      </c>
      <c r="B1132" s="233">
        <v>2023</v>
      </c>
      <c r="C1132" s="234" t="s">
        <v>13</v>
      </c>
      <c r="D1132" s="234" t="s">
        <v>4920</v>
      </c>
      <c r="E1132" s="235" t="s">
        <v>3830</v>
      </c>
      <c r="F1132" s="235" t="s">
        <v>4951</v>
      </c>
      <c r="G1132" s="235" t="s">
        <v>2579</v>
      </c>
      <c r="H1132" s="236">
        <v>0.01</v>
      </c>
      <c r="I1132" s="236">
        <v>0.01</v>
      </c>
      <c r="J1132" s="233">
        <v>1</v>
      </c>
      <c r="K1132" s="237"/>
      <c r="L1132" s="235"/>
      <c r="M1132" s="276" t="str">
        <f t="shared" si="20"/>
        <v>Photo</v>
      </c>
      <c r="N1132" s="281" t="s">
        <v>25</v>
      </c>
      <c r="O1132" t="str">
        <f t="shared" si="19"/>
        <v>2023-D Shield Penny</v>
      </c>
      <c r="S1132" t="str" cm="1">
        <f t="array" ref="S1132">_xlfn.REGEXEXTRACT(E1132, "[0-9]{1,5}")</f>
        <v>2023</v>
      </c>
      <c r="T1132" t="s">
        <v>4230</v>
      </c>
      <c r="U1132" t="s">
        <v>3896</v>
      </c>
    </row>
    <row r="1133" spans="1:21">
      <c r="A1133" s="136">
        <v>1</v>
      </c>
      <c r="B1133" s="233">
        <v>2024</v>
      </c>
      <c r="C1133" s="234"/>
      <c r="D1133" s="234" t="s">
        <v>4920</v>
      </c>
      <c r="E1133" s="235" t="s">
        <v>3594</v>
      </c>
      <c r="F1133" s="235" t="s">
        <v>4951</v>
      </c>
      <c r="G1133" s="235" t="s">
        <v>2579</v>
      </c>
      <c r="H1133" s="236">
        <v>0.3</v>
      </c>
      <c r="I1133" s="236">
        <v>0.5</v>
      </c>
      <c r="J1133" s="233">
        <v>1</v>
      </c>
      <c r="K1133" s="237"/>
      <c r="L1133" s="235"/>
      <c r="M1133" s="276" t="str">
        <f t="shared" si="20"/>
        <v>Photo</v>
      </c>
      <c r="N1133" s="281" t="s">
        <v>25</v>
      </c>
      <c r="O1133" t="str">
        <f t="shared" si="19"/>
        <v>2024 Shield Penny</v>
      </c>
      <c r="S1133" t="str" cm="1">
        <f t="array" ref="S1133">_xlfn.REGEXEXTRACT(E1133, "[0-9]{1,5}")</f>
        <v>2024</v>
      </c>
      <c r="T1133" t="s">
        <v>4228</v>
      </c>
      <c r="U1133" t="s">
        <v>3896</v>
      </c>
    </row>
    <row r="1134" spans="1:21">
      <c r="A1134" s="136">
        <v>1</v>
      </c>
      <c r="B1134" s="233">
        <v>2024</v>
      </c>
      <c r="C1134" s="234" t="s">
        <v>25</v>
      </c>
      <c r="D1134" s="234" t="s">
        <v>4920</v>
      </c>
      <c r="E1134" s="235" t="s">
        <v>3595</v>
      </c>
      <c r="F1134" s="235" t="s">
        <v>4951</v>
      </c>
      <c r="G1134" s="235" t="s">
        <v>2579</v>
      </c>
      <c r="H1134" s="236">
        <v>0.3</v>
      </c>
      <c r="I1134" s="236">
        <v>0.3</v>
      </c>
      <c r="J1134" s="233">
        <v>1</v>
      </c>
      <c r="K1134" s="237"/>
      <c r="L1134" s="235"/>
      <c r="M1134" s="276" t="str">
        <f t="shared" si="20"/>
        <v>Photo</v>
      </c>
      <c r="N1134" s="281" t="s">
        <v>25</v>
      </c>
      <c r="O1134" t="str">
        <f t="shared" si="19"/>
        <v>2024-P Shield Penny</v>
      </c>
      <c r="S1134" t="str" cm="1">
        <f t="array" ref="S1134">_xlfn.REGEXEXTRACT(E1134, "[0-9]{1,5}")</f>
        <v>2024</v>
      </c>
      <c r="T1134" t="s">
        <v>4228</v>
      </c>
      <c r="U1134" t="s">
        <v>3896</v>
      </c>
    </row>
    <row r="1135" spans="1:21">
      <c r="A1135" s="136">
        <v>1</v>
      </c>
      <c r="B1135" s="233">
        <v>2024</v>
      </c>
      <c r="C1135" s="234" t="s">
        <v>12</v>
      </c>
      <c r="D1135" s="234" t="s">
        <v>4920</v>
      </c>
      <c r="E1135" s="235" t="s">
        <v>3596</v>
      </c>
      <c r="F1135" s="235" t="s">
        <v>5208</v>
      </c>
      <c r="G1135" s="235" t="s">
        <v>2579</v>
      </c>
      <c r="H1135" s="236">
        <v>6</v>
      </c>
      <c r="I1135" s="236">
        <v>6</v>
      </c>
      <c r="J1135" s="233">
        <v>1</v>
      </c>
      <c r="K1135" s="237"/>
      <c r="L1135" s="235"/>
      <c r="M1135" s="276" t="str">
        <f t="shared" si="20"/>
        <v>Photo</v>
      </c>
      <c r="N1135" s="279" t="s">
        <v>25</v>
      </c>
      <c r="O1135" t="str">
        <f t="shared" si="19"/>
        <v>2024-S Shield Penny Proof</v>
      </c>
      <c r="S1135" t="str" cm="1">
        <f t="array" ref="S1135">_xlfn.REGEXEXTRACT(E1135, "[0-9]{1,5}")</f>
        <v>2024</v>
      </c>
      <c r="T1135" t="s">
        <v>4228</v>
      </c>
      <c r="U1135" t="s">
        <v>3896</v>
      </c>
    </row>
    <row r="1136" spans="1:21">
      <c r="A1136" s="136">
        <v>1</v>
      </c>
      <c r="B1136" s="233">
        <v>2024</v>
      </c>
      <c r="C1136" s="234" t="s">
        <v>12</v>
      </c>
      <c r="D1136" s="234" t="s">
        <v>4920</v>
      </c>
      <c r="E1136" s="235" t="s">
        <v>3597</v>
      </c>
      <c r="F1136" s="235" t="s">
        <v>5208</v>
      </c>
      <c r="G1136" s="235" t="s">
        <v>2579</v>
      </c>
      <c r="H1136" s="236">
        <v>6</v>
      </c>
      <c r="I1136" s="236">
        <v>6</v>
      </c>
      <c r="J1136" s="233">
        <v>1</v>
      </c>
      <c r="K1136" s="237"/>
      <c r="L1136" s="235"/>
      <c r="M1136" s="276" t="str">
        <f t="shared" si="20"/>
        <v>Photo</v>
      </c>
      <c r="N1136" s="279" t="s">
        <v>25</v>
      </c>
      <c r="O1136" t="str">
        <f t="shared" si="19"/>
        <v>2024-S Shield Penny Proof</v>
      </c>
      <c r="S1136" t="str" cm="1">
        <f t="array" ref="S1136">_xlfn.REGEXEXTRACT(E1136, "[0-9]{1,5}")</f>
        <v>2024</v>
      </c>
      <c r="T1136" t="s">
        <v>4228</v>
      </c>
      <c r="U1136" t="s">
        <v>3896</v>
      </c>
    </row>
    <row r="1137" spans="1:21">
      <c r="A1137" s="136">
        <v>1</v>
      </c>
      <c r="B1137" s="233">
        <v>2024</v>
      </c>
      <c r="C1137" s="234"/>
      <c r="D1137" s="234" t="s">
        <v>4920</v>
      </c>
      <c r="E1137" s="235" t="s">
        <v>3847</v>
      </c>
      <c r="F1137" s="235" t="s">
        <v>4951</v>
      </c>
      <c r="G1137" s="235" t="s">
        <v>2579</v>
      </c>
      <c r="H1137" s="236">
        <v>0.01</v>
      </c>
      <c r="I1137" s="236">
        <v>0.01</v>
      </c>
      <c r="J1137" s="233">
        <v>1</v>
      </c>
      <c r="K1137" s="237"/>
      <c r="L1137" s="235"/>
      <c r="M1137" s="276" t="str">
        <f t="shared" si="20"/>
        <v>Photo</v>
      </c>
      <c r="N1137" s="279" t="s">
        <v>25</v>
      </c>
      <c r="O1137" t="str">
        <f t="shared" si="19"/>
        <v>2024 Shield Penny</v>
      </c>
      <c r="S1137" t="str" cm="1">
        <f t="array" ref="S1137">_xlfn.REGEXEXTRACT(E1137, "[0-9]{1,5}")</f>
        <v>2024</v>
      </c>
      <c r="T1137" t="s">
        <v>4228</v>
      </c>
      <c r="U1137" t="s">
        <v>3896</v>
      </c>
    </row>
    <row r="1138" spans="1:21">
      <c r="A1138" s="136">
        <v>1</v>
      </c>
      <c r="B1138" s="233">
        <v>2024</v>
      </c>
      <c r="C1138" s="234"/>
      <c r="D1138" s="234" t="s">
        <v>4920</v>
      </c>
      <c r="E1138" s="235" t="s">
        <v>3848</v>
      </c>
      <c r="F1138" s="235" t="s">
        <v>4951</v>
      </c>
      <c r="G1138" s="235" t="s">
        <v>2579</v>
      </c>
      <c r="H1138" s="236">
        <v>0.01</v>
      </c>
      <c r="I1138" s="236">
        <v>0.01</v>
      </c>
      <c r="J1138" s="233">
        <v>1</v>
      </c>
      <c r="K1138" s="237"/>
      <c r="L1138" s="235"/>
      <c r="M1138" s="276" t="str">
        <f t="shared" si="20"/>
        <v>Photo</v>
      </c>
      <c r="N1138" s="279" t="s">
        <v>25</v>
      </c>
      <c r="O1138" t="str">
        <f t="shared" si="19"/>
        <v>2024 Shield Penny</v>
      </c>
      <c r="S1138" t="str" cm="1">
        <f t="array" ref="S1138">_xlfn.REGEXEXTRACT(E1138, "[0-9]{1,5}")</f>
        <v>2024</v>
      </c>
      <c r="T1138" t="s">
        <v>4228</v>
      </c>
      <c r="U1138" t="s">
        <v>3896</v>
      </c>
    </row>
    <row r="1139" spans="1:21">
      <c r="A1139" s="136">
        <v>1</v>
      </c>
      <c r="B1139" s="233">
        <v>2024</v>
      </c>
      <c r="C1139" s="234"/>
      <c r="D1139" s="234" t="s">
        <v>4920</v>
      </c>
      <c r="E1139" s="235" t="s">
        <v>3946</v>
      </c>
      <c r="F1139" s="235" t="s">
        <v>4951</v>
      </c>
      <c r="G1139" s="235" t="s">
        <v>2579</v>
      </c>
      <c r="H1139" s="236">
        <v>0.01</v>
      </c>
      <c r="I1139" s="236">
        <v>0.01</v>
      </c>
      <c r="J1139" s="233">
        <v>1</v>
      </c>
      <c r="K1139" s="237"/>
      <c r="L1139" s="235"/>
      <c r="M1139" s="276" t="str">
        <f t="shared" si="20"/>
        <v>Photo</v>
      </c>
      <c r="N1139" s="279" t="s">
        <v>25</v>
      </c>
      <c r="O1139" t="str">
        <f t="shared" si="19"/>
        <v>2024 Shield Penny</v>
      </c>
      <c r="S1139" t="str" cm="1">
        <f t="array" ref="S1139">_xlfn.REGEXEXTRACT(E1139, "[0-9]{1,5}")</f>
        <v>2024</v>
      </c>
      <c r="T1139" t="s">
        <v>4228</v>
      </c>
      <c r="U1139" t="s">
        <v>3896</v>
      </c>
    </row>
    <row r="1140" spans="1:21">
      <c r="A1140" s="136">
        <v>1</v>
      </c>
      <c r="B1140" s="233">
        <v>2024</v>
      </c>
      <c r="C1140" s="234"/>
      <c r="D1140" s="234" t="s">
        <v>4920</v>
      </c>
      <c r="E1140" s="235" t="s">
        <v>3947</v>
      </c>
      <c r="F1140" s="235" t="s">
        <v>4951</v>
      </c>
      <c r="G1140" s="235" t="s">
        <v>2579</v>
      </c>
      <c r="H1140" s="236">
        <v>0.01</v>
      </c>
      <c r="I1140" s="236">
        <v>0.01</v>
      </c>
      <c r="J1140" s="233">
        <v>1</v>
      </c>
      <c r="K1140" s="237"/>
      <c r="L1140" s="235"/>
      <c r="M1140" s="276" t="str">
        <f t="shared" si="20"/>
        <v>Photo</v>
      </c>
      <c r="N1140" s="279" t="s">
        <v>25</v>
      </c>
      <c r="O1140" t="str">
        <f t="shared" si="19"/>
        <v>2024 Shield Penny</v>
      </c>
      <c r="S1140" t="str" cm="1">
        <f t="array" ref="S1140">_xlfn.REGEXEXTRACT(E1140, "[0-9]{1,5}")</f>
        <v>2024</v>
      </c>
      <c r="T1140" t="s">
        <v>4228</v>
      </c>
      <c r="U1140" t="s">
        <v>3896</v>
      </c>
    </row>
    <row r="1141" spans="1:21">
      <c r="A1141" s="136">
        <v>2</v>
      </c>
      <c r="B1141" s="246">
        <v>1869</v>
      </c>
      <c r="C1141" s="247"/>
      <c r="D1141" s="247" t="s">
        <v>1962</v>
      </c>
      <c r="E1141" s="248" t="s">
        <v>293</v>
      </c>
      <c r="F1141" s="248" t="s">
        <v>2608</v>
      </c>
      <c r="G1141" s="248" t="s">
        <v>2579</v>
      </c>
      <c r="H1141" s="249">
        <v>0.05</v>
      </c>
      <c r="I1141" s="249">
        <v>18</v>
      </c>
      <c r="J1141" s="246">
        <v>1</v>
      </c>
      <c r="K1141" s="250"/>
      <c r="L1141" s="248"/>
      <c r="M1141" s="276" t="str">
        <f t="shared" si="20"/>
        <v>Photo</v>
      </c>
      <c r="N1141" s="281" t="s">
        <v>25</v>
      </c>
      <c r="O1141" t="str">
        <f t="shared" si="19"/>
        <v>1869 Shield Nickel</v>
      </c>
      <c r="S1141" t="str" cm="1">
        <f t="array" ref="S1141">_xlfn.REGEXEXTRACT(E1141, "[0-9]{1,5}")</f>
        <v>1869</v>
      </c>
      <c r="T1141" t="s">
        <v>4231</v>
      </c>
      <c r="U1141" t="s">
        <v>3897</v>
      </c>
    </row>
    <row r="1142" spans="1:21">
      <c r="A1142" s="136">
        <v>2</v>
      </c>
      <c r="B1142" s="246">
        <v>1883</v>
      </c>
      <c r="C1142" s="247"/>
      <c r="D1142" s="247" t="s">
        <v>1962</v>
      </c>
      <c r="E1142" s="248" t="s">
        <v>299</v>
      </c>
      <c r="F1142" s="248" t="s">
        <v>2600</v>
      </c>
      <c r="G1142" s="248" t="s">
        <v>2579</v>
      </c>
      <c r="H1142" s="249">
        <v>3</v>
      </c>
      <c r="I1142" s="249">
        <v>5</v>
      </c>
      <c r="J1142" s="246">
        <v>1</v>
      </c>
      <c r="K1142" s="250"/>
      <c r="L1142" s="248"/>
      <c r="M1142" s="276" t="str">
        <f t="shared" si="20"/>
        <v>Photo</v>
      </c>
      <c r="N1142" s="281" t="s">
        <v>25</v>
      </c>
      <c r="O1142" t="str">
        <f t="shared" si="19"/>
        <v xml:space="preserve">1883 Liberty   V   Nickel </v>
      </c>
      <c r="S1142" t="str" cm="1">
        <f t="array" ref="S1142">_xlfn.REGEXEXTRACT(E1142, "[0-9]{1,5}")</f>
        <v>1883</v>
      </c>
      <c r="T1142" t="s">
        <v>1589</v>
      </c>
      <c r="U1142" t="s">
        <v>3897</v>
      </c>
    </row>
    <row r="1143" spans="1:21">
      <c r="A1143" s="136">
        <v>2</v>
      </c>
      <c r="B1143" s="246">
        <v>1889</v>
      </c>
      <c r="C1143" s="247"/>
      <c r="D1143" s="247" t="s">
        <v>1962</v>
      </c>
      <c r="E1143" s="248" t="s">
        <v>305</v>
      </c>
      <c r="F1143" s="248" t="s">
        <v>2600</v>
      </c>
      <c r="G1143" s="248" t="s">
        <v>2579</v>
      </c>
      <c r="H1143" s="249">
        <v>0.05</v>
      </c>
      <c r="I1143" s="249">
        <v>2</v>
      </c>
      <c r="J1143" s="246">
        <v>1</v>
      </c>
      <c r="K1143" s="250"/>
      <c r="L1143" s="248"/>
      <c r="M1143" s="276" t="str">
        <f t="shared" si="20"/>
        <v>Photo</v>
      </c>
      <c r="N1143" s="281" t="s">
        <v>25</v>
      </c>
      <c r="O1143" t="str">
        <f t="shared" si="19"/>
        <v xml:space="preserve">1889 Liberty   V   Nickel </v>
      </c>
      <c r="S1143" t="str" cm="1">
        <f t="array" ref="S1143">_xlfn.REGEXEXTRACT(E1143, "[0-9]{1,5}")</f>
        <v>1889</v>
      </c>
      <c r="T1143" t="s">
        <v>2396</v>
      </c>
      <c r="U1143" t="s">
        <v>3897</v>
      </c>
    </row>
    <row r="1144" spans="1:21">
      <c r="A1144" s="136">
        <v>2</v>
      </c>
      <c r="B1144" s="246">
        <v>1890</v>
      </c>
      <c r="C1144" s="247"/>
      <c r="D1144" s="247" t="s">
        <v>1962</v>
      </c>
      <c r="E1144" s="248" t="s">
        <v>311</v>
      </c>
      <c r="F1144" s="248" t="s">
        <v>2600</v>
      </c>
      <c r="G1144" s="248" t="s">
        <v>2579</v>
      </c>
      <c r="H1144" s="249">
        <v>0.05</v>
      </c>
      <c r="I1144" s="249">
        <v>2</v>
      </c>
      <c r="J1144" s="246">
        <v>1</v>
      </c>
      <c r="K1144" s="250"/>
      <c r="L1144" s="248"/>
      <c r="M1144" s="276" t="str">
        <f t="shared" si="20"/>
        <v>Photo</v>
      </c>
      <c r="N1144" s="281" t="s">
        <v>25</v>
      </c>
      <c r="O1144" t="str">
        <f t="shared" si="19"/>
        <v xml:space="preserve">1890 Liberty   V   Nickel </v>
      </c>
      <c r="S1144" t="str" cm="1">
        <f t="array" ref="S1144">_xlfn.REGEXEXTRACT(E1144, "[0-9]{1,5}")</f>
        <v>1890</v>
      </c>
      <c r="T1144" t="s">
        <v>2397</v>
      </c>
      <c r="U1144" t="s">
        <v>3897</v>
      </c>
    </row>
    <row r="1145" spans="1:21">
      <c r="A1145" s="136">
        <v>2</v>
      </c>
      <c r="B1145" s="246">
        <v>1893</v>
      </c>
      <c r="C1145" s="247"/>
      <c r="D1145" s="247" t="s">
        <v>1962</v>
      </c>
      <c r="E1145" s="248" t="s">
        <v>315</v>
      </c>
      <c r="F1145" s="248" t="s">
        <v>2600</v>
      </c>
      <c r="G1145" s="248" t="s">
        <v>2579</v>
      </c>
      <c r="H1145" s="249">
        <v>4</v>
      </c>
      <c r="I1145" s="249">
        <v>4</v>
      </c>
      <c r="J1145" s="246">
        <v>1</v>
      </c>
      <c r="K1145" s="250"/>
      <c r="L1145" s="248"/>
      <c r="M1145" s="276" t="str">
        <f t="shared" si="20"/>
        <v>Photo</v>
      </c>
      <c r="N1145" s="281" t="s">
        <v>25</v>
      </c>
      <c r="O1145" t="str">
        <f t="shared" si="19"/>
        <v xml:space="preserve">1893 Liberty   V   Nickel </v>
      </c>
      <c r="S1145" t="str" cm="1">
        <f t="array" ref="S1145">_xlfn.REGEXEXTRACT(E1145, "[0-9]{1,5}")</f>
        <v>1893</v>
      </c>
      <c r="T1145" t="s">
        <v>4232</v>
      </c>
      <c r="U1145" t="s">
        <v>3897</v>
      </c>
    </row>
    <row r="1146" spans="1:21">
      <c r="A1146" s="136">
        <v>2</v>
      </c>
      <c r="B1146" s="246">
        <v>1896</v>
      </c>
      <c r="C1146" s="247"/>
      <c r="D1146" s="247" t="s">
        <v>1962</v>
      </c>
      <c r="E1146" s="248" t="s">
        <v>319</v>
      </c>
      <c r="F1146" s="248" t="s">
        <v>2600</v>
      </c>
      <c r="G1146" s="248" t="s">
        <v>2579</v>
      </c>
      <c r="H1146" s="249">
        <v>0.05</v>
      </c>
      <c r="I1146" s="249">
        <v>2</v>
      </c>
      <c r="J1146" s="246">
        <v>1</v>
      </c>
      <c r="K1146" s="250"/>
      <c r="L1146" s="248"/>
      <c r="M1146" s="276" t="str">
        <f t="shared" si="20"/>
        <v>Photo</v>
      </c>
      <c r="N1146" s="281" t="s">
        <v>25</v>
      </c>
      <c r="O1146" t="str">
        <f t="shared" si="19"/>
        <v xml:space="preserve">1896 Liberty   V   Nickel </v>
      </c>
      <c r="S1146" t="str" cm="1">
        <f t="array" ref="S1146">_xlfn.REGEXEXTRACT(E1146, "[0-9]{1,5}")</f>
        <v>1896</v>
      </c>
      <c r="T1146" t="s">
        <v>4170</v>
      </c>
      <c r="U1146" t="s">
        <v>3897</v>
      </c>
    </row>
    <row r="1147" spans="1:21">
      <c r="A1147" s="136">
        <v>2</v>
      </c>
      <c r="B1147" s="246">
        <v>1897</v>
      </c>
      <c r="C1147" s="247"/>
      <c r="D1147" s="247" t="s">
        <v>1962</v>
      </c>
      <c r="E1147" s="248" t="s">
        <v>324</v>
      </c>
      <c r="F1147" s="248" t="s">
        <v>2600</v>
      </c>
      <c r="G1147" s="248" t="s">
        <v>2579</v>
      </c>
      <c r="H1147" s="249">
        <v>2</v>
      </c>
      <c r="I1147" s="249">
        <v>2</v>
      </c>
      <c r="J1147" s="246">
        <v>1</v>
      </c>
      <c r="K1147" s="250"/>
      <c r="L1147" s="248"/>
      <c r="M1147" s="276" t="str">
        <f t="shared" si="20"/>
        <v>Photo</v>
      </c>
      <c r="N1147" s="281" t="s">
        <v>25</v>
      </c>
      <c r="O1147" t="str">
        <f t="shared" si="19"/>
        <v xml:space="preserve">1897 Liberty   V   Nickel </v>
      </c>
      <c r="S1147" t="str" cm="1">
        <f t="array" ref="S1147">_xlfn.REGEXEXTRACT(E1147, "[0-9]{1,5}")</f>
        <v>1897</v>
      </c>
      <c r="T1147" t="s">
        <v>4233</v>
      </c>
      <c r="U1147" t="s">
        <v>3897</v>
      </c>
    </row>
    <row r="1148" spans="1:21">
      <c r="A1148" s="136">
        <v>2</v>
      </c>
      <c r="B1148" s="246">
        <v>1901</v>
      </c>
      <c r="C1148" s="247"/>
      <c r="D1148" s="247" t="s">
        <v>1962</v>
      </c>
      <c r="E1148" s="248" t="s">
        <v>327</v>
      </c>
      <c r="F1148" s="248" t="s">
        <v>2600</v>
      </c>
      <c r="G1148" s="248" t="s">
        <v>2579</v>
      </c>
      <c r="H1148" s="249">
        <v>0.5</v>
      </c>
      <c r="I1148" s="249">
        <v>0.5</v>
      </c>
      <c r="J1148" s="246">
        <v>1</v>
      </c>
      <c r="K1148" s="250"/>
      <c r="L1148" s="248"/>
      <c r="M1148" s="276" t="str">
        <f t="shared" si="20"/>
        <v>Photo</v>
      </c>
      <c r="N1148" s="281" t="s">
        <v>25</v>
      </c>
      <c r="O1148" t="str">
        <f t="shared" si="19"/>
        <v xml:space="preserve">1901 Liberty   V   Nickel </v>
      </c>
      <c r="S1148" t="str" cm="1">
        <f t="array" ref="S1148">_xlfn.REGEXEXTRACT(E1148, "[0-9]{1,5}")</f>
        <v>1901</v>
      </c>
      <c r="T1148" t="s">
        <v>4173</v>
      </c>
      <c r="U1148" t="s">
        <v>3897</v>
      </c>
    </row>
    <row r="1149" spans="1:21">
      <c r="A1149" s="136">
        <v>2</v>
      </c>
      <c r="B1149" s="246">
        <v>1902</v>
      </c>
      <c r="C1149" s="247"/>
      <c r="D1149" s="247" t="s">
        <v>1962</v>
      </c>
      <c r="E1149" s="248" t="s">
        <v>330</v>
      </c>
      <c r="F1149" s="248" t="s">
        <v>2600</v>
      </c>
      <c r="G1149" s="248" t="s">
        <v>2579</v>
      </c>
      <c r="H1149" s="249">
        <v>1</v>
      </c>
      <c r="I1149" s="249">
        <v>1</v>
      </c>
      <c r="J1149" s="246">
        <v>1</v>
      </c>
      <c r="K1149" s="250"/>
      <c r="L1149" s="248"/>
      <c r="M1149" s="276" t="str">
        <f t="shared" si="20"/>
        <v>Photo</v>
      </c>
      <c r="N1149" s="281" t="s">
        <v>25</v>
      </c>
      <c r="O1149" t="str">
        <f t="shared" si="19"/>
        <v xml:space="preserve">1902 Liberty   V   Nickel </v>
      </c>
      <c r="S1149" t="str" cm="1">
        <f t="array" ref="S1149">_xlfn.REGEXEXTRACT(E1149, "[0-9]{1,5}")</f>
        <v>1902</v>
      </c>
      <c r="T1149" t="s">
        <v>4174</v>
      </c>
      <c r="U1149" t="s">
        <v>3897</v>
      </c>
    </row>
    <row r="1150" spans="1:21">
      <c r="A1150" s="136">
        <v>2</v>
      </c>
      <c r="B1150" s="246">
        <v>1902</v>
      </c>
      <c r="C1150" s="247"/>
      <c r="D1150" s="247" t="s">
        <v>1962</v>
      </c>
      <c r="E1150" s="248" t="s">
        <v>336</v>
      </c>
      <c r="F1150" s="248" t="s">
        <v>2600</v>
      </c>
      <c r="G1150" s="248" t="s">
        <v>2579</v>
      </c>
      <c r="H1150" s="249">
        <v>1</v>
      </c>
      <c r="I1150" s="249">
        <v>1</v>
      </c>
      <c r="J1150" s="246">
        <v>1</v>
      </c>
      <c r="K1150" s="250"/>
      <c r="L1150" s="248"/>
      <c r="M1150" s="276" t="str">
        <f t="shared" si="20"/>
        <v>Photo</v>
      </c>
      <c r="N1150" s="281" t="s">
        <v>25</v>
      </c>
      <c r="O1150" t="str">
        <f t="shared" si="19"/>
        <v xml:space="preserve">1902 Liberty   V   Nickel </v>
      </c>
      <c r="S1150" t="str" cm="1">
        <f t="array" ref="S1150">_xlfn.REGEXEXTRACT(E1150, "[0-9]{1,5}")</f>
        <v>1902</v>
      </c>
      <c r="T1150" t="s">
        <v>4174</v>
      </c>
      <c r="U1150" t="s">
        <v>3897</v>
      </c>
    </row>
    <row r="1151" spans="1:21">
      <c r="A1151" s="136">
        <v>2</v>
      </c>
      <c r="B1151" s="246">
        <v>1903</v>
      </c>
      <c r="C1151" s="247"/>
      <c r="D1151" s="247" t="s">
        <v>1962</v>
      </c>
      <c r="E1151" s="248" t="s">
        <v>340</v>
      </c>
      <c r="F1151" s="248" t="s">
        <v>2600</v>
      </c>
      <c r="G1151" s="248" t="s">
        <v>2579</v>
      </c>
      <c r="H1151" s="249">
        <v>2.5</v>
      </c>
      <c r="I1151" s="249">
        <v>3</v>
      </c>
      <c r="J1151" s="246">
        <v>1</v>
      </c>
      <c r="K1151" s="250"/>
      <c r="L1151" s="248"/>
      <c r="M1151" s="276" t="str">
        <f t="shared" si="20"/>
        <v>Photo</v>
      </c>
      <c r="N1151" s="281" t="s">
        <v>25</v>
      </c>
      <c r="O1151" t="str">
        <f t="shared" si="19"/>
        <v xml:space="preserve">1903 Liberty   V   Nickel </v>
      </c>
      <c r="S1151" t="str" cm="1">
        <f t="array" ref="S1151">_xlfn.REGEXEXTRACT(E1151, "[0-9]{1,5}")</f>
        <v>1903</v>
      </c>
      <c r="T1151" t="s">
        <v>4175</v>
      </c>
      <c r="U1151" t="s">
        <v>3897</v>
      </c>
    </row>
    <row r="1152" spans="1:21">
      <c r="A1152" s="136">
        <v>2</v>
      </c>
      <c r="B1152" s="246">
        <v>1903</v>
      </c>
      <c r="C1152" s="247"/>
      <c r="D1152" s="247" t="s">
        <v>1962</v>
      </c>
      <c r="E1152" s="248" t="s">
        <v>345</v>
      </c>
      <c r="F1152" s="248" t="s">
        <v>2600</v>
      </c>
      <c r="G1152" s="248" t="s">
        <v>2579</v>
      </c>
      <c r="H1152" s="249">
        <v>0.05</v>
      </c>
      <c r="I1152" s="249">
        <v>0.75</v>
      </c>
      <c r="J1152" s="246">
        <v>1</v>
      </c>
      <c r="K1152" s="250"/>
      <c r="L1152" s="248"/>
      <c r="M1152" s="276" t="str">
        <f t="shared" si="20"/>
        <v>Photo</v>
      </c>
      <c r="N1152" s="281" t="s">
        <v>25</v>
      </c>
      <c r="O1152" t="str">
        <f t="shared" si="19"/>
        <v xml:space="preserve">1903 Liberty   V   Nickel </v>
      </c>
      <c r="S1152" t="str" cm="1">
        <f t="array" ref="S1152">_xlfn.REGEXEXTRACT(E1152, "[0-9]{1,5}")</f>
        <v>1903</v>
      </c>
      <c r="T1152" t="s">
        <v>4175</v>
      </c>
      <c r="U1152" t="s">
        <v>3897</v>
      </c>
    </row>
    <row r="1153" spans="1:21">
      <c r="A1153" s="136">
        <v>2</v>
      </c>
      <c r="B1153" s="246">
        <v>1904</v>
      </c>
      <c r="C1153" s="247"/>
      <c r="D1153" s="247" t="s">
        <v>1962</v>
      </c>
      <c r="E1153" s="248" t="s">
        <v>348</v>
      </c>
      <c r="F1153" s="248" t="s">
        <v>2600</v>
      </c>
      <c r="G1153" s="248" t="s">
        <v>2579</v>
      </c>
      <c r="H1153" s="249">
        <v>0.75</v>
      </c>
      <c r="I1153" s="249">
        <v>1</v>
      </c>
      <c r="J1153" s="246">
        <v>1</v>
      </c>
      <c r="K1153" s="250"/>
      <c r="L1153" s="248"/>
      <c r="M1153" s="276" t="str">
        <f t="shared" si="20"/>
        <v>Photo</v>
      </c>
      <c r="N1153" s="281" t="s">
        <v>25</v>
      </c>
      <c r="O1153" t="str">
        <f t="shared" si="19"/>
        <v xml:space="preserve">1904 Liberty   V   Nickel </v>
      </c>
      <c r="S1153" t="str" cm="1">
        <f t="array" ref="S1153">_xlfn.REGEXEXTRACT(E1153, "[0-9]{1,5}")</f>
        <v>1904</v>
      </c>
      <c r="T1153" t="s">
        <v>4176</v>
      </c>
      <c r="U1153" t="s">
        <v>3897</v>
      </c>
    </row>
    <row r="1154" spans="1:21">
      <c r="A1154" s="136">
        <v>2</v>
      </c>
      <c r="B1154" s="246">
        <v>1905</v>
      </c>
      <c r="C1154" s="247"/>
      <c r="D1154" s="247" t="s">
        <v>1962</v>
      </c>
      <c r="E1154" s="248" t="s">
        <v>353</v>
      </c>
      <c r="F1154" s="248" t="s">
        <v>2600</v>
      </c>
      <c r="G1154" s="248" t="s">
        <v>2579</v>
      </c>
      <c r="H1154" s="249">
        <v>0.05</v>
      </c>
      <c r="I1154" s="249">
        <v>0.05</v>
      </c>
      <c r="J1154" s="246">
        <v>1</v>
      </c>
      <c r="K1154" s="250"/>
      <c r="L1154" s="248"/>
      <c r="M1154" s="276" t="str">
        <f t="shared" ref="M1154:M1185" si="21">HYPERLINK($Y$2&amp;E1154&amp;$AA$2,"Photo")</f>
        <v>Photo</v>
      </c>
      <c r="N1154" s="279" t="s">
        <v>25</v>
      </c>
      <c r="O1154" t="str">
        <f t="shared" si="19"/>
        <v xml:space="preserve">1905 Liberty   V   Nickel </v>
      </c>
      <c r="S1154" t="str" cm="1">
        <f t="array" ref="S1154">_xlfn.REGEXEXTRACT(E1154, "[0-9]{1,5}")</f>
        <v>1905</v>
      </c>
      <c r="T1154" t="s">
        <v>2400</v>
      </c>
      <c r="U1154" t="s">
        <v>3897</v>
      </c>
    </row>
    <row r="1155" spans="1:21">
      <c r="A1155" s="136">
        <v>2</v>
      </c>
      <c r="B1155" s="246">
        <v>1905</v>
      </c>
      <c r="C1155" s="247"/>
      <c r="D1155" s="247" t="s">
        <v>1962</v>
      </c>
      <c r="E1155" s="248" t="s">
        <v>356</v>
      </c>
      <c r="F1155" s="248" t="s">
        <v>2600</v>
      </c>
      <c r="G1155" s="248" t="s">
        <v>2579</v>
      </c>
      <c r="H1155" s="249">
        <v>0.05</v>
      </c>
      <c r="I1155" s="249">
        <v>0.05</v>
      </c>
      <c r="J1155" s="246">
        <v>1</v>
      </c>
      <c r="K1155" s="250"/>
      <c r="L1155" s="248"/>
      <c r="M1155" s="276" t="str">
        <f t="shared" si="21"/>
        <v>Photo</v>
      </c>
      <c r="N1155" s="279" t="s">
        <v>25</v>
      </c>
      <c r="O1155" t="str">
        <f t="shared" si="19"/>
        <v xml:space="preserve">1905 Liberty   V   Nickel </v>
      </c>
      <c r="S1155" t="str" cm="1">
        <f t="array" ref="S1155">_xlfn.REGEXEXTRACT(E1155, "[0-9]{1,5}")</f>
        <v>1905</v>
      </c>
      <c r="T1155" t="s">
        <v>2400</v>
      </c>
      <c r="U1155" t="s">
        <v>3897</v>
      </c>
    </row>
    <row r="1156" spans="1:21">
      <c r="A1156" s="136">
        <v>2</v>
      </c>
      <c r="B1156" s="246">
        <v>1906</v>
      </c>
      <c r="C1156" s="247"/>
      <c r="D1156" s="247" t="s">
        <v>1962</v>
      </c>
      <c r="E1156" s="248" t="s">
        <v>360</v>
      </c>
      <c r="F1156" s="248" t="s">
        <v>2600</v>
      </c>
      <c r="G1156" s="248" t="s">
        <v>2579</v>
      </c>
      <c r="H1156" s="249">
        <v>0.75</v>
      </c>
      <c r="I1156" s="249">
        <v>1</v>
      </c>
      <c r="J1156" s="246">
        <v>1</v>
      </c>
      <c r="K1156" s="250"/>
      <c r="L1156" s="248"/>
      <c r="M1156" s="276" t="str">
        <f t="shared" si="21"/>
        <v>Photo</v>
      </c>
      <c r="N1156" s="279" t="s">
        <v>25</v>
      </c>
      <c r="O1156" t="str">
        <f t="shared" ref="O1156:O1219" si="22">IF(C1156&lt;&gt;"",B1156&amp;"-"&amp;C1156&amp;" "&amp;F1156,B1156&amp;" "&amp;F1156)</f>
        <v xml:space="preserve">1906 Liberty   V   Nickel </v>
      </c>
      <c r="S1156" t="str" cm="1">
        <f t="array" ref="S1156">_xlfn.REGEXEXTRACT(E1156, "[0-9]{1,5}")</f>
        <v>1906</v>
      </c>
      <c r="T1156" t="s">
        <v>2401</v>
      </c>
      <c r="U1156" t="s">
        <v>3897</v>
      </c>
    </row>
    <row r="1157" spans="1:21">
      <c r="A1157" s="136">
        <v>2</v>
      </c>
      <c r="B1157" s="246">
        <v>1907</v>
      </c>
      <c r="C1157" s="247"/>
      <c r="D1157" s="247" t="s">
        <v>1962</v>
      </c>
      <c r="E1157" s="248" t="s">
        <v>365</v>
      </c>
      <c r="F1157" s="248" t="s">
        <v>2600</v>
      </c>
      <c r="G1157" s="248" t="s">
        <v>2579</v>
      </c>
      <c r="H1157" s="249">
        <v>3</v>
      </c>
      <c r="I1157" s="249">
        <v>3</v>
      </c>
      <c r="J1157" s="246">
        <v>1</v>
      </c>
      <c r="K1157" s="250"/>
      <c r="L1157" s="248"/>
      <c r="M1157" s="276" t="str">
        <f t="shared" si="21"/>
        <v>Photo</v>
      </c>
      <c r="N1157" s="279" t="s">
        <v>25</v>
      </c>
      <c r="O1157" t="str">
        <f t="shared" si="22"/>
        <v xml:space="preserve">1907 Liberty   V   Nickel </v>
      </c>
      <c r="S1157" t="str" cm="1">
        <f t="array" ref="S1157">_xlfn.REGEXEXTRACT(E1157, "[0-9]{1,5}")</f>
        <v>1907</v>
      </c>
      <c r="T1157" t="s">
        <v>2402</v>
      </c>
      <c r="U1157" t="s">
        <v>3897</v>
      </c>
    </row>
    <row r="1158" spans="1:21">
      <c r="A1158" s="136">
        <v>2</v>
      </c>
      <c r="B1158" s="246">
        <v>1907</v>
      </c>
      <c r="C1158" s="247"/>
      <c r="D1158" s="247" t="s">
        <v>1962</v>
      </c>
      <c r="E1158" s="248" t="s">
        <v>370</v>
      </c>
      <c r="F1158" s="248" t="s">
        <v>2600</v>
      </c>
      <c r="G1158" s="248" t="s">
        <v>2579</v>
      </c>
      <c r="H1158" s="249">
        <v>0.75</v>
      </c>
      <c r="I1158" s="249">
        <v>1</v>
      </c>
      <c r="J1158" s="246">
        <v>1</v>
      </c>
      <c r="K1158" s="250"/>
      <c r="L1158" s="248"/>
      <c r="M1158" s="276" t="str">
        <f t="shared" si="21"/>
        <v>Photo</v>
      </c>
      <c r="N1158" s="279" t="s">
        <v>25</v>
      </c>
      <c r="O1158" t="str">
        <f t="shared" si="22"/>
        <v xml:space="preserve">1907 Liberty   V   Nickel </v>
      </c>
      <c r="S1158" t="str" cm="1">
        <f t="array" ref="S1158">_xlfn.REGEXEXTRACT(E1158, "[0-9]{1,5}")</f>
        <v>1907</v>
      </c>
      <c r="T1158" t="s">
        <v>2402</v>
      </c>
      <c r="U1158" t="s">
        <v>3897</v>
      </c>
    </row>
    <row r="1159" spans="1:21">
      <c r="A1159" s="136">
        <v>2</v>
      </c>
      <c r="B1159" s="246">
        <v>1908</v>
      </c>
      <c r="C1159" s="247"/>
      <c r="D1159" s="247" t="s">
        <v>1962</v>
      </c>
      <c r="E1159" s="248" t="s">
        <v>372</v>
      </c>
      <c r="F1159" s="248" t="s">
        <v>2600</v>
      </c>
      <c r="G1159" s="248" t="s">
        <v>2579</v>
      </c>
      <c r="H1159" s="249">
        <v>0.3</v>
      </c>
      <c r="I1159" s="249">
        <v>1</v>
      </c>
      <c r="J1159" s="246">
        <v>1</v>
      </c>
      <c r="K1159" s="250"/>
      <c r="L1159" s="248"/>
      <c r="M1159" s="276" t="str">
        <f t="shared" si="21"/>
        <v>Photo</v>
      </c>
      <c r="N1159" s="279" t="s">
        <v>25</v>
      </c>
      <c r="O1159" t="str">
        <f t="shared" si="22"/>
        <v xml:space="preserve">1908 Liberty   V   Nickel </v>
      </c>
      <c r="S1159" t="str" cm="1">
        <f t="array" ref="S1159">_xlfn.REGEXEXTRACT(E1159, "[0-9]{1,5}")</f>
        <v>1908</v>
      </c>
      <c r="T1159" t="s">
        <v>2403</v>
      </c>
      <c r="U1159" t="s">
        <v>3897</v>
      </c>
    </row>
    <row r="1160" spans="1:21">
      <c r="A1160" s="136">
        <v>2</v>
      </c>
      <c r="B1160" s="246">
        <v>1908</v>
      </c>
      <c r="C1160" s="247"/>
      <c r="D1160" s="247" t="s">
        <v>1962</v>
      </c>
      <c r="E1160" s="248" t="s">
        <v>3963</v>
      </c>
      <c r="F1160" s="248" t="s">
        <v>2600</v>
      </c>
      <c r="G1160" s="248" t="s">
        <v>2579</v>
      </c>
      <c r="H1160" s="249">
        <v>0.75</v>
      </c>
      <c r="I1160" s="249">
        <v>1</v>
      </c>
      <c r="J1160" s="246">
        <v>1</v>
      </c>
      <c r="K1160" s="250"/>
      <c r="L1160" s="248"/>
      <c r="M1160" s="276" t="str">
        <f t="shared" si="21"/>
        <v>Photo</v>
      </c>
      <c r="N1160" s="279" t="s">
        <v>25</v>
      </c>
      <c r="O1160" t="str">
        <f t="shared" si="22"/>
        <v xml:space="preserve">1908 Liberty   V   Nickel </v>
      </c>
      <c r="S1160" t="str" cm="1">
        <f t="array" ref="S1160">_xlfn.REGEXEXTRACT(E1160, "[0-9]{1,5}")</f>
        <v>1908</v>
      </c>
      <c r="T1160" t="s">
        <v>2403</v>
      </c>
      <c r="U1160" t="s">
        <v>3897</v>
      </c>
    </row>
    <row r="1161" spans="1:21">
      <c r="A1161" s="136">
        <v>2</v>
      </c>
      <c r="B1161" s="246">
        <v>1909</v>
      </c>
      <c r="C1161" s="247"/>
      <c r="D1161" s="247" t="s">
        <v>1962</v>
      </c>
      <c r="E1161" s="248" t="s">
        <v>377</v>
      </c>
      <c r="F1161" s="248" t="s">
        <v>2600</v>
      </c>
      <c r="G1161" s="248" t="s">
        <v>2579</v>
      </c>
      <c r="H1161" s="249">
        <v>0.05</v>
      </c>
      <c r="I1161" s="249">
        <v>0.75</v>
      </c>
      <c r="J1161" s="246">
        <v>1</v>
      </c>
      <c r="K1161" s="250"/>
      <c r="L1161" s="248"/>
      <c r="M1161" s="276" t="str">
        <f t="shared" si="21"/>
        <v>Photo</v>
      </c>
      <c r="N1161" s="279" t="s">
        <v>25</v>
      </c>
      <c r="O1161" t="str">
        <f t="shared" si="22"/>
        <v xml:space="preserve">1909 Liberty   V   Nickel </v>
      </c>
      <c r="S1161" t="str" cm="1">
        <f t="array" ref="S1161">_xlfn.REGEXEXTRACT(E1161, "[0-9]{1,5}")</f>
        <v>1909</v>
      </c>
      <c r="T1161" t="s">
        <v>2404</v>
      </c>
      <c r="U1161" t="s">
        <v>3897</v>
      </c>
    </row>
    <row r="1162" spans="1:21">
      <c r="A1162" s="136">
        <v>2</v>
      </c>
      <c r="B1162" s="246">
        <v>1909</v>
      </c>
      <c r="C1162" s="247"/>
      <c r="D1162" s="247" t="s">
        <v>1962</v>
      </c>
      <c r="E1162" s="248" t="s">
        <v>380</v>
      </c>
      <c r="F1162" s="248" t="s">
        <v>2600</v>
      </c>
      <c r="G1162" s="248" t="s">
        <v>2579</v>
      </c>
      <c r="H1162" s="249">
        <v>0.05</v>
      </c>
      <c r="I1162" s="249">
        <v>0.75</v>
      </c>
      <c r="J1162" s="246">
        <v>1</v>
      </c>
      <c r="K1162" s="250"/>
      <c r="L1162" s="248"/>
      <c r="M1162" s="276" t="str">
        <f t="shared" si="21"/>
        <v>Photo</v>
      </c>
      <c r="N1162" s="279" t="s">
        <v>25</v>
      </c>
      <c r="O1162" t="str">
        <f t="shared" si="22"/>
        <v xml:space="preserve">1909 Liberty   V   Nickel </v>
      </c>
      <c r="S1162" t="str" cm="1">
        <f t="array" ref="S1162">_xlfn.REGEXEXTRACT(E1162, "[0-9]{1,5}")</f>
        <v>1909</v>
      </c>
      <c r="T1162" t="s">
        <v>2404</v>
      </c>
      <c r="U1162" t="s">
        <v>3897</v>
      </c>
    </row>
    <row r="1163" spans="1:21">
      <c r="A1163" s="136">
        <v>2</v>
      </c>
      <c r="B1163" s="246">
        <v>1910</v>
      </c>
      <c r="C1163" s="247"/>
      <c r="D1163" s="247" t="s">
        <v>1962</v>
      </c>
      <c r="E1163" s="248" t="s">
        <v>381</v>
      </c>
      <c r="F1163" s="248" t="s">
        <v>2600</v>
      </c>
      <c r="G1163" s="248" t="s">
        <v>2579</v>
      </c>
      <c r="H1163" s="249">
        <v>0.75</v>
      </c>
      <c r="I1163" s="249">
        <v>1</v>
      </c>
      <c r="J1163" s="246">
        <v>1</v>
      </c>
      <c r="K1163" s="250"/>
      <c r="L1163" s="248"/>
      <c r="M1163" s="276" t="str">
        <f t="shared" si="21"/>
        <v>Photo</v>
      </c>
      <c r="N1163" s="279" t="s">
        <v>25</v>
      </c>
      <c r="O1163" t="str">
        <f t="shared" si="22"/>
        <v xml:space="preserve">1910 Liberty   V   Nickel </v>
      </c>
      <c r="S1163" t="str" cm="1">
        <f t="array" ref="S1163">_xlfn.REGEXEXTRACT(E1163, "[0-9]{1,5}")</f>
        <v>1910</v>
      </c>
      <c r="T1163" t="s">
        <v>2405</v>
      </c>
      <c r="U1163" t="s">
        <v>3897</v>
      </c>
    </row>
    <row r="1164" spans="1:21">
      <c r="A1164" s="136">
        <v>2</v>
      </c>
      <c r="B1164" s="246">
        <v>1910</v>
      </c>
      <c r="C1164" s="247"/>
      <c r="D1164" s="247" t="s">
        <v>1962</v>
      </c>
      <c r="E1164" s="248" t="s">
        <v>384</v>
      </c>
      <c r="F1164" s="248" t="s">
        <v>2600</v>
      </c>
      <c r="G1164" s="248" t="s">
        <v>2579</v>
      </c>
      <c r="H1164" s="249">
        <v>0.75</v>
      </c>
      <c r="I1164" s="249">
        <v>1</v>
      </c>
      <c r="J1164" s="246">
        <v>1</v>
      </c>
      <c r="K1164" s="250"/>
      <c r="L1164" s="248"/>
      <c r="M1164" s="276" t="str">
        <f t="shared" si="21"/>
        <v>Photo</v>
      </c>
      <c r="N1164" s="279" t="s">
        <v>25</v>
      </c>
      <c r="O1164" t="str">
        <f t="shared" si="22"/>
        <v xml:space="preserve">1910 Liberty   V   Nickel </v>
      </c>
      <c r="S1164" t="str" cm="1">
        <f t="array" ref="S1164">_xlfn.REGEXEXTRACT(E1164, "[0-9]{1,5}")</f>
        <v>1910</v>
      </c>
      <c r="T1164" t="s">
        <v>2405</v>
      </c>
      <c r="U1164" t="s">
        <v>3897</v>
      </c>
    </row>
    <row r="1165" spans="1:21">
      <c r="A1165" s="136">
        <v>2</v>
      </c>
      <c r="B1165" s="246">
        <v>1910</v>
      </c>
      <c r="C1165" s="247"/>
      <c r="D1165" s="247" t="s">
        <v>1962</v>
      </c>
      <c r="E1165" s="248" t="s">
        <v>386</v>
      </c>
      <c r="F1165" s="248" t="s">
        <v>2600</v>
      </c>
      <c r="G1165" s="248" t="s">
        <v>2579</v>
      </c>
      <c r="H1165" s="249">
        <v>0.05</v>
      </c>
      <c r="I1165" s="249">
        <v>0.75</v>
      </c>
      <c r="J1165" s="246">
        <v>1</v>
      </c>
      <c r="K1165" s="250"/>
      <c r="L1165" s="248"/>
      <c r="M1165" s="276" t="str">
        <f t="shared" si="21"/>
        <v>Photo</v>
      </c>
      <c r="N1165" s="279" t="s">
        <v>25</v>
      </c>
      <c r="O1165" t="str">
        <f t="shared" si="22"/>
        <v xml:space="preserve">1910 Liberty   V   Nickel </v>
      </c>
      <c r="S1165" t="str" cm="1">
        <f t="array" ref="S1165">_xlfn.REGEXEXTRACT(E1165, "[0-9]{1,5}")</f>
        <v>1910</v>
      </c>
      <c r="T1165" t="s">
        <v>2405</v>
      </c>
      <c r="U1165" t="s">
        <v>3897</v>
      </c>
    </row>
    <row r="1166" spans="1:21">
      <c r="A1166" s="136">
        <v>2</v>
      </c>
      <c r="B1166" s="246">
        <v>1911</v>
      </c>
      <c r="C1166" s="247"/>
      <c r="D1166" s="247" t="s">
        <v>1962</v>
      </c>
      <c r="E1166" s="248" t="s">
        <v>388</v>
      </c>
      <c r="F1166" s="248" t="s">
        <v>2600</v>
      </c>
      <c r="G1166" s="248" t="s">
        <v>2579</v>
      </c>
      <c r="H1166" s="249">
        <v>0.05</v>
      </c>
      <c r="I1166" s="249">
        <v>0.75</v>
      </c>
      <c r="J1166" s="246">
        <v>1</v>
      </c>
      <c r="K1166" s="250"/>
      <c r="L1166" s="248"/>
      <c r="M1166" s="276" t="str">
        <f t="shared" si="21"/>
        <v>Photo</v>
      </c>
      <c r="N1166" s="279" t="s">
        <v>25</v>
      </c>
      <c r="O1166" t="str">
        <f t="shared" si="22"/>
        <v xml:space="preserve">1911 Liberty   V   Nickel </v>
      </c>
      <c r="S1166" t="str" cm="1">
        <f t="array" ref="S1166">_xlfn.REGEXEXTRACT(E1166, "[0-9]{1,5}")</f>
        <v>1911</v>
      </c>
      <c r="T1166" t="s">
        <v>2406</v>
      </c>
      <c r="U1166" t="s">
        <v>3897</v>
      </c>
    </row>
    <row r="1167" spans="1:21">
      <c r="A1167" s="136">
        <v>2</v>
      </c>
      <c r="B1167" s="246">
        <v>1912</v>
      </c>
      <c r="C1167" s="247"/>
      <c r="D1167" s="247" t="s">
        <v>1962</v>
      </c>
      <c r="E1167" s="248" t="s">
        <v>391</v>
      </c>
      <c r="F1167" s="248" t="s">
        <v>2600</v>
      </c>
      <c r="G1167" s="248" t="s">
        <v>2579</v>
      </c>
      <c r="H1167" s="249">
        <v>2</v>
      </c>
      <c r="I1167" s="249">
        <v>3</v>
      </c>
      <c r="J1167" s="246">
        <v>1</v>
      </c>
      <c r="K1167" s="250"/>
      <c r="L1167" s="248"/>
      <c r="M1167" s="276" t="str">
        <f t="shared" si="21"/>
        <v>Photo</v>
      </c>
      <c r="N1167" s="279" t="s">
        <v>25</v>
      </c>
      <c r="O1167" t="str">
        <f t="shared" si="22"/>
        <v xml:space="preserve">1912 Liberty   V   Nickel </v>
      </c>
      <c r="S1167" t="str" cm="1">
        <f t="array" ref="S1167">_xlfn.REGEXEXTRACT(E1167, "[0-9]{1,5}")</f>
        <v>1912</v>
      </c>
      <c r="T1167" t="s">
        <v>2407</v>
      </c>
      <c r="U1167" t="s">
        <v>3897</v>
      </c>
    </row>
    <row r="1168" spans="1:21">
      <c r="A1168" s="136">
        <v>2</v>
      </c>
      <c r="B1168" s="246">
        <v>1912</v>
      </c>
      <c r="C1168" s="247"/>
      <c r="D1168" s="247" t="s">
        <v>1962</v>
      </c>
      <c r="E1168" s="248" t="s">
        <v>394</v>
      </c>
      <c r="F1168" s="248" t="s">
        <v>2600</v>
      </c>
      <c r="G1168" s="248" t="s">
        <v>2579</v>
      </c>
      <c r="H1168" s="249">
        <v>0.05</v>
      </c>
      <c r="I1168" s="249">
        <v>0.75</v>
      </c>
      <c r="J1168" s="246">
        <v>1</v>
      </c>
      <c r="K1168" s="250"/>
      <c r="L1168" s="248"/>
      <c r="M1168" s="276" t="str">
        <f t="shared" si="21"/>
        <v>Photo</v>
      </c>
      <c r="N1168" s="279" t="s">
        <v>25</v>
      </c>
      <c r="O1168" t="str">
        <f t="shared" si="22"/>
        <v xml:space="preserve">1912 Liberty   V   Nickel </v>
      </c>
      <c r="S1168" t="str" cm="1">
        <f t="array" ref="S1168">_xlfn.REGEXEXTRACT(E1168, "[0-9]{1,5}")</f>
        <v>1912</v>
      </c>
      <c r="T1168" t="s">
        <v>2407</v>
      </c>
      <c r="U1168" t="s">
        <v>3897</v>
      </c>
    </row>
    <row r="1169" spans="1:21">
      <c r="A1169" s="136">
        <v>2</v>
      </c>
      <c r="B1169" s="246">
        <v>1912</v>
      </c>
      <c r="C1169" s="247"/>
      <c r="D1169" s="247" t="s">
        <v>1962</v>
      </c>
      <c r="E1169" s="248" t="s">
        <v>395</v>
      </c>
      <c r="F1169" s="248" t="s">
        <v>2600</v>
      </c>
      <c r="G1169" s="248" t="s">
        <v>2579</v>
      </c>
      <c r="H1169" s="249">
        <v>1</v>
      </c>
      <c r="I1169" s="249">
        <v>1</v>
      </c>
      <c r="J1169" s="246">
        <v>1</v>
      </c>
      <c r="K1169" s="250"/>
      <c r="L1169" s="248"/>
      <c r="M1169" s="276" t="str">
        <f t="shared" si="21"/>
        <v>Photo</v>
      </c>
      <c r="N1169" s="279" t="s">
        <v>25</v>
      </c>
      <c r="O1169" t="str">
        <f t="shared" si="22"/>
        <v xml:space="preserve">1912 Liberty   V   Nickel </v>
      </c>
      <c r="S1169" t="str" cm="1">
        <f t="array" ref="S1169">_xlfn.REGEXEXTRACT(E1169, "[0-9]{1,5}")</f>
        <v>1912</v>
      </c>
      <c r="T1169" t="s">
        <v>2407</v>
      </c>
      <c r="U1169" t="s">
        <v>3897</v>
      </c>
    </row>
    <row r="1170" spans="1:21">
      <c r="A1170" s="136">
        <v>2</v>
      </c>
      <c r="B1170" s="246">
        <v>1913</v>
      </c>
      <c r="C1170" s="247"/>
      <c r="D1170" s="247" t="s">
        <v>1962</v>
      </c>
      <c r="E1170" s="248" t="s">
        <v>396</v>
      </c>
      <c r="F1170" s="248" t="s">
        <v>4952</v>
      </c>
      <c r="G1170" s="248" t="s">
        <v>2579</v>
      </c>
      <c r="H1170" s="249">
        <v>0.05</v>
      </c>
      <c r="I1170" s="249">
        <v>0.05</v>
      </c>
      <c r="J1170" s="246">
        <v>1</v>
      </c>
      <c r="K1170" s="250" t="s">
        <v>2588</v>
      </c>
      <c r="L1170" s="248"/>
      <c r="M1170" s="276" t="str">
        <f t="shared" si="21"/>
        <v>Photo</v>
      </c>
      <c r="N1170" s="279" t="s">
        <v>25</v>
      </c>
      <c r="O1170" t="str">
        <f t="shared" si="22"/>
        <v>1913 Buffalo Nickel</v>
      </c>
      <c r="S1170" t="str" cm="1">
        <f t="array" ref="S1170">_xlfn.REGEXEXTRACT(E1170, "[0-9]{1,5}")</f>
        <v>1913</v>
      </c>
      <c r="T1170" t="s">
        <v>2409</v>
      </c>
      <c r="U1170" t="s">
        <v>3897</v>
      </c>
    </row>
    <row r="1171" spans="1:21">
      <c r="A1171" s="136">
        <v>2</v>
      </c>
      <c r="B1171" s="246">
        <v>1916</v>
      </c>
      <c r="C1171" s="247"/>
      <c r="D1171" s="247" t="s">
        <v>1962</v>
      </c>
      <c r="E1171" s="248" t="s">
        <v>399</v>
      </c>
      <c r="F1171" s="248" t="s">
        <v>4952</v>
      </c>
      <c r="G1171" s="248" t="s">
        <v>2579</v>
      </c>
      <c r="H1171" s="249">
        <v>0.05</v>
      </c>
      <c r="I1171" s="249">
        <v>1</v>
      </c>
      <c r="J1171" s="246">
        <v>1</v>
      </c>
      <c r="K1171" s="250" t="s">
        <v>2588</v>
      </c>
      <c r="L1171" s="248"/>
      <c r="M1171" s="276" t="str">
        <f t="shared" si="21"/>
        <v>Photo</v>
      </c>
      <c r="N1171" s="279" t="s">
        <v>25</v>
      </c>
      <c r="O1171" t="str">
        <f t="shared" si="22"/>
        <v>1916 Buffalo Nickel</v>
      </c>
      <c r="S1171" t="str" cm="1">
        <f t="array" ref="S1171">_xlfn.REGEXEXTRACT(E1171, "[0-9]{1,5}")</f>
        <v>1916</v>
      </c>
      <c r="T1171" t="s">
        <v>2418</v>
      </c>
      <c r="U1171" t="s">
        <v>3897</v>
      </c>
    </row>
    <row r="1172" spans="1:21">
      <c r="A1172" s="136">
        <v>2</v>
      </c>
      <c r="B1172" s="246">
        <v>1917</v>
      </c>
      <c r="C1172" s="247"/>
      <c r="D1172" s="247" t="s">
        <v>1962</v>
      </c>
      <c r="E1172" s="248" t="s">
        <v>401</v>
      </c>
      <c r="F1172" s="248" t="s">
        <v>4952</v>
      </c>
      <c r="G1172" s="248" t="s">
        <v>2579</v>
      </c>
      <c r="H1172" s="249">
        <v>0.05</v>
      </c>
      <c r="I1172" s="249">
        <v>1.25</v>
      </c>
      <c r="J1172" s="246">
        <v>1</v>
      </c>
      <c r="K1172" s="250" t="s">
        <v>2588</v>
      </c>
      <c r="L1172" s="248"/>
      <c r="M1172" s="276" t="str">
        <f t="shared" si="21"/>
        <v>Photo</v>
      </c>
      <c r="N1172" s="279" t="s">
        <v>25</v>
      </c>
      <c r="O1172" t="str">
        <f t="shared" si="22"/>
        <v>1917 Buffalo Nickel</v>
      </c>
      <c r="S1172" t="str" cm="1">
        <f t="array" ref="S1172">_xlfn.REGEXEXTRACT(E1172, "[0-9]{1,5}")</f>
        <v>1917</v>
      </c>
      <c r="T1172" t="s">
        <v>2421</v>
      </c>
      <c r="U1172" t="s">
        <v>3897</v>
      </c>
    </row>
    <row r="1173" spans="1:21">
      <c r="A1173" s="136">
        <v>2</v>
      </c>
      <c r="B1173" s="246">
        <v>1920</v>
      </c>
      <c r="C1173" s="247"/>
      <c r="D1173" s="247" t="s">
        <v>1962</v>
      </c>
      <c r="E1173" s="248" t="s">
        <v>403</v>
      </c>
      <c r="F1173" s="248" t="s">
        <v>4952</v>
      </c>
      <c r="G1173" s="248" t="s">
        <v>2579</v>
      </c>
      <c r="H1173" s="249">
        <v>1.25</v>
      </c>
      <c r="I1173" s="249">
        <v>2.25</v>
      </c>
      <c r="J1173" s="246">
        <v>1</v>
      </c>
      <c r="K1173" s="250" t="s">
        <v>2588</v>
      </c>
      <c r="L1173" s="248"/>
      <c r="M1173" s="276" t="str">
        <f t="shared" si="21"/>
        <v>Photo</v>
      </c>
      <c r="N1173" s="279" t="s">
        <v>25</v>
      </c>
      <c r="O1173" t="str">
        <f t="shared" si="22"/>
        <v>1920 Buffalo Nickel</v>
      </c>
      <c r="S1173" t="str" cm="1">
        <f t="array" ref="S1173">_xlfn.REGEXEXTRACT(E1173, "[0-9]{1,5}")</f>
        <v>1920</v>
      </c>
      <c r="T1173" t="s">
        <v>2432</v>
      </c>
      <c r="U1173" t="s">
        <v>3897</v>
      </c>
    </row>
    <row r="1174" spans="1:21">
      <c r="A1174" s="136">
        <v>2</v>
      </c>
      <c r="B1174" s="233">
        <v>1920</v>
      </c>
      <c r="C1174" s="234"/>
      <c r="D1174" s="247" t="s">
        <v>1962</v>
      </c>
      <c r="E1174" s="235" t="s">
        <v>2161</v>
      </c>
      <c r="F1174" s="248" t="s">
        <v>4952</v>
      </c>
      <c r="G1174" s="235" t="s">
        <v>2579</v>
      </c>
      <c r="H1174" s="236">
        <v>2.5</v>
      </c>
      <c r="I1174" s="236">
        <v>2.5</v>
      </c>
      <c r="J1174" s="233">
        <v>1</v>
      </c>
      <c r="K1174" s="250" t="s">
        <v>2588</v>
      </c>
      <c r="L1174" s="235"/>
      <c r="M1174" s="276" t="str">
        <f t="shared" si="21"/>
        <v>Photo</v>
      </c>
      <c r="N1174" s="279" t="s">
        <v>25</v>
      </c>
      <c r="O1174" t="str">
        <f t="shared" si="22"/>
        <v>1920 Buffalo Nickel</v>
      </c>
      <c r="S1174" t="str" cm="1">
        <f t="array" ref="S1174">_xlfn.REGEXEXTRACT(E1174, "[0-9]{1,5}")</f>
        <v>1920</v>
      </c>
      <c r="T1174" t="s">
        <v>2432</v>
      </c>
      <c r="U1174" t="s">
        <v>3897</v>
      </c>
    </row>
    <row r="1175" spans="1:21">
      <c r="A1175" s="136">
        <v>2</v>
      </c>
      <c r="B1175" s="246">
        <v>1921</v>
      </c>
      <c r="C1175" s="247"/>
      <c r="D1175" s="247" t="s">
        <v>1962</v>
      </c>
      <c r="E1175" s="248" t="s">
        <v>404</v>
      </c>
      <c r="F1175" s="248" t="s">
        <v>4952</v>
      </c>
      <c r="G1175" s="248" t="s">
        <v>2579</v>
      </c>
      <c r="H1175" s="249">
        <v>0.05</v>
      </c>
      <c r="I1175" s="249">
        <v>0.85</v>
      </c>
      <c r="J1175" s="246">
        <v>1</v>
      </c>
      <c r="K1175" s="250" t="s">
        <v>2588</v>
      </c>
      <c r="L1175" s="248"/>
      <c r="M1175" s="276" t="str">
        <f t="shared" si="21"/>
        <v>Photo</v>
      </c>
      <c r="N1175" s="279" t="s">
        <v>25</v>
      </c>
      <c r="O1175" t="str">
        <f t="shared" si="22"/>
        <v>1921 Buffalo Nickel</v>
      </c>
      <c r="S1175" t="str" cm="1">
        <f t="array" ref="S1175">_xlfn.REGEXEXTRACT(E1175, "[0-9]{1,5}")</f>
        <v>1921</v>
      </c>
      <c r="T1175" t="s">
        <v>2435</v>
      </c>
      <c r="U1175" t="s">
        <v>3897</v>
      </c>
    </row>
    <row r="1176" spans="1:21">
      <c r="A1176" s="136">
        <v>2</v>
      </c>
      <c r="B1176" s="246">
        <v>1923</v>
      </c>
      <c r="C1176" s="247"/>
      <c r="D1176" s="247" t="s">
        <v>1962</v>
      </c>
      <c r="E1176" s="248" t="s">
        <v>406</v>
      </c>
      <c r="F1176" s="248" t="s">
        <v>4952</v>
      </c>
      <c r="G1176" s="248" t="s">
        <v>2579</v>
      </c>
      <c r="H1176" s="249">
        <v>1.5</v>
      </c>
      <c r="I1176" s="249">
        <v>1.5</v>
      </c>
      <c r="J1176" s="246">
        <v>1</v>
      </c>
      <c r="K1176" s="250" t="s">
        <v>2588</v>
      </c>
      <c r="L1176" s="248"/>
      <c r="M1176" s="276" t="str">
        <f t="shared" si="21"/>
        <v>Photo</v>
      </c>
      <c r="N1176" s="279" t="s">
        <v>25</v>
      </c>
      <c r="O1176" t="str">
        <f t="shared" si="22"/>
        <v>1923 Buffalo Nickel</v>
      </c>
      <c r="S1176" t="str" cm="1">
        <f t="array" ref="S1176">_xlfn.REGEXEXTRACT(E1176, "[0-9]{1,5}")</f>
        <v>1923</v>
      </c>
      <c r="T1176" t="s">
        <v>2437</v>
      </c>
      <c r="U1176" t="s">
        <v>3897</v>
      </c>
    </row>
    <row r="1177" spans="1:21">
      <c r="A1177" s="136">
        <v>2</v>
      </c>
      <c r="B1177" s="233">
        <v>1923</v>
      </c>
      <c r="C1177" s="234"/>
      <c r="D1177" s="247" t="s">
        <v>1962</v>
      </c>
      <c r="E1177" s="235" t="s">
        <v>2162</v>
      </c>
      <c r="F1177" s="248" t="s">
        <v>4952</v>
      </c>
      <c r="G1177" s="235" t="s">
        <v>2579</v>
      </c>
      <c r="H1177" s="236">
        <v>1.25</v>
      </c>
      <c r="I1177" s="236">
        <v>1.25</v>
      </c>
      <c r="J1177" s="233">
        <v>1</v>
      </c>
      <c r="K1177" s="250" t="s">
        <v>2588</v>
      </c>
      <c r="L1177" s="235"/>
      <c r="M1177" s="276" t="str">
        <f t="shared" si="21"/>
        <v>Photo</v>
      </c>
      <c r="N1177" s="279" t="s">
        <v>25</v>
      </c>
      <c r="O1177" t="str">
        <f t="shared" si="22"/>
        <v>1923 Buffalo Nickel</v>
      </c>
      <c r="S1177" t="str" cm="1">
        <f t="array" ref="S1177">_xlfn.REGEXEXTRACT(E1177, "[0-9]{1,5}")</f>
        <v>1923</v>
      </c>
      <c r="T1177" t="s">
        <v>2437</v>
      </c>
      <c r="U1177" t="s">
        <v>3897</v>
      </c>
    </row>
    <row r="1178" spans="1:21">
      <c r="A1178" s="136">
        <v>2</v>
      </c>
      <c r="B1178" s="246">
        <v>1924</v>
      </c>
      <c r="C1178" s="247"/>
      <c r="D1178" s="247" t="s">
        <v>1962</v>
      </c>
      <c r="E1178" s="248" t="s">
        <v>409</v>
      </c>
      <c r="F1178" s="248" t="s">
        <v>4952</v>
      </c>
      <c r="G1178" s="248" t="s">
        <v>2579</v>
      </c>
      <c r="H1178" s="249">
        <v>1.5</v>
      </c>
      <c r="I1178" s="249">
        <v>1.5</v>
      </c>
      <c r="J1178" s="246">
        <v>1</v>
      </c>
      <c r="K1178" s="250" t="s">
        <v>2588</v>
      </c>
      <c r="L1178" s="248"/>
      <c r="M1178" s="276" t="str">
        <f t="shared" si="21"/>
        <v>Photo</v>
      </c>
      <c r="N1178" s="279" t="s">
        <v>25</v>
      </c>
      <c r="O1178" t="str">
        <f t="shared" si="22"/>
        <v>1924 Buffalo Nickel</v>
      </c>
      <c r="S1178" t="str" cm="1">
        <f t="array" ref="S1178">_xlfn.REGEXEXTRACT(E1178, "[0-9]{1,5}")</f>
        <v>1924</v>
      </c>
      <c r="T1178" t="s">
        <v>2439</v>
      </c>
      <c r="U1178" t="s">
        <v>3897</v>
      </c>
    </row>
    <row r="1179" spans="1:21">
      <c r="A1179" s="136">
        <v>2</v>
      </c>
      <c r="B1179" s="233">
        <v>1924</v>
      </c>
      <c r="C1179" s="234"/>
      <c r="D1179" s="247" t="s">
        <v>1962</v>
      </c>
      <c r="E1179" s="235" t="s">
        <v>2163</v>
      </c>
      <c r="F1179" s="248" t="s">
        <v>4952</v>
      </c>
      <c r="G1179" s="235" t="s">
        <v>2579</v>
      </c>
      <c r="H1179" s="236">
        <v>1.5</v>
      </c>
      <c r="I1179" s="236">
        <v>1.5</v>
      </c>
      <c r="J1179" s="233">
        <v>1</v>
      </c>
      <c r="K1179" s="250" t="s">
        <v>2588</v>
      </c>
      <c r="L1179" s="235"/>
      <c r="M1179" s="276" t="str">
        <f t="shared" si="21"/>
        <v>Photo</v>
      </c>
      <c r="N1179" s="279" t="s">
        <v>25</v>
      </c>
      <c r="O1179" t="str">
        <f t="shared" si="22"/>
        <v>1924 Buffalo Nickel</v>
      </c>
      <c r="S1179" t="str" cm="1">
        <f t="array" ref="S1179">_xlfn.REGEXEXTRACT(E1179, "[0-9]{1,5}")</f>
        <v>1924</v>
      </c>
      <c r="T1179" t="s">
        <v>2439</v>
      </c>
      <c r="U1179" t="s">
        <v>3897</v>
      </c>
    </row>
    <row r="1180" spans="1:21">
      <c r="A1180" s="136">
        <v>2</v>
      </c>
      <c r="B1180" s="246">
        <v>1925</v>
      </c>
      <c r="C1180" s="247"/>
      <c r="D1180" s="247" t="s">
        <v>1962</v>
      </c>
      <c r="E1180" s="248" t="s">
        <v>411</v>
      </c>
      <c r="F1180" s="248" t="s">
        <v>4952</v>
      </c>
      <c r="G1180" s="248" t="s">
        <v>2579</v>
      </c>
      <c r="H1180" s="249">
        <v>1.5</v>
      </c>
      <c r="I1180" s="249">
        <v>4</v>
      </c>
      <c r="J1180" s="246">
        <v>1</v>
      </c>
      <c r="K1180" s="250" t="s">
        <v>2588</v>
      </c>
      <c r="L1180" s="248"/>
      <c r="M1180" s="276" t="str">
        <f t="shared" si="21"/>
        <v>Photo</v>
      </c>
      <c r="N1180" s="279" t="s">
        <v>25</v>
      </c>
      <c r="O1180" t="str">
        <f t="shared" si="22"/>
        <v>1925 Buffalo Nickel</v>
      </c>
      <c r="S1180" t="str" cm="1">
        <f t="array" ref="S1180">_xlfn.REGEXEXTRACT(E1180, "[0-9]{1,5}")</f>
        <v>1925</v>
      </c>
      <c r="T1180" t="s">
        <v>2442</v>
      </c>
      <c r="U1180" t="s">
        <v>3897</v>
      </c>
    </row>
    <row r="1181" spans="1:21">
      <c r="A1181" s="136">
        <v>2</v>
      </c>
      <c r="B1181" s="246">
        <v>1926</v>
      </c>
      <c r="C1181" s="247"/>
      <c r="D1181" s="247" t="s">
        <v>1962</v>
      </c>
      <c r="E1181" s="248" t="s">
        <v>413</v>
      </c>
      <c r="F1181" s="248" t="s">
        <v>4952</v>
      </c>
      <c r="G1181" s="248" t="s">
        <v>2579</v>
      </c>
      <c r="H1181" s="249">
        <v>0.05</v>
      </c>
      <c r="I1181" s="249">
        <v>0.4</v>
      </c>
      <c r="J1181" s="246">
        <v>1</v>
      </c>
      <c r="K1181" s="250" t="s">
        <v>2588</v>
      </c>
      <c r="L1181" s="248"/>
      <c r="M1181" s="276" t="str">
        <f t="shared" si="21"/>
        <v>Photo</v>
      </c>
      <c r="N1181" s="279" t="s">
        <v>25</v>
      </c>
      <c r="O1181" t="str">
        <f t="shared" si="22"/>
        <v>1926 Buffalo Nickel</v>
      </c>
      <c r="S1181" t="str" cm="1">
        <f t="array" ref="S1181">_xlfn.REGEXEXTRACT(E1181, "[0-9]{1,5}")</f>
        <v>1926</v>
      </c>
      <c r="T1181" t="s">
        <v>2445</v>
      </c>
      <c r="U1181" t="s">
        <v>3897</v>
      </c>
    </row>
    <row r="1182" spans="1:21">
      <c r="A1182" s="136">
        <v>2</v>
      </c>
      <c r="B1182" s="246">
        <v>1926</v>
      </c>
      <c r="C1182" s="247"/>
      <c r="D1182" s="247" t="s">
        <v>1962</v>
      </c>
      <c r="E1182" s="248" t="s">
        <v>415</v>
      </c>
      <c r="F1182" s="248" t="s">
        <v>4952</v>
      </c>
      <c r="G1182" s="248" t="s">
        <v>2579</v>
      </c>
      <c r="H1182" s="249">
        <v>1</v>
      </c>
      <c r="I1182" s="249">
        <v>1.46</v>
      </c>
      <c r="J1182" s="246">
        <v>1</v>
      </c>
      <c r="K1182" s="250" t="s">
        <v>2588</v>
      </c>
      <c r="L1182" s="248"/>
      <c r="M1182" s="276" t="str">
        <f t="shared" si="21"/>
        <v>Photo</v>
      </c>
      <c r="N1182" s="279" t="s">
        <v>25</v>
      </c>
      <c r="O1182" t="str">
        <f t="shared" si="22"/>
        <v>1926 Buffalo Nickel</v>
      </c>
      <c r="S1182" t="str" cm="1">
        <f t="array" ref="S1182">_xlfn.REGEXEXTRACT(E1182, "[0-9]{1,5}")</f>
        <v>1926</v>
      </c>
      <c r="T1182" t="s">
        <v>2445</v>
      </c>
      <c r="U1182" t="s">
        <v>3897</v>
      </c>
    </row>
    <row r="1183" spans="1:21">
      <c r="A1183" s="136">
        <v>2</v>
      </c>
      <c r="B1183" s="246">
        <v>1927</v>
      </c>
      <c r="C1183" s="247"/>
      <c r="D1183" s="247" t="s">
        <v>1962</v>
      </c>
      <c r="E1183" s="248" t="s">
        <v>416</v>
      </c>
      <c r="F1183" s="248" t="s">
        <v>4952</v>
      </c>
      <c r="G1183" s="248" t="s">
        <v>2579</v>
      </c>
      <c r="H1183" s="249">
        <v>0.05</v>
      </c>
      <c r="I1183" s="249">
        <v>0.4</v>
      </c>
      <c r="J1183" s="246">
        <v>1</v>
      </c>
      <c r="K1183" s="250" t="s">
        <v>2588</v>
      </c>
      <c r="L1183" s="248"/>
      <c r="M1183" s="276" t="str">
        <f t="shared" si="21"/>
        <v>Photo</v>
      </c>
      <c r="N1183" s="279" t="s">
        <v>25</v>
      </c>
      <c r="O1183" t="str">
        <f t="shared" si="22"/>
        <v>1927 Buffalo Nickel</v>
      </c>
      <c r="S1183" t="str" cm="1">
        <f t="array" ref="S1183">_xlfn.REGEXEXTRACT(E1183, "[0-9]{1,5}")</f>
        <v>1927</v>
      </c>
      <c r="T1183" t="s">
        <v>2448</v>
      </c>
      <c r="U1183" t="s">
        <v>3897</v>
      </c>
    </row>
    <row r="1184" spans="1:21">
      <c r="A1184" s="136">
        <v>2</v>
      </c>
      <c r="B1184" s="246">
        <v>1927</v>
      </c>
      <c r="C1184" s="247"/>
      <c r="D1184" s="247" t="s">
        <v>1962</v>
      </c>
      <c r="E1184" s="248" t="s">
        <v>418</v>
      </c>
      <c r="F1184" s="248" t="s">
        <v>4952</v>
      </c>
      <c r="G1184" s="248" t="s">
        <v>2579</v>
      </c>
      <c r="H1184" s="249">
        <v>0.75</v>
      </c>
      <c r="I1184" s="249">
        <v>1.46</v>
      </c>
      <c r="J1184" s="246">
        <v>1</v>
      </c>
      <c r="K1184" s="250" t="s">
        <v>2588</v>
      </c>
      <c r="L1184" s="248"/>
      <c r="M1184" s="276" t="str">
        <f t="shared" si="21"/>
        <v>Photo</v>
      </c>
      <c r="N1184" s="279" t="s">
        <v>25</v>
      </c>
      <c r="O1184" t="str">
        <f t="shared" si="22"/>
        <v>1927 Buffalo Nickel</v>
      </c>
      <c r="S1184" t="str" cm="1">
        <f t="array" ref="S1184">_xlfn.REGEXEXTRACT(E1184, "[0-9]{1,5}")</f>
        <v>1927</v>
      </c>
      <c r="T1184" t="s">
        <v>2448</v>
      </c>
      <c r="U1184" t="s">
        <v>3897</v>
      </c>
    </row>
    <row r="1185" spans="1:21">
      <c r="A1185" s="136">
        <v>2</v>
      </c>
      <c r="B1185" s="246">
        <v>1928</v>
      </c>
      <c r="C1185" s="247"/>
      <c r="D1185" s="247" t="s">
        <v>1962</v>
      </c>
      <c r="E1185" s="248" t="s">
        <v>419</v>
      </c>
      <c r="F1185" s="248" t="s">
        <v>4952</v>
      </c>
      <c r="G1185" s="248" t="s">
        <v>2579</v>
      </c>
      <c r="H1185" s="249">
        <v>0.05</v>
      </c>
      <c r="I1185" s="249">
        <v>0.4</v>
      </c>
      <c r="J1185" s="246">
        <v>1</v>
      </c>
      <c r="K1185" s="250" t="s">
        <v>2588</v>
      </c>
      <c r="L1185" s="248"/>
      <c r="M1185" s="276" t="str">
        <f t="shared" si="21"/>
        <v>Photo</v>
      </c>
      <c r="N1185" s="279" t="s">
        <v>25</v>
      </c>
      <c r="O1185" t="str">
        <f t="shared" si="22"/>
        <v>1928 Buffalo Nickel</v>
      </c>
      <c r="S1185" t="str" cm="1">
        <f t="array" ref="S1185">_xlfn.REGEXEXTRACT(E1185, "[0-9]{1,5}")</f>
        <v>1928</v>
      </c>
      <c r="T1185" t="s">
        <v>2451</v>
      </c>
      <c r="U1185" t="s">
        <v>3897</v>
      </c>
    </row>
    <row r="1186" spans="1:21">
      <c r="A1186" s="136">
        <v>2</v>
      </c>
      <c r="B1186" s="246">
        <v>1928</v>
      </c>
      <c r="C1186" s="247" t="s">
        <v>12</v>
      </c>
      <c r="D1186" s="247" t="s">
        <v>1962</v>
      </c>
      <c r="E1186" s="248" t="s">
        <v>421</v>
      </c>
      <c r="F1186" s="248" t="s">
        <v>4952</v>
      </c>
      <c r="G1186" s="248" t="s">
        <v>2579</v>
      </c>
      <c r="H1186" s="249">
        <v>1</v>
      </c>
      <c r="I1186" s="249">
        <v>3</v>
      </c>
      <c r="J1186" s="246">
        <v>1</v>
      </c>
      <c r="K1186" s="250" t="s">
        <v>2588</v>
      </c>
      <c r="L1186" s="248"/>
      <c r="M1186" s="276" t="str">
        <f t="shared" ref="M1186:M1217" si="23">HYPERLINK($Y$2&amp;E1186&amp;$AA$2,"Photo")</f>
        <v>Photo</v>
      </c>
      <c r="N1186" s="279" t="s">
        <v>25</v>
      </c>
      <c r="O1186" t="str">
        <f t="shared" si="22"/>
        <v>1928-S Buffalo Nickel</v>
      </c>
      <c r="S1186" t="str" cm="1">
        <f t="array" ref="S1186">_xlfn.REGEXEXTRACT(E1186, "[0-9]{1,5}")</f>
        <v>1928</v>
      </c>
      <c r="T1186" t="s">
        <v>2451</v>
      </c>
      <c r="U1186" t="s">
        <v>3897</v>
      </c>
    </row>
    <row r="1187" spans="1:21">
      <c r="A1187" s="136">
        <v>2</v>
      </c>
      <c r="B1187" s="246">
        <v>1928</v>
      </c>
      <c r="C1187" s="247"/>
      <c r="D1187" s="247" t="s">
        <v>1962</v>
      </c>
      <c r="E1187" s="248" t="s">
        <v>422</v>
      </c>
      <c r="F1187" s="248" t="s">
        <v>4952</v>
      </c>
      <c r="G1187" s="248" t="s">
        <v>2579</v>
      </c>
      <c r="H1187" s="249">
        <v>1</v>
      </c>
      <c r="I1187" s="249">
        <v>1.46</v>
      </c>
      <c r="J1187" s="246">
        <v>1</v>
      </c>
      <c r="K1187" s="250" t="s">
        <v>2588</v>
      </c>
      <c r="L1187" s="248"/>
      <c r="M1187" s="276" t="str">
        <f t="shared" si="23"/>
        <v>Photo</v>
      </c>
      <c r="N1187" s="279" t="s">
        <v>25</v>
      </c>
      <c r="O1187" t="str">
        <f t="shared" si="22"/>
        <v>1928 Buffalo Nickel</v>
      </c>
      <c r="S1187" t="str" cm="1">
        <f t="array" ref="S1187">_xlfn.REGEXEXTRACT(E1187, "[0-9]{1,5}")</f>
        <v>1928</v>
      </c>
      <c r="T1187" t="s">
        <v>2451</v>
      </c>
      <c r="U1187" t="s">
        <v>3897</v>
      </c>
    </row>
    <row r="1188" spans="1:21">
      <c r="A1188" s="136">
        <v>2</v>
      </c>
      <c r="B1188" s="246">
        <v>1928</v>
      </c>
      <c r="C1188" s="247" t="s">
        <v>13</v>
      </c>
      <c r="D1188" s="247" t="s">
        <v>1962</v>
      </c>
      <c r="E1188" s="248" t="s">
        <v>2309</v>
      </c>
      <c r="F1188" s="248" t="s">
        <v>4952</v>
      </c>
      <c r="G1188" s="248" t="s">
        <v>2579</v>
      </c>
      <c r="H1188" s="249">
        <v>1</v>
      </c>
      <c r="I1188" s="249">
        <v>3</v>
      </c>
      <c r="J1188" s="246">
        <v>1</v>
      </c>
      <c r="K1188" s="250" t="s">
        <v>2588</v>
      </c>
      <c r="L1188" s="248"/>
      <c r="M1188" s="276" t="str">
        <f t="shared" si="23"/>
        <v>Photo</v>
      </c>
      <c r="N1188" s="279" t="s">
        <v>25</v>
      </c>
      <c r="O1188" t="str">
        <f t="shared" si="22"/>
        <v>1928-D Buffalo Nickel</v>
      </c>
      <c r="S1188" t="str" cm="1">
        <f t="array" ref="S1188">_xlfn.REGEXEXTRACT(E1188, "[0-9]{1,5}")</f>
        <v>1928</v>
      </c>
      <c r="T1188" t="s">
        <v>2451</v>
      </c>
      <c r="U1188" t="s">
        <v>3897</v>
      </c>
    </row>
    <row r="1189" spans="1:21">
      <c r="A1189" s="136">
        <v>2</v>
      </c>
      <c r="B1189" s="246">
        <v>1929</v>
      </c>
      <c r="C1189" s="247" t="s">
        <v>12</v>
      </c>
      <c r="D1189" s="247" t="s">
        <v>1962</v>
      </c>
      <c r="E1189" s="248" t="s">
        <v>424</v>
      </c>
      <c r="F1189" s="248" t="s">
        <v>4952</v>
      </c>
      <c r="G1189" s="248" t="s">
        <v>2579</v>
      </c>
      <c r="H1189" s="249">
        <v>1.5</v>
      </c>
      <c r="I1189" s="249">
        <v>1.5</v>
      </c>
      <c r="J1189" s="246">
        <v>1</v>
      </c>
      <c r="K1189" s="250" t="s">
        <v>2588</v>
      </c>
      <c r="L1189" s="248"/>
      <c r="M1189" s="276" t="str">
        <f t="shared" si="23"/>
        <v>Photo</v>
      </c>
      <c r="N1189" s="279" t="s">
        <v>25</v>
      </c>
      <c r="O1189" t="str">
        <f t="shared" si="22"/>
        <v>1929-S Buffalo Nickel</v>
      </c>
      <c r="S1189" t="str" cm="1">
        <f t="array" ref="S1189">_xlfn.REGEXEXTRACT(E1189, "[0-9]{1,5}")</f>
        <v>1929</v>
      </c>
      <c r="T1189" t="s">
        <v>2454</v>
      </c>
      <c r="U1189" t="s">
        <v>3897</v>
      </c>
    </row>
    <row r="1190" spans="1:21">
      <c r="A1190" s="136">
        <v>2</v>
      </c>
      <c r="B1190" s="246">
        <v>1929</v>
      </c>
      <c r="C1190" s="247"/>
      <c r="D1190" s="247" t="s">
        <v>1962</v>
      </c>
      <c r="E1190" s="248" t="s">
        <v>425</v>
      </c>
      <c r="F1190" s="248" t="s">
        <v>4952</v>
      </c>
      <c r="G1190" s="248" t="s">
        <v>2579</v>
      </c>
      <c r="H1190" s="249">
        <v>1.5</v>
      </c>
      <c r="I1190" s="249">
        <v>1.5</v>
      </c>
      <c r="J1190" s="246">
        <v>1</v>
      </c>
      <c r="K1190" s="250" t="s">
        <v>2588</v>
      </c>
      <c r="L1190" s="248"/>
      <c r="M1190" s="276" t="str">
        <f t="shared" si="23"/>
        <v>Photo</v>
      </c>
      <c r="N1190" s="279" t="s">
        <v>25</v>
      </c>
      <c r="O1190" t="str">
        <f t="shared" si="22"/>
        <v>1929 Buffalo Nickel</v>
      </c>
      <c r="S1190" t="str" cm="1">
        <f t="array" ref="S1190">_xlfn.REGEXEXTRACT(E1190, "[0-9]{1,5}")</f>
        <v>1929</v>
      </c>
      <c r="T1190" t="s">
        <v>2454</v>
      </c>
      <c r="U1190" t="s">
        <v>3897</v>
      </c>
    </row>
    <row r="1191" spans="1:21">
      <c r="A1191" s="136">
        <v>2</v>
      </c>
      <c r="B1191" s="233">
        <v>1929</v>
      </c>
      <c r="C1191" s="234" t="s">
        <v>12</v>
      </c>
      <c r="D1191" s="247" t="s">
        <v>1962</v>
      </c>
      <c r="E1191" s="235" t="s">
        <v>2164</v>
      </c>
      <c r="F1191" s="248" t="s">
        <v>4952</v>
      </c>
      <c r="G1191" s="235" t="s">
        <v>2579</v>
      </c>
      <c r="H1191" s="236">
        <v>1.25</v>
      </c>
      <c r="I1191" s="236">
        <v>1.25</v>
      </c>
      <c r="J1191" s="233">
        <v>1</v>
      </c>
      <c r="K1191" s="250" t="s">
        <v>2588</v>
      </c>
      <c r="L1191" s="235"/>
      <c r="M1191" s="276" t="str">
        <f t="shared" si="23"/>
        <v>Photo</v>
      </c>
      <c r="N1191" s="279" t="s">
        <v>25</v>
      </c>
      <c r="O1191" t="str">
        <f t="shared" si="22"/>
        <v>1929-S Buffalo Nickel</v>
      </c>
      <c r="S1191" t="str" cm="1">
        <f t="array" ref="S1191">_xlfn.REGEXEXTRACT(E1191, "[0-9]{1,5}")</f>
        <v>1929</v>
      </c>
      <c r="T1191" t="s">
        <v>2454</v>
      </c>
      <c r="U1191" t="s">
        <v>3897</v>
      </c>
    </row>
    <row r="1192" spans="1:21">
      <c r="A1192" s="136">
        <v>2</v>
      </c>
      <c r="B1192" s="233">
        <v>1929</v>
      </c>
      <c r="C1192" s="234" t="s">
        <v>12</v>
      </c>
      <c r="D1192" s="247" t="s">
        <v>1962</v>
      </c>
      <c r="E1192" s="235" t="s">
        <v>2165</v>
      </c>
      <c r="F1192" s="248" t="s">
        <v>4952</v>
      </c>
      <c r="G1192" s="235" t="s">
        <v>2579</v>
      </c>
      <c r="H1192" s="236">
        <v>1</v>
      </c>
      <c r="I1192" s="236">
        <v>1</v>
      </c>
      <c r="J1192" s="233">
        <v>1</v>
      </c>
      <c r="K1192" s="250" t="s">
        <v>2588</v>
      </c>
      <c r="L1192" s="235"/>
      <c r="M1192" s="276" t="str">
        <f t="shared" si="23"/>
        <v>Photo</v>
      </c>
      <c r="N1192" s="279" t="s">
        <v>25</v>
      </c>
      <c r="O1192" t="str">
        <f t="shared" si="22"/>
        <v>1929-S Buffalo Nickel</v>
      </c>
      <c r="S1192" t="str" cm="1">
        <f t="array" ref="S1192">_xlfn.REGEXEXTRACT(E1192, "[0-9]{1,5}")</f>
        <v>1929</v>
      </c>
      <c r="T1192" t="s">
        <v>2454</v>
      </c>
      <c r="U1192" t="s">
        <v>3897</v>
      </c>
    </row>
    <row r="1193" spans="1:21">
      <c r="A1193" s="136">
        <v>2</v>
      </c>
      <c r="B1193" s="246">
        <v>1930</v>
      </c>
      <c r="C1193" s="247"/>
      <c r="D1193" s="247" t="s">
        <v>1962</v>
      </c>
      <c r="E1193" s="248" t="s">
        <v>427</v>
      </c>
      <c r="F1193" s="248" t="s">
        <v>4952</v>
      </c>
      <c r="G1193" s="248" t="s">
        <v>2579</v>
      </c>
      <c r="H1193" s="249">
        <v>0.05</v>
      </c>
      <c r="I1193" s="249">
        <v>0.3</v>
      </c>
      <c r="J1193" s="246">
        <v>1</v>
      </c>
      <c r="K1193" s="250" t="s">
        <v>2588</v>
      </c>
      <c r="L1193" s="248"/>
      <c r="M1193" s="276" t="str">
        <f t="shared" si="23"/>
        <v>Photo</v>
      </c>
      <c r="N1193" s="279" t="s">
        <v>25</v>
      </c>
      <c r="O1193" t="str">
        <f t="shared" si="22"/>
        <v>1930 Buffalo Nickel</v>
      </c>
      <c r="S1193" t="str" cm="1">
        <f t="array" ref="S1193">_xlfn.REGEXEXTRACT(E1193, "[0-9]{1,5}")</f>
        <v>1930</v>
      </c>
      <c r="T1193" t="s">
        <v>2457</v>
      </c>
      <c r="U1193" t="s">
        <v>3897</v>
      </c>
    </row>
    <row r="1194" spans="1:21">
      <c r="A1194" s="136">
        <v>2</v>
      </c>
      <c r="B1194" s="233">
        <v>1930</v>
      </c>
      <c r="C1194" s="234" t="s">
        <v>12</v>
      </c>
      <c r="D1194" s="247" t="s">
        <v>1962</v>
      </c>
      <c r="E1194" s="235" t="s">
        <v>2166</v>
      </c>
      <c r="F1194" s="248" t="s">
        <v>4952</v>
      </c>
      <c r="G1194" s="235" t="s">
        <v>2579</v>
      </c>
      <c r="H1194" s="236">
        <v>1</v>
      </c>
      <c r="I1194" s="236">
        <v>1</v>
      </c>
      <c r="J1194" s="233">
        <v>1</v>
      </c>
      <c r="K1194" s="250" t="s">
        <v>2588</v>
      </c>
      <c r="L1194" s="235"/>
      <c r="M1194" s="276" t="str">
        <f t="shared" si="23"/>
        <v>Photo</v>
      </c>
      <c r="N1194" s="279" t="s">
        <v>25</v>
      </c>
      <c r="O1194" t="str">
        <f t="shared" si="22"/>
        <v>1930-S Buffalo Nickel</v>
      </c>
      <c r="S1194" t="str" cm="1">
        <f t="array" ref="S1194">_xlfn.REGEXEXTRACT(E1194, "[0-9]{1,5}")</f>
        <v>1930</v>
      </c>
      <c r="T1194" t="s">
        <v>2457</v>
      </c>
      <c r="U1194" t="s">
        <v>3897</v>
      </c>
    </row>
    <row r="1195" spans="1:21">
      <c r="A1195" s="136">
        <v>2</v>
      </c>
      <c r="B1195" s="246">
        <v>1931</v>
      </c>
      <c r="C1195" s="247" t="s">
        <v>12</v>
      </c>
      <c r="D1195" s="247" t="s">
        <v>1962</v>
      </c>
      <c r="E1195" s="248" t="s">
        <v>429</v>
      </c>
      <c r="F1195" s="248" t="s">
        <v>4952</v>
      </c>
      <c r="G1195" s="248" t="s">
        <v>2579</v>
      </c>
      <c r="H1195" s="249">
        <v>11</v>
      </c>
      <c r="I1195" s="249">
        <v>11</v>
      </c>
      <c r="J1195" s="246">
        <v>1</v>
      </c>
      <c r="K1195" s="250" t="s">
        <v>2588</v>
      </c>
      <c r="L1195" s="248"/>
      <c r="M1195" s="276" t="str">
        <f t="shared" si="23"/>
        <v>Photo</v>
      </c>
      <c r="N1195" s="279" t="s">
        <v>25</v>
      </c>
      <c r="O1195" t="str">
        <f t="shared" si="22"/>
        <v>1931-S Buffalo Nickel</v>
      </c>
      <c r="S1195" t="str" cm="1">
        <f t="array" ref="S1195">_xlfn.REGEXEXTRACT(E1195, "[0-9]{1,5}")</f>
        <v>1931</v>
      </c>
      <c r="T1195" t="s">
        <v>4178</v>
      </c>
      <c r="U1195" t="s">
        <v>3897</v>
      </c>
    </row>
    <row r="1196" spans="1:21">
      <c r="A1196" s="136">
        <v>2</v>
      </c>
      <c r="B1196" s="246">
        <v>1934</v>
      </c>
      <c r="C1196" s="247"/>
      <c r="D1196" s="247" t="s">
        <v>1962</v>
      </c>
      <c r="E1196" s="248" t="s">
        <v>430</v>
      </c>
      <c r="F1196" s="248" t="s">
        <v>4952</v>
      </c>
      <c r="G1196" s="248" t="s">
        <v>2579</v>
      </c>
      <c r="H1196" s="249">
        <v>0.05</v>
      </c>
      <c r="I1196" s="249">
        <v>0.3</v>
      </c>
      <c r="J1196" s="246">
        <v>1</v>
      </c>
      <c r="K1196" s="250" t="s">
        <v>2588</v>
      </c>
      <c r="L1196" s="248"/>
      <c r="M1196" s="276" t="str">
        <f t="shared" si="23"/>
        <v>Photo</v>
      </c>
      <c r="N1196" s="279" t="s">
        <v>25</v>
      </c>
      <c r="O1196" t="str">
        <f t="shared" si="22"/>
        <v>1934 Buffalo Nickel</v>
      </c>
      <c r="S1196" t="str" cm="1">
        <f t="array" ref="S1196">_xlfn.REGEXEXTRACT(E1196, "[0-9]{1,5}")</f>
        <v>1934</v>
      </c>
      <c r="T1196" t="s">
        <v>2460</v>
      </c>
      <c r="U1196" t="s">
        <v>3897</v>
      </c>
    </row>
    <row r="1197" spans="1:21">
      <c r="A1197" s="136">
        <v>2</v>
      </c>
      <c r="B1197" s="246">
        <v>1934</v>
      </c>
      <c r="C1197" s="247"/>
      <c r="D1197" s="247" t="s">
        <v>1962</v>
      </c>
      <c r="E1197" s="248" t="s">
        <v>432</v>
      </c>
      <c r="F1197" s="248" t="s">
        <v>4952</v>
      </c>
      <c r="G1197" s="248" t="s">
        <v>2579</v>
      </c>
      <c r="H1197" s="249">
        <v>0.05</v>
      </c>
      <c r="I1197" s="249">
        <v>0.45</v>
      </c>
      <c r="J1197" s="246">
        <v>1</v>
      </c>
      <c r="K1197" s="250" t="s">
        <v>2588</v>
      </c>
      <c r="L1197" s="248"/>
      <c r="M1197" s="276" t="str">
        <f t="shared" si="23"/>
        <v>Photo</v>
      </c>
      <c r="N1197" s="279" t="s">
        <v>25</v>
      </c>
      <c r="O1197" t="str">
        <f t="shared" si="22"/>
        <v>1934 Buffalo Nickel</v>
      </c>
      <c r="S1197" t="str" cm="1">
        <f t="array" ref="S1197">_xlfn.REGEXEXTRACT(E1197, "[0-9]{1,5}")</f>
        <v>1934</v>
      </c>
      <c r="T1197" t="s">
        <v>2460</v>
      </c>
      <c r="U1197" t="s">
        <v>3897</v>
      </c>
    </row>
    <row r="1198" spans="1:21">
      <c r="A1198" s="136">
        <v>2</v>
      </c>
      <c r="B1198" s="246">
        <v>1934</v>
      </c>
      <c r="C1198" s="247" t="s">
        <v>13</v>
      </c>
      <c r="D1198" s="247" t="s">
        <v>1962</v>
      </c>
      <c r="E1198" s="248" t="s">
        <v>433</v>
      </c>
      <c r="F1198" s="248" t="s">
        <v>4952</v>
      </c>
      <c r="G1198" s="248" t="s">
        <v>2579</v>
      </c>
      <c r="H1198" s="249">
        <v>3</v>
      </c>
      <c r="I1198" s="249">
        <v>3</v>
      </c>
      <c r="J1198" s="246">
        <v>1</v>
      </c>
      <c r="K1198" s="250" t="s">
        <v>2588</v>
      </c>
      <c r="L1198" s="248"/>
      <c r="M1198" s="276" t="str">
        <f t="shared" si="23"/>
        <v>Photo</v>
      </c>
      <c r="N1198" s="279" t="s">
        <v>25</v>
      </c>
      <c r="O1198" t="str">
        <f t="shared" si="22"/>
        <v>1934-D Buffalo Nickel</v>
      </c>
      <c r="S1198" t="str" cm="1">
        <f t="array" ref="S1198">_xlfn.REGEXEXTRACT(E1198, "[0-9]{1,5}")</f>
        <v>1934</v>
      </c>
      <c r="T1198" t="s">
        <v>2460</v>
      </c>
      <c r="U1198" t="s">
        <v>3897</v>
      </c>
    </row>
    <row r="1199" spans="1:21">
      <c r="A1199" s="136">
        <v>2</v>
      </c>
      <c r="B1199" s="233">
        <v>1935</v>
      </c>
      <c r="C1199" s="234" t="s">
        <v>13</v>
      </c>
      <c r="D1199" s="247" t="s">
        <v>1962</v>
      </c>
      <c r="E1199" s="235" t="s">
        <v>2167</v>
      </c>
      <c r="F1199" s="248" t="s">
        <v>4952</v>
      </c>
      <c r="G1199" s="235" t="s">
        <v>2579</v>
      </c>
      <c r="H1199" s="236">
        <v>0.85</v>
      </c>
      <c r="I1199" s="236">
        <v>0.75</v>
      </c>
      <c r="J1199" s="233">
        <v>1</v>
      </c>
      <c r="K1199" s="250" t="s">
        <v>2588</v>
      </c>
      <c r="L1199" s="235"/>
      <c r="M1199" s="276" t="str">
        <f t="shared" si="23"/>
        <v>Photo</v>
      </c>
      <c r="N1199" s="279" t="s">
        <v>25</v>
      </c>
      <c r="O1199" t="str">
        <f t="shared" si="22"/>
        <v>1935-D Buffalo Nickel</v>
      </c>
      <c r="S1199" t="str" cm="1">
        <f t="array" ref="S1199">_xlfn.REGEXEXTRACT(E1199, "[0-9]{1,5}")</f>
        <v>1934</v>
      </c>
      <c r="T1199" t="s">
        <v>2460</v>
      </c>
      <c r="U1199" t="s">
        <v>3897</v>
      </c>
    </row>
    <row r="1200" spans="1:21">
      <c r="A1200" s="136">
        <v>2</v>
      </c>
      <c r="B1200" s="246">
        <v>1935</v>
      </c>
      <c r="C1200" s="247"/>
      <c r="D1200" s="247" t="s">
        <v>1962</v>
      </c>
      <c r="E1200" s="248" t="s">
        <v>434</v>
      </c>
      <c r="F1200" s="248" t="s">
        <v>4952</v>
      </c>
      <c r="G1200" s="248" t="s">
        <v>2579</v>
      </c>
      <c r="H1200" s="249">
        <v>0.05</v>
      </c>
      <c r="I1200" s="249">
        <v>0.75</v>
      </c>
      <c r="J1200" s="246">
        <v>1</v>
      </c>
      <c r="K1200" s="250" t="s">
        <v>2588</v>
      </c>
      <c r="L1200" s="248"/>
      <c r="M1200" s="276" t="str">
        <f t="shared" si="23"/>
        <v>Photo</v>
      </c>
      <c r="N1200" s="279" t="s">
        <v>25</v>
      </c>
      <c r="O1200" t="str">
        <f t="shared" si="22"/>
        <v>1935 Buffalo Nickel</v>
      </c>
      <c r="S1200" t="str" cm="1">
        <f t="array" ref="S1200">_xlfn.REGEXEXTRACT(E1200, "[0-9]{1,5}")</f>
        <v>1935</v>
      </c>
      <c r="T1200" t="s">
        <v>2462</v>
      </c>
      <c r="U1200" t="s">
        <v>3897</v>
      </c>
    </row>
    <row r="1201" spans="1:21">
      <c r="A1201" s="136">
        <v>2</v>
      </c>
      <c r="B1201" s="246">
        <v>1935</v>
      </c>
      <c r="C1201" s="247"/>
      <c r="D1201" s="247" t="s">
        <v>1962</v>
      </c>
      <c r="E1201" s="248" t="s">
        <v>436</v>
      </c>
      <c r="F1201" s="248" t="s">
        <v>4952</v>
      </c>
      <c r="G1201" s="248" t="s">
        <v>2579</v>
      </c>
      <c r="H1201" s="249">
        <v>0.05</v>
      </c>
      <c r="I1201" s="249">
        <v>0.05</v>
      </c>
      <c r="J1201" s="246">
        <v>1</v>
      </c>
      <c r="K1201" s="250" t="s">
        <v>2588</v>
      </c>
      <c r="L1201" s="248"/>
      <c r="M1201" s="276" t="str">
        <f t="shared" si="23"/>
        <v>Photo</v>
      </c>
      <c r="N1201" s="279" t="s">
        <v>25</v>
      </c>
      <c r="O1201" t="str">
        <f t="shared" si="22"/>
        <v>1935 Buffalo Nickel</v>
      </c>
      <c r="S1201" t="str" cm="1">
        <f t="array" ref="S1201">_xlfn.REGEXEXTRACT(E1201, "[0-9]{1,5}")</f>
        <v>1935</v>
      </c>
      <c r="T1201" t="s">
        <v>2462</v>
      </c>
      <c r="U1201" t="s">
        <v>3897</v>
      </c>
    </row>
    <row r="1202" spans="1:21">
      <c r="A1202" s="136">
        <v>2</v>
      </c>
      <c r="B1202" s="246">
        <v>1935</v>
      </c>
      <c r="C1202" s="247" t="s">
        <v>12</v>
      </c>
      <c r="D1202" s="247" t="s">
        <v>1962</v>
      </c>
      <c r="E1202" s="248" t="s">
        <v>437</v>
      </c>
      <c r="F1202" s="248" t="s">
        <v>4952</v>
      </c>
      <c r="G1202" s="248" t="s">
        <v>2579</v>
      </c>
      <c r="H1202" s="249">
        <v>1</v>
      </c>
      <c r="I1202" s="249">
        <v>1</v>
      </c>
      <c r="J1202" s="246">
        <v>1</v>
      </c>
      <c r="K1202" s="250" t="s">
        <v>2588</v>
      </c>
      <c r="L1202" s="248"/>
      <c r="M1202" s="276" t="str">
        <f t="shared" si="23"/>
        <v>Photo</v>
      </c>
      <c r="N1202" s="279" t="s">
        <v>25</v>
      </c>
      <c r="O1202" t="str">
        <f t="shared" si="22"/>
        <v>1935-S Buffalo Nickel</v>
      </c>
      <c r="S1202" t="str" cm="1">
        <f t="array" ref="S1202">_xlfn.REGEXEXTRACT(E1202, "[0-9]{1,5}")</f>
        <v>1935</v>
      </c>
      <c r="T1202" t="s">
        <v>2462</v>
      </c>
      <c r="U1202" t="s">
        <v>3897</v>
      </c>
    </row>
    <row r="1203" spans="1:21">
      <c r="A1203" s="136">
        <v>2</v>
      </c>
      <c r="B1203" s="246">
        <v>1935</v>
      </c>
      <c r="C1203" s="247" t="s">
        <v>13</v>
      </c>
      <c r="D1203" s="247" t="s">
        <v>1962</v>
      </c>
      <c r="E1203" s="248" t="s">
        <v>438</v>
      </c>
      <c r="F1203" s="248" t="s">
        <v>4952</v>
      </c>
      <c r="G1203" s="248" t="s">
        <v>2579</v>
      </c>
      <c r="H1203" s="249">
        <v>5</v>
      </c>
      <c r="I1203" s="249">
        <v>5</v>
      </c>
      <c r="J1203" s="246">
        <v>1</v>
      </c>
      <c r="K1203" s="250" t="s">
        <v>2588</v>
      </c>
      <c r="L1203" s="248"/>
      <c r="M1203" s="276" t="str">
        <f t="shared" si="23"/>
        <v>Photo</v>
      </c>
      <c r="N1203" s="279" t="s">
        <v>25</v>
      </c>
      <c r="O1203" t="str">
        <f t="shared" si="22"/>
        <v>1935-D Buffalo Nickel</v>
      </c>
      <c r="S1203" t="str" cm="1">
        <f t="array" ref="S1203">_xlfn.REGEXEXTRACT(E1203, "[0-9]{1,5}")</f>
        <v>1935</v>
      </c>
      <c r="T1203" t="s">
        <v>2462</v>
      </c>
      <c r="U1203" t="s">
        <v>3897</v>
      </c>
    </row>
    <row r="1204" spans="1:21">
      <c r="A1204" s="136">
        <v>2</v>
      </c>
      <c r="B1204" s="246">
        <v>1936</v>
      </c>
      <c r="C1204" s="247"/>
      <c r="D1204" s="247" t="s">
        <v>1962</v>
      </c>
      <c r="E1204" s="248" t="s">
        <v>439</v>
      </c>
      <c r="F1204" s="248" t="s">
        <v>4952</v>
      </c>
      <c r="G1204" s="248" t="s">
        <v>2579</v>
      </c>
      <c r="H1204" s="249">
        <v>0.05</v>
      </c>
      <c r="I1204" s="249">
        <v>0.3</v>
      </c>
      <c r="J1204" s="246">
        <v>1</v>
      </c>
      <c r="K1204" s="250" t="s">
        <v>2588</v>
      </c>
      <c r="L1204" s="248"/>
      <c r="M1204" s="276" t="str">
        <f t="shared" si="23"/>
        <v>Photo</v>
      </c>
      <c r="N1204" s="279" t="s">
        <v>25</v>
      </c>
      <c r="O1204" t="str">
        <f t="shared" si="22"/>
        <v>1936 Buffalo Nickel</v>
      </c>
      <c r="S1204" t="str" cm="1">
        <f t="array" ref="S1204">_xlfn.REGEXEXTRACT(E1204, "[0-9]{1,5}")</f>
        <v>1936</v>
      </c>
      <c r="T1204" t="s">
        <v>2465</v>
      </c>
      <c r="U1204" t="s">
        <v>3897</v>
      </c>
    </row>
    <row r="1205" spans="1:21">
      <c r="A1205" s="136">
        <v>2</v>
      </c>
      <c r="B1205" s="246">
        <v>1936</v>
      </c>
      <c r="C1205" s="247"/>
      <c r="D1205" s="247" t="s">
        <v>1962</v>
      </c>
      <c r="E1205" s="248" t="s">
        <v>441</v>
      </c>
      <c r="F1205" s="248" t="s">
        <v>4952</v>
      </c>
      <c r="G1205" s="248" t="s">
        <v>2579</v>
      </c>
      <c r="H1205" s="249">
        <v>0.05</v>
      </c>
      <c r="I1205" s="249">
        <v>0.3</v>
      </c>
      <c r="J1205" s="246">
        <v>1</v>
      </c>
      <c r="K1205" s="250" t="s">
        <v>2588</v>
      </c>
      <c r="L1205" s="248"/>
      <c r="M1205" s="276" t="str">
        <f t="shared" si="23"/>
        <v>Photo</v>
      </c>
      <c r="N1205" s="279" t="s">
        <v>25</v>
      </c>
      <c r="O1205" t="str">
        <f t="shared" si="22"/>
        <v>1936 Buffalo Nickel</v>
      </c>
      <c r="S1205" t="str" cm="1">
        <f t="array" ref="S1205">_xlfn.REGEXEXTRACT(E1205, "[0-9]{1,5}")</f>
        <v>1936</v>
      </c>
      <c r="T1205" t="s">
        <v>2465</v>
      </c>
      <c r="U1205" t="s">
        <v>3897</v>
      </c>
    </row>
    <row r="1206" spans="1:21">
      <c r="A1206" s="136">
        <v>2</v>
      </c>
      <c r="B1206" s="246">
        <v>1936</v>
      </c>
      <c r="C1206" s="247"/>
      <c r="D1206" s="247" t="s">
        <v>1962</v>
      </c>
      <c r="E1206" s="248" t="s">
        <v>442</v>
      </c>
      <c r="F1206" s="248" t="s">
        <v>4952</v>
      </c>
      <c r="G1206" s="248" t="s">
        <v>2579</v>
      </c>
      <c r="H1206" s="249">
        <v>0.05</v>
      </c>
      <c r="I1206" s="249">
        <v>0.75</v>
      </c>
      <c r="J1206" s="246">
        <v>1</v>
      </c>
      <c r="K1206" s="250" t="s">
        <v>2588</v>
      </c>
      <c r="L1206" s="248"/>
      <c r="M1206" s="276" t="str">
        <f t="shared" si="23"/>
        <v>Photo</v>
      </c>
      <c r="N1206" s="279" t="s">
        <v>25</v>
      </c>
      <c r="O1206" t="str">
        <f t="shared" si="22"/>
        <v>1936 Buffalo Nickel</v>
      </c>
      <c r="S1206" t="str" cm="1">
        <f t="array" ref="S1206">_xlfn.REGEXEXTRACT(E1206, "[0-9]{1,5}")</f>
        <v>1936</v>
      </c>
      <c r="T1206" t="s">
        <v>2465</v>
      </c>
      <c r="U1206" t="s">
        <v>3897</v>
      </c>
    </row>
    <row r="1207" spans="1:21">
      <c r="A1207" s="136">
        <v>2</v>
      </c>
      <c r="B1207" s="246">
        <v>1936</v>
      </c>
      <c r="C1207" s="247"/>
      <c r="D1207" s="247" t="s">
        <v>1962</v>
      </c>
      <c r="E1207" s="248" t="s">
        <v>443</v>
      </c>
      <c r="F1207" s="248" t="s">
        <v>4952</v>
      </c>
      <c r="G1207" s="248" t="s">
        <v>2579</v>
      </c>
      <c r="H1207" s="249">
        <v>0.05</v>
      </c>
      <c r="I1207" s="249">
        <v>0.3</v>
      </c>
      <c r="J1207" s="246">
        <v>1</v>
      </c>
      <c r="K1207" s="250" t="s">
        <v>2588</v>
      </c>
      <c r="L1207" s="248"/>
      <c r="M1207" s="276" t="str">
        <f t="shared" si="23"/>
        <v>Photo</v>
      </c>
      <c r="N1207" s="279" t="s">
        <v>25</v>
      </c>
      <c r="O1207" t="str">
        <f t="shared" si="22"/>
        <v>1936 Buffalo Nickel</v>
      </c>
      <c r="S1207" t="str" cm="1">
        <f t="array" ref="S1207">_xlfn.REGEXEXTRACT(E1207, "[0-9]{1,5}")</f>
        <v>1936</v>
      </c>
      <c r="T1207" t="s">
        <v>2465</v>
      </c>
      <c r="U1207" t="s">
        <v>3897</v>
      </c>
    </row>
    <row r="1208" spans="1:21">
      <c r="A1208" s="136">
        <v>2</v>
      </c>
      <c r="B1208" s="246">
        <v>1936</v>
      </c>
      <c r="C1208" s="247"/>
      <c r="D1208" s="247" t="s">
        <v>1962</v>
      </c>
      <c r="E1208" s="248" t="s">
        <v>444</v>
      </c>
      <c r="F1208" s="248" t="s">
        <v>4952</v>
      </c>
      <c r="G1208" s="248" t="s">
        <v>2579</v>
      </c>
      <c r="H1208" s="249">
        <v>0.05</v>
      </c>
      <c r="I1208" s="249">
        <v>0.4</v>
      </c>
      <c r="J1208" s="246">
        <v>1</v>
      </c>
      <c r="K1208" s="250" t="s">
        <v>2588</v>
      </c>
      <c r="L1208" s="248"/>
      <c r="M1208" s="276" t="str">
        <f t="shared" si="23"/>
        <v>Photo</v>
      </c>
      <c r="N1208" s="279" t="s">
        <v>25</v>
      </c>
      <c r="O1208" t="str">
        <f t="shared" si="22"/>
        <v>1936 Buffalo Nickel</v>
      </c>
      <c r="S1208" t="str" cm="1">
        <f t="array" ref="S1208">_xlfn.REGEXEXTRACT(E1208, "[0-9]{1,5}")</f>
        <v>1936</v>
      </c>
      <c r="T1208" t="s">
        <v>2465</v>
      </c>
      <c r="U1208" t="s">
        <v>3897</v>
      </c>
    </row>
    <row r="1209" spans="1:21">
      <c r="A1209" s="136">
        <v>2</v>
      </c>
      <c r="B1209" s="246">
        <v>1936</v>
      </c>
      <c r="C1209" s="247"/>
      <c r="D1209" s="247" t="s">
        <v>1962</v>
      </c>
      <c r="E1209" s="248" t="s">
        <v>445</v>
      </c>
      <c r="F1209" s="248" t="s">
        <v>4952</v>
      </c>
      <c r="G1209" s="248" t="s">
        <v>2579</v>
      </c>
      <c r="H1209" s="249">
        <v>0.05</v>
      </c>
      <c r="I1209" s="249">
        <v>0.35</v>
      </c>
      <c r="J1209" s="246">
        <v>1</v>
      </c>
      <c r="K1209" s="250" t="s">
        <v>2588</v>
      </c>
      <c r="L1209" s="248"/>
      <c r="M1209" s="276" t="str">
        <f t="shared" si="23"/>
        <v>Photo</v>
      </c>
      <c r="N1209" s="279" t="s">
        <v>25</v>
      </c>
      <c r="O1209" t="str">
        <f t="shared" si="22"/>
        <v>1936 Buffalo Nickel</v>
      </c>
      <c r="S1209" t="str" cm="1">
        <f t="array" ref="S1209">_xlfn.REGEXEXTRACT(E1209, "[0-9]{1,5}")</f>
        <v>1936</v>
      </c>
      <c r="T1209" t="s">
        <v>2465</v>
      </c>
      <c r="U1209" t="s">
        <v>3897</v>
      </c>
    </row>
    <row r="1210" spans="1:21">
      <c r="A1210" s="136">
        <v>2</v>
      </c>
      <c r="B1210" s="246">
        <v>1936</v>
      </c>
      <c r="C1210" s="247"/>
      <c r="D1210" s="247" t="s">
        <v>1962</v>
      </c>
      <c r="E1210" s="248" t="s">
        <v>446</v>
      </c>
      <c r="F1210" s="248" t="s">
        <v>4952</v>
      </c>
      <c r="G1210" s="248" t="s">
        <v>2579</v>
      </c>
      <c r="H1210" s="249">
        <v>0</v>
      </c>
      <c r="I1210" s="249">
        <v>0.1</v>
      </c>
      <c r="J1210" s="246">
        <v>1</v>
      </c>
      <c r="K1210" s="250" t="s">
        <v>2588</v>
      </c>
      <c r="L1210" s="248"/>
      <c r="M1210" s="276" t="str">
        <f t="shared" si="23"/>
        <v>Photo</v>
      </c>
      <c r="N1210" s="279" t="s">
        <v>25</v>
      </c>
      <c r="O1210" t="str">
        <f t="shared" si="22"/>
        <v>1936 Buffalo Nickel</v>
      </c>
      <c r="S1210" t="str" cm="1">
        <f t="array" ref="S1210">_xlfn.REGEXEXTRACT(E1210, "[0-9]{1,5}")</f>
        <v>1936</v>
      </c>
      <c r="T1210" t="s">
        <v>2465</v>
      </c>
      <c r="U1210" t="s">
        <v>3897</v>
      </c>
    </row>
    <row r="1211" spans="1:21">
      <c r="A1211" s="136">
        <v>2</v>
      </c>
      <c r="B1211" s="233">
        <v>1936</v>
      </c>
      <c r="C1211" s="234" t="s">
        <v>12</v>
      </c>
      <c r="D1211" s="247" t="s">
        <v>1962</v>
      </c>
      <c r="E1211" s="235" t="s">
        <v>2307</v>
      </c>
      <c r="F1211" s="248" t="s">
        <v>4952</v>
      </c>
      <c r="G1211" s="235" t="s">
        <v>2579</v>
      </c>
      <c r="H1211" s="236">
        <v>0.75</v>
      </c>
      <c r="I1211" s="236">
        <v>0.75</v>
      </c>
      <c r="J1211" s="233">
        <v>1</v>
      </c>
      <c r="K1211" s="250" t="s">
        <v>2588</v>
      </c>
      <c r="L1211" s="235"/>
      <c r="M1211" s="276" t="str">
        <f t="shared" si="23"/>
        <v>Photo</v>
      </c>
      <c r="N1211" s="279" t="s">
        <v>25</v>
      </c>
      <c r="O1211" t="str">
        <f t="shared" si="22"/>
        <v>1936-S Buffalo Nickel</v>
      </c>
      <c r="S1211" t="str" cm="1">
        <f t="array" ref="S1211">_xlfn.REGEXEXTRACT(E1211, "[0-9]{1,5}")</f>
        <v>1936</v>
      </c>
      <c r="T1211" t="s">
        <v>2465</v>
      </c>
      <c r="U1211" t="s">
        <v>3897</v>
      </c>
    </row>
    <row r="1212" spans="1:21">
      <c r="A1212" s="136">
        <v>2</v>
      </c>
      <c r="B1212" s="233">
        <v>1936</v>
      </c>
      <c r="C1212" s="234" t="s">
        <v>13</v>
      </c>
      <c r="D1212" s="247" t="s">
        <v>1962</v>
      </c>
      <c r="E1212" s="235" t="s">
        <v>2168</v>
      </c>
      <c r="F1212" s="248" t="s">
        <v>4952</v>
      </c>
      <c r="G1212" s="235" t="s">
        <v>2579</v>
      </c>
      <c r="H1212" s="236">
        <v>1</v>
      </c>
      <c r="I1212" s="236">
        <v>1</v>
      </c>
      <c r="J1212" s="233">
        <v>1</v>
      </c>
      <c r="K1212" s="250" t="s">
        <v>2588</v>
      </c>
      <c r="L1212" s="235"/>
      <c r="M1212" s="276" t="str">
        <f t="shared" si="23"/>
        <v>Photo</v>
      </c>
      <c r="N1212" s="279" t="s">
        <v>25</v>
      </c>
      <c r="O1212" t="str">
        <f t="shared" si="22"/>
        <v>1936-D Buffalo Nickel</v>
      </c>
      <c r="S1212" t="str" cm="1">
        <f t="array" ref="S1212">_xlfn.REGEXEXTRACT(E1212, "[0-9]{1,5}")</f>
        <v>1936</v>
      </c>
      <c r="T1212" t="s">
        <v>2465</v>
      </c>
      <c r="U1212" t="s">
        <v>3897</v>
      </c>
    </row>
    <row r="1213" spans="1:21">
      <c r="A1213" s="136">
        <v>2</v>
      </c>
      <c r="B1213" s="246">
        <v>1937</v>
      </c>
      <c r="C1213" s="247"/>
      <c r="D1213" s="247" t="s">
        <v>1962</v>
      </c>
      <c r="E1213" s="248" t="s">
        <v>447</v>
      </c>
      <c r="F1213" s="248" t="s">
        <v>4952</v>
      </c>
      <c r="G1213" s="248" t="s">
        <v>2579</v>
      </c>
      <c r="H1213" s="249">
        <v>0.05</v>
      </c>
      <c r="I1213" s="249">
        <v>0.35</v>
      </c>
      <c r="J1213" s="246">
        <v>1</v>
      </c>
      <c r="K1213" s="250" t="s">
        <v>2588</v>
      </c>
      <c r="L1213" s="248"/>
      <c r="M1213" s="276" t="str">
        <f t="shared" si="23"/>
        <v>Photo</v>
      </c>
      <c r="N1213" s="279" t="s">
        <v>25</v>
      </c>
      <c r="O1213" t="str">
        <f t="shared" si="22"/>
        <v>1937 Buffalo Nickel</v>
      </c>
      <c r="S1213" t="str" cm="1">
        <f t="array" ref="S1213">_xlfn.REGEXEXTRACT(E1213, "[0-9]{1,5}")</f>
        <v>1937</v>
      </c>
      <c r="T1213" t="s">
        <v>2468</v>
      </c>
      <c r="U1213" t="s">
        <v>3897</v>
      </c>
    </row>
    <row r="1214" spans="1:21">
      <c r="A1214" s="136">
        <v>2</v>
      </c>
      <c r="B1214" s="246">
        <v>1937</v>
      </c>
      <c r="C1214" s="247"/>
      <c r="D1214" s="247" t="s">
        <v>1962</v>
      </c>
      <c r="E1214" s="248" t="s">
        <v>449</v>
      </c>
      <c r="F1214" s="248" t="s">
        <v>4952</v>
      </c>
      <c r="G1214" s="248" t="s">
        <v>2579</v>
      </c>
      <c r="H1214" s="249">
        <v>0.05</v>
      </c>
      <c r="I1214" s="249">
        <v>0.35</v>
      </c>
      <c r="J1214" s="246">
        <v>1</v>
      </c>
      <c r="K1214" s="250" t="s">
        <v>2588</v>
      </c>
      <c r="L1214" s="248"/>
      <c r="M1214" s="276" t="str">
        <f t="shared" si="23"/>
        <v>Photo</v>
      </c>
      <c r="N1214" s="279" t="s">
        <v>25</v>
      </c>
      <c r="O1214" t="str">
        <f t="shared" si="22"/>
        <v>1937 Buffalo Nickel</v>
      </c>
      <c r="S1214" t="str" cm="1">
        <f t="array" ref="S1214">_xlfn.REGEXEXTRACT(E1214, "[0-9]{1,5}")</f>
        <v>1937</v>
      </c>
      <c r="T1214" t="s">
        <v>2468</v>
      </c>
      <c r="U1214" t="s">
        <v>3897</v>
      </c>
    </row>
    <row r="1215" spans="1:21">
      <c r="A1215" s="136">
        <v>2</v>
      </c>
      <c r="B1215" s="246">
        <v>1937</v>
      </c>
      <c r="C1215" s="247" t="s">
        <v>13</v>
      </c>
      <c r="D1215" s="247" t="s">
        <v>1962</v>
      </c>
      <c r="E1215" s="248" t="s">
        <v>450</v>
      </c>
      <c r="F1215" s="248" t="s">
        <v>4952</v>
      </c>
      <c r="G1215" s="248" t="s">
        <v>2579</v>
      </c>
      <c r="H1215" s="249">
        <v>0.05</v>
      </c>
      <c r="I1215" s="249">
        <v>0.5</v>
      </c>
      <c r="J1215" s="246">
        <v>1</v>
      </c>
      <c r="K1215" s="250" t="s">
        <v>2588</v>
      </c>
      <c r="L1215" s="248"/>
      <c r="M1215" s="276" t="str">
        <f t="shared" si="23"/>
        <v>Photo</v>
      </c>
      <c r="N1215" s="279" t="s">
        <v>25</v>
      </c>
      <c r="O1215" t="str">
        <f t="shared" si="22"/>
        <v>1937-D Buffalo Nickel</v>
      </c>
      <c r="S1215" t="str" cm="1">
        <f t="array" ref="S1215">_xlfn.REGEXEXTRACT(E1215, "[0-9]{1,5}")</f>
        <v>1937</v>
      </c>
      <c r="T1215" t="s">
        <v>2468</v>
      </c>
      <c r="U1215" t="s">
        <v>3897</v>
      </c>
    </row>
    <row r="1216" spans="1:21" ht="23.25" customHeight="1">
      <c r="A1216" s="136">
        <v>2</v>
      </c>
      <c r="B1216" s="246">
        <v>1938</v>
      </c>
      <c r="C1216" s="247" t="s">
        <v>13</v>
      </c>
      <c r="D1216" s="247" t="s">
        <v>1962</v>
      </c>
      <c r="E1216" s="248" t="s">
        <v>452</v>
      </c>
      <c r="F1216" s="248" t="s">
        <v>4952</v>
      </c>
      <c r="G1216" s="248" t="s">
        <v>2579</v>
      </c>
      <c r="H1216" s="249">
        <v>3</v>
      </c>
      <c r="I1216" s="249">
        <v>3</v>
      </c>
      <c r="J1216" s="246">
        <v>1</v>
      </c>
      <c r="K1216" s="250" t="s">
        <v>2588</v>
      </c>
      <c r="L1216" s="248"/>
      <c r="M1216" s="276" t="str">
        <f t="shared" si="23"/>
        <v>Photo</v>
      </c>
      <c r="N1216" s="279" t="s">
        <v>25</v>
      </c>
      <c r="O1216" t="str">
        <f t="shared" si="22"/>
        <v>1938-D Buffalo Nickel</v>
      </c>
      <c r="P1216" s="235" t="s">
        <v>832</v>
      </c>
      <c r="Q1216">
        <f>MATCH(P1216,NickelMintage!A:A,)</f>
        <v>4</v>
      </c>
      <c r="S1216" t="str" cm="1">
        <f t="array" ref="S1216">_xlfn.REGEXEXTRACT(E1216, "[0-9]{1,5}")</f>
        <v>1938</v>
      </c>
      <c r="T1216" t="s">
        <v>2471</v>
      </c>
      <c r="U1216" t="s">
        <v>3897</v>
      </c>
    </row>
    <row r="1217" spans="1:21">
      <c r="A1217" s="136">
        <v>2</v>
      </c>
      <c r="B1217" s="233">
        <v>1938</v>
      </c>
      <c r="C1217" s="234"/>
      <c r="D1217" s="247" t="s">
        <v>1962</v>
      </c>
      <c r="E1217" s="235" t="s">
        <v>2156</v>
      </c>
      <c r="F1217" s="235" t="s">
        <v>4272</v>
      </c>
      <c r="G1217" s="235" t="s">
        <v>2579</v>
      </c>
      <c r="H1217" s="236">
        <v>0.4</v>
      </c>
      <c r="I1217" s="236">
        <v>0.4</v>
      </c>
      <c r="J1217" s="233">
        <v>1</v>
      </c>
      <c r="K1217" s="237"/>
      <c r="L1217" s="235"/>
      <c r="M1217" s="276" t="str">
        <f t="shared" si="23"/>
        <v>Photo</v>
      </c>
      <c r="N1217" s="279" t="s">
        <v>25</v>
      </c>
      <c r="O1217" t="str">
        <f t="shared" si="22"/>
        <v>1938 Jefferson Nickel</v>
      </c>
      <c r="P1217" s="235">
        <v>1938</v>
      </c>
      <c r="Q1217">
        <f>MATCH(P1217,NickelMintage!A:A,)</f>
        <v>3</v>
      </c>
      <c r="S1217" t="str" cm="1">
        <f t="array" ref="S1217">_xlfn.REGEXEXTRACT(E1217, "[0-9]{1,5}")</f>
        <v>1938</v>
      </c>
      <c r="T1217" t="s">
        <v>2471</v>
      </c>
      <c r="U1217" t="s">
        <v>3897</v>
      </c>
    </row>
    <row r="1218" spans="1:21">
      <c r="A1218" s="136">
        <v>2</v>
      </c>
      <c r="B1218" s="233">
        <v>1938</v>
      </c>
      <c r="C1218" s="234" t="s">
        <v>13</v>
      </c>
      <c r="D1218" s="247" t="s">
        <v>1962</v>
      </c>
      <c r="E1218" s="235" t="s">
        <v>2157</v>
      </c>
      <c r="F1218" s="235" t="s">
        <v>4272</v>
      </c>
      <c r="G1218" s="235" t="s">
        <v>2579</v>
      </c>
      <c r="H1218" s="236">
        <v>6</v>
      </c>
      <c r="I1218" s="236">
        <v>6</v>
      </c>
      <c r="J1218" s="233">
        <v>1</v>
      </c>
      <c r="K1218" s="237"/>
      <c r="L1218" s="235"/>
      <c r="M1218" s="276" t="str">
        <f t="shared" ref="M1218:M1245" si="24">HYPERLINK($Y$2&amp;E1218&amp;$AA$2,"Photo")</f>
        <v>Photo</v>
      </c>
      <c r="N1218" s="279" t="s">
        <v>25</v>
      </c>
      <c r="O1218" t="str">
        <f t="shared" si="22"/>
        <v>1938-D Jefferson Nickel</v>
      </c>
      <c r="P1218" s="235" t="s">
        <v>832</v>
      </c>
      <c r="Q1218">
        <f>MATCH(P1218,NickelMintage!A:A,)</f>
        <v>4</v>
      </c>
      <c r="S1218" t="str" cm="1">
        <f t="array" ref="S1218">_xlfn.REGEXEXTRACT(E1218, "[0-9]{1,5}")</f>
        <v>1938</v>
      </c>
      <c r="T1218" t="s">
        <v>2471</v>
      </c>
      <c r="U1218" t="s">
        <v>3897</v>
      </c>
    </row>
    <row r="1219" spans="1:21">
      <c r="A1219" s="136">
        <v>2</v>
      </c>
      <c r="B1219" s="233">
        <v>1938</v>
      </c>
      <c r="C1219" s="234" t="s">
        <v>12</v>
      </c>
      <c r="D1219" s="247" t="s">
        <v>1962</v>
      </c>
      <c r="E1219" s="235" t="s">
        <v>2158</v>
      </c>
      <c r="F1219" s="235" t="s">
        <v>4272</v>
      </c>
      <c r="G1219" s="235" t="s">
        <v>2579</v>
      </c>
      <c r="H1219" s="236">
        <v>2</v>
      </c>
      <c r="I1219" s="236">
        <v>2</v>
      </c>
      <c r="J1219" s="233">
        <v>1</v>
      </c>
      <c r="K1219" s="237"/>
      <c r="L1219" s="235"/>
      <c r="M1219" s="276" t="str">
        <f t="shared" si="24"/>
        <v>Photo</v>
      </c>
      <c r="N1219" s="279" t="s">
        <v>25</v>
      </c>
      <c r="O1219" t="str">
        <f t="shared" si="22"/>
        <v>1938-S Jefferson Nickel</v>
      </c>
      <c r="P1219" s="235" t="s">
        <v>833</v>
      </c>
      <c r="Q1219">
        <f>MATCH(P1219,NickelMintage!A:A,)</f>
        <v>5</v>
      </c>
      <c r="S1219" t="str" cm="1">
        <f t="array" ref="S1219">_xlfn.REGEXEXTRACT(E1219, "[0-9]{1,5}")</f>
        <v>1938</v>
      </c>
      <c r="T1219" t="s">
        <v>2471</v>
      </c>
      <c r="U1219" t="s">
        <v>3897</v>
      </c>
    </row>
    <row r="1220" spans="1:21">
      <c r="A1220" s="136">
        <v>2</v>
      </c>
      <c r="B1220" s="246">
        <v>1939</v>
      </c>
      <c r="C1220" s="247"/>
      <c r="D1220" s="247" t="s">
        <v>1962</v>
      </c>
      <c r="E1220" s="248" t="s">
        <v>5202</v>
      </c>
      <c r="F1220" s="235" t="s">
        <v>4272</v>
      </c>
      <c r="G1220" s="248" t="s">
        <v>2579</v>
      </c>
      <c r="H1220" s="249">
        <v>0.05</v>
      </c>
      <c r="I1220" s="249">
        <v>0.35</v>
      </c>
      <c r="J1220" s="246">
        <v>1</v>
      </c>
      <c r="K1220" s="250"/>
      <c r="L1220" s="248"/>
      <c r="M1220" s="276" t="str">
        <f t="shared" si="24"/>
        <v>Photo</v>
      </c>
      <c r="N1220" s="279" t="s">
        <v>25</v>
      </c>
      <c r="O1220" t="str">
        <f t="shared" ref="O1220:O1283" si="25">IF(C1220&lt;&gt;"",B1220&amp;"-"&amp;C1220&amp;" "&amp;F1220,B1220&amp;" "&amp;F1220)</f>
        <v>1939 Jefferson Nickel</v>
      </c>
      <c r="P1220" s="235">
        <v>1939</v>
      </c>
      <c r="Q1220">
        <f>MATCH(P1220,NickelMintage!A:A,)</f>
        <v>6</v>
      </c>
      <c r="S1220" t="str" cm="1">
        <f t="array" ref="S1220">_xlfn.REGEXEXTRACT(E1220, "[0-9]{1,5}")</f>
        <v>1939</v>
      </c>
      <c r="T1220" t="s">
        <v>2472</v>
      </c>
      <c r="U1220" t="s">
        <v>3897</v>
      </c>
    </row>
    <row r="1221" spans="1:21">
      <c r="A1221" s="136">
        <v>2</v>
      </c>
      <c r="B1221" s="246">
        <v>1939</v>
      </c>
      <c r="C1221" s="247"/>
      <c r="D1221" s="247" t="s">
        <v>1962</v>
      </c>
      <c r="E1221" s="248" t="s">
        <v>5203</v>
      </c>
      <c r="F1221" s="235" t="s">
        <v>4272</v>
      </c>
      <c r="G1221" s="248" t="s">
        <v>2579</v>
      </c>
      <c r="H1221" s="249">
        <v>0.05</v>
      </c>
      <c r="I1221" s="249">
        <v>0.25</v>
      </c>
      <c r="J1221" s="246">
        <v>1</v>
      </c>
      <c r="K1221" s="250"/>
      <c r="L1221" s="248"/>
      <c r="M1221" s="276" t="str">
        <f t="shared" si="24"/>
        <v>Photo</v>
      </c>
      <c r="N1221" s="279" t="s">
        <v>25</v>
      </c>
      <c r="O1221" t="str">
        <f t="shared" si="25"/>
        <v>1939 Jefferson Nickel</v>
      </c>
      <c r="P1221" s="235">
        <v>1939</v>
      </c>
      <c r="Q1221">
        <f>MATCH(P1221,NickelMintage!A:A,)</f>
        <v>6</v>
      </c>
      <c r="S1221" t="str" cm="1">
        <f t="array" ref="S1221">_xlfn.REGEXEXTRACT(E1221, "[0-9]{1,5}")</f>
        <v>1939</v>
      </c>
      <c r="T1221" t="s">
        <v>2472</v>
      </c>
      <c r="U1221" t="s">
        <v>3897</v>
      </c>
    </row>
    <row r="1222" spans="1:21">
      <c r="A1222" s="136">
        <v>2</v>
      </c>
      <c r="B1222" s="233">
        <v>1939</v>
      </c>
      <c r="C1222" s="234" t="s">
        <v>13</v>
      </c>
      <c r="D1222" s="247" t="s">
        <v>1962</v>
      </c>
      <c r="E1222" s="235" t="s">
        <v>2159</v>
      </c>
      <c r="F1222" s="235" t="s">
        <v>4272</v>
      </c>
      <c r="G1222" s="235" t="s">
        <v>2579</v>
      </c>
      <c r="H1222" s="236">
        <v>4.25</v>
      </c>
      <c r="I1222" s="236">
        <v>4.25</v>
      </c>
      <c r="J1222" s="233">
        <v>1</v>
      </c>
      <c r="K1222" s="237"/>
      <c r="L1222" s="235"/>
      <c r="M1222" s="276" t="str">
        <f t="shared" si="24"/>
        <v>Photo</v>
      </c>
      <c r="N1222" s="279" t="s">
        <v>25</v>
      </c>
      <c r="O1222" t="str">
        <f t="shared" si="25"/>
        <v>1939-D Jefferson Nickel</v>
      </c>
      <c r="P1222" s="235" t="s">
        <v>834</v>
      </c>
      <c r="Q1222">
        <f>MATCH(P1222,NickelMintage!A:A,)</f>
        <v>7</v>
      </c>
      <c r="S1222" t="str" cm="1">
        <f t="array" ref="S1222">_xlfn.REGEXEXTRACT(E1222, "[0-9]{1,5}")</f>
        <v>1939</v>
      </c>
      <c r="T1222" t="s">
        <v>2472</v>
      </c>
      <c r="U1222" t="s">
        <v>3897</v>
      </c>
    </row>
    <row r="1223" spans="1:21">
      <c r="A1223" s="136">
        <v>2</v>
      </c>
      <c r="B1223" s="233">
        <v>1939</v>
      </c>
      <c r="C1223" s="234" t="s">
        <v>12</v>
      </c>
      <c r="D1223" s="247" t="s">
        <v>1962</v>
      </c>
      <c r="E1223" s="235" t="s">
        <v>2160</v>
      </c>
      <c r="F1223" s="235" t="s">
        <v>4272</v>
      </c>
      <c r="G1223" s="235" t="s">
        <v>2579</v>
      </c>
      <c r="H1223" s="236">
        <v>0.5</v>
      </c>
      <c r="I1223" s="236">
        <v>0.5</v>
      </c>
      <c r="J1223" s="233">
        <v>1</v>
      </c>
      <c r="K1223" s="237"/>
      <c r="L1223" s="235"/>
      <c r="M1223" s="276" t="str">
        <f t="shared" si="24"/>
        <v>Photo</v>
      </c>
      <c r="N1223" s="279" t="s">
        <v>25</v>
      </c>
      <c r="O1223" t="str">
        <f t="shared" si="25"/>
        <v>1939-S Jefferson Nickel</v>
      </c>
      <c r="P1223" s="235" t="s">
        <v>835</v>
      </c>
      <c r="Q1223">
        <f>MATCH(P1223,NickelMintage!A:A,)</f>
        <v>8</v>
      </c>
      <c r="S1223" t="str" cm="1">
        <f t="array" ref="S1223">_xlfn.REGEXEXTRACT(E1223, "[0-9]{1,5}")</f>
        <v>1939</v>
      </c>
      <c r="T1223" t="s">
        <v>2472</v>
      </c>
      <c r="U1223" t="s">
        <v>3897</v>
      </c>
    </row>
    <row r="1224" spans="1:21">
      <c r="A1224" s="136">
        <v>2</v>
      </c>
      <c r="B1224" s="246">
        <v>1940</v>
      </c>
      <c r="C1224" s="247"/>
      <c r="D1224" s="247" t="s">
        <v>1962</v>
      </c>
      <c r="E1224" s="248" t="s">
        <v>457</v>
      </c>
      <c r="F1224" s="235" t="s">
        <v>4272</v>
      </c>
      <c r="G1224" s="248" t="s">
        <v>2579</v>
      </c>
      <c r="H1224" s="249">
        <v>0.05</v>
      </c>
      <c r="I1224" s="249">
        <v>0.1</v>
      </c>
      <c r="J1224" s="246">
        <v>1</v>
      </c>
      <c r="K1224" s="250"/>
      <c r="L1224" s="248"/>
      <c r="M1224" s="276" t="str">
        <f t="shared" si="24"/>
        <v>Photo</v>
      </c>
      <c r="N1224" s="279" t="s">
        <v>25</v>
      </c>
      <c r="O1224" t="str">
        <f t="shared" si="25"/>
        <v>1940 Jefferson Nickel</v>
      </c>
      <c r="P1224" s="235">
        <v>1940</v>
      </c>
      <c r="Q1224">
        <f>MATCH(P1224,NickelMintage!A:A,)</f>
        <v>9</v>
      </c>
      <c r="S1224" t="str" cm="1">
        <f t="array" ref="S1224">_xlfn.REGEXEXTRACT(E1224, "[0-9]{1,5}")</f>
        <v>1940</v>
      </c>
      <c r="T1224" t="s">
        <v>2473</v>
      </c>
      <c r="U1224" t="s">
        <v>3897</v>
      </c>
    </row>
    <row r="1225" spans="1:21">
      <c r="A1225" s="136">
        <v>2</v>
      </c>
      <c r="B1225" s="246">
        <v>1940</v>
      </c>
      <c r="C1225" s="247"/>
      <c r="D1225" s="247" t="s">
        <v>1962</v>
      </c>
      <c r="E1225" s="248" t="s">
        <v>459</v>
      </c>
      <c r="F1225" s="235" t="s">
        <v>4272</v>
      </c>
      <c r="G1225" s="248" t="s">
        <v>2579</v>
      </c>
      <c r="H1225" s="249">
        <v>0.05</v>
      </c>
      <c r="I1225" s="249">
        <v>0.1</v>
      </c>
      <c r="J1225" s="246">
        <v>1</v>
      </c>
      <c r="K1225" s="250"/>
      <c r="L1225" s="248"/>
      <c r="M1225" s="276" t="str">
        <f t="shared" si="24"/>
        <v>Photo</v>
      </c>
      <c r="N1225" s="279" t="s">
        <v>25</v>
      </c>
      <c r="O1225" t="str">
        <f t="shared" si="25"/>
        <v>1940 Jefferson Nickel</v>
      </c>
      <c r="P1225" s="235">
        <v>1940</v>
      </c>
      <c r="Q1225">
        <f>MATCH(P1225,NickelMintage!A:A,)</f>
        <v>9</v>
      </c>
      <c r="S1225" t="str" cm="1">
        <f t="array" ref="S1225">_xlfn.REGEXEXTRACT(E1225, "[0-9]{1,5}")</f>
        <v>1940</v>
      </c>
      <c r="T1225" t="s">
        <v>2473</v>
      </c>
      <c r="U1225" t="s">
        <v>3897</v>
      </c>
    </row>
    <row r="1226" spans="1:21">
      <c r="A1226" s="136">
        <v>2</v>
      </c>
      <c r="B1226" s="246">
        <v>1940</v>
      </c>
      <c r="C1226" s="247"/>
      <c r="D1226" s="247" t="s">
        <v>1962</v>
      </c>
      <c r="E1226" s="248" t="s">
        <v>460</v>
      </c>
      <c r="F1226" s="235" t="s">
        <v>4272</v>
      </c>
      <c r="G1226" s="248" t="s">
        <v>2579</v>
      </c>
      <c r="H1226" s="249">
        <v>0.05</v>
      </c>
      <c r="I1226" s="249">
        <v>0.1</v>
      </c>
      <c r="J1226" s="246">
        <v>1</v>
      </c>
      <c r="K1226" s="250"/>
      <c r="L1226" s="248"/>
      <c r="M1226" s="276" t="str">
        <f t="shared" si="24"/>
        <v>Photo</v>
      </c>
      <c r="N1226" s="279" t="s">
        <v>25</v>
      </c>
      <c r="O1226" t="str">
        <f t="shared" si="25"/>
        <v>1940 Jefferson Nickel</v>
      </c>
      <c r="P1226" s="235">
        <v>1940</v>
      </c>
      <c r="Q1226">
        <f>MATCH(P1226,NickelMintage!A:A,)</f>
        <v>9</v>
      </c>
      <c r="S1226" t="str" cm="1">
        <f t="array" ref="S1226">_xlfn.REGEXEXTRACT(E1226, "[0-9]{1,5}")</f>
        <v>1940</v>
      </c>
      <c r="T1226" t="s">
        <v>2473</v>
      </c>
      <c r="U1226" t="s">
        <v>3897</v>
      </c>
    </row>
    <row r="1227" spans="1:21">
      <c r="A1227" s="136">
        <v>2</v>
      </c>
      <c r="B1227" s="246">
        <v>1940</v>
      </c>
      <c r="C1227" s="247"/>
      <c r="D1227" s="247" t="s">
        <v>1962</v>
      </c>
      <c r="E1227" s="248" t="s">
        <v>461</v>
      </c>
      <c r="F1227" s="235" t="s">
        <v>4272</v>
      </c>
      <c r="G1227" s="248" t="s">
        <v>2579</v>
      </c>
      <c r="H1227" s="249">
        <v>0.05</v>
      </c>
      <c r="I1227" s="249">
        <v>0.1</v>
      </c>
      <c r="J1227" s="246">
        <v>1</v>
      </c>
      <c r="K1227" s="250"/>
      <c r="L1227" s="248"/>
      <c r="M1227" s="276" t="str">
        <f t="shared" si="24"/>
        <v>Photo</v>
      </c>
      <c r="N1227" s="279" t="s">
        <v>25</v>
      </c>
      <c r="O1227" t="str">
        <f t="shared" si="25"/>
        <v>1940 Jefferson Nickel</v>
      </c>
      <c r="P1227" s="235">
        <v>1940</v>
      </c>
      <c r="Q1227">
        <f>MATCH(P1227,NickelMintage!A:A,)</f>
        <v>9</v>
      </c>
      <c r="S1227" t="str" cm="1">
        <f t="array" ref="S1227">_xlfn.REGEXEXTRACT(E1227, "[0-9]{1,5}")</f>
        <v>1940</v>
      </c>
      <c r="T1227" t="s">
        <v>2473</v>
      </c>
      <c r="U1227" t="s">
        <v>3897</v>
      </c>
    </row>
    <row r="1228" spans="1:21">
      <c r="A1228" s="136">
        <v>2</v>
      </c>
      <c r="B1228" s="246">
        <v>1940</v>
      </c>
      <c r="C1228" s="247"/>
      <c r="D1228" s="247" t="s">
        <v>1962</v>
      </c>
      <c r="E1228" s="248" t="s">
        <v>462</v>
      </c>
      <c r="F1228" s="235" t="s">
        <v>4272</v>
      </c>
      <c r="G1228" s="248" t="s">
        <v>2579</v>
      </c>
      <c r="H1228" s="249">
        <v>0.05</v>
      </c>
      <c r="I1228" s="249">
        <v>0.1</v>
      </c>
      <c r="J1228" s="246">
        <v>1</v>
      </c>
      <c r="K1228" s="250"/>
      <c r="L1228" s="248"/>
      <c r="M1228" s="276" t="str">
        <f t="shared" si="24"/>
        <v>Photo</v>
      </c>
      <c r="N1228" s="279" t="s">
        <v>25</v>
      </c>
      <c r="O1228" t="str">
        <f t="shared" si="25"/>
        <v>1940 Jefferson Nickel</v>
      </c>
      <c r="P1228" s="235">
        <v>1940</v>
      </c>
      <c r="Q1228">
        <f>MATCH(P1228,NickelMintage!A:A,)</f>
        <v>9</v>
      </c>
      <c r="S1228" t="str" cm="1">
        <f t="array" ref="S1228">_xlfn.REGEXEXTRACT(E1228, "[0-9]{1,5}")</f>
        <v>1940</v>
      </c>
      <c r="T1228" t="s">
        <v>2473</v>
      </c>
      <c r="U1228" t="s">
        <v>3897</v>
      </c>
    </row>
    <row r="1229" spans="1:21">
      <c r="A1229" s="136">
        <v>2</v>
      </c>
      <c r="B1229" s="246">
        <v>1940</v>
      </c>
      <c r="C1229" s="247"/>
      <c r="D1229" s="247" t="s">
        <v>1962</v>
      </c>
      <c r="E1229" s="248" t="s">
        <v>464</v>
      </c>
      <c r="F1229" s="235" t="s">
        <v>4272</v>
      </c>
      <c r="G1229" s="248" t="s">
        <v>2579</v>
      </c>
      <c r="H1229" s="249">
        <v>0.05</v>
      </c>
      <c r="I1229" s="249">
        <v>0.1</v>
      </c>
      <c r="J1229" s="246">
        <v>1</v>
      </c>
      <c r="K1229" s="250"/>
      <c r="L1229" s="248"/>
      <c r="M1229" s="276" t="str">
        <f t="shared" si="24"/>
        <v>Photo</v>
      </c>
      <c r="N1229" s="279" t="s">
        <v>25</v>
      </c>
      <c r="O1229" t="str">
        <f t="shared" si="25"/>
        <v>1940 Jefferson Nickel</v>
      </c>
      <c r="P1229" s="235">
        <v>1940</v>
      </c>
      <c r="Q1229">
        <f>MATCH(P1229,NickelMintage!A:A,)</f>
        <v>9</v>
      </c>
      <c r="S1229" t="str" cm="1">
        <f t="array" ref="S1229">_xlfn.REGEXEXTRACT(E1229, "[0-9]{1,5}")</f>
        <v>1940</v>
      </c>
      <c r="T1229" t="s">
        <v>2473</v>
      </c>
      <c r="U1229" t="s">
        <v>3897</v>
      </c>
    </row>
    <row r="1230" spans="1:21">
      <c r="A1230" s="136">
        <v>2</v>
      </c>
      <c r="B1230" s="246">
        <v>1940</v>
      </c>
      <c r="C1230" s="247" t="s">
        <v>13</v>
      </c>
      <c r="D1230" s="247" t="s">
        <v>1962</v>
      </c>
      <c r="E1230" s="248" t="s">
        <v>465</v>
      </c>
      <c r="F1230" s="235" t="s">
        <v>4272</v>
      </c>
      <c r="G1230" s="248" t="s">
        <v>2579</v>
      </c>
      <c r="H1230" s="249">
        <v>0.05</v>
      </c>
      <c r="I1230" s="249">
        <v>0.1</v>
      </c>
      <c r="J1230" s="246">
        <v>1</v>
      </c>
      <c r="K1230" s="250"/>
      <c r="L1230" s="248"/>
      <c r="M1230" s="276" t="str">
        <f t="shared" si="24"/>
        <v>Photo</v>
      </c>
      <c r="N1230" s="279" t="s">
        <v>25</v>
      </c>
      <c r="O1230" t="str">
        <f t="shared" si="25"/>
        <v>1940-D Jefferson Nickel</v>
      </c>
      <c r="P1230" s="235" t="s">
        <v>836</v>
      </c>
      <c r="Q1230">
        <f>MATCH(P1230,NickelMintage!A:A,)</f>
        <v>10</v>
      </c>
      <c r="S1230" t="str" cm="1">
        <f t="array" ref="S1230">_xlfn.REGEXEXTRACT(E1230, "[0-9]{1,5}")</f>
        <v>1940</v>
      </c>
      <c r="T1230" t="s">
        <v>2473</v>
      </c>
      <c r="U1230" t="s">
        <v>3897</v>
      </c>
    </row>
    <row r="1231" spans="1:21">
      <c r="A1231" s="136">
        <v>2</v>
      </c>
      <c r="B1231" s="246">
        <v>1940</v>
      </c>
      <c r="C1231" s="247"/>
      <c r="D1231" s="247" t="s">
        <v>1962</v>
      </c>
      <c r="E1231" s="248" t="s">
        <v>467</v>
      </c>
      <c r="F1231" s="235" t="s">
        <v>4272</v>
      </c>
      <c r="G1231" s="248" t="s">
        <v>2579</v>
      </c>
      <c r="H1231" s="249">
        <v>0.05</v>
      </c>
      <c r="I1231" s="249">
        <v>0.05</v>
      </c>
      <c r="J1231" s="246">
        <v>1</v>
      </c>
      <c r="K1231" s="250"/>
      <c r="L1231" s="248"/>
      <c r="M1231" s="276" t="str">
        <f t="shared" si="24"/>
        <v>Photo</v>
      </c>
      <c r="N1231" s="279" t="s">
        <v>25</v>
      </c>
      <c r="O1231" t="str">
        <f t="shared" si="25"/>
        <v>1940 Jefferson Nickel</v>
      </c>
      <c r="P1231" s="235">
        <v>1940</v>
      </c>
      <c r="Q1231">
        <f>MATCH(P1231,NickelMintage!A:A,)</f>
        <v>9</v>
      </c>
      <c r="S1231" t="str" cm="1">
        <f t="array" ref="S1231">_xlfn.REGEXEXTRACT(E1231, "[0-9]{1,5}")</f>
        <v>1940</v>
      </c>
      <c r="T1231" t="s">
        <v>2473</v>
      </c>
      <c r="U1231" t="s">
        <v>3897</v>
      </c>
    </row>
    <row r="1232" spans="1:21">
      <c r="A1232" s="136">
        <v>2</v>
      </c>
      <c r="B1232" s="233">
        <v>1940</v>
      </c>
      <c r="C1232" s="234" t="s">
        <v>12</v>
      </c>
      <c r="D1232" s="247" t="s">
        <v>1962</v>
      </c>
      <c r="E1232" s="235" t="s">
        <v>2172</v>
      </c>
      <c r="F1232" s="235" t="s">
        <v>4272</v>
      </c>
      <c r="G1232" s="235" t="s">
        <v>2579</v>
      </c>
      <c r="H1232" s="236">
        <v>0.4</v>
      </c>
      <c r="I1232" s="236">
        <v>0.4</v>
      </c>
      <c r="J1232" s="233">
        <v>1</v>
      </c>
      <c r="K1232" s="237"/>
      <c r="L1232" s="235"/>
      <c r="M1232" s="276" t="str">
        <f t="shared" si="24"/>
        <v>Photo</v>
      </c>
      <c r="N1232" s="279" t="s">
        <v>25</v>
      </c>
      <c r="O1232" t="str">
        <f t="shared" si="25"/>
        <v>1940-S Jefferson Nickel</v>
      </c>
      <c r="P1232" s="235" t="s">
        <v>837</v>
      </c>
      <c r="Q1232">
        <f>MATCH(P1232,NickelMintage!A:A,)</f>
        <v>11</v>
      </c>
      <c r="S1232" t="str" cm="1">
        <f t="array" ref="S1232">_xlfn.REGEXEXTRACT(E1232, "[0-9]{1,5}")</f>
        <v>1940</v>
      </c>
      <c r="T1232" t="s">
        <v>2473</v>
      </c>
      <c r="U1232" t="s">
        <v>3897</v>
      </c>
    </row>
    <row r="1233" spans="1:21">
      <c r="A1233" s="136">
        <v>2</v>
      </c>
      <c r="B1233" s="246">
        <v>1941</v>
      </c>
      <c r="C1233" s="247"/>
      <c r="D1233" s="247" t="s">
        <v>1962</v>
      </c>
      <c r="E1233" s="248" t="s">
        <v>468</v>
      </c>
      <c r="F1233" s="235" t="s">
        <v>4272</v>
      </c>
      <c r="G1233" s="248" t="s">
        <v>2579</v>
      </c>
      <c r="H1233" s="249">
        <v>0.05</v>
      </c>
      <c r="I1233" s="249">
        <v>0.1</v>
      </c>
      <c r="J1233" s="246">
        <v>1</v>
      </c>
      <c r="K1233" s="250"/>
      <c r="L1233" s="248"/>
      <c r="M1233" s="276" t="str">
        <f t="shared" si="24"/>
        <v>Photo</v>
      </c>
      <c r="N1233" s="279" t="s">
        <v>25</v>
      </c>
      <c r="O1233" t="str">
        <f t="shared" si="25"/>
        <v>1941 Jefferson Nickel</v>
      </c>
      <c r="P1233" s="235">
        <v>1941</v>
      </c>
      <c r="Q1233">
        <f>MATCH(P1233,NickelMintage!A:A,)</f>
        <v>12</v>
      </c>
      <c r="S1233" t="str" cm="1">
        <f t="array" ref="S1233">_xlfn.REGEXEXTRACT(E1233, "[0-9]{1,5}")</f>
        <v>1941</v>
      </c>
      <c r="T1233" t="s">
        <v>2474</v>
      </c>
      <c r="U1233" t="s">
        <v>3897</v>
      </c>
    </row>
    <row r="1234" spans="1:21">
      <c r="A1234" s="136">
        <v>2</v>
      </c>
      <c r="B1234" s="246">
        <v>1941</v>
      </c>
      <c r="C1234" s="247"/>
      <c r="D1234" s="247" t="s">
        <v>1962</v>
      </c>
      <c r="E1234" s="248" t="s">
        <v>470</v>
      </c>
      <c r="F1234" s="235" t="s">
        <v>4272</v>
      </c>
      <c r="G1234" s="248" t="s">
        <v>2579</v>
      </c>
      <c r="H1234" s="249">
        <v>0.05</v>
      </c>
      <c r="I1234" s="249">
        <v>0.1</v>
      </c>
      <c r="J1234" s="246">
        <v>1</v>
      </c>
      <c r="K1234" s="250"/>
      <c r="L1234" s="248"/>
      <c r="M1234" s="276" t="str">
        <f t="shared" si="24"/>
        <v>Photo</v>
      </c>
      <c r="N1234" s="279" t="s">
        <v>25</v>
      </c>
      <c r="O1234" t="str">
        <f t="shared" si="25"/>
        <v>1941 Jefferson Nickel</v>
      </c>
      <c r="P1234" s="235">
        <v>1941</v>
      </c>
      <c r="Q1234">
        <f>MATCH(P1234,NickelMintage!A:A,)</f>
        <v>12</v>
      </c>
      <c r="S1234" t="str" cm="1">
        <f t="array" ref="S1234">_xlfn.REGEXEXTRACT(E1234, "[0-9]{1,5}")</f>
        <v>1941</v>
      </c>
      <c r="T1234" t="s">
        <v>2474</v>
      </c>
      <c r="U1234" t="s">
        <v>3897</v>
      </c>
    </row>
    <row r="1235" spans="1:21">
      <c r="A1235" s="136">
        <v>2</v>
      </c>
      <c r="B1235" s="246">
        <v>1941</v>
      </c>
      <c r="C1235" s="247"/>
      <c r="D1235" s="247" t="s">
        <v>1962</v>
      </c>
      <c r="E1235" s="248" t="s">
        <v>471</v>
      </c>
      <c r="F1235" s="235" t="s">
        <v>4272</v>
      </c>
      <c r="G1235" s="248" t="s">
        <v>2579</v>
      </c>
      <c r="H1235" s="249">
        <v>0.05</v>
      </c>
      <c r="I1235" s="249">
        <v>0.1</v>
      </c>
      <c r="J1235" s="246">
        <v>1</v>
      </c>
      <c r="K1235" s="250"/>
      <c r="L1235" s="248"/>
      <c r="M1235" s="276" t="str">
        <f t="shared" si="24"/>
        <v>Photo</v>
      </c>
      <c r="N1235" s="279" t="s">
        <v>25</v>
      </c>
      <c r="O1235" t="str">
        <f t="shared" si="25"/>
        <v>1941 Jefferson Nickel</v>
      </c>
      <c r="P1235" s="235">
        <v>1941</v>
      </c>
      <c r="Q1235">
        <f>MATCH(P1235,NickelMintage!A:A,)</f>
        <v>12</v>
      </c>
      <c r="S1235" t="str" cm="1">
        <f t="array" ref="S1235">_xlfn.REGEXEXTRACT(E1235, "[0-9]{1,5}")</f>
        <v>1941</v>
      </c>
      <c r="T1235" t="s">
        <v>2474</v>
      </c>
      <c r="U1235" t="s">
        <v>3897</v>
      </c>
    </row>
    <row r="1236" spans="1:21">
      <c r="A1236" s="136">
        <v>2</v>
      </c>
      <c r="B1236" s="246">
        <v>1941</v>
      </c>
      <c r="C1236" s="247"/>
      <c r="D1236" s="247" t="s">
        <v>1962</v>
      </c>
      <c r="E1236" s="248" t="s">
        <v>472</v>
      </c>
      <c r="F1236" s="235" t="s">
        <v>4272</v>
      </c>
      <c r="G1236" s="248" t="s">
        <v>2579</v>
      </c>
      <c r="H1236" s="249">
        <v>0.05</v>
      </c>
      <c r="I1236" s="249">
        <v>0.1</v>
      </c>
      <c r="J1236" s="246">
        <v>1</v>
      </c>
      <c r="K1236" s="250"/>
      <c r="L1236" s="248"/>
      <c r="M1236" s="276" t="str">
        <f t="shared" si="24"/>
        <v>Photo</v>
      </c>
      <c r="N1236" s="279" t="s">
        <v>25</v>
      </c>
      <c r="O1236" t="str">
        <f t="shared" si="25"/>
        <v>1941 Jefferson Nickel</v>
      </c>
      <c r="P1236" s="235">
        <v>1941</v>
      </c>
      <c r="Q1236">
        <f>MATCH(P1236,NickelMintage!A:A,)</f>
        <v>12</v>
      </c>
      <c r="S1236" t="str" cm="1">
        <f t="array" ref="S1236">_xlfn.REGEXEXTRACT(E1236, "[0-9]{1,5}")</f>
        <v>1941</v>
      </c>
      <c r="T1236" t="s">
        <v>2474</v>
      </c>
      <c r="U1236" t="s">
        <v>3897</v>
      </c>
    </row>
    <row r="1237" spans="1:21">
      <c r="A1237" s="136">
        <v>2</v>
      </c>
      <c r="B1237" s="246">
        <v>1941</v>
      </c>
      <c r="C1237" s="247" t="s">
        <v>13</v>
      </c>
      <c r="D1237" s="247" t="s">
        <v>1962</v>
      </c>
      <c r="E1237" s="248" t="s">
        <v>474</v>
      </c>
      <c r="F1237" s="235" t="s">
        <v>4272</v>
      </c>
      <c r="G1237" s="248" t="s">
        <v>2579</v>
      </c>
      <c r="H1237" s="249">
        <v>0.05</v>
      </c>
      <c r="I1237" s="249">
        <v>0.1</v>
      </c>
      <c r="J1237" s="246">
        <v>1</v>
      </c>
      <c r="K1237" s="250"/>
      <c r="L1237" s="248"/>
      <c r="M1237" s="276" t="str">
        <f t="shared" si="24"/>
        <v>Photo</v>
      </c>
      <c r="N1237" s="279" t="s">
        <v>25</v>
      </c>
      <c r="O1237" t="str">
        <f t="shared" si="25"/>
        <v>1941-D Jefferson Nickel</v>
      </c>
      <c r="P1237" s="235" t="s">
        <v>838</v>
      </c>
      <c r="Q1237">
        <f>MATCH(P1237,NickelMintage!A:A,)</f>
        <v>13</v>
      </c>
      <c r="S1237" t="str" cm="1">
        <f t="array" ref="S1237">_xlfn.REGEXEXTRACT(E1237, "[0-9]{1,5}")</f>
        <v>1941</v>
      </c>
      <c r="T1237" t="s">
        <v>2474</v>
      </c>
      <c r="U1237" t="s">
        <v>3897</v>
      </c>
    </row>
    <row r="1238" spans="1:21">
      <c r="A1238" s="136">
        <v>2</v>
      </c>
      <c r="B1238" s="246">
        <v>1941</v>
      </c>
      <c r="C1238" s="247"/>
      <c r="D1238" s="247" t="s">
        <v>1962</v>
      </c>
      <c r="E1238" s="248" t="s">
        <v>476</v>
      </c>
      <c r="F1238" s="235" t="s">
        <v>4272</v>
      </c>
      <c r="G1238" s="248" t="s">
        <v>2579</v>
      </c>
      <c r="H1238" s="249">
        <v>0.05</v>
      </c>
      <c r="I1238" s="249">
        <v>0.05</v>
      </c>
      <c r="J1238" s="246">
        <v>1</v>
      </c>
      <c r="K1238" s="250"/>
      <c r="L1238" s="248"/>
      <c r="M1238" s="276" t="str">
        <f t="shared" si="24"/>
        <v>Photo</v>
      </c>
      <c r="N1238" s="279" t="s">
        <v>25</v>
      </c>
      <c r="O1238" t="str">
        <f t="shared" si="25"/>
        <v>1941 Jefferson Nickel</v>
      </c>
      <c r="P1238" s="235">
        <v>1941</v>
      </c>
      <c r="Q1238">
        <f>MATCH(P1238,NickelMintage!A:A,)</f>
        <v>12</v>
      </c>
      <c r="S1238" t="str" cm="1">
        <f t="array" ref="S1238">_xlfn.REGEXEXTRACT(E1238, "[0-9]{1,5}")</f>
        <v>1941</v>
      </c>
      <c r="T1238" t="s">
        <v>2474</v>
      </c>
      <c r="U1238" t="s">
        <v>3897</v>
      </c>
    </row>
    <row r="1239" spans="1:21">
      <c r="A1239" s="136">
        <v>2</v>
      </c>
      <c r="B1239" s="233">
        <v>1941</v>
      </c>
      <c r="C1239" s="234" t="s">
        <v>12</v>
      </c>
      <c r="D1239" s="247" t="s">
        <v>1962</v>
      </c>
      <c r="E1239" s="235" t="s">
        <v>2173</v>
      </c>
      <c r="F1239" s="235" t="s">
        <v>4272</v>
      </c>
      <c r="G1239" s="235" t="s">
        <v>2579</v>
      </c>
      <c r="H1239" s="236">
        <v>0.4</v>
      </c>
      <c r="I1239" s="236">
        <v>0.4</v>
      </c>
      <c r="J1239" s="233">
        <v>1</v>
      </c>
      <c r="K1239" s="237"/>
      <c r="L1239" s="235"/>
      <c r="M1239" s="276" t="str">
        <f t="shared" si="24"/>
        <v>Photo</v>
      </c>
      <c r="N1239" s="279" t="s">
        <v>25</v>
      </c>
      <c r="O1239" t="str">
        <f t="shared" si="25"/>
        <v>1941-S Jefferson Nickel</v>
      </c>
      <c r="P1239" s="235" t="s">
        <v>839</v>
      </c>
      <c r="Q1239">
        <f>MATCH(P1239,NickelMintage!A:A,)</f>
        <v>14</v>
      </c>
      <c r="S1239" t="str" cm="1">
        <f t="array" ref="S1239">_xlfn.REGEXEXTRACT(E1239, "[0-9]{1,5}")</f>
        <v>1941</v>
      </c>
      <c r="T1239" t="s">
        <v>2474</v>
      </c>
      <c r="U1239" t="s">
        <v>3897</v>
      </c>
    </row>
    <row r="1240" spans="1:21">
      <c r="A1240" s="136">
        <v>2</v>
      </c>
      <c r="B1240" s="233">
        <v>1942</v>
      </c>
      <c r="C1240" s="234"/>
      <c r="D1240" s="247" t="s">
        <v>1962</v>
      </c>
      <c r="E1240" s="235" t="s">
        <v>2174</v>
      </c>
      <c r="F1240" s="235" t="s">
        <v>4272</v>
      </c>
      <c r="G1240" s="235" t="s">
        <v>2579</v>
      </c>
      <c r="H1240" s="236">
        <v>0.3</v>
      </c>
      <c r="I1240" s="236">
        <v>0.3</v>
      </c>
      <c r="J1240" s="233">
        <v>1</v>
      </c>
      <c r="K1240" s="237"/>
      <c r="L1240" s="235"/>
      <c r="M1240" s="276" t="str">
        <f t="shared" si="24"/>
        <v>Photo</v>
      </c>
      <c r="N1240" s="279" t="s">
        <v>25</v>
      </c>
      <c r="O1240" t="str">
        <f t="shared" si="25"/>
        <v>1942 Jefferson Nickel</v>
      </c>
      <c r="P1240" s="235">
        <v>1942</v>
      </c>
      <c r="Q1240">
        <f>MATCH(P1240,NickelMintage!A:A,)</f>
        <v>15</v>
      </c>
      <c r="S1240" t="str" cm="1">
        <f t="array" ref="S1240">_xlfn.REGEXEXTRACT(E1240, "[0-9]{1,5}")</f>
        <v>1942</v>
      </c>
      <c r="T1240" t="s">
        <v>2475</v>
      </c>
      <c r="U1240" t="s">
        <v>3897</v>
      </c>
    </row>
    <row r="1241" spans="1:21">
      <c r="A1241" s="136">
        <v>2</v>
      </c>
      <c r="B1241" s="233">
        <v>1942</v>
      </c>
      <c r="C1241" s="234" t="s">
        <v>13</v>
      </c>
      <c r="D1241" s="247" t="s">
        <v>1962</v>
      </c>
      <c r="E1241" s="235" t="s">
        <v>2175</v>
      </c>
      <c r="F1241" s="235" t="s">
        <v>4272</v>
      </c>
      <c r="G1241" s="235" t="s">
        <v>2579</v>
      </c>
      <c r="H1241" s="236">
        <v>0.5</v>
      </c>
      <c r="I1241" s="236">
        <v>0.5</v>
      </c>
      <c r="J1241" s="233">
        <v>1</v>
      </c>
      <c r="K1241" s="237"/>
      <c r="L1241" s="235"/>
      <c r="M1241" s="276" t="str">
        <f t="shared" si="24"/>
        <v>Photo</v>
      </c>
      <c r="N1241" s="279" t="s">
        <v>25</v>
      </c>
      <c r="O1241" t="str">
        <f t="shared" si="25"/>
        <v>1942-D Jefferson Nickel</v>
      </c>
      <c r="P1241" s="235" t="s">
        <v>840</v>
      </c>
      <c r="Q1241">
        <f>MATCH(P1241,NickelMintage!A:A,)</f>
        <v>16</v>
      </c>
      <c r="S1241" t="str" cm="1">
        <f t="array" ref="S1241">_xlfn.REGEXEXTRACT(E1241, "[0-9]{1,5}")</f>
        <v>1942</v>
      </c>
      <c r="T1241" t="s">
        <v>2475</v>
      </c>
      <c r="U1241" t="s">
        <v>3897</v>
      </c>
    </row>
    <row r="1242" spans="1:21">
      <c r="A1242" s="136">
        <v>2</v>
      </c>
      <c r="B1242" s="233">
        <v>1942</v>
      </c>
      <c r="C1242" s="234" t="s">
        <v>12</v>
      </c>
      <c r="D1242" s="247" t="s">
        <v>1962</v>
      </c>
      <c r="E1242" s="235" t="s">
        <v>2176</v>
      </c>
      <c r="F1242" s="235" t="s">
        <v>4272</v>
      </c>
      <c r="G1242" s="235" t="s">
        <v>2579</v>
      </c>
      <c r="H1242" s="236">
        <v>1.75</v>
      </c>
      <c r="I1242" s="236">
        <v>1.75</v>
      </c>
      <c r="J1242" s="233">
        <v>1</v>
      </c>
      <c r="K1242" s="237"/>
      <c r="L1242" s="235"/>
      <c r="M1242" s="276" t="str">
        <f t="shared" si="24"/>
        <v>Photo</v>
      </c>
      <c r="N1242" s="279" t="s">
        <v>25</v>
      </c>
      <c r="O1242" t="str">
        <f t="shared" si="25"/>
        <v>1942-S Jefferson Nickel</v>
      </c>
      <c r="P1242" s="235" t="s">
        <v>843</v>
      </c>
      <c r="Q1242">
        <f>MATCH(P1242,NickelMintage!A:A,)</f>
        <v>18</v>
      </c>
      <c r="S1242" t="str" cm="1">
        <f t="array" ref="S1242">_xlfn.REGEXEXTRACT(E1242, "[0-9]{1,5}")</f>
        <v>1942</v>
      </c>
      <c r="T1242" t="s">
        <v>2475</v>
      </c>
      <c r="U1242" t="s">
        <v>3897</v>
      </c>
    </row>
    <row r="1243" spans="1:21">
      <c r="A1243" s="136">
        <v>2</v>
      </c>
      <c r="B1243" s="246">
        <v>1943</v>
      </c>
      <c r="C1243" s="247" t="s">
        <v>25</v>
      </c>
      <c r="D1243" s="247" t="s">
        <v>1962</v>
      </c>
      <c r="E1243" s="248" t="s">
        <v>477</v>
      </c>
      <c r="F1243" s="235" t="s">
        <v>4272</v>
      </c>
      <c r="G1243" s="248" t="s">
        <v>2579</v>
      </c>
      <c r="H1243" s="249">
        <v>0.05</v>
      </c>
      <c r="I1243" s="249">
        <v>0.05</v>
      </c>
      <c r="J1243" s="246">
        <v>1</v>
      </c>
      <c r="K1243" s="250"/>
      <c r="L1243" s="248"/>
      <c r="M1243" s="276" t="str">
        <f t="shared" si="24"/>
        <v>Photo</v>
      </c>
      <c r="N1243" s="279" t="s">
        <v>25</v>
      </c>
      <c r="O1243" t="str">
        <f t="shared" si="25"/>
        <v>1943-P Jefferson Nickel</v>
      </c>
      <c r="P1243" s="235" t="s">
        <v>844</v>
      </c>
      <c r="Q1243">
        <f>MATCH(P1243,NickelMintage!A:A,)</f>
        <v>19</v>
      </c>
      <c r="S1243" t="str" cm="1">
        <f t="array" ref="S1243">_xlfn.REGEXEXTRACT(E1243, "[0-9]{1,5}")</f>
        <v>1943</v>
      </c>
      <c r="T1243" t="s">
        <v>4181</v>
      </c>
      <c r="U1243" t="s">
        <v>3897</v>
      </c>
    </row>
    <row r="1244" spans="1:21">
      <c r="A1244" s="136">
        <v>2</v>
      </c>
      <c r="B1244" s="233">
        <v>1943</v>
      </c>
      <c r="C1244" s="234" t="s">
        <v>13</v>
      </c>
      <c r="D1244" s="247" t="s">
        <v>1962</v>
      </c>
      <c r="E1244" s="235" t="s">
        <v>2177</v>
      </c>
      <c r="F1244" s="235" t="s">
        <v>4272</v>
      </c>
      <c r="G1244" s="235" t="s">
        <v>2579</v>
      </c>
      <c r="H1244" s="236">
        <v>1.75</v>
      </c>
      <c r="I1244" s="236">
        <v>1.75</v>
      </c>
      <c r="J1244" s="233">
        <v>1</v>
      </c>
      <c r="K1244" s="237" t="s">
        <v>1585</v>
      </c>
      <c r="L1244" s="235"/>
      <c r="M1244" s="276" t="str">
        <f t="shared" si="24"/>
        <v>Photo</v>
      </c>
      <c r="N1244" s="279" t="s">
        <v>25</v>
      </c>
      <c r="O1244" t="str">
        <f t="shared" si="25"/>
        <v>1943-D Jefferson Nickel</v>
      </c>
      <c r="P1244" s="235" t="s">
        <v>845</v>
      </c>
      <c r="Q1244">
        <f>MATCH(P1244,NickelMintage!A:A,)</f>
        <v>20</v>
      </c>
      <c r="S1244" t="str" cm="1">
        <f t="array" ref="S1244">_xlfn.REGEXEXTRACT(E1244, "[0-9]{1,5}")</f>
        <v>1943</v>
      </c>
      <c r="T1244" t="s">
        <v>4181</v>
      </c>
      <c r="U1244" t="s">
        <v>3897</v>
      </c>
    </row>
    <row r="1245" spans="1:21">
      <c r="A1245" s="136">
        <v>2</v>
      </c>
      <c r="B1245" s="233">
        <v>1943</v>
      </c>
      <c r="C1245" s="234" t="s">
        <v>13</v>
      </c>
      <c r="D1245" s="247" t="s">
        <v>1962</v>
      </c>
      <c r="E1245" s="235" t="s">
        <v>2178</v>
      </c>
      <c r="F1245" s="235" t="s">
        <v>4272</v>
      </c>
      <c r="G1245" s="235" t="s">
        <v>2579</v>
      </c>
      <c r="H1245" s="236">
        <v>2</v>
      </c>
      <c r="I1245" s="236">
        <v>2</v>
      </c>
      <c r="J1245" s="233">
        <v>1</v>
      </c>
      <c r="K1245" s="237" t="s">
        <v>1585</v>
      </c>
      <c r="L1245" s="235"/>
      <c r="M1245" s="276" t="str">
        <f t="shared" si="24"/>
        <v>Photo</v>
      </c>
      <c r="N1245" s="279" t="s">
        <v>25</v>
      </c>
      <c r="O1245" t="str">
        <f t="shared" si="25"/>
        <v>1943-D Jefferson Nickel</v>
      </c>
      <c r="P1245" s="235" t="s">
        <v>845</v>
      </c>
      <c r="Q1245">
        <f>MATCH(P1245,NickelMintage!A:A,)</f>
        <v>20</v>
      </c>
      <c r="S1245" t="str" cm="1">
        <f t="array" ref="S1245">_xlfn.REGEXEXTRACT(E1245, "[0-9]{1,5}")</f>
        <v>1943</v>
      </c>
      <c r="T1245" t="s">
        <v>4181</v>
      </c>
      <c r="U1245" t="s">
        <v>3897</v>
      </c>
    </row>
    <row r="1246" spans="1:21">
      <c r="A1246" s="136">
        <v>2</v>
      </c>
      <c r="B1246" s="270">
        <v>1943</v>
      </c>
      <c r="C1246" s="234" t="s">
        <v>12</v>
      </c>
      <c r="D1246" s="257" t="s">
        <v>1962</v>
      </c>
      <c r="E1246" s="235" t="s">
        <v>5595</v>
      </c>
      <c r="F1246" s="235" t="s">
        <v>4272</v>
      </c>
      <c r="G1246" s="3" t="s">
        <v>2587</v>
      </c>
      <c r="H1246" s="236">
        <v>2.5</v>
      </c>
      <c r="I1246" s="236">
        <v>2.5</v>
      </c>
      <c r="J1246" s="233">
        <v>1</v>
      </c>
      <c r="N1246" s="279"/>
      <c r="O1246" t="str">
        <f t="shared" si="25"/>
        <v>1943-S Jefferson Nickel</v>
      </c>
      <c r="P1246" s="235" t="s">
        <v>847</v>
      </c>
      <c r="Q1246">
        <f>MATCH(P1246,NickelMintage!A:A,)</f>
        <v>22</v>
      </c>
      <c r="S1246" t="str" cm="1">
        <f t="array" ref="S1246">_xlfn.REGEXEXTRACT(E1246, "[0-9]{1,5}")</f>
        <v>1943</v>
      </c>
      <c r="T1246" t="s">
        <v>4182</v>
      </c>
      <c r="U1246" t="s">
        <v>3897</v>
      </c>
    </row>
    <row r="1247" spans="1:21">
      <c r="A1247" s="136">
        <v>2</v>
      </c>
      <c r="B1247" s="246">
        <v>1944</v>
      </c>
      <c r="C1247" s="247" t="s">
        <v>25</v>
      </c>
      <c r="D1247" s="247" t="s">
        <v>1962</v>
      </c>
      <c r="E1247" s="248" t="s">
        <v>479</v>
      </c>
      <c r="F1247" s="235" t="s">
        <v>4272</v>
      </c>
      <c r="G1247" s="248" t="s">
        <v>2579</v>
      </c>
      <c r="H1247" s="249">
        <v>0.05</v>
      </c>
      <c r="I1247" s="249">
        <v>0.1</v>
      </c>
      <c r="J1247" s="246">
        <v>1</v>
      </c>
      <c r="K1247" s="250" t="s">
        <v>1183</v>
      </c>
      <c r="L1247" s="248"/>
      <c r="M1247" s="276" t="str">
        <f t="shared" ref="M1247:M1268" si="26">HYPERLINK($Y$2&amp;E1247&amp;$AA$2,"Photo")</f>
        <v>Photo</v>
      </c>
      <c r="N1247" s="279" t="s">
        <v>25</v>
      </c>
      <c r="O1247" t="str">
        <f t="shared" si="25"/>
        <v>1944-P Jefferson Nickel</v>
      </c>
      <c r="P1247" s="235" t="s">
        <v>848</v>
      </c>
      <c r="Q1247">
        <f>MATCH(P1247,NickelMintage!A:A,)</f>
        <v>23</v>
      </c>
      <c r="S1247" t="str" cm="1">
        <f t="array" ref="S1247">_xlfn.REGEXEXTRACT(E1247, "[0-9]{1,5}")</f>
        <v>1944</v>
      </c>
      <c r="T1247" t="s">
        <v>4182</v>
      </c>
      <c r="U1247" t="s">
        <v>3897</v>
      </c>
    </row>
    <row r="1248" spans="1:21">
      <c r="A1248" s="136">
        <v>2</v>
      </c>
      <c r="B1248" s="233">
        <v>1944</v>
      </c>
      <c r="C1248" s="234" t="s">
        <v>13</v>
      </c>
      <c r="D1248" s="247" t="s">
        <v>1962</v>
      </c>
      <c r="E1248" s="235" t="s">
        <v>2179</v>
      </c>
      <c r="F1248" s="235" t="s">
        <v>4272</v>
      </c>
      <c r="G1248" s="235" t="s">
        <v>2579</v>
      </c>
      <c r="H1248" s="236">
        <v>1.75</v>
      </c>
      <c r="I1248" s="236">
        <v>1.75</v>
      </c>
      <c r="J1248" s="233">
        <v>1</v>
      </c>
      <c r="K1248" s="237" t="s">
        <v>1585</v>
      </c>
      <c r="L1248" s="235"/>
      <c r="M1248" s="276" t="str">
        <f t="shared" si="26"/>
        <v>Photo</v>
      </c>
      <c r="N1248" s="279" t="s">
        <v>25</v>
      </c>
      <c r="O1248" t="str">
        <f t="shared" si="25"/>
        <v>1944-D Jefferson Nickel</v>
      </c>
      <c r="P1248" s="235" t="s">
        <v>847</v>
      </c>
      <c r="Q1248">
        <f>MATCH(P1248,NickelMintage!A:A,)</f>
        <v>22</v>
      </c>
      <c r="S1248" t="str" cm="1">
        <f t="array" ref="S1248">_xlfn.REGEXEXTRACT(E1248, "[0-9]{1,5}")</f>
        <v>1944</v>
      </c>
      <c r="T1248" t="s">
        <v>4182</v>
      </c>
      <c r="U1248" t="s">
        <v>3897</v>
      </c>
    </row>
    <row r="1249" spans="1:21">
      <c r="A1249" s="136">
        <v>2</v>
      </c>
      <c r="B1249" s="246">
        <v>1944</v>
      </c>
      <c r="C1249" s="247" t="s">
        <v>25</v>
      </c>
      <c r="D1249" s="247" t="s">
        <v>1962</v>
      </c>
      <c r="E1249" s="248" t="s">
        <v>481</v>
      </c>
      <c r="F1249" s="235" t="s">
        <v>4272</v>
      </c>
      <c r="G1249" s="248" t="s">
        <v>2579</v>
      </c>
      <c r="H1249" s="249">
        <v>0.05</v>
      </c>
      <c r="I1249" s="249">
        <v>0.05</v>
      </c>
      <c r="J1249" s="246">
        <v>1</v>
      </c>
      <c r="K1249" s="250" t="s">
        <v>1183</v>
      </c>
      <c r="L1249" s="248"/>
      <c r="M1249" s="276" t="str">
        <f t="shared" si="26"/>
        <v>Photo</v>
      </c>
      <c r="N1249" s="279" t="s">
        <v>25</v>
      </c>
      <c r="O1249" t="str">
        <f t="shared" si="25"/>
        <v>1944-P Jefferson Nickel</v>
      </c>
      <c r="P1249" s="235" t="s">
        <v>849</v>
      </c>
      <c r="Q1249">
        <f>MATCH(P1249,NickelMintage!A:A,)</f>
        <v>24</v>
      </c>
      <c r="S1249" t="str" cm="1">
        <f t="array" ref="S1249">_xlfn.REGEXEXTRACT(E1249, "[0-9]{1,5}")</f>
        <v>1944</v>
      </c>
      <c r="T1249" t="s">
        <v>4182</v>
      </c>
      <c r="U1249" t="s">
        <v>3897</v>
      </c>
    </row>
    <row r="1250" spans="1:21">
      <c r="A1250" s="136">
        <v>2</v>
      </c>
      <c r="B1250" s="233">
        <v>1944</v>
      </c>
      <c r="C1250" s="234" t="s">
        <v>12</v>
      </c>
      <c r="D1250" s="247" t="s">
        <v>1962</v>
      </c>
      <c r="E1250" s="235" t="s">
        <v>2180</v>
      </c>
      <c r="F1250" s="235" t="s">
        <v>4272</v>
      </c>
      <c r="G1250" s="235" t="s">
        <v>2579</v>
      </c>
      <c r="H1250" s="236">
        <v>2</v>
      </c>
      <c r="I1250" s="236">
        <v>2</v>
      </c>
      <c r="J1250" s="233">
        <v>1</v>
      </c>
      <c r="K1250" s="237" t="s">
        <v>1585</v>
      </c>
      <c r="L1250" s="235"/>
      <c r="M1250" s="276" t="str">
        <f t="shared" si="26"/>
        <v>Photo</v>
      </c>
      <c r="N1250" s="279" t="s">
        <v>25</v>
      </c>
      <c r="O1250" t="str">
        <f t="shared" si="25"/>
        <v>1944-S Jefferson Nickel</v>
      </c>
      <c r="P1250" s="235" t="s">
        <v>852</v>
      </c>
      <c r="Q1250">
        <f>MATCH(P1250,NickelMintage!A:A,)</f>
        <v>27</v>
      </c>
      <c r="S1250" t="str" cm="1">
        <f t="array" ref="S1250">_xlfn.REGEXEXTRACT(E1250, "[0-9]{1,5}")</f>
        <v>1944</v>
      </c>
      <c r="T1250" t="s">
        <v>4183</v>
      </c>
      <c r="U1250" t="s">
        <v>3897</v>
      </c>
    </row>
    <row r="1251" spans="1:21">
      <c r="A1251" s="136">
        <v>2</v>
      </c>
      <c r="B1251" s="233">
        <v>1945</v>
      </c>
      <c r="C1251" s="234" t="s">
        <v>12</v>
      </c>
      <c r="D1251" s="247" t="s">
        <v>1962</v>
      </c>
      <c r="E1251" s="235" t="s">
        <v>2181</v>
      </c>
      <c r="F1251" s="235" t="s">
        <v>4272</v>
      </c>
      <c r="G1251" s="235" t="s">
        <v>2579</v>
      </c>
      <c r="H1251" s="236">
        <v>1.75</v>
      </c>
      <c r="I1251" s="236">
        <v>1.75</v>
      </c>
      <c r="J1251" s="233">
        <v>1</v>
      </c>
      <c r="K1251" s="237" t="s">
        <v>1585</v>
      </c>
      <c r="L1251" s="235"/>
      <c r="M1251" s="276" t="str">
        <f t="shared" si="26"/>
        <v>Photo</v>
      </c>
      <c r="N1251" s="279" t="s">
        <v>25</v>
      </c>
      <c r="O1251" t="str">
        <f t="shared" si="25"/>
        <v>1945-S Jefferson Nickel</v>
      </c>
      <c r="P1251" s="235" t="s">
        <v>851</v>
      </c>
      <c r="Q1251">
        <f>MATCH(P1251,NickelMintage!A:A,)</f>
        <v>26</v>
      </c>
      <c r="S1251" t="str" cm="1">
        <f t="array" ref="S1251">_xlfn.REGEXEXTRACT(E1251, "[0-9]{1,5}")</f>
        <v>1945</v>
      </c>
      <c r="T1251" t="s">
        <v>4183</v>
      </c>
      <c r="U1251" t="s">
        <v>3897</v>
      </c>
    </row>
    <row r="1252" spans="1:21">
      <c r="A1252" s="136">
        <v>2</v>
      </c>
      <c r="B1252" s="233">
        <v>1945</v>
      </c>
      <c r="C1252" s="234" t="s">
        <v>13</v>
      </c>
      <c r="D1252" s="247" t="s">
        <v>1962</v>
      </c>
      <c r="E1252" s="235" t="s">
        <v>2182</v>
      </c>
      <c r="F1252" s="235" t="s">
        <v>4272</v>
      </c>
      <c r="G1252" s="235" t="s">
        <v>2579</v>
      </c>
      <c r="H1252" s="236">
        <v>1.5</v>
      </c>
      <c r="I1252" s="236">
        <v>1.5</v>
      </c>
      <c r="J1252" s="233">
        <v>1</v>
      </c>
      <c r="K1252" s="237" t="s">
        <v>1183</v>
      </c>
      <c r="L1252" s="235"/>
      <c r="M1252" s="276" t="str">
        <f t="shared" si="26"/>
        <v>Photo</v>
      </c>
      <c r="N1252" s="279" t="s">
        <v>25</v>
      </c>
      <c r="O1252" t="str">
        <f t="shared" si="25"/>
        <v>1945-D Jefferson Nickel</v>
      </c>
      <c r="P1252" s="235" t="s">
        <v>850</v>
      </c>
      <c r="Q1252">
        <f>MATCH(P1252,NickelMintage!A:A,)</f>
        <v>25</v>
      </c>
      <c r="S1252" t="str" cm="1">
        <f t="array" ref="S1252">_xlfn.REGEXEXTRACT(E1252, "[0-9]{1,5}")</f>
        <v>1945</v>
      </c>
      <c r="T1252" t="s">
        <v>4183</v>
      </c>
      <c r="U1252" t="s">
        <v>3897</v>
      </c>
    </row>
    <row r="1253" spans="1:21">
      <c r="A1253" s="136">
        <v>2</v>
      </c>
      <c r="B1253" s="233">
        <v>1945</v>
      </c>
      <c r="C1253" s="234" t="s">
        <v>25</v>
      </c>
      <c r="D1253" s="247" t="s">
        <v>1962</v>
      </c>
      <c r="E1253" s="235" t="s">
        <v>2183</v>
      </c>
      <c r="F1253" s="235" t="s">
        <v>4272</v>
      </c>
      <c r="G1253" s="235" t="s">
        <v>2579</v>
      </c>
      <c r="H1253" s="236">
        <v>1.25</v>
      </c>
      <c r="I1253" s="236">
        <v>1.25</v>
      </c>
      <c r="J1253" s="233">
        <v>1</v>
      </c>
      <c r="K1253" s="237" t="s">
        <v>1585</v>
      </c>
      <c r="L1253" s="235"/>
      <c r="M1253" s="276" t="str">
        <f t="shared" si="26"/>
        <v>Photo</v>
      </c>
      <c r="N1253" s="279" t="s">
        <v>25</v>
      </c>
      <c r="O1253" t="str">
        <f t="shared" si="25"/>
        <v>1945-P Jefferson Nickel</v>
      </c>
      <c r="P1253" s="235">
        <v>1946</v>
      </c>
      <c r="Q1253">
        <f>MATCH(P1253,NickelMintage!A:A,)</f>
        <v>28</v>
      </c>
      <c r="S1253" t="str" cm="1">
        <f t="array" ref="S1253">_xlfn.REGEXEXTRACT(E1253, "[0-9]{1,5}")</f>
        <v>1945</v>
      </c>
      <c r="T1253" t="s">
        <v>992</v>
      </c>
      <c r="U1253" t="s">
        <v>3897</v>
      </c>
    </row>
    <row r="1254" spans="1:21">
      <c r="A1254" s="136">
        <v>2</v>
      </c>
      <c r="B1254" s="246">
        <v>1946</v>
      </c>
      <c r="C1254" s="247"/>
      <c r="D1254" s="247" t="s">
        <v>1962</v>
      </c>
      <c r="E1254" s="248" t="s">
        <v>483</v>
      </c>
      <c r="F1254" s="235" t="s">
        <v>4272</v>
      </c>
      <c r="G1254" s="248" t="s">
        <v>2579</v>
      </c>
      <c r="H1254" s="249">
        <v>0.05</v>
      </c>
      <c r="I1254" s="249">
        <v>0.1</v>
      </c>
      <c r="J1254" s="246">
        <v>1</v>
      </c>
      <c r="K1254" s="250"/>
      <c r="L1254" s="248"/>
      <c r="M1254" s="276" t="str">
        <f t="shared" si="26"/>
        <v>Photo</v>
      </c>
      <c r="N1254" s="279" t="s">
        <v>25</v>
      </c>
      <c r="O1254" t="str">
        <f t="shared" si="25"/>
        <v>1946 Jefferson Nickel</v>
      </c>
      <c r="P1254" s="235">
        <v>1946</v>
      </c>
      <c r="Q1254">
        <f>MATCH(P1254,NickelMintage!A:A,)</f>
        <v>28</v>
      </c>
      <c r="S1254" t="str" cm="1">
        <f t="array" ref="S1254">_xlfn.REGEXEXTRACT(E1254, "[0-9]{1,5}")</f>
        <v>1946</v>
      </c>
      <c r="T1254" t="s">
        <v>992</v>
      </c>
      <c r="U1254" t="s">
        <v>3897</v>
      </c>
    </row>
    <row r="1255" spans="1:21">
      <c r="A1255" s="136">
        <v>2</v>
      </c>
      <c r="B1255" s="246">
        <v>1946</v>
      </c>
      <c r="C1255" s="247"/>
      <c r="D1255" s="247" t="s">
        <v>1962</v>
      </c>
      <c r="E1255" s="248" t="s">
        <v>485</v>
      </c>
      <c r="F1255" s="235" t="s">
        <v>4272</v>
      </c>
      <c r="G1255" s="248" t="s">
        <v>2579</v>
      </c>
      <c r="H1255" s="249">
        <v>0.05</v>
      </c>
      <c r="I1255" s="249">
        <v>0.1</v>
      </c>
      <c r="J1255" s="246">
        <v>1</v>
      </c>
      <c r="K1255" s="250"/>
      <c r="L1255" s="248"/>
      <c r="M1255" s="276" t="str">
        <f t="shared" si="26"/>
        <v>Photo</v>
      </c>
      <c r="N1255" s="279" t="s">
        <v>25</v>
      </c>
      <c r="O1255" t="str">
        <f t="shared" si="25"/>
        <v>1946 Jefferson Nickel</v>
      </c>
      <c r="P1255" s="235">
        <v>1946</v>
      </c>
      <c r="Q1255">
        <f>MATCH(P1255,NickelMintage!A:A,)</f>
        <v>28</v>
      </c>
      <c r="S1255" t="str" cm="1">
        <f t="array" ref="S1255">_xlfn.REGEXEXTRACT(E1255, "[0-9]{1,5}")</f>
        <v>1946</v>
      </c>
      <c r="T1255" t="s">
        <v>992</v>
      </c>
      <c r="U1255" t="s">
        <v>3897</v>
      </c>
    </row>
    <row r="1256" spans="1:21">
      <c r="A1256" s="136">
        <v>2</v>
      </c>
      <c r="B1256" s="246">
        <v>1946</v>
      </c>
      <c r="C1256" s="247"/>
      <c r="D1256" s="247" t="s">
        <v>1962</v>
      </c>
      <c r="E1256" s="248" t="s">
        <v>486</v>
      </c>
      <c r="F1256" s="235" t="s">
        <v>4272</v>
      </c>
      <c r="G1256" s="248" t="s">
        <v>2579</v>
      </c>
      <c r="H1256" s="249">
        <v>0.05</v>
      </c>
      <c r="I1256" s="249">
        <v>0.1</v>
      </c>
      <c r="J1256" s="246">
        <v>1</v>
      </c>
      <c r="K1256" s="250"/>
      <c r="L1256" s="248"/>
      <c r="M1256" s="276" t="str">
        <f t="shared" si="26"/>
        <v>Photo</v>
      </c>
      <c r="N1256" s="279" t="s">
        <v>25</v>
      </c>
      <c r="O1256" t="str">
        <f t="shared" si="25"/>
        <v>1946 Jefferson Nickel</v>
      </c>
      <c r="P1256" s="235">
        <v>1946</v>
      </c>
      <c r="Q1256">
        <f>MATCH(P1256,NickelMintage!A:A,)</f>
        <v>28</v>
      </c>
      <c r="S1256" t="str" cm="1">
        <f t="array" ref="S1256">_xlfn.REGEXEXTRACT(E1256, "[0-9]{1,5}")</f>
        <v>1946</v>
      </c>
      <c r="T1256" t="s">
        <v>992</v>
      </c>
      <c r="U1256" t="s">
        <v>3897</v>
      </c>
    </row>
    <row r="1257" spans="1:21">
      <c r="A1257" s="136">
        <v>2</v>
      </c>
      <c r="B1257" s="246">
        <v>1946</v>
      </c>
      <c r="C1257" s="247"/>
      <c r="D1257" s="247" t="s">
        <v>1962</v>
      </c>
      <c r="E1257" s="248" t="s">
        <v>487</v>
      </c>
      <c r="F1257" s="235" t="s">
        <v>4272</v>
      </c>
      <c r="G1257" s="248" t="s">
        <v>2579</v>
      </c>
      <c r="H1257" s="249">
        <v>0.05</v>
      </c>
      <c r="I1257" s="249">
        <v>0.1</v>
      </c>
      <c r="J1257" s="246">
        <v>1</v>
      </c>
      <c r="K1257" s="250"/>
      <c r="L1257" s="248"/>
      <c r="M1257" s="276" t="str">
        <f t="shared" si="26"/>
        <v>Photo</v>
      </c>
      <c r="N1257" s="279" t="s">
        <v>25</v>
      </c>
      <c r="O1257" t="str">
        <f t="shared" si="25"/>
        <v>1946 Jefferson Nickel</v>
      </c>
      <c r="P1257" s="235">
        <v>1946</v>
      </c>
      <c r="Q1257">
        <f>MATCH(P1257,NickelMintage!A:A,)</f>
        <v>28</v>
      </c>
      <c r="S1257" t="str" cm="1">
        <f t="array" ref="S1257">_xlfn.REGEXEXTRACT(E1257, "[0-9]{1,5}")</f>
        <v>1946</v>
      </c>
      <c r="T1257" t="s">
        <v>992</v>
      </c>
      <c r="U1257" t="s">
        <v>3897</v>
      </c>
    </row>
    <row r="1258" spans="1:21">
      <c r="A1258" s="136">
        <v>2</v>
      </c>
      <c r="B1258" s="246">
        <v>1946</v>
      </c>
      <c r="C1258" s="247"/>
      <c r="D1258" s="247" t="s">
        <v>1962</v>
      </c>
      <c r="E1258" s="248" t="s">
        <v>488</v>
      </c>
      <c r="F1258" s="235" t="s">
        <v>4272</v>
      </c>
      <c r="G1258" s="248" t="s">
        <v>2579</v>
      </c>
      <c r="H1258" s="249">
        <v>0.05</v>
      </c>
      <c r="I1258" s="249">
        <v>0.1</v>
      </c>
      <c r="J1258" s="246">
        <v>1</v>
      </c>
      <c r="K1258" s="250"/>
      <c r="L1258" s="248"/>
      <c r="M1258" s="276" t="str">
        <f t="shared" si="26"/>
        <v>Photo</v>
      </c>
      <c r="N1258" s="279" t="s">
        <v>25</v>
      </c>
      <c r="O1258" t="str">
        <f t="shared" si="25"/>
        <v>1946 Jefferson Nickel</v>
      </c>
      <c r="P1258" s="235">
        <v>1946</v>
      </c>
      <c r="Q1258">
        <f>MATCH(P1258,NickelMintage!A:A,)</f>
        <v>28</v>
      </c>
      <c r="S1258" t="str" cm="1">
        <f t="array" ref="S1258">_xlfn.REGEXEXTRACT(E1258, "[0-9]{1,5}")</f>
        <v>1946</v>
      </c>
      <c r="T1258" t="s">
        <v>992</v>
      </c>
      <c r="U1258" t="s">
        <v>3897</v>
      </c>
    </row>
    <row r="1259" spans="1:21">
      <c r="A1259" s="136">
        <v>2</v>
      </c>
      <c r="B1259" s="246">
        <v>1946</v>
      </c>
      <c r="C1259" s="247"/>
      <c r="D1259" s="247" t="s">
        <v>1962</v>
      </c>
      <c r="E1259" s="248" t="s">
        <v>489</v>
      </c>
      <c r="F1259" s="235" t="s">
        <v>4272</v>
      </c>
      <c r="G1259" s="248" t="s">
        <v>2579</v>
      </c>
      <c r="H1259" s="249">
        <v>0.05</v>
      </c>
      <c r="I1259" s="249">
        <v>0.1</v>
      </c>
      <c r="J1259" s="246">
        <v>1</v>
      </c>
      <c r="K1259" s="250"/>
      <c r="L1259" s="248"/>
      <c r="M1259" s="276" t="str">
        <f t="shared" si="26"/>
        <v>Photo</v>
      </c>
      <c r="N1259" s="279" t="s">
        <v>25</v>
      </c>
      <c r="O1259" t="str">
        <f t="shared" si="25"/>
        <v>1946 Jefferson Nickel</v>
      </c>
      <c r="P1259" s="235">
        <v>1946</v>
      </c>
      <c r="Q1259">
        <f>MATCH(P1259,NickelMintage!A:A,)</f>
        <v>28</v>
      </c>
      <c r="S1259" t="str" cm="1">
        <f t="array" ref="S1259">_xlfn.REGEXEXTRACT(E1259, "[0-9]{1,5}")</f>
        <v>1946</v>
      </c>
      <c r="T1259" t="s">
        <v>992</v>
      </c>
      <c r="U1259" t="s">
        <v>3897</v>
      </c>
    </row>
    <row r="1260" spans="1:21">
      <c r="A1260" s="136">
        <v>2</v>
      </c>
      <c r="B1260" s="246">
        <v>1946</v>
      </c>
      <c r="C1260" s="247"/>
      <c r="D1260" s="247" t="s">
        <v>1962</v>
      </c>
      <c r="E1260" s="248" t="s">
        <v>490</v>
      </c>
      <c r="F1260" s="235" t="s">
        <v>4272</v>
      </c>
      <c r="G1260" s="248" t="s">
        <v>2579</v>
      </c>
      <c r="H1260" s="249">
        <v>0.05</v>
      </c>
      <c r="I1260" s="249">
        <v>0.1</v>
      </c>
      <c r="J1260" s="246">
        <v>1</v>
      </c>
      <c r="K1260" s="250"/>
      <c r="L1260" s="248"/>
      <c r="M1260" s="276" t="str">
        <f t="shared" si="26"/>
        <v>Photo</v>
      </c>
      <c r="N1260" s="279" t="s">
        <v>25</v>
      </c>
      <c r="O1260" t="str">
        <f t="shared" si="25"/>
        <v>1946 Jefferson Nickel</v>
      </c>
      <c r="P1260" s="235">
        <v>1946</v>
      </c>
      <c r="Q1260">
        <f>MATCH(P1260,NickelMintage!A:A,)</f>
        <v>28</v>
      </c>
      <c r="S1260" t="str" cm="1">
        <f t="array" ref="S1260">_xlfn.REGEXEXTRACT(E1260, "[0-9]{1,5}")</f>
        <v>1946</v>
      </c>
      <c r="T1260" t="s">
        <v>992</v>
      </c>
      <c r="U1260" t="s">
        <v>3897</v>
      </c>
    </row>
    <row r="1261" spans="1:21">
      <c r="A1261" s="136">
        <v>2</v>
      </c>
      <c r="B1261" s="246">
        <v>1946</v>
      </c>
      <c r="C1261" s="247"/>
      <c r="D1261" s="247" t="s">
        <v>1962</v>
      </c>
      <c r="E1261" s="248" t="s">
        <v>491</v>
      </c>
      <c r="F1261" s="235" t="s">
        <v>4272</v>
      </c>
      <c r="G1261" s="248" t="s">
        <v>2579</v>
      </c>
      <c r="H1261" s="249">
        <v>0.05</v>
      </c>
      <c r="I1261" s="249">
        <v>0.1</v>
      </c>
      <c r="J1261" s="246">
        <v>1</v>
      </c>
      <c r="K1261" s="250"/>
      <c r="L1261" s="248"/>
      <c r="M1261" s="276" t="str">
        <f t="shared" si="26"/>
        <v>Photo</v>
      </c>
      <c r="N1261" s="279" t="s">
        <v>25</v>
      </c>
      <c r="O1261" t="str">
        <f t="shared" si="25"/>
        <v>1946 Jefferson Nickel</v>
      </c>
      <c r="P1261" s="235">
        <v>1946</v>
      </c>
      <c r="Q1261">
        <f>MATCH(P1261,NickelMintage!A:A,)</f>
        <v>28</v>
      </c>
      <c r="S1261" t="str" cm="1">
        <f t="array" ref="S1261">_xlfn.REGEXEXTRACT(E1261, "[0-9]{1,5}")</f>
        <v>1946</v>
      </c>
      <c r="T1261" t="s">
        <v>992</v>
      </c>
      <c r="U1261" t="s">
        <v>3897</v>
      </c>
    </row>
    <row r="1262" spans="1:21">
      <c r="A1262" s="136">
        <v>2</v>
      </c>
      <c r="B1262" s="246">
        <v>1946</v>
      </c>
      <c r="C1262" s="247"/>
      <c r="D1262" s="247" t="s">
        <v>1962</v>
      </c>
      <c r="E1262" s="248" t="s">
        <v>492</v>
      </c>
      <c r="F1262" s="235" t="s">
        <v>4272</v>
      </c>
      <c r="G1262" s="248" t="s">
        <v>2579</v>
      </c>
      <c r="H1262" s="249">
        <v>0.05</v>
      </c>
      <c r="I1262" s="249">
        <v>0.1</v>
      </c>
      <c r="J1262" s="246">
        <v>1</v>
      </c>
      <c r="K1262" s="250"/>
      <c r="L1262" s="248"/>
      <c r="M1262" s="276" t="str">
        <f t="shared" si="26"/>
        <v>Photo</v>
      </c>
      <c r="N1262" s="279" t="s">
        <v>25</v>
      </c>
      <c r="O1262" t="str">
        <f t="shared" si="25"/>
        <v>1946 Jefferson Nickel</v>
      </c>
      <c r="P1262" s="235">
        <v>1946</v>
      </c>
      <c r="Q1262">
        <f>MATCH(P1262,NickelMintage!A:A,)</f>
        <v>28</v>
      </c>
      <c r="S1262" t="str" cm="1">
        <f t="array" ref="S1262">_xlfn.REGEXEXTRACT(E1262, "[0-9]{1,5}")</f>
        <v>1946</v>
      </c>
      <c r="T1262" t="s">
        <v>992</v>
      </c>
      <c r="U1262" t="s">
        <v>3897</v>
      </c>
    </row>
    <row r="1263" spans="1:21">
      <c r="A1263" s="136">
        <v>2</v>
      </c>
      <c r="B1263" s="246">
        <v>1946</v>
      </c>
      <c r="C1263" s="247"/>
      <c r="D1263" s="247" t="s">
        <v>1962</v>
      </c>
      <c r="E1263" s="248" t="s">
        <v>493</v>
      </c>
      <c r="F1263" s="235" t="s">
        <v>4272</v>
      </c>
      <c r="G1263" s="248" t="s">
        <v>2579</v>
      </c>
      <c r="H1263" s="249">
        <v>0.05</v>
      </c>
      <c r="I1263" s="249">
        <v>0.05</v>
      </c>
      <c r="J1263" s="246">
        <v>1</v>
      </c>
      <c r="K1263" s="250"/>
      <c r="L1263" s="248"/>
      <c r="M1263" s="276" t="str">
        <f t="shared" si="26"/>
        <v>Photo</v>
      </c>
      <c r="N1263" s="279" t="s">
        <v>25</v>
      </c>
      <c r="O1263" t="str">
        <f t="shared" si="25"/>
        <v>1946 Jefferson Nickel</v>
      </c>
      <c r="P1263" s="235" t="s">
        <v>854</v>
      </c>
      <c r="Q1263">
        <f>MATCH(P1263,NickelMintage!A:A,)</f>
        <v>30</v>
      </c>
      <c r="S1263" t="str" cm="1">
        <f t="array" ref="S1263">_xlfn.REGEXEXTRACT(E1263, "[0-9]{1,5}")</f>
        <v>1946</v>
      </c>
      <c r="T1263" t="s">
        <v>992</v>
      </c>
      <c r="U1263" t="s">
        <v>3897</v>
      </c>
    </row>
    <row r="1264" spans="1:21">
      <c r="A1264" s="136">
        <v>2</v>
      </c>
      <c r="B1264" s="233">
        <v>1946</v>
      </c>
      <c r="C1264" s="234" t="s">
        <v>12</v>
      </c>
      <c r="D1264" s="247" t="s">
        <v>1962</v>
      </c>
      <c r="E1264" s="235" t="s">
        <v>2184</v>
      </c>
      <c r="F1264" s="235" t="s">
        <v>4272</v>
      </c>
      <c r="G1264" s="235" t="s">
        <v>2579</v>
      </c>
      <c r="H1264" s="236">
        <v>0.4</v>
      </c>
      <c r="I1264" s="236">
        <v>0.4</v>
      </c>
      <c r="J1264" s="233">
        <v>1</v>
      </c>
      <c r="K1264" s="237"/>
      <c r="L1264" s="235"/>
      <c r="M1264" s="276" t="str">
        <f t="shared" si="26"/>
        <v>Photo</v>
      </c>
      <c r="N1264" s="279" t="s">
        <v>25</v>
      </c>
      <c r="O1264" t="str">
        <f t="shared" si="25"/>
        <v>1946-S Jefferson Nickel</v>
      </c>
      <c r="P1264" s="235" t="s">
        <v>853</v>
      </c>
      <c r="Q1264">
        <f>MATCH(P1264,NickelMintage!A:A,)</f>
        <v>29</v>
      </c>
      <c r="S1264" t="str" cm="1">
        <f t="array" ref="S1264">_xlfn.REGEXEXTRACT(E1264, "[0-9]{1,5}")</f>
        <v>1946</v>
      </c>
      <c r="T1264" t="s">
        <v>992</v>
      </c>
      <c r="U1264" t="s">
        <v>3897</v>
      </c>
    </row>
    <row r="1265" spans="1:21">
      <c r="A1265" s="136">
        <v>2</v>
      </c>
      <c r="B1265" s="233">
        <v>1946</v>
      </c>
      <c r="C1265" s="234" t="s">
        <v>13</v>
      </c>
      <c r="D1265" s="247" t="s">
        <v>1962</v>
      </c>
      <c r="E1265" s="235" t="s">
        <v>2185</v>
      </c>
      <c r="F1265" s="235" t="s">
        <v>4272</v>
      </c>
      <c r="G1265" s="235" t="s">
        <v>2579</v>
      </c>
      <c r="H1265" s="236">
        <v>0.5</v>
      </c>
      <c r="I1265" s="236">
        <v>0.5</v>
      </c>
      <c r="J1265" s="233">
        <v>1</v>
      </c>
      <c r="K1265" s="237"/>
      <c r="L1265" s="235"/>
      <c r="M1265" s="276" t="str">
        <f t="shared" si="26"/>
        <v>Photo</v>
      </c>
      <c r="N1265" s="279" t="s">
        <v>25</v>
      </c>
      <c r="O1265" t="str">
        <f t="shared" si="25"/>
        <v>1946-D Jefferson Nickel</v>
      </c>
      <c r="P1265" s="235">
        <v>1947</v>
      </c>
      <c r="Q1265">
        <f>MATCH(P1265,NickelMintage!A:A,)</f>
        <v>31</v>
      </c>
      <c r="S1265" t="str" cm="1">
        <f t="array" ref="S1265">_xlfn.REGEXEXTRACT(E1265, "[0-9]{1,5}")</f>
        <v>1946</v>
      </c>
      <c r="T1265" t="s">
        <v>2477</v>
      </c>
      <c r="U1265" t="s">
        <v>3897</v>
      </c>
    </row>
    <row r="1266" spans="1:21">
      <c r="A1266" s="136">
        <v>2</v>
      </c>
      <c r="B1266" s="246">
        <v>1947</v>
      </c>
      <c r="C1266" s="247"/>
      <c r="D1266" s="247" t="s">
        <v>1962</v>
      </c>
      <c r="E1266" s="248" t="s">
        <v>494</v>
      </c>
      <c r="F1266" s="235" t="s">
        <v>4272</v>
      </c>
      <c r="G1266" s="248" t="s">
        <v>2579</v>
      </c>
      <c r="H1266" s="249">
        <v>0.05</v>
      </c>
      <c r="I1266" s="249">
        <v>0.1</v>
      </c>
      <c r="J1266" s="246">
        <v>1</v>
      </c>
      <c r="K1266" s="250"/>
      <c r="L1266" s="248"/>
      <c r="M1266" s="276" t="str">
        <f t="shared" si="26"/>
        <v>Photo</v>
      </c>
      <c r="N1266" s="279" t="s">
        <v>25</v>
      </c>
      <c r="O1266" t="str">
        <f t="shared" si="25"/>
        <v>1947 Jefferson Nickel</v>
      </c>
      <c r="P1266" s="235" t="s">
        <v>855</v>
      </c>
      <c r="Q1266">
        <f>MATCH(P1266,NickelMintage!A:A,)</f>
        <v>32</v>
      </c>
      <c r="S1266" t="str" cm="1">
        <f t="array" ref="S1266">_xlfn.REGEXEXTRACT(E1266, "[0-9]{1,5}")</f>
        <v>1947</v>
      </c>
      <c r="T1266" t="s">
        <v>2477</v>
      </c>
      <c r="U1266" t="s">
        <v>3897</v>
      </c>
    </row>
    <row r="1267" spans="1:21">
      <c r="A1267" s="136">
        <v>2</v>
      </c>
      <c r="B1267" s="233">
        <v>1947</v>
      </c>
      <c r="C1267" s="234" t="s">
        <v>13</v>
      </c>
      <c r="D1267" s="247" t="s">
        <v>1962</v>
      </c>
      <c r="E1267" s="235" t="s">
        <v>2186</v>
      </c>
      <c r="F1267" s="235" t="s">
        <v>4272</v>
      </c>
      <c r="G1267" s="235" t="s">
        <v>2579</v>
      </c>
      <c r="H1267" s="236">
        <v>0.3</v>
      </c>
      <c r="I1267" s="236">
        <v>0.3</v>
      </c>
      <c r="J1267" s="233">
        <v>1</v>
      </c>
      <c r="K1267" s="237"/>
      <c r="L1267" s="235"/>
      <c r="M1267" s="276" t="str">
        <f t="shared" si="26"/>
        <v>Photo</v>
      </c>
      <c r="N1267" s="279" t="s">
        <v>25</v>
      </c>
      <c r="O1267" t="str">
        <f t="shared" si="25"/>
        <v>1947-D Jefferson Nickel</v>
      </c>
      <c r="P1267" s="235">
        <v>1947</v>
      </c>
      <c r="Q1267">
        <f>MATCH(P1267,NickelMintage!A:A,)</f>
        <v>31</v>
      </c>
      <c r="S1267" t="str" cm="1">
        <f t="array" ref="S1267">_xlfn.REGEXEXTRACT(E1267, "[0-9]{1,5}")</f>
        <v>1947</v>
      </c>
      <c r="T1267" t="s">
        <v>2477</v>
      </c>
      <c r="U1267" t="s">
        <v>3897</v>
      </c>
    </row>
    <row r="1268" spans="1:21">
      <c r="A1268" s="136">
        <v>2</v>
      </c>
      <c r="B1268" s="233">
        <v>1947</v>
      </c>
      <c r="C1268" s="234"/>
      <c r="D1268" s="234" t="s">
        <v>1962</v>
      </c>
      <c r="E1268" s="235" t="s">
        <v>2304</v>
      </c>
      <c r="F1268" s="235" t="s">
        <v>4272</v>
      </c>
      <c r="G1268" s="235" t="s">
        <v>2579</v>
      </c>
      <c r="H1268" s="236"/>
      <c r="I1268" s="236"/>
      <c r="J1268" s="233"/>
      <c r="K1268" s="237"/>
      <c r="L1268" s="235"/>
      <c r="M1268" s="276" t="str">
        <f t="shared" si="26"/>
        <v>Photo</v>
      </c>
      <c r="N1268" s="279"/>
      <c r="O1268" t="str">
        <f t="shared" si="25"/>
        <v>1947 Jefferson Nickel</v>
      </c>
      <c r="P1268" s="235">
        <v>1948</v>
      </c>
      <c r="Q1268">
        <f>MATCH(P1268,NickelMintage!A:A,)</f>
        <v>34</v>
      </c>
      <c r="S1268" t="str" cm="1">
        <f t="array" ref="S1268">_xlfn.REGEXEXTRACT(E1268, "[0-9]{1,5}")</f>
        <v>1947</v>
      </c>
      <c r="T1268" t="s">
        <v>2478</v>
      </c>
      <c r="U1268" t="s">
        <v>3897</v>
      </c>
    </row>
    <row r="1269" spans="1:21">
      <c r="A1269" s="136">
        <v>2</v>
      </c>
      <c r="B1269" s="270">
        <v>1947</v>
      </c>
      <c r="C1269" s="234" t="s">
        <v>12</v>
      </c>
      <c r="D1269" s="257" t="s">
        <v>1962</v>
      </c>
      <c r="E1269" s="235" t="s">
        <v>5596</v>
      </c>
      <c r="F1269" s="235" t="s">
        <v>4272</v>
      </c>
      <c r="G1269" s="3" t="s">
        <v>2587</v>
      </c>
      <c r="H1269" s="236">
        <v>0.5</v>
      </c>
      <c r="I1269" s="236">
        <v>0.5</v>
      </c>
      <c r="J1269" s="233">
        <v>1</v>
      </c>
      <c r="N1269" s="279"/>
      <c r="O1269" t="str">
        <f t="shared" si="25"/>
        <v>1947-S Jefferson Nickel</v>
      </c>
      <c r="P1269" s="235" t="s">
        <v>857</v>
      </c>
      <c r="Q1269">
        <f>MATCH(P1269,NickelMintage!A:A,)</f>
        <v>35</v>
      </c>
      <c r="S1269" t="str" cm="1">
        <f t="array" ref="S1269">_xlfn.REGEXEXTRACT(E1269, "[0-9]{1,5}")</f>
        <v>1947</v>
      </c>
      <c r="T1269" t="s">
        <v>2478</v>
      </c>
      <c r="U1269" t="s">
        <v>3897</v>
      </c>
    </row>
    <row r="1270" spans="1:21">
      <c r="A1270" s="136">
        <v>2</v>
      </c>
      <c r="B1270" s="246">
        <v>1948</v>
      </c>
      <c r="C1270" s="247"/>
      <c r="D1270" s="247" t="s">
        <v>1962</v>
      </c>
      <c r="E1270" s="248" t="s">
        <v>496</v>
      </c>
      <c r="F1270" s="235" t="s">
        <v>4272</v>
      </c>
      <c r="G1270" s="248" t="s">
        <v>2579</v>
      </c>
      <c r="H1270" s="249">
        <v>0.05</v>
      </c>
      <c r="I1270" s="249">
        <v>0.1</v>
      </c>
      <c r="J1270" s="246">
        <v>1</v>
      </c>
      <c r="K1270" s="250"/>
      <c r="L1270" s="248"/>
      <c r="M1270" s="276" t="str">
        <f t="shared" ref="M1270:M1284" si="27">HYPERLINK($Y$2&amp;E1270&amp;$AA$2,"Photo")</f>
        <v>Photo</v>
      </c>
      <c r="N1270" s="279" t="s">
        <v>25</v>
      </c>
      <c r="O1270" t="str">
        <f t="shared" si="25"/>
        <v>1948 Jefferson Nickel</v>
      </c>
      <c r="P1270" s="235" t="s">
        <v>858</v>
      </c>
      <c r="Q1270">
        <f>MATCH(P1270,NickelMintage!A:A,)</f>
        <v>36</v>
      </c>
      <c r="S1270" t="str" cm="1">
        <f t="array" ref="S1270">_xlfn.REGEXEXTRACT(E1270, "[0-9]{1,5}")</f>
        <v>1948</v>
      </c>
      <c r="T1270" t="s">
        <v>2478</v>
      </c>
      <c r="U1270" t="s">
        <v>3897</v>
      </c>
    </row>
    <row r="1271" spans="1:21">
      <c r="A1271" s="136">
        <v>2</v>
      </c>
      <c r="B1271" s="233">
        <v>1948</v>
      </c>
      <c r="C1271" s="234" t="s">
        <v>13</v>
      </c>
      <c r="D1271" s="247" t="s">
        <v>1962</v>
      </c>
      <c r="E1271" s="235" t="s">
        <v>2187</v>
      </c>
      <c r="F1271" s="235" t="s">
        <v>4272</v>
      </c>
      <c r="G1271" s="235" t="s">
        <v>2579</v>
      </c>
      <c r="H1271" s="236">
        <v>0.4</v>
      </c>
      <c r="I1271" s="236">
        <v>0.4</v>
      </c>
      <c r="J1271" s="233">
        <v>1</v>
      </c>
      <c r="K1271" s="237"/>
      <c r="L1271" s="235"/>
      <c r="M1271" s="276" t="str">
        <f t="shared" si="27"/>
        <v>Photo</v>
      </c>
      <c r="N1271" s="279" t="s">
        <v>25</v>
      </c>
      <c r="O1271" t="str">
        <f t="shared" si="25"/>
        <v>1948-D Jefferson Nickel</v>
      </c>
      <c r="P1271" s="235">
        <v>1949</v>
      </c>
      <c r="Q1271">
        <f>MATCH(P1271,NickelMintage!A:A,)</f>
        <v>37</v>
      </c>
      <c r="S1271" t="str" cm="1">
        <f t="array" ref="S1271">_xlfn.REGEXEXTRACT(E1271, "[0-9]{1,5}")</f>
        <v>1948</v>
      </c>
      <c r="T1271" t="s">
        <v>2479</v>
      </c>
      <c r="U1271" t="s">
        <v>3897</v>
      </c>
    </row>
    <row r="1272" spans="1:21">
      <c r="A1272" s="136">
        <v>2</v>
      </c>
      <c r="B1272" s="233">
        <v>1948</v>
      </c>
      <c r="C1272" s="234" t="s">
        <v>12</v>
      </c>
      <c r="D1272" s="247" t="s">
        <v>1962</v>
      </c>
      <c r="E1272" s="235" t="s">
        <v>2188</v>
      </c>
      <c r="F1272" s="235" t="s">
        <v>4272</v>
      </c>
      <c r="G1272" s="235" t="s">
        <v>2579</v>
      </c>
      <c r="H1272" s="236">
        <v>0.4</v>
      </c>
      <c r="I1272" s="236">
        <v>0.4</v>
      </c>
      <c r="J1272" s="233">
        <v>1</v>
      </c>
      <c r="K1272" s="237"/>
      <c r="L1272" s="235"/>
      <c r="M1272" s="276" t="str">
        <f t="shared" si="27"/>
        <v>Photo</v>
      </c>
      <c r="N1272" s="279" t="s">
        <v>25</v>
      </c>
      <c r="O1272" t="str">
        <f t="shared" si="25"/>
        <v>1948-S Jefferson Nickel</v>
      </c>
      <c r="P1272" s="235" t="s">
        <v>859</v>
      </c>
      <c r="Q1272">
        <f>MATCH(P1272,NickelMintage!A:A,)</f>
        <v>38</v>
      </c>
      <c r="S1272" t="str" cm="1">
        <f t="array" ref="S1272">_xlfn.REGEXEXTRACT(E1272, "[0-9]{1,5}")</f>
        <v>1948</v>
      </c>
      <c r="T1272" t="s">
        <v>2479</v>
      </c>
      <c r="U1272" t="s">
        <v>3897</v>
      </c>
    </row>
    <row r="1273" spans="1:21">
      <c r="A1273" s="136">
        <v>2</v>
      </c>
      <c r="B1273" s="246">
        <v>1949</v>
      </c>
      <c r="C1273" s="247"/>
      <c r="D1273" s="247" t="s">
        <v>1962</v>
      </c>
      <c r="E1273" s="248" t="s">
        <v>498</v>
      </c>
      <c r="F1273" s="235" t="s">
        <v>4272</v>
      </c>
      <c r="G1273" s="248" t="s">
        <v>2579</v>
      </c>
      <c r="H1273" s="249">
        <v>0.05</v>
      </c>
      <c r="I1273" s="249">
        <v>0.1</v>
      </c>
      <c r="J1273" s="246">
        <v>1</v>
      </c>
      <c r="K1273" s="250"/>
      <c r="L1273" s="248"/>
      <c r="M1273" s="276" t="str">
        <f t="shared" si="27"/>
        <v>Photo</v>
      </c>
      <c r="N1273" s="279" t="s">
        <v>25</v>
      </c>
      <c r="O1273" t="str">
        <f t="shared" si="25"/>
        <v>1949 Jefferson Nickel</v>
      </c>
      <c r="P1273" s="235" t="s">
        <v>860</v>
      </c>
      <c r="Q1273">
        <f>MATCH(P1273,NickelMintage!A:A,)</f>
        <v>39</v>
      </c>
      <c r="S1273" t="str" cm="1">
        <f t="array" ref="S1273">_xlfn.REGEXEXTRACT(E1273, "[0-9]{1,5}")</f>
        <v>1949</v>
      </c>
      <c r="T1273" t="s">
        <v>2479</v>
      </c>
      <c r="U1273" t="s">
        <v>3897</v>
      </c>
    </row>
    <row r="1274" spans="1:21">
      <c r="A1274" s="136">
        <v>2</v>
      </c>
      <c r="B1274" s="233">
        <v>1949</v>
      </c>
      <c r="C1274" s="234" t="s">
        <v>13</v>
      </c>
      <c r="D1274" s="247" t="s">
        <v>1962</v>
      </c>
      <c r="E1274" s="235" t="s">
        <v>2189</v>
      </c>
      <c r="F1274" s="235" t="s">
        <v>4272</v>
      </c>
      <c r="G1274" s="235" t="s">
        <v>2579</v>
      </c>
      <c r="H1274" s="236">
        <v>0.4</v>
      </c>
      <c r="I1274" s="236">
        <v>0.4</v>
      </c>
      <c r="J1274" s="233">
        <v>1</v>
      </c>
      <c r="K1274" s="237"/>
      <c r="L1274" s="235"/>
      <c r="M1274" s="276" t="str">
        <f t="shared" si="27"/>
        <v>Photo</v>
      </c>
      <c r="N1274" s="279" t="s">
        <v>25</v>
      </c>
      <c r="O1274" t="str">
        <f t="shared" si="25"/>
        <v>1949-D Jefferson Nickel</v>
      </c>
      <c r="P1274" s="235">
        <v>1950</v>
      </c>
      <c r="Q1274">
        <f>MATCH(P1274,NickelMintage!A:A,)</f>
        <v>40</v>
      </c>
      <c r="S1274" t="str" cm="1">
        <f t="array" ref="S1274">_xlfn.REGEXEXTRACT(E1274, "[0-9]{1,5}")</f>
        <v>1949</v>
      </c>
      <c r="T1274" t="s">
        <v>2480</v>
      </c>
      <c r="U1274" t="s">
        <v>3897</v>
      </c>
    </row>
    <row r="1275" spans="1:21">
      <c r="A1275" s="136">
        <v>2</v>
      </c>
      <c r="B1275" s="233">
        <v>1949</v>
      </c>
      <c r="C1275" s="234" t="s">
        <v>12</v>
      </c>
      <c r="D1275" s="247" t="s">
        <v>1962</v>
      </c>
      <c r="E1275" s="235" t="s">
        <v>2190</v>
      </c>
      <c r="F1275" s="235" t="s">
        <v>4272</v>
      </c>
      <c r="G1275" s="235" t="s">
        <v>2579</v>
      </c>
      <c r="H1275" s="236">
        <v>0.6</v>
      </c>
      <c r="I1275" s="236">
        <v>0.6</v>
      </c>
      <c r="J1275" s="233">
        <v>1</v>
      </c>
      <c r="K1275" s="237"/>
      <c r="L1275" s="235"/>
      <c r="M1275" s="276" t="str">
        <f t="shared" si="27"/>
        <v>Photo</v>
      </c>
      <c r="N1275" s="279" t="s">
        <v>25</v>
      </c>
      <c r="O1275" t="str">
        <f t="shared" si="25"/>
        <v>1949-S Jefferson Nickel</v>
      </c>
      <c r="P1275" s="235" t="s">
        <v>861</v>
      </c>
      <c r="Q1275">
        <f>MATCH(P1275,NickelMintage!A:A,)</f>
        <v>41</v>
      </c>
      <c r="S1275" t="str" cm="1">
        <f t="array" ref="S1275">_xlfn.REGEXEXTRACT(E1275, "[0-9]{1,5}")</f>
        <v>1949</v>
      </c>
      <c r="T1275" t="s">
        <v>2480</v>
      </c>
      <c r="U1275" t="s">
        <v>3897</v>
      </c>
    </row>
    <row r="1276" spans="1:21">
      <c r="A1276" s="136">
        <v>2</v>
      </c>
      <c r="B1276" s="233">
        <v>1950</v>
      </c>
      <c r="C1276" s="234"/>
      <c r="D1276" s="247" t="s">
        <v>1962</v>
      </c>
      <c r="E1276" s="235" t="s">
        <v>2191</v>
      </c>
      <c r="F1276" s="235" t="s">
        <v>4272</v>
      </c>
      <c r="G1276" s="235" t="s">
        <v>2579</v>
      </c>
      <c r="H1276" s="236">
        <v>0.5</v>
      </c>
      <c r="I1276" s="236">
        <v>0.5</v>
      </c>
      <c r="J1276" s="233">
        <v>1</v>
      </c>
      <c r="K1276" s="237"/>
      <c r="L1276" s="235"/>
      <c r="M1276" s="276" t="str">
        <f t="shared" si="27"/>
        <v>Photo</v>
      </c>
      <c r="N1276" s="279" t="s">
        <v>25</v>
      </c>
      <c r="O1276" t="str">
        <f t="shared" si="25"/>
        <v>1950 Jefferson Nickel</v>
      </c>
      <c r="P1276" s="235" t="s">
        <v>862</v>
      </c>
      <c r="Q1276">
        <f>MATCH(P1276,NickelMintage!A:A,)</f>
        <v>43</v>
      </c>
      <c r="S1276" t="str" cm="1">
        <f t="array" ref="S1276">_xlfn.REGEXEXTRACT(E1276, "[0-9]{1,5}")</f>
        <v>1950</v>
      </c>
      <c r="T1276" t="s">
        <v>2481</v>
      </c>
      <c r="U1276" t="s">
        <v>3897</v>
      </c>
    </row>
    <row r="1277" spans="1:21">
      <c r="A1277" s="136">
        <v>2</v>
      </c>
      <c r="B1277" s="233">
        <v>1950</v>
      </c>
      <c r="C1277" s="234" t="s">
        <v>13</v>
      </c>
      <c r="D1277" s="247" t="s">
        <v>1962</v>
      </c>
      <c r="E1277" s="235" t="s">
        <v>2192</v>
      </c>
      <c r="F1277" s="235" t="s">
        <v>4272</v>
      </c>
      <c r="G1277" s="235" t="s">
        <v>2579</v>
      </c>
      <c r="H1277" s="236">
        <v>11</v>
      </c>
      <c r="I1277" s="236">
        <v>11</v>
      </c>
      <c r="J1277" s="233">
        <v>1</v>
      </c>
      <c r="K1277" s="237"/>
      <c r="L1277" s="235"/>
      <c r="M1277" s="276" t="str">
        <f t="shared" si="27"/>
        <v>Photo</v>
      </c>
      <c r="N1277" s="279" t="s">
        <v>25</v>
      </c>
      <c r="O1277" t="str">
        <f t="shared" si="25"/>
        <v>1950-D Jefferson Nickel</v>
      </c>
      <c r="P1277" s="235">
        <v>1951</v>
      </c>
      <c r="Q1277">
        <f>MATCH(P1277,NickelMintage!A:A,)</f>
        <v>42</v>
      </c>
      <c r="S1277" t="str" cm="1">
        <f t="array" ref="S1277">_xlfn.REGEXEXTRACT(E1277, "[0-9]{1,5}")</f>
        <v>1950</v>
      </c>
      <c r="T1277" t="s">
        <v>2481</v>
      </c>
      <c r="U1277" t="s">
        <v>3897</v>
      </c>
    </row>
    <row r="1278" spans="1:21">
      <c r="A1278" s="136">
        <v>2</v>
      </c>
      <c r="B1278" s="233">
        <v>1951</v>
      </c>
      <c r="C1278" s="234" t="s">
        <v>13</v>
      </c>
      <c r="D1278" s="247" t="s">
        <v>1962</v>
      </c>
      <c r="E1278" s="235" t="s">
        <v>2193</v>
      </c>
      <c r="F1278" s="235" t="s">
        <v>4272</v>
      </c>
      <c r="G1278" s="235" t="s">
        <v>2579</v>
      </c>
      <c r="H1278" s="236">
        <v>0.4</v>
      </c>
      <c r="I1278" s="236">
        <v>0.4</v>
      </c>
      <c r="J1278" s="233">
        <v>1</v>
      </c>
      <c r="K1278" s="237"/>
      <c r="L1278" s="235"/>
      <c r="M1278" s="276" t="str">
        <f t="shared" si="27"/>
        <v>Photo</v>
      </c>
      <c r="N1278" s="279" t="s">
        <v>25</v>
      </c>
      <c r="O1278" t="str">
        <f t="shared" si="25"/>
        <v>1951-D Jefferson Nickel</v>
      </c>
      <c r="P1278" s="235" t="s">
        <v>863</v>
      </c>
      <c r="Q1278">
        <f>MATCH(P1278,NickelMintage!A:A,)</f>
        <v>44</v>
      </c>
      <c r="S1278" t="str" cm="1">
        <f t="array" ref="S1278">_xlfn.REGEXEXTRACT(E1278, "[0-9]{1,5}")</f>
        <v>1951</v>
      </c>
      <c r="T1278" t="s">
        <v>2481</v>
      </c>
      <c r="U1278" t="s">
        <v>3897</v>
      </c>
    </row>
    <row r="1279" spans="1:21">
      <c r="A1279" s="136">
        <v>2</v>
      </c>
      <c r="B1279" s="233">
        <v>1951</v>
      </c>
      <c r="C1279" s="234"/>
      <c r="D1279" s="247" t="s">
        <v>1962</v>
      </c>
      <c r="E1279" s="235" t="s">
        <v>2194</v>
      </c>
      <c r="F1279" s="235" t="s">
        <v>4272</v>
      </c>
      <c r="G1279" s="235" t="s">
        <v>2579</v>
      </c>
      <c r="H1279" s="236">
        <v>0.3</v>
      </c>
      <c r="I1279" s="236">
        <v>0.3</v>
      </c>
      <c r="J1279" s="233">
        <v>1</v>
      </c>
      <c r="K1279" s="237"/>
      <c r="L1279" s="235"/>
      <c r="M1279" s="276" t="str">
        <f t="shared" si="27"/>
        <v>Photo</v>
      </c>
      <c r="N1279" s="279" t="s">
        <v>25</v>
      </c>
      <c r="O1279" t="str">
        <f t="shared" si="25"/>
        <v>1951 Jefferson Nickel</v>
      </c>
      <c r="P1279" s="235">
        <v>1952</v>
      </c>
      <c r="Q1279">
        <f>MATCH(P1279,NickelMintage!A:A,)</f>
        <v>45</v>
      </c>
      <c r="S1279" t="str" cm="1">
        <f t="array" ref="S1279">_xlfn.REGEXEXTRACT(E1279, "[0-9]{1,5}")</f>
        <v>1951</v>
      </c>
      <c r="T1279" t="s">
        <v>2482</v>
      </c>
      <c r="U1279" t="s">
        <v>3897</v>
      </c>
    </row>
    <row r="1280" spans="1:21">
      <c r="A1280" s="136">
        <v>2</v>
      </c>
      <c r="B1280" s="233">
        <v>1951</v>
      </c>
      <c r="C1280" s="234" t="s">
        <v>12</v>
      </c>
      <c r="D1280" s="247" t="s">
        <v>1962</v>
      </c>
      <c r="E1280" s="235" t="s">
        <v>2195</v>
      </c>
      <c r="F1280" s="235" t="s">
        <v>4272</v>
      </c>
      <c r="G1280" s="235" t="s">
        <v>2579</v>
      </c>
      <c r="H1280" s="236">
        <v>0.3</v>
      </c>
      <c r="I1280" s="236">
        <v>0.3</v>
      </c>
      <c r="J1280" s="233">
        <v>1</v>
      </c>
      <c r="K1280" s="237"/>
      <c r="L1280" s="235"/>
      <c r="M1280" s="276" t="str">
        <f t="shared" si="27"/>
        <v>Photo</v>
      </c>
      <c r="N1280" s="279" t="s">
        <v>25</v>
      </c>
      <c r="O1280" t="str">
        <f t="shared" si="25"/>
        <v>1951-S Jefferson Nickel</v>
      </c>
      <c r="P1280" s="235">
        <v>1952</v>
      </c>
      <c r="Q1280">
        <f>MATCH(P1280,NickelMintage!A:A,)</f>
        <v>45</v>
      </c>
      <c r="S1280" t="str" cm="1">
        <f t="array" ref="S1280">_xlfn.REGEXEXTRACT(E1280, "[0-9]{1,5}")</f>
        <v>1951</v>
      </c>
      <c r="T1280" t="s">
        <v>2482</v>
      </c>
      <c r="U1280" t="s">
        <v>3897</v>
      </c>
    </row>
    <row r="1281" spans="1:21">
      <c r="A1281" s="136">
        <v>2</v>
      </c>
      <c r="B1281" s="246">
        <v>1952</v>
      </c>
      <c r="C1281" s="247"/>
      <c r="D1281" s="247" t="s">
        <v>1962</v>
      </c>
      <c r="E1281" s="248" t="s">
        <v>500</v>
      </c>
      <c r="F1281" s="235" t="s">
        <v>4272</v>
      </c>
      <c r="G1281" s="248" t="s">
        <v>2579</v>
      </c>
      <c r="H1281" s="249">
        <v>0.05</v>
      </c>
      <c r="I1281" s="249">
        <v>0.1</v>
      </c>
      <c r="J1281" s="246">
        <v>1</v>
      </c>
      <c r="K1281" s="250"/>
      <c r="L1281" s="248"/>
      <c r="M1281" s="276" t="str">
        <f t="shared" si="27"/>
        <v>Photo</v>
      </c>
      <c r="N1281" s="279" t="s">
        <v>25</v>
      </c>
      <c r="O1281" t="str">
        <f t="shared" si="25"/>
        <v>1952 Jefferson Nickel</v>
      </c>
      <c r="P1281" s="235">
        <v>1952</v>
      </c>
      <c r="Q1281">
        <f>MATCH(P1281,NickelMintage!A:A,)</f>
        <v>45</v>
      </c>
      <c r="S1281" t="str" cm="1">
        <f t="array" ref="S1281">_xlfn.REGEXEXTRACT(E1281, "[0-9]{1,5}")</f>
        <v>1952</v>
      </c>
      <c r="T1281" t="s">
        <v>2482</v>
      </c>
      <c r="U1281" t="s">
        <v>3897</v>
      </c>
    </row>
    <row r="1282" spans="1:21">
      <c r="A1282" s="136">
        <v>2</v>
      </c>
      <c r="B1282" s="246">
        <v>1952</v>
      </c>
      <c r="C1282" s="247"/>
      <c r="D1282" s="247" t="s">
        <v>1962</v>
      </c>
      <c r="E1282" s="248" t="s">
        <v>502</v>
      </c>
      <c r="F1282" s="235" t="s">
        <v>4272</v>
      </c>
      <c r="G1282" s="248" t="s">
        <v>2579</v>
      </c>
      <c r="H1282" s="249">
        <v>0.05</v>
      </c>
      <c r="I1282" s="249">
        <v>0.1</v>
      </c>
      <c r="J1282" s="246">
        <v>1</v>
      </c>
      <c r="K1282" s="250"/>
      <c r="L1282" s="248"/>
      <c r="M1282" s="276" t="str">
        <f t="shared" si="27"/>
        <v>Photo</v>
      </c>
      <c r="N1282" s="279" t="s">
        <v>25</v>
      </c>
      <c r="O1282" t="str">
        <f t="shared" si="25"/>
        <v>1952 Jefferson Nickel</v>
      </c>
      <c r="P1282" s="235" t="s">
        <v>865</v>
      </c>
      <c r="Q1282">
        <f>MATCH(P1282,NickelMintage!A:A,)</f>
        <v>47</v>
      </c>
      <c r="S1282" t="str" cm="1">
        <f t="array" ref="S1282">_xlfn.REGEXEXTRACT(E1282, "[0-9]{1,5}")</f>
        <v>1952</v>
      </c>
      <c r="T1282" t="s">
        <v>2482</v>
      </c>
      <c r="U1282" t="s">
        <v>3897</v>
      </c>
    </row>
    <row r="1283" spans="1:21">
      <c r="A1283" s="136">
        <v>2</v>
      </c>
      <c r="B1283" s="246">
        <v>1952</v>
      </c>
      <c r="C1283" s="247"/>
      <c r="D1283" s="247" t="s">
        <v>1962</v>
      </c>
      <c r="E1283" s="248" t="s">
        <v>503</v>
      </c>
      <c r="F1283" s="235" t="s">
        <v>4272</v>
      </c>
      <c r="G1283" s="248" t="s">
        <v>2579</v>
      </c>
      <c r="H1283" s="249">
        <v>0.05</v>
      </c>
      <c r="I1283" s="249">
        <v>0.1</v>
      </c>
      <c r="J1283" s="246">
        <v>1</v>
      </c>
      <c r="K1283" s="250"/>
      <c r="L1283" s="248"/>
      <c r="M1283" s="276" t="str">
        <f t="shared" si="27"/>
        <v>Photo</v>
      </c>
      <c r="N1283" s="279" t="s">
        <v>25</v>
      </c>
      <c r="O1283" t="str">
        <f t="shared" si="25"/>
        <v>1952 Jefferson Nickel</v>
      </c>
      <c r="P1283" s="235">
        <v>1953</v>
      </c>
      <c r="Q1283">
        <f>MATCH(P1283,NickelMintage!A:A,)</f>
        <v>48</v>
      </c>
      <c r="S1283" t="str" cm="1">
        <f t="array" ref="S1283">_xlfn.REGEXEXTRACT(E1283, "[0-9]{1,5}")</f>
        <v>1952</v>
      </c>
      <c r="T1283" t="s">
        <v>2483</v>
      </c>
      <c r="U1283" t="s">
        <v>3897</v>
      </c>
    </row>
    <row r="1284" spans="1:21">
      <c r="A1284" s="136">
        <v>2</v>
      </c>
      <c r="B1284" s="233">
        <v>1952</v>
      </c>
      <c r="C1284" s="234" t="s">
        <v>12</v>
      </c>
      <c r="D1284" s="247" t="s">
        <v>1962</v>
      </c>
      <c r="E1284" s="235" t="s">
        <v>2196</v>
      </c>
      <c r="F1284" s="235" t="s">
        <v>4272</v>
      </c>
      <c r="G1284" s="235" t="s">
        <v>2579</v>
      </c>
      <c r="H1284" s="236">
        <v>0.4</v>
      </c>
      <c r="I1284" s="236">
        <v>0.4</v>
      </c>
      <c r="J1284" s="233">
        <v>1</v>
      </c>
      <c r="K1284" s="237"/>
      <c r="L1284" s="235"/>
      <c r="M1284" s="276" t="str">
        <f t="shared" si="27"/>
        <v>Photo</v>
      </c>
      <c r="N1284" s="279" t="s">
        <v>25</v>
      </c>
      <c r="O1284" t="str">
        <f t="shared" ref="O1284:O1347" si="28">IF(C1284&lt;&gt;"",B1284&amp;"-"&amp;C1284&amp;" "&amp;F1284,B1284&amp;" "&amp;F1284)</f>
        <v>1952-S Jefferson Nickel</v>
      </c>
      <c r="P1284" s="235" t="s">
        <v>866</v>
      </c>
      <c r="Q1284">
        <f>MATCH(P1284,NickelMintage!A:A,)</f>
        <v>49</v>
      </c>
      <c r="S1284" t="str" cm="1">
        <f t="array" ref="S1284">_xlfn.REGEXEXTRACT(E1284, "[0-9]{1,5}")</f>
        <v>1952</v>
      </c>
      <c r="T1284" t="s">
        <v>2483</v>
      </c>
      <c r="U1284" t="s">
        <v>3897</v>
      </c>
    </row>
    <row r="1285" spans="1:21">
      <c r="A1285" s="136">
        <v>2</v>
      </c>
      <c r="B1285" s="270">
        <v>1952</v>
      </c>
      <c r="C1285" s="234" t="s">
        <v>13</v>
      </c>
      <c r="D1285" s="257" t="s">
        <v>1962</v>
      </c>
      <c r="E1285" s="235" t="s">
        <v>5597</v>
      </c>
      <c r="F1285" s="235" t="s">
        <v>4272</v>
      </c>
      <c r="G1285" s="3" t="s">
        <v>2587</v>
      </c>
      <c r="H1285" s="236">
        <v>0.3</v>
      </c>
      <c r="I1285" s="236">
        <v>0.3</v>
      </c>
      <c r="J1285" s="233">
        <v>1</v>
      </c>
      <c r="N1285" s="279"/>
      <c r="O1285" t="str">
        <f t="shared" si="28"/>
        <v>1952-D Jefferson Nickel</v>
      </c>
      <c r="P1285" s="235" t="s">
        <v>867</v>
      </c>
      <c r="Q1285">
        <f>MATCH(P1285,NickelMintage!A:A,)</f>
        <v>50</v>
      </c>
      <c r="S1285" t="str" cm="1">
        <f t="array" ref="S1285">_xlfn.REGEXEXTRACT(E1285, "[0-9]{1,5}")</f>
        <v>1952</v>
      </c>
      <c r="T1285" t="s">
        <v>2483</v>
      </c>
      <c r="U1285" t="s">
        <v>3897</v>
      </c>
    </row>
    <row r="1286" spans="1:21">
      <c r="A1286" s="136">
        <v>2</v>
      </c>
      <c r="B1286" s="233">
        <v>1953</v>
      </c>
      <c r="C1286" s="234"/>
      <c r="D1286" s="247" t="s">
        <v>1962</v>
      </c>
      <c r="E1286" s="235" t="s">
        <v>2197</v>
      </c>
      <c r="F1286" s="235" t="s">
        <v>4272</v>
      </c>
      <c r="G1286" s="235" t="s">
        <v>2579</v>
      </c>
      <c r="H1286" s="236">
        <v>0.25</v>
      </c>
      <c r="I1286" s="236">
        <v>0.25</v>
      </c>
      <c r="J1286" s="233">
        <v>1</v>
      </c>
      <c r="K1286" s="237"/>
      <c r="L1286" s="235"/>
      <c r="M1286" s="276" t="str">
        <f t="shared" ref="M1286:M1293" si="29">HYPERLINK($Y$2&amp;E1286&amp;$AA$2,"Photo")</f>
        <v>Photo</v>
      </c>
      <c r="N1286" s="279" t="s">
        <v>25</v>
      </c>
      <c r="O1286" t="str">
        <f t="shared" si="28"/>
        <v>1953 Jefferson Nickel</v>
      </c>
      <c r="P1286" s="235">
        <v>1954</v>
      </c>
      <c r="Q1286">
        <f>MATCH(P1286,NickelMintage!A:A,)</f>
        <v>51</v>
      </c>
      <c r="S1286" t="str" cm="1">
        <f t="array" ref="S1286">_xlfn.REGEXEXTRACT(E1286, "[0-9]{1,5}")</f>
        <v>1953</v>
      </c>
      <c r="T1286" t="s">
        <v>2484</v>
      </c>
      <c r="U1286" t="s">
        <v>3897</v>
      </c>
    </row>
    <row r="1287" spans="1:21">
      <c r="A1287" s="136">
        <v>2</v>
      </c>
      <c r="B1287" s="233">
        <v>1953</v>
      </c>
      <c r="C1287" s="234" t="s">
        <v>13</v>
      </c>
      <c r="D1287" s="247" t="s">
        <v>1962</v>
      </c>
      <c r="E1287" s="235" t="s">
        <v>2198</v>
      </c>
      <c r="F1287" s="235" t="s">
        <v>4272</v>
      </c>
      <c r="G1287" s="235" t="s">
        <v>2579</v>
      </c>
      <c r="H1287" s="236">
        <v>0.3</v>
      </c>
      <c r="I1287" s="236">
        <v>0.3</v>
      </c>
      <c r="J1287" s="233">
        <v>1</v>
      </c>
      <c r="K1287" s="237"/>
      <c r="L1287" s="235"/>
      <c r="M1287" s="276" t="str">
        <f t="shared" si="29"/>
        <v>Photo</v>
      </c>
      <c r="N1287" s="279" t="s">
        <v>25</v>
      </c>
      <c r="O1287" t="str">
        <f t="shared" si="28"/>
        <v>1953-D Jefferson Nickel</v>
      </c>
      <c r="P1287" s="235" t="s">
        <v>868</v>
      </c>
      <c r="Q1287">
        <f>MATCH(P1287,NickelMintage!A:A,)</f>
        <v>52</v>
      </c>
      <c r="S1287" t="str" cm="1">
        <f t="array" ref="S1287">_xlfn.REGEXEXTRACT(E1287, "[0-9]{1,5}")</f>
        <v>1953</v>
      </c>
      <c r="T1287" t="s">
        <v>2484</v>
      </c>
      <c r="U1287" t="s">
        <v>3897</v>
      </c>
    </row>
    <row r="1288" spans="1:21">
      <c r="A1288" s="136">
        <v>2</v>
      </c>
      <c r="B1288" s="233">
        <v>1953</v>
      </c>
      <c r="C1288" s="234" t="s">
        <v>12</v>
      </c>
      <c r="D1288" s="247" t="s">
        <v>1962</v>
      </c>
      <c r="E1288" s="235" t="s">
        <v>2199</v>
      </c>
      <c r="F1288" s="235" t="s">
        <v>4272</v>
      </c>
      <c r="G1288" s="235" t="s">
        <v>2579</v>
      </c>
      <c r="H1288" s="236">
        <v>1</v>
      </c>
      <c r="I1288" s="236">
        <v>1</v>
      </c>
      <c r="J1288" s="233">
        <v>1</v>
      </c>
      <c r="K1288" s="237"/>
      <c r="L1288" s="235"/>
      <c r="M1288" s="276" t="str">
        <f t="shared" si="29"/>
        <v>Photo</v>
      </c>
      <c r="N1288" s="279" t="s">
        <v>25</v>
      </c>
      <c r="O1288" t="str">
        <f t="shared" si="28"/>
        <v>1953-S Jefferson Nickel</v>
      </c>
      <c r="P1288" s="235" t="s">
        <v>869</v>
      </c>
      <c r="Q1288">
        <f>MATCH(P1288,NickelMintage!A:A,)</f>
        <v>53</v>
      </c>
      <c r="S1288" t="str" cm="1">
        <f t="array" ref="S1288">_xlfn.REGEXEXTRACT(E1288, "[0-9]{1,5}")</f>
        <v>1953</v>
      </c>
      <c r="T1288" t="s">
        <v>2484</v>
      </c>
      <c r="U1288" t="s">
        <v>3897</v>
      </c>
    </row>
    <row r="1289" spans="1:21">
      <c r="A1289" s="136">
        <v>2</v>
      </c>
      <c r="B1289" s="233">
        <v>1954</v>
      </c>
      <c r="C1289" s="234"/>
      <c r="D1289" s="247" t="s">
        <v>1962</v>
      </c>
      <c r="E1289" s="235" t="s">
        <v>2200</v>
      </c>
      <c r="F1289" s="235" t="s">
        <v>4272</v>
      </c>
      <c r="G1289" s="235" t="s">
        <v>2579</v>
      </c>
      <c r="H1289" s="236">
        <v>0.3</v>
      </c>
      <c r="I1289" s="236">
        <v>0.3</v>
      </c>
      <c r="J1289" s="233">
        <v>1</v>
      </c>
      <c r="K1289" s="237"/>
      <c r="L1289" s="235"/>
      <c r="M1289" s="276" t="str">
        <f t="shared" si="29"/>
        <v>Photo</v>
      </c>
      <c r="N1289" s="279" t="s">
        <v>25</v>
      </c>
      <c r="O1289" t="str">
        <f t="shared" si="28"/>
        <v>1954 Jefferson Nickel</v>
      </c>
      <c r="P1289" s="235" t="s">
        <v>870</v>
      </c>
      <c r="Q1289">
        <f>MATCH(P1289,NickelMintage!A:A,)</f>
        <v>55</v>
      </c>
      <c r="S1289" t="str" cm="1">
        <f t="array" ref="S1289">_xlfn.REGEXEXTRACT(E1289, "[0-9]{1,5}")</f>
        <v>1954</v>
      </c>
      <c r="T1289" t="s">
        <v>2485</v>
      </c>
      <c r="U1289" t="s">
        <v>3897</v>
      </c>
    </row>
    <row r="1290" spans="1:21">
      <c r="A1290" s="136">
        <v>2</v>
      </c>
      <c r="B1290" s="233">
        <v>1954</v>
      </c>
      <c r="C1290" s="234" t="s">
        <v>13</v>
      </c>
      <c r="D1290" s="247" t="s">
        <v>1962</v>
      </c>
      <c r="E1290" s="235" t="s">
        <v>2201</v>
      </c>
      <c r="F1290" s="235" t="s">
        <v>4272</v>
      </c>
      <c r="G1290" s="235" t="s">
        <v>2579</v>
      </c>
      <c r="H1290" s="236">
        <v>0.3</v>
      </c>
      <c r="I1290" s="236">
        <v>0.3</v>
      </c>
      <c r="J1290" s="233">
        <v>1</v>
      </c>
      <c r="K1290" s="237"/>
      <c r="L1290" s="235"/>
      <c r="M1290" s="276" t="str">
        <f t="shared" si="29"/>
        <v>Photo</v>
      </c>
      <c r="N1290" s="279" t="s">
        <v>25</v>
      </c>
      <c r="O1290" t="str">
        <f t="shared" si="28"/>
        <v>1954-D Jefferson Nickel</v>
      </c>
      <c r="P1290" s="235" t="s">
        <v>870</v>
      </c>
      <c r="Q1290">
        <f>MATCH(P1290,NickelMintage!A:A,)</f>
        <v>55</v>
      </c>
      <c r="S1290" t="str" cm="1">
        <f t="array" ref="S1290">_xlfn.REGEXEXTRACT(E1290, "[0-9]{1,5}")</f>
        <v>1954</v>
      </c>
      <c r="T1290" t="s">
        <v>2485</v>
      </c>
      <c r="U1290" t="s">
        <v>3897</v>
      </c>
    </row>
    <row r="1291" spans="1:21">
      <c r="A1291" s="136">
        <v>2</v>
      </c>
      <c r="B1291" s="233">
        <v>1954</v>
      </c>
      <c r="C1291" s="234" t="s">
        <v>12</v>
      </c>
      <c r="D1291" s="247" t="s">
        <v>1962</v>
      </c>
      <c r="E1291" s="235" t="s">
        <v>2202</v>
      </c>
      <c r="F1291" s="235" t="s">
        <v>4272</v>
      </c>
      <c r="G1291" s="235" t="s">
        <v>2579</v>
      </c>
      <c r="H1291" s="236">
        <v>0.4</v>
      </c>
      <c r="I1291" s="236">
        <v>0.4</v>
      </c>
      <c r="J1291" s="233">
        <v>1</v>
      </c>
      <c r="K1291" s="237"/>
      <c r="L1291" s="235"/>
      <c r="M1291" s="276" t="str">
        <f t="shared" si="29"/>
        <v>Photo</v>
      </c>
      <c r="N1291" s="279" t="s">
        <v>25</v>
      </c>
      <c r="O1291" t="str">
        <f t="shared" si="28"/>
        <v>1954-S Jefferson Nickel</v>
      </c>
      <c r="P1291" s="235">
        <v>1957</v>
      </c>
      <c r="Q1291">
        <f>MATCH(P1291,NickelMintage!A:A,)</f>
        <v>58</v>
      </c>
      <c r="S1291" t="str" cm="1">
        <f t="array" ref="S1291">_xlfn.REGEXEXTRACT(E1291, "[0-9]{1,5}")</f>
        <v>1954</v>
      </c>
      <c r="T1291" t="s">
        <v>2487</v>
      </c>
      <c r="U1291" t="s">
        <v>3897</v>
      </c>
    </row>
    <row r="1292" spans="1:21">
      <c r="A1292" s="136">
        <v>2</v>
      </c>
      <c r="B1292" s="246">
        <v>1955</v>
      </c>
      <c r="C1292" s="247" t="s">
        <v>13</v>
      </c>
      <c r="D1292" s="247" t="s">
        <v>1962</v>
      </c>
      <c r="E1292" s="248" t="s">
        <v>504</v>
      </c>
      <c r="F1292" s="235" t="s">
        <v>4272</v>
      </c>
      <c r="G1292" s="248" t="s">
        <v>2579</v>
      </c>
      <c r="H1292" s="249">
        <v>0.05</v>
      </c>
      <c r="I1292" s="249">
        <v>0.05</v>
      </c>
      <c r="J1292" s="246">
        <v>1</v>
      </c>
      <c r="K1292" s="250"/>
      <c r="L1292" s="248"/>
      <c r="M1292" s="276" t="str">
        <f t="shared" si="29"/>
        <v>Photo</v>
      </c>
      <c r="N1292" s="279" t="s">
        <v>25</v>
      </c>
      <c r="O1292" t="str">
        <f t="shared" si="28"/>
        <v>1955-D Jefferson Nickel</v>
      </c>
      <c r="P1292" s="235" t="s">
        <v>872</v>
      </c>
      <c r="Q1292">
        <f>MATCH(P1292,NickelMintage!A:A,)</f>
        <v>59</v>
      </c>
      <c r="S1292" t="str" cm="1">
        <f t="array" ref="S1292">_xlfn.REGEXEXTRACT(E1292, "[0-9]{1,5}")</f>
        <v>1955</v>
      </c>
      <c r="T1292" t="s">
        <v>2487</v>
      </c>
      <c r="U1292" t="s">
        <v>3897</v>
      </c>
    </row>
    <row r="1293" spans="1:21">
      <c r="A1293" s="136">
        <v>2</v>
      </c>
      <c r="B1293" s="246">
        <v>1955</v>
      </c>
      <c r="C1293" s="247" t="s">
        <v>13</v>
      </c>
      <c r="D1293" s="247" t="s">
        <v>1962</v>
      </c>
      <c r="E1293" s="248" t="s">
        <v>3960</v>
      </c>
      <c r="F1293" s="235" t="s">
        <v>4272</v>
      </c>
      <c r="G1293" s="248" t="s">
        <v>2579</v>
      </c>
      <c r="H1293" s="249">
        <v>0.05</v>
      </c>
      <c r="I1293" s="249">
        <v>0.05</v>
      </c>
      <c r="J1293" s="246">
        <v>1</v>
      </c>
      <c r="K1293" s="250"/>
      <c r="L1293" s="248"/>
      <c r="M1293" s="276" t="str">
        <f t="shared" si="29"/>
        <v>Photo</v>
      </c>
      <c r="N1293" s="279" t="s">
        <v>25</v>
      </c>
      <c r="O1293" t="str">
        <f t="shared" si="28"/>
        <v>1955-D Jefferson Nickel</v>
      </c>
      <c r="P1293" s="235" t="s">
        <v>872</v>
      </c>
      <c r="Q1293">
        <f>MATCH(P1293,NickelMintage!A:A,)</f>
        <v>59</v>
      </c>
      <c r="S1293" t="str" cm="1">
        <f t="array" ref="S1293">_xlfn.REGEXEXTRACT(E1293, "[0-9]{1,5}")</f>
        <v>1955</v>
      </c>
      <c r="T1293" t="s">
        <v>2487</v>
      </c>
      <c r="U1293" t="s">
        <v>3897</v>
      </c>
    </row>
    <row r="1294" spans="1:21">
      <c r="A1294" s="136">
        <v>2</v>
      </c>
      <c r="B1294" s="270">
        <v>1955</v>
      </c>
      <c r="D1294" s="257" t="s">
        <v>1962</v>
      </c>
      <c r="E1294" s="235" t="s">
        <v>5598</v>
      </c>
      <c r="F1294" s="235" t="s">
        <v>4272</v>
      </c>
      <c r="G1294" s="3" t="s">
        <v>2579</v>
      </c>
      <c r="H1294" s="236">
        <v>1.25</v>
      </c>
      <c r="I1294" s="236">
        <v>1.25</v>
      </c>
      <c r="J1294" s="233">
        <v>1</v>
      </c>
      <c r="N1294" s="279"/>
      <c r="O1294" t="str">
        <f t="shared" si="28"/>
        <v>1955 Jefferson Nickel</v>
      </c>
      <c r="P1294" s="235" t="s">
        <v>872</v>
      </c>
      <c r="Q1294">
        <f>MATCH(P1294,NickelMintage!A:A,)</f>
        <v>59</v>
      </c>
      <c r="S1294" t="str" cm="1">
        <f t="array" ref="S1294">_xlfn.REGEXEXTRACT(E1294, "[0-9]{1,5}")</f>
        <v>1955</v>
      </c>
      <c r="T1294" t="s">
        <v>2487</v>
      </c>
      <c r="U1294" t="s">
        <v>3897</v>
      </c>
    </row>
    <row r="1295" spans="1:21">
      <c r="A1295" s="136">
        <v>2</v>
      </c>
      <c r="B1295" s="270">
        <v>1956</v>
      </c>
      <c r="C1295" s="234" t="s">
        <v>13</v>
      </c>
      <c r="D1295" s="257" t="s">
        <v>1962</v>
      </c>
      <c r="E1295" s="235" t="s">
        <v>5599</v>
      </c>
      <c r="F1295" s="235" t="s">
        <v>4272</v>
      </c>
      <c r="G1295" s="3" t="s">
        <v>2587</v>
      </c>
      <c r="H1295" s="236">
        <v>0.25</v>
      </c>
      <c r="I1295" s="236">
        <v>0.25</v>
      </c>
      <c r="J1295" s="233">
        <v>1</v>
      </c>
      <c r="N1295" s="279"/>
      <c r="O1295" t="str">
        <f t="shared" si="28"/>
        <v>1956-D Jefferson Nickel</v>
      </c>
      <c r="P1295" s="235" t="s">
        <v>873</v>
      </c>
      <c r="Q1295">
        <f>MATCH(P1295,NickelMintage!A:A,)</f>
        <v>61</v>
      </c>
      <c r="S1295" t="str" cm="1">
        <f t="array" ref="S1295">_xlfn.REGEXEXTRACT(E1295, "[0-9]{1,5}")</f>
        <v>1956</v>
      </c>
      <c r="T1295" t="s">
        <v>2488</v>
      </c>
      <c r="U1295" t="s">
        <v>3897</v>
      </c>
    </row>
    <row r="1296" spans="1:21">
      <c r="A1296" s="136">
        <v>2</v>
      </c>
      <c r="B1296" s="270">
        <v>1956</v>
      </c>
      <c r="C1296" s="136"/>
      <c r="D1296" s="257" t="s">
        <v>1962</v>
      </c>
      <c r="E1296" s="235" t="s">
        <v>5600</v>
      </c>
      <c r="F1296" s="235" t="s">
        <v>4272</v>
      </c>
      <c r="G1296" s="3" t="s">
        <v>2580</v>
      </c>
      <c r="H1296" s="236">
        <v>0.5</v>
      </c>
      <c r="I1296" s="236">
        <v>0.5</v>
      </c>
      <c r="J1296" s="233">
        <v>1</v>
      </c>
      <c r="N1296" s="279"/>
      <c r="O1296" t="str">
        <f t="shared" si="28"/>
        <v>1956 Jefferson Nickel</v>
      </c>
      <c r="P1296" s="235" t="s">
        <v>873</v>
      </c>
      <c r="Q1296">
        <f>MATCH(P1296,NickelMintage!A:A,)</f>
        <v>61</v>
      </c>
      <c r="S1296" t="str" cm="1">
        <f t="array" ref="S1296">_xlfn.REGEXEXTRACT(E1296, "[0-9]{1,5}")</f>
        <v>1956</v>
      </c>
      <c r="T1296" t="s">
        <v>2488</v>
      </c>
      <c r="U1296" t="s">
        <v>3897</v>
      </c>
    </row>
    <row r="1297" spans="1:21">
      <c r="A1297" s="136">
        <v>2</v>
      </c>
      <c r="B1297" s="246">
        <v>1957</v>
      </c>
      <c r="C1297" s="247"/>
      <c r="D1297" s="247" t="s">
        <v>1962</v>
      </c>
      <c r="E1297" s="248" t="s">
        <v>506</v>
      </c>
      <c r="F1297" s="235" t="s">
        <v>4272</v>
      </c>
      <c r="G1297" s="248" t="s">
        <v>2579</v>
      </c>
      <c r="H1297" s="249">
        <v>0.05</v>
      </c>
      <c r="I1297" s="249">
        <v>0.25</v>
      </c>
      <c r="J1297" s="246">
        <v>1</v>
      </c>
      <c r="K1297" s="250"/>
      <c r="L1297" s="248"/>
      <c r="M1297" s="276" t="str">
        <f t="shared" ref="M1297:M1304" si="30">HYPERLINK($Y$2&amp;E1297&amp;$AA$2,"Photo")</f>
        <v>Photo</v>
      </c>
      <c r="N1297" s="279" t="s">
        <v>25</v>
      </c>
      <c r="O1297" t="str">
        <f t="shared" si="28"/>
        <v>1957 Jefferson Nickel</v>
      </c>
      <c r="P1297" s="235" t="s">
        <v>873</v>
      </c>
      <c r="Q1297">
        <f>MATCH(P1297,NickelMintage!A:A,)</f>
        <v>61</v>
      </c>
      <c r="S1297" t="str" cm="1">
        <f t="array" ref="S1297">_xlfn.REGEXEXTRACT(E1297, "[0-9]{1,5}")</f>
        <v>1957</v>
      </c>
      <c r="T1297" t="s">
        <v>2488</v>
      </c>
      <c r="U1297" t="s">
        <v>3897</v>
      </c>
    </row>
    <row r="1298" spans="1:21">
      <c r="A1298" s="136">
        <v>2</v>
      </c>
      <c r="B1298" s="246">
        <v>1957</v>
      </c>
      <c r="C1298" s="247" t="s">
        <v>13</v>
      </c>
      <c r="D1298" s="247" t="s">
        <v>1962</v>
      </c>
      <c r="E1298" s="248" t="s">
        <v>509</v>
      </c>
      <c r="F1298" s="235" t="s">
        <v>4272</v>
      </c>
      <c r="G1298" s="248" t="s">
        <v>2579</v>
      </c>
      <c r="H1298" s="249">
        <v>0.05</v>
      </c>
      <c r="I1298" s="249">
        <v>0.05</v>
      </c>
      <c r="J1298" s="246">
        <v>1</v>
      </c>
      <c r="K1298" s="250"/>
      <c r="L1298" s="248"/>
      <c r="M1298" s="276" t="str">
        <f t="shared" si="30"/>
        <v>Photo</v>
      </c>
      <c r="N1298" s="279" t="s">
        <v>25</v>
      </c>
      <c r="O1298" t="str">
        <f t="shared" si="28"/>
        <v>1957-D Jefferson Nickel</v>
      </c>
      <c r="P1298" s="235" t="s">
        <v>873</v>
      </c>
      <c r="Q1298">
        <f>MATCH(P1298,NickelMintage!A:A,)</f>
        <v>61</v>
      </c>
      <c r="S1298" t="str" cm="1">
        <f t="array" ref="S1298">_xlfn.REGEXEXTRACT(E1298, "[0-9]{1,5}")</f>
        <v>1957</v>
      </c>
      <c r="T1298" t="s">
        <v>2488</v>
      </c>
      <c r="U1298" t="s">
        <v>3897</v>
      </c>
    </row>
    <row r="1299" spans="1:21">
      <c r="A1299" s="136">
        <v>2</v>
      </c>
      <c r="B1299" s="246">
        <v>1957</v>
      </c>
      <c r="C1299" s="247" t="s">
        <v>13</v>
      </c>
      <c r="D1299" s="247" t="s">
        <v>1962</v>
      </c>
      <c r="E1299" s="248" t="s">
        <v>510</v>
      </c>
      <c r="F1299" s="235" t="s">
        <v>4272</v>
      </c>
      <c r="G1299" s="248" t="s">
        <v>2579</v>
      </c>
      <c r="H1299" s="249">
        <v>0.05</v>
      </c>
      <c r="I1299" s="249">
        <v>0.05</v>
      </c>
      <c r="J1299" s="246">
        <v>1</v>
      </c>
      <c r="K1299" s="250"/>
      <c r="L1299" s="248"/>
      <c r="M1299" s="276" t="str">
        <f t="shared" si="30"/>
        <v>Photo</v>
      </c>
      <c r="N1299" s="279" t="s">
        <v>25</v>
      </c>
      <c r="O1299" t="str">
        <f t="shared" si="28"/>
        <v>1957-D Jefferson Nickel</v>
      </c>
      <c r="P1299" s="235" t="s">
        <v>874</v>
      </c>
      <c r="Q1299">
        <f>MATCH(P1299,NickelMintage!A:A,)</f>
        <v>63</v>
      </c>
      <c r="S1299" t="str" cm="1">
        <f t="array" ref="S1299">_xlfn.REGEXEXTRACT(E1299, "[0-9]{1,5}")</f>
        <v>1957</v>
      </c>
      <c r="T1299" t="s">
        <v>2489</v>
      </c>
      <c r="U1299" t="s">
        <v>3897</v>
      </c>
    </row>
    <row r="1300" spans="1:21">
      <c r="A1300" s="136">
        <v>2</v>
      </c>
      <c r="B1300" s="246">
        <v>1957</v>
      </c>
      <c r="C1300" s="247" t="s">
        <v>13</v>
      </c>
      <c r="D1300" s="247" t="s">
        <v>1962</v>
      </c>
      <c r="E1300" s="248" t="s">
        <v>511</v>
      </c>
      <c r="F1300" s="235" t="s">
        <v>4272</v>
      </c>
      <c r="G1300" s="248" t="s">
        <v>2579</v>
      </c>
      <c r="H1300" s="249">
        <v>0.05</v>
      </c>
      <c r="I1300" s="249">
        <v>0.05</v>
      </c>
      <c r="J1300" s="246">
        <v>1</v>
      </c>
      <c r="K1300" s="250"/>
      <c r="L1300" s="248"/>
      <c r="M1300" s="276" t="str">
        <f t="shared" si="30"/>
        <v>Photo</v>
      </c>
      <c r="N1300" s="279" t="s">
        <v>25</v>
      </c>
      <c r="O1300" t="str">
        <f t="shared" si="28"/>
        <v>1957-D Jefferson Nickel</v>
      </c>
      <c r="P1300" s="235" t="s">
        <v>874</v>
      </c>
      <c r="Q1300">
        <f>MATCH(P1300,NickelMintage!A:A,)</f>
        <v>63</v>
      </c>
      <c r="S1300" t="str" cm="1">
        <f t="array" ref="S1300">_xlfn.REGEXEXTRACT(E1300, "[0-9]{1,5}")</f>
        <v>1957</v>
      </c>
      <c r="T1300" t="s">
        <v>2489</v>
      </c>
      <c r="U1300" t="s">
        <v>3897</v>
      </c>
    </row>
    <row r="1301" spans="1:21">
      <c r="A1301" s="136">
        <v>2</v>
      </c>
      <c r="B1301" s="246">
        <v>1958</v>
      </c>
      <c r="C1301" s="247" t="s">
        <v>13</v>
      </c>
      <c r="D1301" s="247" t="s">
        <v>1962</v>
      </c>
      <c r="E1301" s="248" t="s">
        <v>512</v>
      </c>
      <c r="F1301" s="235" t="s">
        <v>4272</v>
      </c>
      <c r="G1301" s="248" t="s">
        <v>2579</v>
      </c>
      <c r="H1301" s="249">
        <v>0.05</v>
      </c>
      <c r="I1301" s="249">
        <v>0.05</v>
      </c>
      <c r="J1301" s="246">
        <v>1</v>
      </c>
      <c r="K1301" s="250"/>
      <c r="L1301" s="248"/>
      <c r="M1301" s="276" t="str">
        <f t="shared" si="30"/>
        <v>Photo</v>
      </c>
      <c r="N1301" s="279" t="s">
        <v>25</v>
      </c>
      <c r="O1301" t="str">
        <f t="shared" si="28"/>
        <v>1958-D Jefferson Nickel</v>
      </c>
      <c r="P1301" s="235" t="s">
        <v>874</v>
      </c>
      <c r="Q1301">
        <f>MATCH(P1301,NickelMintage!A:A,)</f>
        <v>63</v>
      </c>
      <c r="S1301" t="str" cm="1">
        <f t="array" ref="S1301">_xlfn.REGEXEXTRACT(E1301, "[0-9]{1,5}")</f>
        <v>1958</v>
      </c>
      <c r="T1301" t="s">
        <v>2489</v>
      </c>
      <c r="U1301" t="s">
        <v>3897</v>
      </c>
    </row>
    <row r="1302" spans="1:21">
      <c r="A1302" s="136">
        <v>2</v>
      </c>
      <c r="B1302" s="246">
        <v>1958</v>
      </c>
      <c r="C1302" s="247" t="s">
        <v>13</v>
      </c>
      <c r="D1302" s="247" t="s">
        <v>1962</v>
      </c>
      <c r="E1302" s="248" t="s">
        <v>513</v>
      </c>
      <c r="F1302" s="235" t="s">
        <v>4272</v>
      </c>
      <c r="G1302" s="248" t="s">
        <v>2579</v>
      </c>
      <c r="H1302" s="249">
        <v>0.05</v>
      </c>
      <c r="I1302" s="249">
        <v>0.05</v>
      </c>
      <c r="J1302" s="246">
        <v>1</v>
      </c>
      <c r="K1302" s="250"/>
      <c r="L1302" s="248"/>
      <c r="M1302" s="276" t="str">
        <f t="shared" si="30"/>
        <v>Photo</v>
      </c>
      <c r="N1302" s="279" t="s">
        <v>25</v>
      </c>
      <c r="O1302" t="str">
        <f t="shared" si="28"/>
        <v>1958-D Jefferson Nickel</v>
      </c>
      <c r="P1302" s="235" t="s">
        <v>875</v>
      </c>
      <c r="Q1302">
        <f>MATCH(P1302,NickelMintage!A:A,)</f>
        <v>65</v>
      </c>
      <c r="S1302" t="str" cm="1">
        <f t="array" ref="S1302">_xlfn.REGEXEXTRACT(E1302, "[0-9]{1,5}")</f>
        <v>1958</v>
      </c>
      <c r="T1302" t="s">
        <v>2490</v>
      </c>
      <c r="U1302" t="s">
        <v>3897</v>
      </c>
    </row>
    <row r="1303" spans="1:21">
      <c r="A1303" s="136">
        <v>2</v>
      </c>
      <c r="B1303" s="246">
        <v>1958</v>
      </c>
      <c r="C1303" s="247" t="s">
        <v>13</v>
      </c>
      <c r="D1303" s="247" t="s">
        <v>1962</v>
      </c>
      <c r="E1303" s="248" t="s">
        <v>514</v>
      </c>
      <c r="F1303" s="235" t="s">
        <v>4272</v>
      </c>
      <c r="G1303" s="248" t="s">
        <v>2579</v>
      </c>
      <c r="H1303" s="249">
        <v>0.05</v>
      </c>
      <c r="I1303" s="249">
        <v>0.05</v>
      </c>
      <c r="J1303" s="246">
        <v>1</v>
      </c>
      <c r="K1303" s="250"/>
      <c r="L1303" s="248"/>
      <c r="M1303" s="276" t="str">
        <f t="shared" si="30"/>
        <v>Photo</v>
      </c>
      <c r="N1303" s="279" t="s">
        <v>25</v>
      </c>
      <c r="O1303" t="str">
        <f t="shared" si="28"/>
        <v>1958-D Jefferson Nickel</v>
      </c>
      <c r="P1303" s="235" t="s">
        <v>875</v>
      </c>
      <c r="Q1303">
        <f>MATCH(P1303,NickelMintage!A:A,)</f>
        <v>65</v>
      </c>
      <c r="S1303" t="str" cm="1">
        <f t="array" ref="S1303">_xlfn.REGEXEXTRACT(E1303, "[0-9]{1,5}")</f>
        <v>1958</v>
      </c>
      <c r="T1303" t="s">
        <v>2490</v>
      </c>
      <c r="U1303" t="s">
        <v>3897</v>
      </c>
    </row>
    <row r="1304" spans="1:21">
      <c r="A1304" s="136">
        <v>2</v>
      </c>
      <c r="B1304" s="246">
        <v>1958</v>
      </c>
      <c r="C1304" s="247" t="s">
        <v>13</v>
      </c>
      <c r="D1304" s="247" t="s">
        <v>1962</v>
      </c>
      <c r="E1304" s="248" t="s">
        <v>515</v>
      </c>
      <c r="F1304" s="235" t="s">
        <v>4272</v>
      </c>
      <c r="G1304" s="248" t="s">
        <v>2579</v>
      </c>
      <c r="H1304" s="249">
        <v>0.05</v>
      </c>
      <c r="I1304" s="249">
        <v>0.05</v>
      </c>
      <c r="J1304" s="246">
        <v>1</v>
      </c>
      <c r="K1304" s="250"/>
      <c r="L1304" s="248"/>
      <c r="M1304" s="276" t="str">
        <f t="shared" si="30"/>
        <v>Photo</v>
      </c>
      <c r="N1304" s="279" t="s">
        <v>25</v>
      </c>
      <c r="O1304" t="str">
        <f t="shared" si="28"/>
        <v>1958-D Jefferson Nickel</v>
      </c>
      <c r="P1304" s="235" t="s">
        <v>875</v>
      </c>
      <c r="Q1304">
        <f>MATCH(P1304,NickelMintage!A:A,)</f>
        <v>65</v>
      </c>
      <c r="S1304" t="str" cm="1">
        <f t="array" ref="S1304">_xlfn.REGEXEXTRACT(E1304, "[0-9]{1,5}")</f>
        <v>1958</v>
      </c>
      <c r="T1304" t="s">
        <v>2490</v>
      </c>
      <c r="U1304" t="s">
        <v>3897</v>
      </c>
    </row>
    <row r="1305" spans="1:21">
      <c r="A1305" s="136">
        <v>2</v>
      </c>
      <c r="B1305" s="270">
        <v>1958</v>
      </c>
      <c r="C1305" s="136"/>
      <c r="D1305" s="257" t="s">
        <v>1962</v>
      </c>
      <c r="E1305" s="235" t="s">
        <v>5601</v>
      </c>
      <c r="F1305" s="235" t="s">
        <v>4272</v>
      </c>
      <c r="G1305" s="3" t="s">
        <v>2580</v>
      </c>
      <c r="H1305" s="236">
        <v>0.5</v>
      </c>
      <c r="I1305" s="236">
        <v>0.5</v>
      </c>
      <c r="J1305" s="233">
        <v>1</v>
      </c>
      <c r="N1305" s="279"/>
      <c r="O1305" t="str">
        <f t="shared" si="28"/>
        <v>1958 Jefferson Nickel</v>
      </c>
      <c r="P1305" s="235">
        <v>1961</v>
      </c>
      <c r="Q1305">
        <f>MATCH(P1305,NickelMintage!A:A,)</f>
        <v>66</v>
      </c>
      <c r="S1305" t="str" cm="1">
        <f t="array" ref="S1305">_xlfn.REGEXEXTRACT(E1305, "[0-9]{1,5}")</f>
        <v>1958</v>
      </c>
      <c r="T1305" t="s">
        <v>2491</v>
      </c>
      <c r="U1305" t="s">
        <v>3897</v>
      </c>
    </row>
    <row r="1306" spans="1:21">
      <c r="A1306" s="136">
        <v>2</v>
      </c>
      <c r="B1306" s="246">
        <v>1959</v>
      </c>
      <c r="C1306" s="247" t="s">
        <v>13</v>
      </c>
      <c r="D1306" s="247" t="s">
        <v>1962</v>
      </c>
      <c r="E1306" s="248" t="s">
        <v>516</v>
      </c>
      <c r="F1306" s="235" t="s">
        <v>4272</v>
      </c>
      <c r="G1306" s="248" t="s">
        <v>2579</v>
      </c>
      <c r="H1306" s="249">
        <v>0.05</v>
      </c>
      <c r="I1306" s="249">
        <v>0.05</v>
      </c>
      <c r="J1306" s="246">
        <v>1</v>
      </c>
      <c r="K1306" s="250"/>
      <c r="L1306" s="248"/>
      <c r="M1306" s="276" t="str">
        <f>HYPERLINK($Y$2&amp;E1306&amp;$AA$2,"Photo")</f>
        <v>Photo</v>
      </c>
      <c r="N1306" s="279" t="s">
        <v>25</v>
      </c>
      <c r="O1306" t="str">
        <f t="shared" si="28"/>
        <v>1959-D Jefferson Nickel</v>
      </c>
      <c r="P1306" s="235" t="s">
        <v>876</v>
      </c>
      <c r="Q1306">
        <f>MATCH(P1306,NickelMintage!A:A,)</f>
        <v>67</v>
      </c>
      <c r="S1306" t="str" cm="1">
        <f t="array" ref="S1306">_xlfn.REGEXEXTRACT(E1306, "[0-9]{1,5}")</f>
        <v>1959</v>
      </c>
      <c r="T1306" t="s">
        <v>2491</v>
      </c>
      <c r="U1306" t="s">
        <v>3897</v>
      </c>
    </row>
    <row r="1307" spans="1:21">
      <c r="A1307" s="136">
        <v>2</v>
      </c>
      <c r="B1307" s="246">
        <v>1959</v>
      </c>
      <c r="C1307" s="247" t="s">
        <v>13</v>
      </c>
      <c r="D1307" s="247" t="s">
        <v>1962</v>
      </c>
      <c r="E1307" s="248" t="s">
        <v>517</v>
      </c>
      <c r="F1307" s="235" t="s">
        <v>4272</v>
      </c>
      <c r="G1307" s="248" t="s">
        <v>2579</v>
      </c>
      <c r="H1307" s="249">
        <v>0.05</v>
      </c>
      <c r="I1307" s="249">
        <v>0.05</v>
      </c>
      <c r="J1307" s="246">
        <v>1</v>
      </c>
      <c r="K1307" s="250"/>
      <c r="L1307" s="248"/>
      <c r="M1307" s="276" t="str">
        <f>HYPERLINK($Y$2&amp;E1307&amp;$AA$2,"Photo")</f>
        <v>Photo</v>
      </c>
      <c r="N1307" s="279" t="s">
        <v>25</v>
      </c>
      <c r="O1307" t="str">
        <f t="shared" si="28"/>
        <v>1959-D Jefferson Nickel</v>
      </c>
      <c r="P1307" s="235" t="s">
        <v>876</v>
      </c>
      <c r="Q1307">
        <f>MATCH(P1307,NickelMintage!A:A,)</f>
        <v>67</v>
      </c>
      <c r="S1307" t="str" cm="1">
        <f t="array" ref="S1307">_xlfn.REGEXEXTRACT(E1307, "[0-9]{1,5}")</f>
        <v>1959</v>
      </c>
      <c r="T1307" t="s">
        <v>2491</v>
      </c>
      <c r="U1307" t="s">
        <v>3897</v>
      </c>
    </row>
    <row r="1308" spans="1:21">
      <c r="A1308" s="136">
        <v>2</v>
      </c>
      <c r="B1308" s="246">
        <v>1959</v>
      </c>
      <c r="C1308" s="247" t="s">
        <v>13</v>
      </c>
      <c r="D1308" s="247" t="s">
        <v>1962</v>
      </c>
      <c r="E1308" s="248" t="s">
        <v>518</v>
      </c>
      <c r="F1308" s="235" t="s">
        <v>4272</v>
      </c>
      <c r="G1308" s="248" t="s">
        <v>2579</v>
      </c>
      <c r="H1308" s="249">
        <v>0.05</v>
      </c>
      <c r="I1308" s="249">
        <v>0.05</v>
      </c>
      <c r="J1308" s="246">
        <v>1</v>
      </c>
      <c r="K1308" s="250"/>
      <c r="L1308" s="248"/>
      <c r="M1308" s="276" t="str">
        <f>HYPERLINK($Y$2&amp;E1308&amp;$AA$2,"Photo")</f>
        <v>Photo</v>
      </c>
      <c r="N1308" s="279" t="s">
        <v>25</v>
      </c>
      <c r="O1308" t="str">
        <f t="shared" si="28"/>
        <v>1959-D Jefferson Nickel</v>
      </c>
      <c r="P1308" s="235" t="s">
        <v>876</v>
      </c>
      <c r="Q1308">
        <f>MATCH(P1308,NickelMintage!A:A,)</f>
        <v>67</v>
      </c>
      <c r="S1308" t="str" cm="1">
        <f t="array" ref="S1308">_xlfn.REGEXEXTRACT(E1308, "[0-9]{1,5}")</f>
        <v>1959</v>
      </c>
      <c r="T1308" t="s">
        <v>2491</v>
      </c>
      <c r="U1308" t="s">
        <v>3897</v>
      </c>
    </row>
    <row r="1309" spans="1:21">
      <c r="A1309" s="136">
        <v>2</v>
      </c>
      <c r="B1309" s="270">
        <v>1959</v>
      </c>
      <c r="C1309" s="136"/>
      <c r="D1309" s="257" t="s">
        <v>1962</v>
      </c>
      <c r="E1309" s="235" t="s">
        <v>5602</v>
      </c>
      <c r="F1309" s="235" t="s">
        <v>4272</v>
      </c>
      <c r="G1309" s="3" t="s">
        <v>2580</v>
      </c>
      <c r="H1309" s="236">
        <v>0.25</v>
      </c>
      <c r="I1309" s="236">
        <v>0.25</v>
      </c>
      <c r="J1309" s="233">
        <v>1</v>
      </c>
      <c r="N1309" s="279"/>
      <c r="O1309" t="str">
        <f t="shared" si="28"/>
        <v>1959 Jefferson Nickel</v>
      </c>
      <c r="P1309" s="235" t="s">
        <v>876</v>
      </c>
      <c r="Q1309">
        <f>MATCH(P1309,NickelMintage!A:A,)</f>
        <v>67</v>
      </c>
      <c r="S1309" t="str" cm="1">
        <f t="array" ref="S1309">_xlfn.REGEXEXTRACT(E1309, "[0-9]{1,5}")</f>
        <v>1959</v>
      </c>
      <c r="T1309" t="s">
        <v>2491</v>
      </c>
      <c r="U1309" t="s">
        <v>3897</v>
      </c>
    </row>
    <row r="1310" spans="1:21">
      <c r="A1310" s="136">
        <v>2</v>
      </c>
      <c r="B1310" s="246">
        <v>1960</v>
      </c>
      <c r="C1310" s="247" t="s">
        <v>13</v>
      </c>
      <c r="D1310" s="247" t="s">
        <v>1962</v>
      </c>
      <c r="E1310" s="248" t="s">
        <v>519</v>
      </c>
      <c r="F1310" s="235" t="s">
        <v>4272</v>
      </c>
      <c r="G1310" s="248" t="s">
        <v>2579</v>
      </c>
      <c r="H1310" s="249">
        <v>0.05</v>
      </c>
      <c r="I1310" s="249">
        <v>0.05</v>
      </c>
      <c r="J1310" s="246">
        <v>1</v>
      </c>
      <c r="K1310" s="250"/>
      <c r="L1310" s="248"/>
      <c r="M1310" s="276" t="str">
        <f>HYPERLINK($Y$2&amp;E1310&amp;$AA$2,"Photo")</f>
        <v>Photo</v>
      </c>
      <c r="N1310" s="279" t="s">
        <v>25</v>
      </c>
      <c r="O1310" t="str">
        <f t="shared" si="28"/>
        <v>1960-D Jefferson Nickel</v>
      </c>
      <c r="P1310" s="235" t="s">
        <v>876</v>
      </c>
      <c r="Q1310">
        <f>MATCH(P1310,NickelMintage!A:A,)</f>
        <v>67</v>
      </c>
      <c r="S1310" t="str" cm="1">
        <f t="array" ref="S1310">_xlfn.REGEXEXTRACT(E1310, "[0-9]{1,5}")</f>
        <v>1960</v>
      </c>
      <c r="T1310" t="s">
        <v>2491</v>
      </c>
      <c r="U1310" t="s">
        <v>3897</v>
      </c>
    </row>
    <row r="1311" spans="1:21">
      <c r="A1311" s="136">
        <v>2</v>
      </c>
      <c r="B1311" s="246">
        <v>1960</v>
      </c>
      <c r="C1311" s="247" t="s">
        <v>13</v>
      </c>
      <c r="D1311" s="247" t="s">
        <v>1962</v>
      </c>
      <c r="E1311" s="248" t="s">
        <v>520</v>
      </c>
      <c r="F1311" s="235" t="s">
        <v>4272</v>
      </c>
      <c r="G1311" s="248" t="s">
        <v>2579</v>
      </c>
      <c r="H1311" s="249">
        <v>0.05</v>
      </c>
      <c r="I1311" s="249">
        <v>0.05</v>
      </c>
      <c r="J1311" s="246">
        <v>1</v>
      </c>
      <c r="K1311" s="250"/>
      <c r="L1311" s="248"/>
      <c r="M1311" s="276" t="str">
        <f>HYPERLINK($Y$2&amp;E1311&amp;$AA$2,"Photo")</f>
        <v>Photo</v>
      </c>
      <c r="N1311" s="279" t="s">
        <v>25</v>
      </c>
      <c r="O1311" t="str">
        <f t="shared" si="28"/>
        <v>1960-D Jefferson Nickel</v>
      </c>
      <c r="P1311" s="235" t="s">
        <v>876</v>
      </c>
      <c r="Q1311">
        <f>MATCH(P1311,NickelMintage!A:A,)</f>
        <v>67</v>
      </c>
      <c r="S1311" t="str" cm="1">
        <f t="array" ref="S1311">_xlfn.REGEXEXTRACT(E1311, "[0-9]{1,5}")</f>
        <v>1960</v>
      </c>
      <c r="T1311" t="s">
        <v>2491</v>
      </c>
      <c r="U1311" t="s">
        <v>3897</v>
      </c>
    </row>
    <row r="1312" spans="1:21">
      <c r="A1312" s="136">
        <v>2</v>
      </c>
      <c r="B1312" s="246">
        <v>1960</v>
      </c>
      <c r="C1312" s="247" t="s">
        <v>13</v>
      </c>
      <c r="D1312" s="247" t="s">
        <v>1962</v>
      </c>
      <c r="E1312" s="248" t="s">
        <v>521</v>
      </c>
      <c r="F1312" s="235" t="s">
        <v>4272</v>
      </c>
      <c r="G1312" s="248" t="s">
        <v>2579</v>
      </c>
      <c r="H1312" s="249">
        <v>0.05</v>
      </c>
      <c r="I1312" s="249">
        <v>0.05</v>
      </c>
      <c r="J1312" s="246">
        <v>1</v>
      </c>
      <c r="K1312" s="250"/>
      <c r="L1312" s="248"/>
      <c r="M1312" s="276" t="str">
        <f>HYPERLINK($Y$2&amp;E1312&amp;$AA$2,"Photo")</f>
        <v>Photo</v>
      </c>
      <c r="N1312" s="279" t="s">
        <v>25</v>
      </c>
      <c r="O1312" t="str">
        <f t="shared" si="28"/>
        <v>1960-D Jefferson Nickel</v>
      </c>
      <c r="P1312" s="235">
        <v>1962</v>
      </c>
      <c r="Q1312">
        <f>MATCH(P1312,NickelMintage!A:A,)</f>
        <v>68</v>
      </c>
      <c r="S1312" t="str" cm="1">
        <f t="array" ref="S1312">_xlfn.REGEXEXTRACT(E1312, "[0-9]{1,5}")</f>
        <v>1960</v>
      </c>
      <c r="T1312" t="s">
        <v>2492</v>
      </c>
      <c r="U1312" t="s">
        <v>3897</v>
      </c>
    </row>
    <row r="1313" spans="1:21">
      <c r="A1313" s="136">
        <v>2</v>
      </c>
      <c r="B1313" s="270">
        <v>1960</v>
      </c>
      <c r="D1313" s="257" t="s">
        <v>1962</v>
      </c>
      <c r="E1313" s="235" t="s">
        <v>5594</v>
      </c>
      <c r="F1313" s="235" t="s">
        <v>4272</v>
      </c>
      <c r="G1313" s="3" t="s">
        <v>2586</v>
      </c>
      <c r="H1313" s="236">
        <v>0.5</v>
      </c>
      <c r="I1313" s="236">
        <v>0.5</v>
      </c>
      <c r="J1313" s="233">
        <v>1</v>
      </c>
      <c r="N1313" s="279"/>
      <c r="O1313" t="str">
        <f t="shared" si="28"/>
        <v>1960 Jefferson Nickel</v>
      </c>
      <c r="P1313" s="235">
        <v>1962</v>
      </c>
      <c r="Q1313">
        <f>MATCH(P1313,NickelMintage!A:A,)</f>
        <v>68</v>
      </c>
      <c r="S1313" t="str" cm="1">
        <f t="array" ref="S1313">_xlfn.REGEXEXTRACT(E1313, "[0-9]{1,5}")</f>
        <v>1960</v>
      </c>
      <c r="T1313" t="s">
        <v>2492</v>
      </c>
      <c r="U1313" t="s">
        <v>3897</v>
      </c>
    </row>
    <row r="1314" spans="1:21">
      <c r="A1314" s="136">
        <v>2</v>
      </c>
      <c r="B1314" s="246">
        <v>1961</v>
      </c>
      <c r="C1314" s="247"/>
      <c r="D1314" s="247" t="s">
        <v>1962</v>
      </c>
      <c r="E1314" s="248" t="s">
        <v>522</v>
      </c>
      <c r="F1314" s="235" t="s">
        <v>4272</v>
      </c>
      <c r="G1314" s="248" t="s">
        <v>2579</v>
      </c>
      <c r="H1314" s="249">
        <v>0.05</v>
      </c>
      <c r="I1314" s="249">
        <v>0.05</v>
      </c>
      <c r="J1314" s="246">
        <v>1</v>
      </c>
      <c r="K1314" s="250"/>
      <c r="L1314" s="248"/>
      <c r="M1314" s="276" t="str">
        <f t="shared" ref="M1314:M1358" si="31">HYPERLINK($Y$2&amp;E1314&amp;$AA$2,"Photo")</f>
        <v>Photo</v>
      </c>
      <c r="N1314" s="279" t="s">
        <v>25</v>
      </c>
      <c r="O1314" t="str">
        <f t="shared" si="28"/>
        <v>1961 Jefferson Nickel</v>
      </c>
      <c r="P1314" s="235" t="s">
        <v>877</v>
      </c>
      <c r="Q1314">
        <f>MATCH(P1314,NickelMintage!A:A,)</f>
        <v>69</v>
      </c>
      <c r="S1314" t="str" cm="1">
        <f t="array" ref="S1314">_xlfn.REGEXEXTRACT(E1314, "[0-9]{1,5}")</f>
        <v>1961</v>
      </c>
      <c r="T1314" t="s">
        <v>2492</v>
      </c>
      <c r="U1314" t="s">
        <v>3897</v>
      </c>
    </row>
    <row r="1315" spans="1:21">
      <c r="A1315" s="136">
        <v>2</v>
      </c>
      <c r="B1315" s="246">
        <v>1961</v>
      </c>
      <c r="C1315" s="247" t="s">
        <v>13</v>
      </c>
      <c r="D1315" s="247" t="s">
        <v>1962</v>
      </c>
      <c r="E1315" s="248" t="s">
        <v>524</v>
      </c>
      <c r="F1315" s="235" t="s">
        <v>4272</v>
      </c>
      <c r="G1315" s="248" t="s">
        <v>2579</v>
      </c>
      <c r="H1315" s="249">
        <v>0.05</v>
      </c>
      <c r="I1315" s="249">
        <v>0.05</v>
      </c>
      <c r="J1315" s="246">
        <v>1</v>
      </c>
      <c r="K1315" s="250"/>
      <c r="L1315" s="248"/>
      <c r="M1315" s="276" t="str">
        <f t="shared" si="31"/>
        <v>Photo</v>
      </c>
      <c r="N1315" s="279" t="s">
        <v>25</v>
      </c>
      <c r="O1315" t="str">
        <f t="shared" si="28"/>
        <v>1961-D Jefferson Nickel</v>
      </c>
      <c r="P1315" s="235" t="s">
        <v>877</v>
      </c>
      <c r="Q1315">
        <f>MATCH(P1315,NickelMintage!A:A,)</f>
        <v>69</v>
      </c>
      <c r="S1315" t="str" cm="1">
        <f t="array" ref="S1315">_xlfn.REGEXEXTRACT(E1315, "[0-9]{1,5}")</f>
        <v>1961</v>
      </c>
      <c r="T1315" t="s">
        <v>2492</v>
      </c>
      <c r="U1315" t="s">
        <v>3897</v>
      </c>
    </row>
    <row r="1316" spans="1:21">
      <c r="A1316" s="136">
        <v>2</v>
      </c>
      <c r="B1316" s="246">
        <v>1961</v>
      </c>
      <c r="C1316" s="247" t="s">
        <v>13</v>
      </c>
      <c r="D1316" s="247" t="s">
        <v>1962</v>
      </c>
      <c r="E1316" s="248" t="s">
        <v>525</v>
      </c>
      <c r="F1316" s="235" t="s">
        <v>4272</v>
      </c>
      <c r="G1316" s="248" t="s">
        <v>2579</v>
      </c>
      <c r="H1316" s="249">
        <v>0.05</v>
      </c>
      <c r="I1316" s="249">
        <v>0.05</v>
      </c>
      <c r="J1316" s="246">
        <v>1</v>
      </c>
      <c r="K1316" s="250"/>
      <c r="L1316" s="248"/>
      <c r="M1316" s="276" t="str">
        <f t="shared" si="31"/>
        <v>Photo</v>
      </c>
      <c r="N1316" s="279" t="s">
        <v>25</v>
      </c>
      <c r="O1316" t="str">
        <f t="shared" si="28"/>
        <v>1961-D Jefferson Nickel</v>
      </c>
      <c r="P1316" s="235">
        <v>1963</v>
      </c>
      <c r="Q1316">
        <f>MATCH(P1316,NickelMintage!A:A,)</f>
        <v>70</v>
      </c>
      <c r="S1316" t="str" cm="1">
        <f t="array" ref="S1316">_xlfn.REGEXEXTRACT(E1316, "[0-9]{1,5}")</f>
        <v>1961</v>
      </c>
      <c r="T1316" t="s">
        <v>2493</v>
      </c>
      <c r="U1316" t="s">
        <v>3897</v>
      </c>
    </row>
    <row r="1317" spans="1:21">
      <c r="A1317" s="136">
        <v>2</v>
      </c>
      <c r="B1317" s="246">
        <v>1961</v>
      </c>
      <c r="C1317" s="247" t="s">
        <v>13</v>
      </c>
      <c r="D1317" s="247" t="s">
        <v>1962</v>
      </c>
      <c r="E1317" s="248" t="s">
        <v>526</v>
      </c>
      <c r="F1317" s="235" t="s">
        <v>4272</v>
      </c>
      <c r="G1317" s="248" t="s">
        <v>2579</v>
      </c>
      <c r="H1317" s="249">
        <v>0.05</v>
      </c>
      <c r="I1317" s="249">
        <v>0.05</v>
      </c>
      <c r="J1317" s="246">
        <v>1</v>
      </c>
      <c r="K1317" s="250"/>
      <c r="L1317" s="248"/>
      <c r="M1317" s="276" t="str">
        <f t="shared" si="31"/>
        <v>Photo</v>
      </c>
      <c r="N1317" s="279" t="s">
        <v>25</v>
      </c>
      <c r="O1317" t="str">
        <f t="shared" si="28"/>
        <v>1961-D Jefferson Nickel</v>
      </c>
      <c r="P1317" s="235">
        <v>1963</v>
      </c>
      <c r="Q1317">
        <f>MATCH(P1317,NickelMintage!A:A,)</f>
        <v>70</v>
      </c>
      <c r="S1317" t="str" cm="1">
        <f t="array" ref="S1317">_xlfn.REGEXEXTRACT(E1317, "[0-9]{1,5}")</f>
        <v>1961</v>
      </c>
      <c r="T1317" t="s">
        <v>2493</v>
      </c>
      <c r="U1317" t="s">
        <v>3897</v>
      </c>
    </row>
    <row r="1318" spans="1:21">
      <c r="A1318" s="136">
        <v>2</v>
      </c>
      <c r="B1318" s="246">
        <v>1961</v>
      </c>
      <c r="C1318" s="247" t="s">
        <v>13</v>
      </c>
      <c r="D1318" s="247" t="s">
        <v>1962</v>
      </c>
      <c r="E1318" s="248" t="s">
        <v>527</v>
      </c>
      <c r="F1318" s="235" t="s">
        <v>4272</v>
      </c>
      <c r="G1318" s="248" t="s">
        <v>2579</v>
      </c>
      <c r="H1318" s="249">
        <v>0.05</v>
      </c>
      <c r="I1318" s="249">
        <v>0.05</v>
      </c>
      <c r="J1318" s="246">
        <v>1</v>
      </c>
      <c r="K1318" s="250"/>
      <c r="L1318" s="248"/>
      <c r="M1318" s="276" t="str">
        <f t="shared" si="31"/>
        <v>Photo</v>
      </c>
      <c r="N1318" s="279" t="s">
        <v>25</v>
      </c>
      <c r="O1318" t="str">
        <f t="shared" si="28"/>
        <v>1961-D Jefferson Nickel</v>
      </c>
      <c r="P1318" s="235">
        <v>1963</v>
      </c>
      <c r="Q1318">
        <f>MATCH(P1318,NickelMintage!A:A,)</f>
        <v>70</v>
      </c>
      <c r="S1318" t="str" cm="1">
        <f t="array" ref="S1318">_xlfn.REGEXEXTRACT(E1318, "[0-9]{1,5}")</f>
        <v>1961</v>
      </c>
      <c r="T1318" t="s">
        <v>2493</v>
      </c>
      <c r="U1318" t="s">
        <v>3897</v>
      </c>
    </row>
    <row r="1319" spans="1:21">
      <c r="A1319" s="136">
        <v>2</v>
      </c>
      <c r="B1319" s="246">
        <v>1961</v>
      </c>
      <c r="C1319" s="247" t="s">
        <v>13</v>
      </c>
      <c r="D1319" s="247" t="s">
        <v>1962</v>
      </c>
      <c r="E1319" s="248" t="s">
        <v>528</v>
      </c>
      <c r="F1319" s="235" t="s">
        <v>4272</v>
      </c>
      <c r="G1319" s="248" t="s">
        <v>2579</v>
      </c>
      <c r="H1319" s="249">
        <v>0.05</v>
      </c>
      <c r="I1319" s="249">
        <v>0.05</v>
      </c>
      <c r="J1319" s="246">
        <v>1</v>
      </c>
      <c r="K1319" s="250"/>
      <c r="L1319" s="248"/>
      <c r="M1319" s="276" t="str">
        <f t="shared" si="31"/>
        <v>Photo</v>
      </c>
      <c r="N1319" s="279" t="s">
        <v>25</v>
      </c>
      <c r="O1319" t="str">
        <f t="shared" si="28"/>
        <v>1961-D Jefferson Nickel</v>
      </c>
      <c r="P1319" s="235" t="s">
        <v>878</v>
      </c>
      <c r="Q1319">
        <f>MATCH(P1319,NickelMintage!A:A,)</f>
        <v>71</v>
      </c>
      <c r="S1319" t="str" cm="1">
        <f t="array" ref="S1319">_xlfn.REGEXEXTRACT(E1319, "[0-9]{1,5}")</f>
        <v>1961</v>
      </c>
      <c r="T1319" t="s">
        <v>2493</v>
      </c>
      <c r="U1319" t="s">
        <v>3897</v>
      </c>
    </row>
    <row r="1320" spans="1:21">
      <c r="A1320" s="136">
        <v>2</v>
      </c>
      <c r="B1320" s="246">
        <v>1961</v>
      </c>
      <c r="C1320" s="247" t="s">
        <v>13</v>
      </c>
      <c r="D1320" s="247" t="s">
        <v>1962</v>
      </c>
      <c r="E1320" s="248" t="s">
        <v>3853</v>
      </c>
      <c r="F1320" s="235" t="s">
        <v>4272</v>
      </c>
      <c r="G1320" s="248" t="s">
        <v>2580</v>
      </c>
      <c r="H1320" s="249"/>
      <c r="I1320" s="249"/>
      <c r="J1320" s="246"/>
      <c r="K1320" s="250"/>
      <c r="L1320" s="248"/>
      <c r="M1320" s="276" t="str">
        <f t="shared" si="31"/>
        <v>Photo</v>
      </c>
      <c r="N1320" s="279"/>
      <c r="O1320" t="str">
        <f t="shared" si="28"/>
        <v>1961-D Jefferson Nickel</v>
      </c>
      <c r="P1320" s="235" t="s">
        <v>878</v>
      </c>
      <c r="Q1320">
        <f>MATCH(P1320,NickelMintage!A:A,)</f>
        <v>71</v>
      </c>
      <c r="S1320" t="str" cm="1">
        <f t="array" ref="S1320">_xlfn.REGEXEXTRACT(E1320, "[0-9]{1,5}")</f>
        <v>1961</v>
      </c>
      <c r="T1320" t="s">
        <v>2493</v>
      </c>
      <c r="U1320" t="s">
        <v>3897</v>
      </c>
    </row>
    <row r="1321" spans="1:21">
      <c r="A1321" s="136">
        <v>2</v>
      </c>
      <c r="B1321" s="246">
        <v>1962</v>
      </c>
      <c r="C1321" s="247"/>
      <c r="D1321" s="247" t="s">
        <v>1962</v>
      </c>
      <c r="E1321" s="248" t="s">
        <v>529</v>
      </c>
      <c r="F1321" s="235" t="s">
        <v>4272</v>
      </c>
      <c r="G1321" s="248" t="s">
        <v>2579</v>
      </c>
      <c r="H1321" s="249">
        <v>0.05</v>
      </c>
      <c r="I1321" s="249">
        <v>0.05</v>
      </c>
      <c r="J1321" s="246">
        <v>1</v>
      </c>
      <c r="K1321" s="250"/>
      <c r="L1321" s="248"/>
      <c r="M1321" s="276" t="str">
        <f t="shared" si="31"/>
        <v>Photo</v>
      </c>
      <c r="N1321" s="279" t="s">
        <v>25</v>
      </c>
      <c r="O1321" t="str">
        <f t="shared" si="28"/>
        <v>1962 Jefferson Nickel</v>
      </c>
      <c r="P1321" s="235" t="s">
        <v>878</v>
      </c>
      <c r="Q1321">
        <f>MATCH(P1321,NickelMintage!A:A,)</f>
        <v>71</v>
      </c>
      <c r="S1321" t="str" cm="1">
        <f t="array" ref="S1321">_xlfn.REGEXEXTRACT(E1321, "[0-9]{1,5}")</f>
        <v>1962</v>
      </c>
      <c r="T1321" t="s">
        <v>2493</v>
      </c>
      <c r="U1321" t="s">
        <v>3897</v>
      </c>
    </row>
    <row r="1322" spans="1:21">
      <c r="A1322" s="136">
        <v>2</v>
      </c>
      <c r="B1322" s="246">
        <v>1962</v>
      </c>
      <c r="C1322" s="247"/>
      <c r="D1322" s="247" t="s">
        <v>1962</v>
      </c>
      <c r="E1322" s="248" t="s">
        <v>531</v>
      </c>
      <c r="F1322" s="235" t="s">
        <v>4272</v>
      </c>
      <c r="G1322" s="248" t="s">
        <v>2579</v>
      </c>
      <c r="H1322" s="249">
        <v>0.05</v>
      </c>
      <c r="I1322" s="249">
        <v>0.05</v>
      </c>
      <c r="J1322" s="246">
        <v>1</v>
      </c>
      <c r="K1322" s="250"/>
      <c r="L1322" s="248"/>
      <c r="M1322" s="276" t="str">
        <f t="shared" si="31"/>
        <v>Photo</v>
      </c>
      <c r="N1322" s="279" t="s">
        <v>25</v>
      </c>
      <c r="O1322" t="str">
        <f t="shared" si="28"/>
        <v>1962 Jefferson Nickel</v>
      </c>
      <c r="P1322" s="235">
        <v>1963</v>
      </c>
      <c r="Q1322">
        <f>MATCH(P1322,NickelMintage!A:A,)</f>
        <v>70</v>
      </c>
      <c r="S1322" t="str" cm="1">
        <f t="array" ref="S1322">_xlfn.REGEXEXTRACT(E1322, "[0-9]{1,5}")</f>
        <v>1962</v>
      </c>
      <c r="T1322" t="s">
        <v>2493</v>
      </c>
      <c r="U1322" t="s">
        <v>3897</v>
      </c>
    </row>
    <row r="1323" spans="1:21">
      <c r="A1323" s="136">
        <v>2</v>
      </c>
      <c r="B1323" s="246">
        <v>1962</v>
      </c>
      <c r="C1323" s="247" t="s">
        <v>13</v>
      </c>
      <c r="D1323" s="247" t="s">
        <v>1962</v>
      </c>
      <c r="E1323" s="248" t="s">
        <v>532</v>
      </c>
      <c r="F1323" s="235" t="s">
        <v>4272</v>
      </c>
      <c r="G1323" s="248" t="s">
        <v>2579</v>
      </c>
      <c r="H1323" s="249">
        <v>0.05</v>
      </c>
      <c r="I1323" s="249">
        <v>0.05</v>
      </c>
      <c r="J1323" s="246">
        <v>1</v>
      </c>
      <c r="K1323" s="250"/>
      <c r="L1323" s="248"/>
      <c r="M1323" s="276" t="str">
        <f t="shared" si="31"/>
        <v>Photo</v>
      </c>
      <c r="N1323" s="279" t="s">
        <v>25</v>
      </c>
      <c r="O1323" t="str">
        <f t="shared" si="28"/>
        <v>1962-D Jefferson Nickel</v>
      </c>
      <c r="P1323" s="235">
        <v>1964</v>
      </c>
      <c r="Q1323">
        <f>MATCH(P1323,NickelMintage!A:A,)</f>
        <v>72</v>
      </c>
      <c r="S1323" t="str" cm="1">
        <f t="array" ref="S1323">_xlfn.REGEXEXTRACT(E1323, "[0-9]{1,5}")</f>
        <v>1962</v>
      </c>
      <c r="T1323" t="s">
        <v>2494</v>
      </c>
      <c r="U1323" t="s">
        <v>3897</v>
      </c>
    </row>
    <row r="1324" spans="1:21">
      <c r="A1324" s="136">
        <v>2</v>
      </c>
      <c r="B1324" s="246">
        <v>1962</v>
      </c>
      <c r="C1324" s="247" t="s">
        <v>13</v>
      </c>
      <c r="D1324" s="247" t="s">
        <v>1962</v>
      </c>
      <c r="E1324" s="248" t="s">
        <v>533</v>
      </c>
      <c r="F1324" s="235" t="s">
        <v>4272</v>
      </c>
      <c r="G1324" s="248" t="s">
        <v>2579</v>
      </c>
      <c r="H1324" s="249">
        <v>0.05</v>
      </c>
      <c r="I1324" s="249">
        <v>0.05</v>
      </c>
      <c r="J1324" s="246">
        <v>1</v>
      </c>
      <c r="K1324" s="250"/>
      <c r="L1324" s="248"/>
      <c r="M1324" s="276" t="str">
        <f t="shared" si="31"/>
        <v>Photo</v>
      </c>
      <c r="N1324" s="279" t="s">
        <v>25</v>
      </c>
      <c r="O1324" t="str">
        <f t="shared" si="28"/>
        <v>1962-D Jefferson Nickel</v>
      </c>
      <c r="P1324" s="235">
        <v>1964</v>
      </c>
      <c r="Q1324">
        <f>MATCH(P1324,NickelMintage!A:A,)</f>
        <v>72</v>
      </c>
      <c r="S1324" t="str" cm="1">
        <f t="array" ref="S1324">_xlfn.REGEXEXTRACT(E1324, "[0-9]{1,5}")</f>
        <v>1962</v>
      </c>
      <c r="T1324" t="s">
        <v>2494</v>
      </c>
      <c r="U1324" t="s">
        <v>3897</v>
      </c>
    </row>
    <row r="1325" spans="1:21">
      <c r="A1325" s="136">
        <v>2</v>
      </c>
      <c r="B1325" s="246">
        <v>1963</v>
      </c>
      <c r="C1325" s="247"/>
      <c r="D1325" s="247" t="s">
        <v>1962</v>
      </c>
      <c r="E1325" s="248" t="s">
        <v>534</v>
      </c>
      <c r="F1325" s="235" t="s">
        <v>4272</v>
      </c>
      <c r="G1325" s="248" t="s">
        <v>2579</v>
      </c>
      <c r="H1325" s="249">
        <v>0.05</v>
      </c>
      <c r="I1325" s="249">
        <v>0.05</v>
      </c>
      <c r="J1325" s="246">
        <v>1</v>
      </c>
      <c r="K1325" s="250"/>
      <c r="L1325" s="248"/>
      <c r="M1325" s="276" t="str">
        <f t="shared" si="31"/>
        <v>Photo</v>
      </c>
      <c r="N1325" s="279" t="s">
        <v>25</v>
      </c>
      <c r="O1325" t="str">
        <f t="shared" si="28"/>
        <v>1963 Jefferson Nickel</v>
      </c>
      <c r="P1325" s="235">
        <v>1964</v>
      </c>
      <c r="Q1325">
        <f>MATCH(P1325,NickelMintage!A:A,)</f>
        <v>72</v>
      </c>
      <c r="S1325" t="str" cm="1">
        <f t="array" ref="S1325">_xlfn.REGEXEXTRACT(E1325, "[0-9]{1,5}")</f>
        <v>1963</v>
      </c>
      <c r="T1325" t="s">
        <v>2494</v>
      </c>
      <c r="U1325" t="s">
        <v>3897</v>
      </c>
    </row>
    <row r="1326" spans="1:21">
      <c r="A1326" s="136">
        <v>2</v>
      </c>
      <c r="B1326" s="246">
        <v>1963</v>
      </c>
      <c r="C1326" s="247"/>
      <c r="D1326" s="247" t="s">
        <v>1962</v>
      </c>
      <c r="E1326" s="248" t="s">
        <v>536</v>
      </c>
      <c r="F1326" s="235" t="s">
        <v>4272</v>
      </c>
      <c r="G1326" s="248" t="s">
        <v>2579</v>
      </c>
      <c r="H1326" s="249">
        <v>0.05</v>
      </c>
      <c r="I1326" s="249">
        <v>0.05</v>
      </c>
      <c r="J1326" s="246">
        <v>1</v>
      </c>
      <c r="K1326" s="250"/>
      <c r="L1326" s="248"/>
      <c r="M1326" s="276" t="str">
        <f t="shared" si="31"/>
        <v>Photo</v>
      </c>
      <c r="N1326" s="279" t="s">
        <v>25</v>
      </c>
      <c r="O1326" t="str">
        <f t="shared" si="28"/>
        <v>1963 Jefferson Nickel</v>
      </c>
      <c r="P1326" s="235">
        <v>1964</v>
      </c>
      <c r="Q1326">
        <f>MATCH(P1326,NickelMintage!A:A,)</f>
        <v>72</v>
      </c>
      <c r="S1326" t="str" cm="1">
        <f t="array" ref="S1326">_xlfn.REGEXEXTRACT(E1326, "[0-9]{1,5}")</f>
        <v>1963</v>
      </c>
      <c r="T1326" t="s">
        <v>2494</v>
      </c>
      <c r="U1326" t="s">
        <v>3897</v>
      </c>
    </row>
    <row r="1327" spans="1:21">
      <c r="A1327" s="136">
        <v>2</v>
      </c>
      <c r="B1327" s="246">
        <v>1963</v>
      </c>
      <c r="C1327" s="247"/>
      <c r="D1327" s="247" t="s">
        <v>1962</v>
      </c>
      <c r="E1327" s="248" t="s">
        <v>537</v>
      </c>
      <c r="F1327" s="235" t="s">
        <v>4272</v>
      </c>
      <c r="G1327" s="248" t="s">
        <v>2579</v>
      </c>
      <c r="H1327" s="249">
        <v>0.05</v>
      </c>
      <c r="I1327" s="249">
        <v>0.05</v>
      </c>
      <c r="J1327" s="246">
        <v>1</v>
      </c>
      <c r="K1327" s="250"/>
      <c r="L1327" s="248"/>
      <c r="M1327" s="276" t="str">
        <f t="shared" si="31"/>
        <v>Photo</v>
      </c>
      <c r="N1327" s="279" t="s">
        <v>25</v>
      </c>
      <c r="O1327" t="str">
        <f t="shared" si="28"/>
        <v>1963 Jefferson Nickel</v>
      </c>
      <c r="P1327" s="235">
        <v>1964</v>
      </c>
      <c r="Q1327">
        <f>MATCH(P1327,NickelMintage!A:A,)</f>
        <v>72</v>
      </c>
      <c r="S1327" t="str" cm="1">
        <f t="array" ref="S1327">_xlfn.REGEXEXTRACT(E1327, "[0-9]{1,5}")</f>
        <v>1963</v>
      </c>
      <c r="T1327" t="s">
        <v>2494</v>
      </c>
      <c r="U1327" t="s">
        <v>3897</v>
      </c>
    </row>
    <row r="1328" spans="1:21">
      <c r="A1328" s="136">
        <v>2</v>
      </c>
      <c r="B1328" s="246">
        <v>1963</v>
      </c>
      <c r="C1328" s="247" t="s">
        <v>13</v>
      </c>
      <c r="D1328" s="247" t="s">
        <v>1962</v>
      </c>
      <c r="E1328" s="248" t="s">
        <v>538</v>
      </c>
      <c r="F1328" s="235" t="s">
        <v>4272</v>
      </c>
      <c r="G1328" s="248" t="s">
        <v>2579</v>
      </c>
      <c r="H1328" s="249">
        <v>0.05</v>
      </c>
      <c r="I1328" s="249">
        <v>0.05</v>
      </c>
      <c r="J1328" s="246">
        <v>1</v>
      </c>
      <c r="K1328" s="250"/>
      <c r="L1328" s="248"/>
      <c r="M1328" s="276" t="str">
        <f t="shared" si="31"/>
        <v>Photo</v>
      </c>
      <c r="N1328" s="279" t="s">
        <v>25</v>
      </c>
      <c r="O1328" t="str">
        <f t="shared" si="28"/>
        <v>1963-D Jefferson Nickel</v>
      </c>
      <c r="P1328" s="235">
        <v>1964</v>
      </c>
      <c r="Q1328">
        <f>MATCH(P1328,NickelMintage!A:A,)</f>
        <v>72</v>
      </c>
      <c r="S1328" t="str" cm="1">
        <f t="array" ref="S1328">_xlfn.REGEXEXTRACT(E1328, "[0-9]{1,5}")</f>
        <v>1963</v>
      </c>
      <c r="T1328" t="s">
        <v>2494</v>
      </c>
      <c r="U1328" t="s">
        <v>3897</v>
      </c>
    </row>
    <row r="1329" spans="1:21">
      <c r="A1329" s="136">
        <v>2</v>
      </c>
      <c r="B1329" s="246">
        <v>1963</v>
      </c>
      <c r="C1329" s="247" t="s">
        <v>13</v>
      </c>
      <c r="D1329" s="247" t="s">
        <v>1962</v>
      </c>
      <c r="E1329" s="248" t="s">
        <v>539</v>
      </c>
      <c r="F1329" s="235" t="s">
        <v>4272</v>
      </c>
      <c r="G1329" s="248" t="s">
        <v>2579</v>
      </c>
      <c r="H1329" s="249">
        <v>0.05</v>
      </c>
      <c r="I1329" s="249">
        <v>0.05</v>
      </c>
      <c r="J1329" s="246">
        <v>1</v>
      </c>
      <c r="K1329" s="250"/>
      <c r="L1329" s="248"/>
      <c r="M1329" s="276" t="str">
        <f t="shared" si="31"/>
        <v>Photo</v>
      </c>
      <c r="N1329" s="279" t="s">
        <v>25</v>
      </c>
      <c r="O1329" t="str">
        <f t="shared" si="28"/>
        <v>1963-D Jefferson Nickel</v>
      </c>
      <c r="P1329" s="235">
        <v>1964</v>
      </c>
      <c r="Q1329">
        <f>MATCH(P1329,NickelMintage!A:A,)</f>
        <v>72</v>
      </c>
      <c r="S1329" t="str" cm="1">
        <f t="array" ref="S1329">_xlfn.REGEXEXTRACT(E1329, "[0-9]{1,5}")</f>
        <v>1963</v>
      </c>
      <c r="T1329" t="s">
        <v>2494</v>
      </c>
      <c r="U1329" t="s">
        <v>3897</v>
      </c>
    </row>
    <row r="1330" spans="1:21">
      <c r="A1330" s="136">
        <v>2</v>
      </c>
      <c r="B1330" s="246">
        <v>1963</v>
      </c>
      <c r="C1330" s="247" t="s">
        <v>13</v>
      </c>
      <c r="D1330" s="247" t="s">
        <v>1962</v>
      </c>
      <c r="E1330" s="248" t="s">
        <v>540</v>
      </c>
      <c r="F1330" s="235" t="s">
        <v>4272</v>
      </c>
      <c r="G1330" s="248" t="s">
        <v>2579</v>
      </c>
      <c r="H1330" s="249">
        <v>0.05</v>
      </c>
      <c r="I1330" s="249">
        <v>0.05</v>
      </c>
      <c r="J1330" s="246">
        <v>1</v>
      </c>
      <c r="K1330" s="250"/>
      <c r="L1330" s="248"/>
      <c r="M1330" s="276" t="str">
        <f t="shared" si="31"/>
        <v>Photo</v>
      </c>
      <c r="N1330" s="279" t="s">
        <v>25</v>
      </c>
      <c r="O1330" t="str">
        <f t="shared" si="28"/>
        <v>1963-D Jefferson Nickel</v>
      </c>
      <c r="P1330" s="235">
        <v>1964</v>
      </c>
      <c r="Q1330">
        <f>MATCH(P1330,NickelMintage!A:A,)</f>
        <v>72</v>
      </c>
      <c r="S1330" t="str" cm="1">
        <f t="array" ref="S1330">_xlfn.REGEXEXTRACT(E1330, "[0-9]{1,5}")</f>
        <v>1963</v>
      </c>
      <c r="T1330" t="s">
        <v>2494</v>
      </c>
      <c r="U1330" t="s">
        <v>3897</v>
      </c>
    </row>
    <row r="1331" spans="1:21">
      <c r="A1331" s="136">
        <v>2</v>
      </c>
      <c r="B1331" s="246">
        <v>1963</v>
      </c>
      <c r="C1331" s="247"/>
      <c r="D1331" s="247" t="s">
        <v>1962</v>
      </c>
      <c r="E1331" s="248" t="s">
        <v>541</v>
      </c>
      <c r="F1331" s="235" t="s">
        <v>4272</v>
      </c>
      <c r="G1331" s="248" t="s">
        <v>2579</v>
      </c>
      <c r="H1331" s="249">
        <v>0.05</v>
      </c>
      <c r="I1331" s="249">
        <v>0.05</v>
      </c>
      <c r="J1331" s="246">
        <v>1</v>
      </c>
      <c r="K1331" s="250"/>
      <c r="L1331" s="248"/>
      <c r="M1331" s="276" t="str">
        <f t="shared" si="31"/>
        <v>Photo</v>
      </c>
      <c r="N1331" s="279" t="s">
        <v>25</v>
      </c>
      <c r="O1331" t="str">
        <f t="shared" si="28"/>
        <v>1963 Jefferson Nickel</v>
      </c>
      <c r="P1331" s="235">
        <v>1964</v>
      </c>
      <c r="Q1331">
        <f>MATCH(P1331,NickelMintage!A:A,)</f>
        <v>72</v>
      </c>
      <c r="S1331" t="str" cm="1">
        <f t="array" ref="S1331">_xlfn.REGEXEXTRACT(E1331, "[0-9]{1,5}")</f>
        <v>1963</v>
      </c>
      <c r="T1331" t="s">
        <v>2494</v>
      </c>
      <c r="U1331" t="s">
        <v>3897</v>
      </c>
    </row>
    <row r="1332" spans="1:21">
      <c r="A1332" s="136">
        <v>2</v>
      </c>
      <c r="B1332" s="246">
        <v>1964</v>
      </c>
      <c r="C1332" s="247"/>
      <c r="D1332" s="247" t="s">
        <v>1962</v>
      </c>
      <c r="E1332" s="248" t="s">
        <v>542</v>
      </c>
      <c r="F1332" s="235" t="s">
        <v>4272</v>
      </c>
      <c r="G1332" s="248" t="s">
        <v>2579</v>
      </c>
      <c r="H1332" s="249">
        <v>0.05</v>
      </c>
      <c r="I1332" s="249">
        <v>0.05</v>
      </c>
      <c r="J1332" s="246">
        <v>1</v>
      </c>
      <c r="K1332" s="250"/>
      <c r="L1332" s="248"/>
      <c r="M1332" s="276" t="str">
        <f t="shared" si="31"/>
        <v>Photo</v>
      </c>
      <c r="N1332" s="279" t="s">
        <v>25</v>
      </c>
      <c r="O1332" t="str">
        <f t="shared" si="28"/>
        <v>1964 Jefferson Nickel</v>
      </c>
      <c r="P1332" s="235">
        <v>1964</v>
      </c>
      <c r="Q1332">
        <f>MATCH(P1332,NickelMintage!A:A,)</f>
        <v>72</v>
      </c>
      <c r="S1332" t="str" cm="1">
        <f t="array" ref="S1332">_xlfn.REGEXEXTRACT(E1332, "[0-9]{1,5}")</f>
        <v>1964</v>
      </c>
      <c r="T1332" t="s">
        <v>2494</v>
      </c>
      <c r="U1332" t="s">
        <v>3897</v>
      </c>
    </row>
    <row r="1333" spans="1:21">
      <c r="A1333" s="136">
        <v>2</v>
      </c>
      <c r="B1333" s="246">
        <v>1964</v>
      </c>
      <c r="C1333" s="247"/>
      <c r="D1333" s="247" t="s">
        <v>1962</v>
      </c>
      <c r="E1333" s="248" t="s">
        <v>544</v>
      </c>
      <c r="F1333" s="235" t="s">
        <v>4272</v>
      </c>
      <c r="G1333" s="248" t="s">
        <v>2579</v>
      </c>
      <c r="H1333" s="249">
        <v>0.05</v>
      </c>
      <c r="I1333" s="249">
        <v>0.05</v>
      </c>
      <c r="J1333" s="246">
        <v>1</v>
      </c>
      <c r="K1333" s="250"/>
      <c r="L1333" s="248"/>
      <c r="M1333" s="276" t="str">
        <f t="shared" si="31"/>
        <v>Photo</v>
      </c>
      <c r="N1333" s="279" t="s">
        <v>25</v>
      </c>
      <c r="O1333" t="str">
        <f t="shared" si="28"/>
        <v>1964 Jefferson Nickel</v>
      </c>
      <c r="P1333" s="235" t="s">
        <v>879</v>
      </c>
      <c r="Q1333">
        <f>MATCH(P1333,NickelMintage!A:A,)</f>
        <v>73</v>
      </c>
      <c r="S1333" t="str" cm="1">
        <f t="array" ref="S1333">_xlfn.REGEXEXTRACT(E1333, "[0-9]{1,5}")</f>
        <v>1964</v>
      </c>
      <c r="T1333" t="s">
        <v>2494</v>
      </c>
      <c r="U1333" t="s">
        <v>3897</v>
      </c>
    </row>
    <row r="1334" spans="1:21">
      <c r="A1334" s="136">
        <v>2</v>
      </c>
      <c r="B1334" s="246">
        <v>1964</v>
      </c>
      <c r="C1334" s="247"/>
      <c r="D1334" s="247" t="s">
        <v>1962</v>
      </c>
      <c r="E1334" s="248" t="s">
        <v>545</v>
      </c>
      <c r="F1334" s="235" t="s">
        <v>4272</v>
      </c>
      <c r="G1334" s="248" t="s">
        <v>2579</v>
      </c>
      <c r="H1334" s="249">
        <v>0.05</v>
      </c>
      <c r="I1334" s="249">
        <v>0.05</v>
      </c>
      <c r="J1334" s="246">
        <v>1</v>
      </c>
      <c r="K1334" s="250"/>
      <c r="L1334" s="248"/>
      <c r="M1334" s="276" t="str">
        <f t="shared" si="31"/>
        <v>Photo</v>
      </c>
      <c r="N1334" s="279" t="s">
        <v>25</v>
      </c>
      <c r="O1334" t="str">
        <f t="shared" si="28"/>
        <v>1964 Jefferson Nickel</v>
      </c>
      <c r="P1334" s="235" t="s">
        <v>879</v>
      </c>
      <c r="Q1334">
        <f>MATCH(P1334,NickelMintage!A:A,)</f>
        <v>73</v>
      </c>
      <c r="S1334" t="str" cm="1">
        <f t="array" ref="S1334">_xlfn.REGEXEXTRACT(E1334, "[0-9]{1,5}")</f>
        <v>1964</v>
      </c>
      <c r="T1334" t="s">
        <v>2494</v>
      </c>
      <c r="U1334" t="s">
        <v>3897</v>
      </c>
    </row>
    <row r="1335" spans="1:21">
      <c r="A1335" s="136">
        <v>2</v>
      </c>
      <c r="B1335" s="246">
        <v>1964</v>
      </c>
      <c r="C1335" s="247"/>
      <c r="D1335" s="247" t="s">
        <v>1962</v>
      </c>
      <c r="E1335" s="248" t="s">
        <v>546</v>
      </c>
      <c r="F1335" s="235" t="s">
        <v>4272</v>
      </c>
      <c r="G1335" s="248" t="s">
        <v>2579</v>
      </c>
      <c r="H1335" s="249">
        <v>0.05</v>
      </c>
      <c r="I1335" s="249">
        <v>0.05</v>
      </c>
      <c r="J1335" s="246">
        <v>1</v>
      </c>
      <c r="K1335" s="250"/>
      <c r="L1335" s="248"/>
      <c r="M1335" s="276" t="str">
        <f t="shared" si="31"/>
        <v>Photo</v>
      </c>
      <c r="N1335" s="279" t="s">
        <v>25</v>
      </c>
      <c r="O1335" t="str">
        <f t="shared" si="28"/>
        <v>1964 Jefferson Nickel</v>
      </c>
      <c r="P1335" s="235" t="s">
        <v>879</v>
      </c>
      <c r="Q1335">
        <f>MATCH(P1335,NickelMintage!A:A,)</f>
        <v>73</v>
      </c>
      <c r="S1335" t="str" cm="1">
        <f t="array" ref="S1335">_xlfn.REGEXEXTRACT(E1335, "[0-9]{1,5}")</f>
        <v>1964</v>
      </c>
      <c r="T1335" t="s">
        <v>2494</v>
      </c>
      <c r="U1335" t="s">
        <v>3897</v>
      </c>
    </row>
    <row r="1336" spans="1:21">
      <c r="A1336" s="136">
        <v>2</v>
      </c>
      <c r="B1336" s="246">
        <v>1964</v>
      </c>
      <c r="C1336" s="247"/>
      <c r="D1336" s="247" t="s">
        <v>1962</v>
      </c>
      <c r="E1336" s="248" t="s">
        <v>547</v>
      </c>
      <c r="F1336" s="235" t="s">
        <v>4272</v>
      </c>
      <c r="G1336" s="248" t="s">
        <v>2579</v>
      </c>
      <c r="H1336" s="249">
        <v>0.05</v>
      </c>
      <c r="I1336" s="249">
        <v>0.05</v>
      </c>
      <c r="J1336" s="246">
        <v>1</v>
      </c>
      <c r="K1336" s="250"/>
      <c r="L1336" s="248"/>
      <c r="M1336" s="276" t="str">
        <f t="shared" si="31"/>
        <v>Photo</v>
      </c>
      <c r="N1336" s="279" t="s">
        <v>25</v>
      </c>
      <c r="O1336" t="str">
        <f t="shared" si="28"/>
        <v>1964 Jefferson Nickel</v>
      </c>
      <c r="P1336" s="235" t="s">
        <v>879</v>
      </c>
      <c r="Q1336">
        <f>MATCH(P1336,NickelMintage!A:A,)</f>
        <v>73</v>
      </c>
      <c r="S1336" t="str" cm="1">
        <f t="array" ref="S1336">_xlfn.REGEXEXTRACT(E1336, "[0-9]{1,5}")</f>
        <v>1964</v>
      </c>
      <c r="T1336" t="s">
        <v>2494</v>
      </c>
      <c r="U1336" t="s">
        <v>3897</v>
      </c>
    </row>
    <row r="1337" spans="1:21">
      <c r="A1337" s="136">
        <v>2</v>
      </c>
      <c r="B1337" s="246">
        <v>1964</v>
      </c>
      <c r="C1337" s="247"/>
      <c r="D1337" s="247" t="s">
        <v>1962</v>
      </c>
      <c r="E1337" s="248" t="s">
        <v>548</v>
      </c>
      <c r="F1337" s="235" t="s">
        <v>4272</v>
      </c>
      <c r="G1337" s="248" t="s">
        <v>2579</v>
      </c>
      <c r="H1337" s="249">
        <v>0.05</v>
      </c>
      <c r="I1337" s="249">
        <v>0.05</v>
      </c>
      <c r="J1337" s="246">
        <v>1</v>
      </c>
      <c r="K1337" s="250"/>
      <c r="L1337" s="248"/>
      <c r="M1337" s="276" t="str">
        <f t="shared" si="31"/>
        <v>Photo</v>
      </c>
      <c r="N1337" s="279" t="s">
        <v>25</v>
      </c>
      <c r="O1337" t="str">
        <f t="shared" si="28"/>
        <v>1964 Jefferson Nickel</v>
      </c>
      <c r="P1337" s="235" t="s">
        <v>879</v>
      </c>
      <c r="Q1337">
        <f>MATCH(P1337,NickelMintage!A:A,)</f>
        <v>73</v>
      </c>
      <c r="S1337" t="str" cm="1">
        <f t="array" ref="S1337">_xlfn.REGEXEXTRACT(E1337, "[0-9]{1,5}")</f>
        <v>1964</v>
      </c>
      <c r="T1337" t="s">
        <v>2494</v>
      </c>
      <c r="U1337" t="s">
        <v>3897</v>
      </c>
    </row>
    <row r="1338" spans="1:21">
      <c r="A1338" s="136">
        <v>2</v>
      </c>
      <c r="B1338" s="246">
        <v>1964</v>
      </c>
      <c r="C1338" s="247"/>
      <c r="D1338" s="247" t="s">
        <v>1962</v>
      </c>
      <c r="E1338" s="248" t="s">
        <v>549</v>
      </c>
      <c r="F1338" s="235" t="s">
        <v>4272</v>
      </c>
      <c r="G1338" s="248" t="s">
        <v>2579</v>
      </c>
      <c r="H1338" s="249">
        <v>0.05</v>
      </c>
      <c r="I1338" s="249">
        <v>0.05</v>
      </c>
      <c r="J1338" s="246">
        <v>1</v>
      </c>
      <c r="K1338" s="250"/>
      <c r="L1338" s="248"/>
      <c r="M1338" s="276" t="str">
        <f t="shared" si="31"/>
        <v>Photo</v>
      </c>
      <c r="N1338" s="279" t="s">
        <v>25</v>
      </c>
      <c r="O1338" t="str">
        <f t="shared" si="28"/>
        <v>1964 Jefferson Nickel</v>
      </c>
      <c r="P1338" s="235" t="s">
        <v>879</v>
      </c>
      <c r="Q1338">
        <f>MATCH(P1338,NickelMintage!A:A,)</f>
        <v>73</v>
      </c>
      <c r="S1338" t="str" cm="1">
        <f t="array" ref="S1338">_xlfn.REGEXEXTRACT(E1338, "[0-9]{1,5}")</f>
        <v>1964</v>
      </c>
      <c r="T1338" t="s">
        <v>2494</v>
      </c>
      <c r="U1338" t="s">
        <v>3897</v>
      </c>
    </row>
    <row r="1339" spans="1:21">
      <c r="A1339" s="136">
        <v>2</v>
      </c>
      <c r="B1339" s="246">
        <v>1964</v>
      </c>
      <c r="C1339" s="247"/>
      <c r="D1339" s="247" t="s">
        <v>1962</v>
      </c>
      <c r="E1339" s="248" t="s">
        <v>550</v>
      </c>
      <c r="F1339" s="235" t="s">
        <v>4272</v>
      </c>
      <c r="G1339" s="248" t="s">
        <v>2579</v>
      </c>
      <c r="H1339" s="249">
        <v>0.05</v>
      </c>
      <c r="I1339" s="249">
        <v>0.05</v>
      </c>
      <c r="J1339" s="246">
        <v>1</v>
      </c>
      <c r="K1339" s="250"/>
      <c r="L1339" s="248"/>
      <c r="M1339" s="276" t="str">
        <f t="shared" si="31"/>
        <v>Photo</v>
      </c>
      <c r="N1339" s="279" t="s">
        <v>25</v>
      </c>
      <c r="O1339" t="str">
        <f t="shared" si="28"/>
        <v>1964 Jefferson Nickel</v>
      </c>
      <c r="P1339" s="235" t="s">
        <v>879</v>
      </c>
      <c r="Q1339">
        <f>MATCH(P1339,NickelMintage!A:A,)</f>
        <v>73</v>
      </c>
      <c r="S1339" t="str" cm="1">
        <f t="array" ref="S1339">_xlfn.REGEXEXTRACT(E1339, "[0-9]{1,5}")</f>
        <v>1964</v>
      </c>
      <c r="T1339" t="s">
        <v>2494</v>
      </c>
      <c r="U1339" t="s">
        <v>3897</v>
      </c>
    </row>
    <row r="1340" spans="1:21">
      <c r="A1340" s="136">
        <v>2</v>
      </c>
      <c r="B1340" s="246">
        <v>1964</v>
      </c>
      <c r="C1340" s="247"/>
      <c r="D1340" s="247" t="s">
        <v>1962</v>
      </c>
      <c r="E1340" s="248" t="s">
        <v>551</v>
      </c>
      <c r="F1340" s="235" t="s">
        <v>4272</v>
      </c>
      <c r="G1340" s="248" t="s">
        <v>2579</v>
      </c>
      <c r="H1340" s="249">
        <v>0.05</v>
      </c>
      <c r="I1340" s="249">
        <v>0.05</v>
      </c>
      <c r="J1340" s="246">
        <v>1</v>
      </c>
      <c r="K1340" s="250"/>
      <c r="L1340" s="248"/>
      <c r="M1340" s="276" t="str">
        <f t="shared" si="31"/>
        <v>Photo</v>
      </c>
      <c r="N1340" s="279" t="s">
        <v>25</v>
      </c>
      <c r="O1340" t="str">
        <f t="shared" si="28"/>
        <v>1964 Jefferson Nickel</v>
      </c>
      <c r="P1340" s="235" t="s">
        <v>879</v>
      </c>
      <c r="Q1340">
        <f>MATCH(P1340,NickelMintage!A:A,)</f>
        <v>73</v>
      </c>
      <c r="S1340" t="str" cm="1">
        <f t="array" ref="S1340">_xlfn.REGEXEXTRACT(E1340, "[0-9]{1,5}")</f>
        <v>1964</v>
      </c>
      <c r="T1340" t="s">
        <v>2494</v>
      </c>
      <c r="U1340" t="s">
        <v>3897</v>
      </c>
    </row>
    <row r="1341" spans="1:21">
      <c r="A1341" s="136">
        <v>2</v>
      </c>
      <c r="B1341" s="246">
        <v>1964</v>
      </c>
      <c r="C1341" s="247"/>
      <c r="D1341" s="247" t="s">
        <v>1962</v>
      </c>
      <c r="E1341" s="248" t="s">
        <v>552</v>
      </c>
      <c r="F1341" s="235" t="s">
        <v>4272</v>
      </c>
      <c r="G1341" s="248" t="s">
        <v>2579</v>
      </c>
      <c r="H1341" s="249">
        <v>0.05</v>
      </c>
      <c r="I1341" s="249">
        <v>0.05</v>
      </c>
      <c r="J1341" s="246">
        <v>1</v>
      </c>
      <c r="K1341" s="250"/>
      <c r="L1341" s="248"/>
      <c r="M1341" s="276" t="str">
        <f t="shared" si="31"/>
        <v>Photo</v>
      </c>
      <c r="N1341" s="279" t="s">
        <v>25</v>
      </c>
      <c r="O1341" t="str">
        <f t="shared" si="28"/>
        <v>1964 Jefferson Nickel</v>
      </c>
      <c r="P1341" s="235" t="s">
        <v>879</v>
      </c>
      <c r="Q1341">
        <f>MATCH(P1341,NickelMintage!A:A,)</f>
        <v>73</v>
      </c>
      <c r="S1341" t="str" cm="1">
        <f t="array" ref="S1341">_xlfn.REGEXEXTRACT(E1341, "[0-9]{1,5}")</f>
        <v>1964</v>
      </c>
      <c r="T1341" t="s">
        <v>2494</v>
      </c>
      <c r="U1341" t="s">
        <v>3897</v>
      </c>
    </row>
    <row r="1342" spans="1:21">
      <c r="A1342" s="136">
        <v>2</v>
      </c>
      <c r="B1342" s="246">
        <v>1964</v>
      </c>
      <c r="C1342" s="247" t="s">
        <v>13</v>
      </c>
      <c r="D1342" s="247" t="s">
        <v>1962</v>
      </c>
      <c r="E1342" s="248" t="s">
        <v>553</v>
      </c>
      <c r="F1342" s="235" t="s">
        <v>4272</v>
      </c>
      <c r="G1342" s="248" t="s">
        <v>2579</v>
      </c>
      <c r="H1342" s="249">
        <v>0.05</v>
      </c>
      <c r="I1342" s="249">
        <v>0.05</v>
      </c>
      <c r="J1342" s="246">
        <v>1</v>
      </c>
      <c r="K1342" s="250"/>
      <c r="L1342" s="248"/>
      <c r="M1342" s="276" t="str">
        <f t="shared" si="31"/>
        <v>Photo</v>
      </c>
      <c r="N1342" s="279" t="s">
        <v>25</v>
      </c>
      <c r="O1342" t="str">
        <f t="shared" si="28"/>
        <v>1964-D Jefferson Nickel</v>
      </c>
      <c r="P1342" s="235" t="s">
        <v>879</v>
      </c>
      <c r="Q1342">
        <f>MATCH(P1342,NickelMintage!A:A,)</f>
        <v>73</v>
      </c>
      <c r="S1342" t="str" cm="1">
        <f t="array" ref="S1342">_xlfn.REGEXEXTRACT(E1342, "[0-9]{1,5}")</f>
        <v>1964</v>
      </c>
      <c r="T1342" t="s">
        <v>2494</v>
      </c>
      <c r="U1342" t="s">
        <v>3897</v>
      </c>
    </row>
    <row r="1343" spans="1:21">
      <c r="A1343" s="136">
        <v>2</v>
      </c>
      <c r="B1343" s="246">
        <v>1964</v>
      </c>
      <c r="C1343" s="247" t="s">
        <v>13</v>
      </c>
      <c r="D1343" s="247" t="s">
        <v>1962</v>
      </c>
      <c r="E1343" s="248" t="s">
        <v>555</v>
      </c>
      <c r="F1343" s="235" t="s">
        <v>4272</v>
      </c>
      <c r="G1343" s="248" t="s">
        <v>2579</v>
      </c>
      <c r="H1343" s="249">
        <v>0.05</v>
      </c>
      <c r="I1343" s="249">
        <v>0.05</v>
      </c>
      <c r="J1343" s="246">
        <v>1</v>
      </c>
      <c r="K1343" s="250"/>
      <c r="L1343" s="248"/>
      <c r="M1343" s="276" t="str">
        <f t="shared" si="31"/>
        <v>Photo</v>
      </c>
      <c r="N1343" s="279" t="s">
        <v>25</v>
      </c>
      <c r="O1343" t="str">
        <f t="shared" si="28"/>
        <v>1964-D Jefferson Nickel</v>
      </c>
      <c r="P1343" s="235" t="s">
        <v>879</v>
      </c>
      <c r="Q1343">
        <f>MATCH(P1343,NickelMintage!A:A,)</f>
        <v>73</v>
      </c>
      <c r="S1343" t="str" cm="1">
        <f t="array" ref="S1343">_xlfn.REGEXEXTRACT(E1343, "[0-9]{1,5}")</f>
        <v>1964</v>
      </c>
      <c r="T1343" t="s">
        <v>2494</v>
      </c>
      <c r="U1343" t="s">
        <v>3897</v>
      </c>
    </row>
    <row r="1344" spans="1:21">
      <c r="A1344" s="136">
        <v>2</v>
      </c>
      <c r="B1344" s="246">
        <v>1964</v>
      </c>
      <c r="C1344" s="247" t="s">
        <v>13</v>
      </c>
      <c r="D1344" s="247" t="s">
        <v>1962</v>
      </c>
      <c r="E1344" s="248" t="s">
        <v>556</v>
      </c>
      <c r="F1344" s="235" t="s">
        <v>4272</v>
      </c>
      <c r="G1344" s="248" t="s">
        <v>2579</v>
      </c>
      <c r="H1344" s="249">
        <v>0.05</v>
      </c>
      <c r="I1344" s="249">
        <v>0.05</v>
      </c>
      <c r="J1344" s="246">
        <v>1</v>
      </c>
      <c r="K1344" s="250"/>
      <c r="L1344" s="248"/>
      <c r="M1344" s="276" t="str">
        <f t="shared" si="31"/>
        <v>Photo</v>
      </c>
      <c r="N1344" s="279" t="s">
        <v>25</v>
      </c>
      <c r="O1344" t="str">
        <f t="shared" si="28"/>
        <v>1964-D Jefferson Nickel</v>
      </c>
      <c r="P1344" s="235" t="s">
        <v>879</v>
      </c>
      <c r="Q1344">
        <f>MATCH(P1344,NickelMintage!A:A,)</f>
        <v>73</v>
      </c>
      <c r="S1344" t="str" cm="1">
        <f t="array" ref="S1344">_xlfn.REGEXEXTRACT(E1344, "[0-9]{1,5}")</f>
        <v>1964</v>
      </c>
      <c r="T1344" t="s">
        <v>2494</v>
      </c>
      <c r="U1344" t="s">
        <v>3897</v>
      </c>
    </row>
    <row r="1345" spans="1:21">
      <c r="A1345" s="136">
        <v>2</v>
      </c>
      <c r="B1345" s="246">
        <v>1964</v>
      </c>
      <c r="C1345" s="247" t="s">
        <v>13</v>
      </c>
      <c r="D1345" s="247" t="s">
        <v>1962</v>
      </c>
      <c r="E1345" s="248" t="s">
        <v>557</v>
      </c>
      <c r="F1345" s="235" t="s">
        <v>4272</v>
      </c>
      <c r="G1345" s="248" t="s">
        <v>2579</v>
      </c>
      <c r="H1345" s="249">
        <v>0.05</v>
      </c>
      <c r="I1345" s="249">
        <v>0.05</v>
      </c>
      <c r="J1345" s="246">
        <v>1</v>
      </c>
      <c r="K1345" s="250"/>
      <c r="L1345" s="248"/>
      <c r="M1345" s="276" t="str">
        <f t="shared" si="31"/>
        <v>Photo</v>
      </c>
      <c r="N1345" s="279" t="s">
        <v>25</v>
      </c>
      <c r="O1345" t="str">
        <f t="shared" si="28"/>
        <v>1964-D Jefferson Nickel</v>
      </c>
      <c r="P1345" s="235">
        <v>1965</v>
      </c>
      <c r="Q1345">
        <f>MATCH(P1345,NickelMintage!A:A,)</f>
        <v>74</v>
      </c>
      <c r="S1345" t="str" cm="1">
        <f t="array" ref="S1345">_xlfn.REGEXEXTRACT(E1345, "[0-9]{1,5}")</f>
        <v>1964</v>
      </c>
      <c r="T1345" t="s">
        <v>2495</v>
      </c>
      <c r="U1345" t="s">
        <v>3897</v>
      </c>
    </row>
    <row r="1346" spans="1:21">
      <c r="A1346" s="136">
        <v>2</v>
      </c>
      <c r="B1346" s="246">
        <v>1964</v>
      </c>
      <c r="C1346" s="247" t="s">
        <v>13</v>
      </c>
      <c r="D1346" s="247" t="s">
        <v>1962</v>
      </c>
      <c r="E1346" s="248" t="s">
        <v>558</v>
      </c>
      <c r="F1346" s="235" t="s">
        <v>4272</v>
      </c>
      <c r="G1346" s="248" t="s">
        <v>2579</v>
      </c>
      <c r="H1346" s="249">
        <v>0.05</v>
      </c>
      <c r="I1346" s="249">
        <v>0.05</v>
      </c>
      <c r="J1346" s="246">
        <v>1</v>
      </c>
      <c r="K1346" s="250"/>
      <c r="L1346" s="248"/>
      <c r="M1346" s="276" t="str">
        <f t="shared" si="31"/>
        <v>Photo</v>
      </c>
      <c r="N1346" s="279" t="s">
        <v>25</v>
      </c>
      <c r="O1346" t="str">
        <f t="shared" si="28"/>
        <v>1964-D Jefferson Nickel</v>
      </c>
      <c r="P1346" s="235">
        <v>1966</v>
      </c>
      <c r="Q1346">
        <f>MATCH(P1346,NickelMintage!A:A,)</f>
        <v>75</v>
      </c>
      <c r="S1346" t="str" cm="1">
        <f t="array" ref="S1346">_xlfn.REGEXEXTRACT(E1346, "[0-9]{1,5}")</f>
        <v>1964</v>
      </c>
      <c r="T1346" t="s">
        <v>2496</v>
      </c>
      <c r="U1346" t="s">
        <v>3897</v>
      </c>
    </row>
    <row r="1347" spans="1:21">
      <c r="A1347" s="136">
        <v>2</v>
      </c>
      <c r="B1347" s="246">
        <v>1964</v>
      </c>
      <c r="C1347" s="247" t="s">
        <v>13</v>
      </c>
      <c r="D1347" s="247" t="s">
        <v>1962</v>
      </c>
      <c r="E1347" s="248" t="s">
        <v>559</v>
      </c>
      <c r="F1347" s="235" t="s">
        <v>4272</v>
      </c>
      <c r="G1347" s="248" t="s">
        <v>2579</v>
      </c>
      <c r="H1347" s="249">
        <v>0.05</v>
      </c>
      <c r="I1347" s="249">
        <v>0.05</v>
      </c>
      <c r="J1347" s="246">
        <v>1</v>
      </c>
      <c r="K1347" s="250"/>
      <c r="L1347" s="248"/>
      <c r="M1347" s="276" t="str">
        <f t="shared" si="31"/>
        <v>Photo</v>
      </c>
      <c r="N1347" s="279" t="s">
        <v>25</v>
      </c>
      <c r="O1347" t="str">
        <f t="shared" si="28"/>
        <v>1964-D Jefferson Nickel</v>
      </c>
      <c r="P1347" s="235">
        <v>1966</v>
      </c>
      <c r="Q1347">
        <f>MATCH(P1347,NickelMintage!A:A,)</f>
        <v>75</v>
      </c>
      <c r="S1347" t="str" cm="1">
        <f t="array" ref="S1347">_xlfn.REGEXEXTRACT(E1347, "[0-9]{1,5}")</f>
        <v>1964</v>
      </c>
      <c r="T1347" t="s">
        <v>2496</v>
      </c>
      <c r="U1347" t="s">
        <v>3897</v>
      </c>
    </row>
    <row r="1348" spans="1:21">
      <c r="A1348" s="136">
        <v>2</v>
      </c>
      <c r="B1348" s="246">
        <v>1964</v>
      </c>
      <c r="C1348" s="247" t="s">
        <v>13</v>
      </c>
      <c r="D1348" s="247" t="s">
        <v>1962</v>
      </c>
      <c r="E1348" s="248" t="s">
        <v>560</v>
      </c>
      <c r="F1348" s="235" t="s">
        <v>4272</v>
      </c>
      <c r="G1348" s="248" t="s">
        <v>2579</v>
      </c>
      <c r="H1348" s="249">
        <v>0.05</v>
      </c>
      <c r="I1348" s="249">
        <v>0.05</v>
      </c>
      <c r="J1348" s="246">
        <v>1</v>
      </c>
      <c r="K1348" s="250"/>
      <c r="L1348" s="248"/>
      <c r="M1348" s="276" t="str">
        <f t="shared" si="31"/>
        <v>Photo</v>
      </c>
      <c r="N1348" s="279" t="s">
        <v>25</v>
      </c>
      <c r="O1348" t="str">
        <f t="shared" ref="O1348:O1411" si="32">IF(C1348&lt;&gt;"",B1348&amp;"-"&amp;C1348&amp;" "&amp;F1348,B1348&amp;" "&amp;F1348)</f>
        <v>1964-D Jefferson Nickel</v>
      </c>
      <c r="P1348" s="235">
        <v>1967</v>
      </c>
      <c r="Q1348">
        <f>MATCH(P1348,NickelMintage!A:A,)</f>
        <v>76</v>
      </c>
      <c r="S1348" t="str" cm="1">
        <f t="array" ref="S1348">_xlfn.REGEXEXTRACT(E1348, "[0-9]{1,5}")</f>
        <v>1964</v>
      </c>
      <c r="T1348" t="s">
        <v>2497</v>
      </c>
      <c r="U1348" t="s">
        <v>3897</v>
      </c>
    </row>
    <row r="1349" spans="1:21">
      <c r="A1349" s="136">
        <v>2</v>
      </c>
      <c r="B1349" s="246">
        <v>1964</v>
      </c>
      <c r="C1349" s="247" t="s">
        <v>13</v>
      </c>
      <c r="D1349" s="247" t="s">
        <v>1962</v>
      </c>
      <c r="E1349" s="248" t="s">
        <v>561</v>
      </c>
      <c r="F1349" s="235" t="s">
        <v>4272</v>
      </c>
      <c r="G1349" s="248" t="s">
        <v>2579</v>
      </c>
      <c r="H1349" s="249">
        <v>0.05</v>
      </c>
      <c r="I1349" s="249">
        <v>0.05</v>
      </c>
      <c r="J1349" s="246">
        <v>1</v>
      </c>
      <c r="K1349" s="250"/>
      <c r="L1349" s="248"/>
      <c r="M1349" s="276" t="str">
        <f t="shared" si="31"/>
        <v>Photo</v>
      </c>
      <c r="N1349" s="279" t="s">
        <v>25</v>
      </c>
      <c r="O1349" t="str">
        <f t="shared" si="32"/>
        <v>1964-D Jefferson Nickel</v>
      </c>
      <c r="P1349" s="235">
        <v>1967</v>
      </c>
      <c r="Q1349">
        <f>MATCH(P1349,NickelMintage!A:A,)</f>
        <v>76</v>
      </c>
      <c r="S1349" t="str" cm="1">
        <f t="array" ref="S1349">_xlfn.REGEXEXTRACT(E1349, "[0-9]{1,5}")</f>
        <v>1964</v>
      </c>
      <c r="T1349" t="s">
        <v>2497</v>
      </c>
      <c r="U1349" t="s">
        <v>3897</v>
      </c>
    </row>
    <row r="1350" spans="1:21">
      <c r="A1350" s="136">
        <v>2</v>
      </c>
      <c r="B1350" s="246">
        <v>1964</v>
      </c>
      <c r="C1350" s="247" t="s">
        <v>13</v>
      </c>
      <c r="D1350" s="247" t="s">
        <v>1962</v>
      </c>
      <c r="E1350" s="248" t="s">
        <v>562</v>
      </c>
      <c r="F1350" s="235" t="s">
        <v>4272</v>
      </c>
      <c r="G1350" s="248" t="s">
        <v>2579</v>
      </c>
      <c r="H1350" s="249">
        <v>0.05</v>
      </c>
      <c r="I1350" s="249">
        <v>0.05</v>
      </c>
      <c r="J1350" s="246">
        <v>1</v>
      </c>
      <c r="K1350" s="250"/>
      <c r="L1350" s="248"/>
      <c r="M1350" s="276" t="str">
        <f t="shared" si="31"/>
        <v>Photo</v>
      </c>
      <c r="N1350" s="279" t="s">
        <v>25</v>
      </c>
      <c r="O1350" t="str">
        <f t="shared" si="32"/>
        <v>1964-D Jefferson Nickel</v>
      </c>
      <c r="P1350" s="235" t="s">
        <v>882</v>
      </c>
      <c r="Q1350">
        <f>MATCH(P1350,NickelMintage!A:A,)</f>
        <v>79</v>
      </c>
      <c r="S1350" t="str" cm="1">
        <f t="array" ref="S1350">_xlfn.REGEXEXTRACT(E1350, "[0-9]{1,5}")</f>
        <v>1964</v>
      </c>
      <c r="T1350" t="s">
        <v>4185</v>
      </c>
      <c r="U1350" t="s">
        <v>3897</v>
      </c>
    </row>
    <row r="1351" spans="1:21">
      <c r="A1351" s="136">
        <v>2</v>
      </c>
      <c r="B1351" s="246">
        <v>1964</v>
      </c>
      <c r="C1351" s="247" t="s">
        <v>13</v>
      </c>
      <c r="D1351" s="247" t="s">
        <v>1962</v>
      </c>
      <c r="E1351" s="248" t="s">
        <v>563</v>
      </c>
      <c r="F1351" s="235" t="s">
        <v>4272</v>
      </c>
      <c r="G1351" s="248" t="s">
        <v>2579</v>
      </c>
      <c r="H1351" s="249">
        <v>0.05</v>
      </c>
      <c r="I1351" s="249">
        <v>0.05</v>
      </c>
      <c r="J1351" s="246">
        <v>1</v>
      </c>
      <c r="K1351" s="250"/>
      <c r="L1351" s="248"/>
      <c r="M1351" s="276" t="str">
        <f t="shared" si="31"/>
        <v>Photo</v>
      </c>
      <c r="N1351" s="279" t="s">
        <v>25</v>
      </c>
      <c r="O1351" t="str">
        <f t="shared" si="32"/>
        <v>1964-D Jefferson Nickel</v>
      </c>
      <c r="P1351" s="235" t="s">
        <v>882</v>
      </c>
      <c r="Q1351">
        <f>MATCH(P1351,NickelMintage!A:A,)</f>
        <v>79</v>
      </c>
      <c r="S1351" t="str" cm="1">
        <f t="array" ref="S1351">_xlfn.REGEXEXTRACT(E1351, "[0-9]{1,5}")</f>
        <v>1964</v>
      </c>
      <c r="T1351" t="s">
        <v>4185</v>
      </c>
      <c r="U1351" t="s">
        <v>3897</v>
      </c>
    </row>
    <row r="1352" spans="1:21">
      <c r="A1352" s="136">
        <v>2</v>
      </c>
      <c r="B1352" s="246">
        <v>1964</v>
      </c>
      <c r="C1352" s="247" t="s">
        <v>13</v>
      </c>
      <c r="D1352" s="247" t="s">
        <v>1962</v>
      </c>
      <c r="E1352" s="248" t="s">
        <v>564</v>
      </c>
      <c r="F1352" s="235" t="s">
        <v>4272</v>
      </c>
      <c r="G1352" s="248" t="s">
        <v>2579</v>
      </c>
      <c r="H1352" s="249">
        <v>0.05</v>
      </c>
      <c r="I1352" s="249">
        <v>0.05</v>
      </c>
      <c r="J1352" s="246">
        <v>1</v>
      </c>
      <c r="K1352" s="250"/>
      <c r="L1352" s="248"/>
      <c r="M1352" s="276" t="str">
        <f t="shared" si="31"/>
        <v>Photo</v>
      </c>
      <c r="N1352" s="279" t="s">
        <v>25</v>
      </c>
      <c r="O1352" t="str">
        <f t="shared" si="32"/>
        <v>1964-D Jefferson Nickel</v>
      </c>
      <c r="P1352" s="235" t="s">
        <v>882</v>
      </c>
      <c r="Q1352">
        <f>MATCH(P1352,NickelMintage!A:A,)</f>
        <v>79</v>
      </c>
      <c r="S1352" t="str" cm="1">
        <f t="array" ref="S1352">_xlfn.REGEXEXTRACT(E1352, "[0-9]{1,5}")</f>
        <v>1964</v>
      </c>
      <c r="T1352" t="s">
        <v>4185</v>
      </c>
      <c r="U1352" t="s">
        <v>3897</v>
      </c>
    </row>
    <row r="1353" spans="1:21">
      <c r="A1353" s="136">
        <v>2</v>
      </c>
      <c r="B1353" s="246">
        <v>1964</v>
      </c>
      <c r="C1353" s="247" t="s">
        <v>13</v>
      </c>
      <c r="D1353" s="247" t="s">
        <v>1962</v>
      </c>
      <c r="E1353" s="248" t="s">
        <v>565</v>
      </c>
      <c r="F1353" s="235" t="s">
        <v>4272</v>
      </c>
      <c r="G1353" s="248" t="s">
        <v>2579</v>
      </c>
      <c r="H1353" s="249">
        <v>0.05</v>
      </c>
      <c r="I1353" s="249">
        <v>0.05</v>
      </c>
      <c r="J1353" s="246">
        <v>1</v>
      </c>
      <c r="K1353" s="250"/>
      <c r="L1353" s="248"/>
      <c r="M1353" s="276" t="str">
        <f t="shared" si="31"/>
        <v>Photo</v>
      </c>
      <c r="N1353" s="279" t="s">
        <v>25</v>
      </c>
      <c r="O1353" t="str">
        <f t="shared" si="32"/>
        <v>1964-D Jefferson Nickel</v>
      </c>
      <c r="P1353" s="235" t="s">
        <v>882</v>
      </c>
      <c r="Q1353">
        <f>MATCH(P1353,NickelMintage!A:A,)</f>
        <v>79</v>
      </c>
      <c r="S1353" t="str" cm="1">
        <f t="array" ref="S1353">_xlfn.REGEXEXTRACT(E1353, "[0-9]{1,5}")</f>
        <v>1964</v>
      </c>
      <c r="T1353" t="s">
        <v>4185</v>
      </c>
      <c r="U1353" t="s">
        <v>3897</v>
      </c>
    </row>
    <row r="1354" spans="1:21">
      <c r="A1354" s="136">
        <v>2</v>
      </c>
      <c r="B1354" s="246">
        <v>1965</v>
      </c>
      <c r="C1354" s="247"/>
      <c r="D1354" s="247" t="s">
        <v>1962</v>
      </c>
      <c r="E1354" s="248" t="s">
        <v>566</v>
      </c>
      <c r="F1354" s="235" t="s">
        <v>4272</v>
      </c>
      <c r="G1354" s="248" t="s">
        <v>2579</v>
      </c>
      <c r="H1354" s="249">
        <v>0.05</v>
      </c>
      <c r="I1354" s="249">
        <v>0.05</v>
      </c>
      <c r="J1354" s="246">
        <v>1</v>
      </c>
      <c r="K1354" s="250"/>
      <c r="L1354" s="248"/>
      <c r="M1354" s="276" t="str">
        <f t="shared" si="31"/>
        <v>Photo</v>
      </c>
      <c r="N1354" s="279" t="s">
        <v>25</v>
      </c>
      <c r="O1354" t="str">
        <f t="shared" si="32"/>
        <v>1965 Jefferson Nickel</v>
      </c>
      <c r="P1354" s="235" t="s">
        <v>882</v>
      </c>
      <c r="Q1354">
        <f>MATCH(P1354,NickelMintage!A:A,)</f>
        <v>79</v>
      </c>
      <c r="S1354" t="str" cm="1">
        <f t="array" ref="S1354">_xlfn.REGEXEXTRACT(E1354, "[0-9]{1,5}")</f>
        <v>1965</v>
      </c>
      <c r="T1354" t="s">
        <v>4185</v>
      </c>
      <c r="U1354" t="s">
        <v>3897</v>
      </c>
    </row>
    <row r="1355" spans="1:21">
      <c r="A1355" s="136">
        <v>2</v>
      </c>
      <c r="B1355" s="246">
        <v>1966</v>
      </c>
      <c r="C1355" s="247"/>
      <c r="D1355" s="247" t="s">
        <v>1962</v>
      </c>
      <c r="E1355" s="248" t="s">
        <v>568</v>
      </c>
      <c r="F1355" s="235" t="s">
        <v>4272</v>
      </c>
      <c r="G1355" s="248" t="s">
        <v>2579</v>
      </c>
      <c r="H1355" s="249">
        <v>0.05</v>
      </c>
      <c r="I1355" s="249">
        <v>0.05</v>
      </c>
      <c r="J1355" s="246">
        <v>1</v>
      </c>
      <c r="K1355" s="250"/>
      <c r="L1355" s="248"/>
      <c r="M1355" s="276" t="str">
        <f t="shared" si="31"/>
        <v>Photo</v>
      </c>
      <c r="N1355" s="279" t="s">
        <v>25</v>
      </c>
      <c r="O1355" t="str">
        <f t="shared" si="32"/>
        <v>1966 Jefferson Nickel</v>
      </c>
      <c r="P1355" s="235" t="s">
        <v>883</v>
      </c>
      <c r="Q1355">
        <f>MATCH(P1355,NickelMintage!A:A,)</f>
        <v>80</v>
      </c>
      <c r="S1355" t="str" cm="1">
        <f t="array" ref="S1355">_xlfn.REGEXEXTRACT(E1355, "[0-9]{1,5}")</f>
        <v>1966</v>
      </c>
      <c r="T1355" t="s">
        <v>4185</v>
      </c>
      <c r="U1355" t="s">
        <v>3897</v>
      </c>
    </row>
    <row r="1356" spans="1:21">
      <c r="A1356" s="136">
        <v>2</v>
      </c>
      <c r="B1356" s="246">
        <v>1966</v>
      </c>
      <c r="C1356" s="247"/>
      <c r="D1356" s="247" t="s">
        <v>1962</v>
      </c>
      <c r="E1356" s="248" t="s">
        <v>570</v>
      </c>
      <c r="F1356" s="235" t="s">
        <v>4272</v>
      </c>
      <c r="G1356" s="248" t="s">
        <v>2579</v>
      </c>
      <c r="H1356" s="249">
        <v>0.05</v>
      </c>
      <c r="I1356" s="249">
        <v>0.05</v>
      </c>
      <c r="J1356" s="246">
        <v>1</v>
      </c>
      <c r="K1356" s="250"/>
      <c r="L1356" s="248"/>
      <c r="M1356" s="276" t="str">
        <f t="shared" si="31"/>
        <v>Photo</v>
      </c>
      <c r="N1356" s="279" t="s">
        <v>25</v>
      </c>
      <c r="O1356" t="str">
        <f t="shared" si="32"/>
        <v>1966 Jefferson Nickel</v>
      </c>
      <c r="P1356" s="235" t="s">
        <v>884</v>
      </c>
      <c r="Q1356">
        <f>MATCH(P1356,NickelMintage!A:A,)</f>
        <v>81</v>
      </c>
      <c r="S1356" t="str" cm="1">
        <f t="array" ref="S1356">_xlfn.REGEXEXTRACT(E1356, "[0-9]{1,5}")</f>
        <v>1966</v>
      </c>
      <c r="T1356" t="s">
        <v>4186</v>
      </c>
      <c r="U1356" t="s">
        <v>3897</v>
      </c>
    </row>
    <row r="1357" spans="1:21">
      <c r="A1357" s="136">
        <v>2</v>
      </c>
      <c r="B1357" s="246">
        <v>1967</v>
      </c>
      <c r="C1357" s="247"/>
      <c r="D1357" s="247" t="s">
        <v>1962</v>
      </c>
      <c r="E1357" s="248" t="s">
        <v>571</v>
      </c>
      <c r="F1357" s="235" t="s">
        <v>4272</v>
      </c>
      <c r="G1357" s="248" t="s">
        <v>2579</v>
      </c>
      <c r="H1357" s="249">
        <v>0.05</v>
      </c>
      <c r="I1357" s="249">
        <v>0.05</v>
      </c>
      <c r="J1357" s="246">
        <v>1</v>
      </c>
      <c r="K1357" s="250"/>
      <c r="L1357" s="248"/>
      <c r="M1357" s="276" t="str">
        <f t="shared" si="31"/>
        <v>Photo</v>
      </c>
      <c r="N1357" s="279" t="s">
        <v>25</v>
      </c>
      <c r="O1357" t="str">
        <f t="shared" si="32"/>
        <v>1967 Jefferson Nickel</v>
      </c>
      <c r="P1357" s="235" t="s">
        <v>884</v>
      </c>
      <c r="Q1357">
        <f>MATCH(P1357,NickelMintage!A:A,)</f>
        <v>81</v>
      </c>
      <c r="S1357" t="str" cm="1">
        <f t="array" ref="S1357">_xlfn.REGEXEXTRACT(E1357, "[0-9]{1,5}")</f>
        <v>1967</v>
      </c>
      <c r="T1357" t="s">
        <v>4186</v>
      </c>
      <c r="U1357" t="s">
        <v>3897</v>
      </c>
    </row>
    <row r="1358" spans="1:21">
      <c r="A1358" s="136">
        <v>2</v>
      </c>
      <c r="B1358" s="246">
        <v>1967</v>
      </c>
      <c r="C1358" s="247"/>
      <c r="D1358" s="247" t="s">
        <v>1962</v>
      </c>
      <c r="E1358" s="248" t="s">
        <v>573</v>
      </c>
      <c r="F1358" s="235" t="s">
        <v>4272</v>
      </c>
      <c r="G1358" s="248" t="s">
        <v>2579</v>
      </c>
      <c r="H1358" s="249">
        <v>0.05</v>
      </c>
      <c r="I1358" s="249">
        <v>0.05</v>
      </c>
      <c r="J1358" s="246">
        <v>1</v>
      </c>
      <c r="K1358" s="250"/>
      <c r="L1358" s="248"/>
      <c r="M1358" s="276" t="str">
        <f t="shared" si="31"/>
        <v>Photo</v>
      </c>
      <c r="N1358" s="279" t="s">
        <v>25</v>
      </c>
      <c r="O1358" t="str">
        <f t="shared" si="32"/>
        <v>1967 Jefferson Nickel</v>
      </c>
      <c r="P1358" s="235" t="s">
        <v>884</v>
      </c>
      <c r="Q1358">
        <f>MATCH(P1358,NickelMintage!A:A,)</f>
        <v>81</v>
      </c>
      <c r="S1358" t="str" cm="1">
        <f t="array" ref="S1358">_xlfn.REGEXEXTRACT(E1358, "[0-9]{1,5}")</f>
        <v>1967</v>
      </c>
      <c r="T1358" t="s">
        <v>4186</v>
      </c>
      <c r="U1358" t="s">
        <v>3897</v>
      </c>
    </row>
    <row r="1359" spans="1:21">
      <c r="A1359" s="136">
        <v>2</v>
      </c>
      <c r="B1359" s="270">
        <v>1968</v>
      </c>
      <c r="C1359" s="234" t="s">
        <v>12</v>
      </c>
      <c r="D1359" s="257" t="s">
        <v>1962</v>
      </c>
      <c r="E1359" s="235" t="s">
        <v>5592</v>
      </c>
      <c r="F1359" s="235" t="s">
        <v>4272</v>
      </c>
      <c r="G1359" s="3" t="s">
        <v>2579</v>
      </c>
      <c r="H1359" s="236">
        <v>0.4</v>
      </c>
      <c r="I1359" s="236">
        <v>0.4</v>
      </c>
      <c r="J1359" s="233">
        <v>1</v>
      </c>
      <c r="N1359" s="279"/>
      <c r="O1359" t="str">
        <f t="shared" si="32"/>
        <v>1968-S Jefferson Nickel</v>
      </c>
      <c r="P1359" s="235" t="s">
        <v>884</v>
      </c>
      <c r="Q1359">
        <f>MATCH(P1359,NickelMintage!A:A,)</f>
        <v>81</v>
      </c>
      <c r="S1359" t="str" cm="1">
        <f t="array" ref="S1359">_xlfn.REGEXEXTRACT(E1359, "[0-9]{1,5}")</f>
        <v>1968</v>
      </c>
      <c r="T1359" t="s">
        <v>4186</v>
      </c>
      <c r="U1359" t="s">
        <v>3897</v>
      </c>
    </row>
    <row r="1360" spans="1:21">
      <c r="A1360" s="136">
        <v>2</v>
      </c>
      <c r="B1360" s="270">
        <v>1968</v>
      </c>
      <c r="C1360" s="234" t="s">
        <v>13</v>
      </c>
      <c r="D1360" s="257" t="s">
        <v>1962</v>
      </c>
      <c r="E1360" s="235" t="s">
        <v>5593</v>
      </c>
      <c r="F1360" s="235" t="s">
        <v>4272</v>
      </c>
      <c r="G1360" s="3" t="s">
        <v>2586</v>
      </c>
      <c r="H1360" s="236">
        <v>0.25</v>
      </c>
      <c r="I1360" s="236">
        <v>0.25</v>
      </c>
      <c r="J1360" s="233">
        <v>1</v>
      </c>
      <c r="N1360" s="279"/>
      <c r="O1360" t="str">
        <f t="shared" si="32"/>
        <v>1968-D Jefferson Nickel</v>
      </c>
      <c r="P1360" s="235" t="s">
        <v>884</v>
      </c>
      <c r="Q1360">
        <f>MATCH(P1360,NickelMintage!A:A,)</f>
        <v>81</v>
      </c>
      <c r="S1360" t="str" cm="1">
        <f t="array" ref="S1360">_xlfn.REGEXEXTRACT(E1360, "[0-9]{1,5}")</f>
        <v>1968</v>
      </c>
      <c r="T1360" t="s">
        <v>4186</v>
      </c>
      <c r="U1360" t="s">
        <v>3897</v>
      </c>
    </row>
    <row r="1361" spans="1:21">
      <c r="A1361" s="136">
        <v>2</v>
      </c>
      <c r="B1361" s="246">
        <v>1969</v>
      </c>
      <c r="C1361" s="247" t="s">
        <v>13</v>
      </c>
      <c r="D1361" s="247" t="s">
        <v>1962</v>
      </c>
      <c r="E1361" s="248" t="s">
        <v>574</v>
      </c>
      <c r="F1361" s="235" t="s">
        <v>4272</v>
      </c>
      <c r="G1361" s="248" t="s">
        <v>2579</v>
      </c>
      <c r="H1361" s="249">
        <v>0.05</v>
      </c>
      <c r="I1361" s="249">
        <v>0.05</v>
      </c>
      <c r="J1361" s="246">
        <v>1</v>
      </c>
      <c r="K1361" s="250"/>
      <c r="L1361" s="248"/>
      <c r="M1361" s="276" t="str">
        <f t="shared" ref="M1361:M1372" si="33">HYPERLINK($Y$2&amp;E1361&amp;$AA$2,"Photo")</f>
        <v>Photo</v>
      </c>
      <c r="N1361" s="279" t="s">
        <v>25</v>
      </c>
      <c r="O1361" t="str">
        <f t="shared" si="32"/>
        <v>1969-D Jefferson Nickel</v>
      </c>
      <c r="P1361" s="235" t="s">
        <v>884</v>
      </c>
      <c r="Q1361">
        <f>MATCH(P1361,NickelMintage!A:A,)</f>
        <v>81</v>
      </c>
      <c r="S1361" t="str" cm="1">
        <f t="array" ref="S1361">_xlfn.REGEXEXTRACT(E1361, "[0-9]{1,5}")</f>
        <v>1969</v>
      </c>
      <c r="T1361" t="s">
        <v>4186</v>
      </c>
      <c r="U1361" t="s">
        <v>3897</v>
      </c>
    </row>
    <row r="1362" spans="1:21">
      <c r="A1362" s="136">
        <v>2</v>
      </c>
      <c r="B1362" s="246">
        <v>1969</v>
      </c>
      <c r="C1362" s="247" t="s">
        <v>13</v>
      </c>
      <c r="D1362" s="247" t="s">
        <v>1962</v>
      </c>
      <c r="E1362" s="248" t="s">
        <v>576</v>
      </c>
      <c r="F1362" s="235" t="s">
        <v>4272</v>
      </c>
      <c r="G1362" s="248" t="s">
        <v>2579</v>
      </c>
      <c r="H1362" s="249">
        <v>0.05</v>
      </c>
      <c r="I1362" s="249">
        <v>0.05</v>
      </c>
      <c r="J1362" s="246">
        <v>1</v>
      </c>
      <c r="K1362" s="250"/>
      <c r="L1362" s="248"/>
      <c r="M1362" s="276" t="str">
        <f t="shared" si="33"/>
        <v>Photo</v>
      </c>
      <c r="N1362" s="279" t="s">
        <v>25</v>
      </c>
      <c r="O1362" t="str">
        <f t="shared" si="32"/>
        <v>1969-D Jefferson Nickel</v>
      </c>
      <c r="P1362" s="235" t="s">
        <v>886</v>
      </c>
      <c r="Q1362">
        <f>MATCH(P1362,NickelMintage!A:A,)</f>
        <v>84</v>
      </c>
      <c r="S1362" t="str" cm="1">
        <f t="array" ref="S1362">_xlfn.REGEXEXTRACT(E1362, "[0-9]{1,5}")</f>
        <v>1969</v>
      </c>
      <c r="T1362" t="s">
        <v>2498</v>
      </c>
      <c r="U1362" t="s">
        <v>3897</v>
      </c>
    </row>
    <row r="1363" spans="1:21">
      <c r="A1363" s="136">
        <v>2</v>
      </c>
      <c r="B1363" s="246">
        <v>1969</v>
      </c>
      <c r="C1363" s="247" t="s">
        <v>13</v>
      </c>
      <c r="D1363" s="247" t="s">
        <v>1962</v>
      </c>
      <c r="E1363" s="248" t="s">
        <v>577</v>
      </c>
      <c r="F1363" s="235" t="s">
        <v>4272</v>
      </c>
      <c r="G1363" s="248" t="s">
        <v>2579</v>
      </c>
      <c r="H1363" s="249">
        <v>0.05</v>
      </c>
      <c r="I1363" s="249">
        <v>0.05</v>
      </c>
      <c r="J1363" s="246">
        <v>1</v>
      </c>
      <c r="K1363" s="250"/>
      <c r="L1363" s="248"/>
      <c r="M1363" s="276" t="str">
        <f t="shared" si="33"/>
        <v>Photo</v>
      </c>
      <c r="N1363" s="279" t="s">
        <v>25</v>
      </c>
      <c r="O1363" t="str">
        <f t="shared" si="32"/>
        <v>1969-D Jefferson Nickel</v>
      </c>
      <c r="P1363" s="235" t="s">
        <v>886</v>
      </c>
      <c r="Q1363">
        <f>MATCH(P1363,NickelMintage!A:A,)</f>
        <v>84</v>
      </c>
      <c r="S1363" t="str" cm="1">
        <f t="array" ref="S1363">_xlfn.REGEXEXTRACT(E1363, "[0-9]{1,5}")</f>
        <v>1969</v>
      </c>
      <c r="T1363" t="s">
        <v>2498</v>
      </c>
      <c r="U1363" t="s">
        <v>3897</v>
      </c>
    </row>
    <row r="1364" spans="1:21">
      <c r="A1364" s="136">
        <v>2</v>
      </c>
      <c r="B1364" s="246">
        <v>1969</v>
      </c>
      <c r="C1364" s="247" t="s">
        <v>13</v>
      </c>
      <c r="D1364" s="247" t="s">
        <v>1962</v>
      </c>
      <c r="E1364" s="248" t="s">
        <v>578</v>
      </c>
      <c r="F1364" s="235" t="s">
        <v>4272</v>
      </c>
      <c r="G1364" s="248" t="s">
        <v>2579</v>
      </c>
      <c r="H1364" s="249">
        <v>0.05</v>
      </c>
      <c r="I1364" s="249">
        <v>0.05</v>
      </c>
      <c r="J1364" s="246">
        <v>1</v>
      </c>
      <c r="K1364" s="250"/>
      <c r="L1364" s="248"/>
      <c r="M1364" s="276" t="str">
        <f t="shared" si="33"/>
        <v>Photo</v>
      </c>
      <c r="N1364" s="279" t="s">
        <v>25</v>
      </c>
      <c r="O1364" t="str">
        <f t="shared" si="32"/>
        <v>1969-D Jefferson Nickel</v>
      </c>
      <c r="P1364" s="235" t="s">
        <v>887</v>
      </c>
      <c r="Q1364">
        <f>MATCH(P1364,NickelMintage!A:A,)</f>
        <v>86</v>
      </c>
      <c r="S1364" t="str" cm="1">
        <f t="array" ref="S1364">_xlfn.REGEXEXTRACT(E1364, "[0-9]{1,5}")</f>
        <v>1969</v>
      </c>
      <c r="T1364" t="s">
        <v>2500</v>
      </c>
      <c r="U1364" t="s">
        <v>3897</v>
      </c>
    </row>
    <row r="1365" spans="1:21">
      <c r="A1365" s="136">
        <v>2</v>
      </c>
      <c r="B1365" s="246">
        <v>1969</v>
      </c>
      <c r="C1365" s="247" t="s">
        <v>13</v>
      </c>
      <c r="D1365" s="247" t="s">
        <v>1962</v>
      </c>
      <c r="E1365" s="248" t="s">
        <v>579</v>
      </c>
      <c r="F1365" s="235" t="s">
        <v>4272</v>
      </c>
      <c r="G1365" s="248" t="s">
        <v>2579</v>
      </c>
      <c r="H1365" s="249">
        <v>0.05</v>
      </c>
      <c r="I1365" s="249">
        <v>0.05</v>
      </c>
      <c r="J1365" s="246">
        <v>1</v>
      </c>
      <c r="K1365" s="250"/>
      <c r="L1365" s="248"/>
      <c r="M1365" s="276" t="str">
        <f t="shared" si="33"/>
        <v>Photo</v>
      </c>
      <c r="N1365" s="279" t="s">
        <v>25</v>
      </c>
      <c r="O1365" t="str">
        <f t="shared" si="32"/>
        <v>1969-D Jefferson Nickel</v>
      </c>
      <c r="P1365" s="235" t="s">
        <v>887</v>
      </c>
      <c r="Q1365">
        <f>MATCH(P1365,NickelMintage!A:A,)</f>
        <v>86</v>
      </c>
      <c r="S1365" t="str" cm="1">
        <f t="array" ref="S1365">_xlfn.REGEXEXTRACT(E1365, "[0-9]{1,5}")</f>
        <v>1969</v>
      </c>
      <c r="T1365" t="s">
        <v>2500</v>
      </c>
      <c r="U1365" t="s">
        <v>3897</v>
      </c>
    </row>
    <row r="1366" spans="1:21">
      <c r="A1366" s="136">
        <v>2</v>
      </c>
      <c r="B1366" s="246">
        <v>1969</v>
      </c>
      <c r="C1366" s="247" t="s">
        <v>12</v>
      </c>
      <c r="D1366" s="247" t="s">
        <v>1962</v>
      </c>
      <c r="E1366" s="248" t="s">
        <v>580</v>
      </c>
      <c r="F1366" s="235" t="s">
        <v>4272</v>
      </c>
      <c r="G1366" s="248" t="s">
        <v>2579</v>
      </c>
      <c r="H1366" s="249">
        <v>0.05</v>
      </c>
      <c r="I1366" s="249">
        <v>0.05</v>
      </c>
      <c r="J1366" s="246">
        <v>1</v>
      </c>
      <c r="K1366" s="250"/>
      <c r="L1366" s="248"/>
      <c r="M1366" s="276" t="str">
        <f t="shared" si="33"/>
        <v>Photo</v>
      </c>
      <c r="N1366" s="279" t="s">
        <v>25</v>
      </c>
      <c r="O1366" t="str">
        <f t="shared" si="32"/>
        <v>1969-S Jefferson Nickel</v>
      </c>
      <c r="P1366" s="235" t="s">
        <v>887</v>
      </c>
      <c r="Q1366">
        <f>MATCH(P1366,NickelMintage!A:A,)</f>
        <v>86</v>
      </c>
      <c r="S1366" t="str" cm="1">
        <f t="array" ref="S1366">_xlfn.REGEXEXTRACT(E1366, "[0-9]{1,5}")</f>
        <v>1969</v>
      </c>
      <c r="T1366" t="s">
        <v>2500</v>
      </c>
      <c r="U1366" t="s">
        <v>3897</v>
      </c>
    </row>
    <row r="1367" spans="1:21">
      <c r="A1367" s="136">
        <v>2</v>
      </c>
      <c r="B1367" s="246">
        <v>1970</v>
      </c>
      <c r="C1367" s="247" t="s">
        <v>13</v>
      </c>
      <c r="D1367" s="247" t="s">
        <v>1962</v>
      </c>
      <c r="E1367" s="248" t="s">
        <v>582</v>
      </c>
      <c r="F1367" s="235" t="s">
        <v>4272</v>
      </c>
      <c r="G1367" s="248" t="s">
        <v>2579</v>
      </c>
      <c r="H1367" s="249">
        <v>0.05</v>
      </c>
      <c r="I1367" s="249">
        <v>0.05</v>
      </c>
      <c r="J1367" s="246">
        <v>1</v>
      </c>
      <c r="K1367" s="250"/>
      <c r="L1367" s="248"/>
      <c r="M1367" s="276" t="str">
        <f t="shared" si="33"/>
        <v>Photo</v>
      </c>
      <c r="N1367" s="279" t="s">
        <v>25</v>
      </c>
      <c r="O1367" t="str">
        <f t="shared" si="32"/>
        <v>1970-D Jefferson Nickel</v>
      </c>
      <c r="P1367" s="235">
        <v>1972</v>
      </c>
      <c r="Q1367">
        <f>MATCH(P1367,NickelMintage!A:A,)</f>
        <v>85</v>
      </c>
      <c r="S1367" t="str" cm="1">
        <f t="array" ref="S1367">_xlfn.REGEXEXTRACT(E1367, "[0-9]{1,5}")</f>
        <v>1970</v>
      </c>
      <c r="T1367" t="s">
        <v>2500</v>
      </c>
      <c r="U1367" t="s">
        <v>3897</v>
      </c>
    </row>
    <row r="1368" spans="1:21">
      <c r="A1368" s="136">
        <v>2</v>
      </c>
      <c r="B1368" s="246">
        <v>1970</v>
      </c>
      <c r="C1368" s="247" t="s">
        <v>13</v>
      </c>
      <c r="D1368" s="247" t="s">
        <v>1962</v>
      </c>
      <c r="E1368" s="248" t="s">
        <v>584</v>
      </c>
      <c r="F1368" s="235" t="s">
        <v>4272</v>
      </c>
      <c r="G1368" s="248" t="s">
        <v>2579</v>
      </c>
      <c r="H1368" s="249">
        <v>0.05</v>
      </c>
      <c r="I1368" s="249">
        <v>0.05</v>
      </c>
      <c r="J1368" s="246">
        <v>1</v>
      </c>
      <c r="K1368" s="250"/>
      <c r="L1368" s="248"/>
      <c r="M1368" s="276" t="str">
        <f t="shared" si="33"/>
        <v>Photo</v>
      </c>
      <c r="N1368" s="279" t="s">
        <v>25</v>
      </c>
      <c r="O1368" t="str">
        <f t="shared" si="32"/>
        <v>1970-D Jefferson Nickel</v>
      </c>
      <c r="P1368" s="235">
        <v>1973</v>
      </c>
      <c r="Q1368">
        <f>MATCH(P1368,NickelMintage!A:A,)</f>
        <v>87</v>
      </c>
      <c r="S1368" t="str" cm="1">
        <f t="array" ref="S1368">_xlfn.REGEXEXTRACT(E1368, "[0-9]{1,5}")</f>
        <v>1970</v>
      </c>
      <c r="T1368" t="s">
        <v>2502</v>
      </c>
      <c r="U1368" t="s">
        <v>3897</v>
      </c>
    </row>
    <row r="1369" spans="1:21">
      <c r="A1369" s="136">
        <v>2</v>
      </c>
      <c r="B1369" s="246">
        <v>1970</v>
      </c>
      <c r="C1369" s="247" t="s">
        <v>13</v>
      </c>
      <c r="D1369" s="247" t="s">
        <v>1962</v>
      </c>
      <c r="E1369" s="248" t="s">
        <v>585</v>
      </c>
      <c r="F1369" s="235" t="s">
        <v>4272</v>
      </c>
      <c r="G1369" s="248" t="s">
        <v>2579</v>
      </c>
      <c r="H1369" s="249">
        <v>0.05</v>
      </c>
      <c r="I1369" s="249">
        <v>0.05</v>
      </c>
      <c r="J1369" s="246">
        <v>1</v>
      </c>
      <c r="K1369" s="250"/>
      <c r="L1369" s="248"/>
      <c r="M1369" s="276" t="str">
        <f t="shared" si="33"/>
        <v>Photo</v>
      </c>
      <c r="N1369" s="279" t="s">
        <v>25</v>
      </c>
      <c r="O1369" t="str">
        <f t="shared" si="32"/>
        <v>1970-D Jefferson Nickel</v>
      </c>
      <c r="P1369" s="235">
        <v>1973</v>
      </c>
      <c r="Q1369">
        <f>MATCH(P1369,NickelMintage!A:A,)</f>
        <v>87</v>
      </c>
      <c r="S1369" t="str" cm="1">
        <f t="array" ref="S1369">_xlfn.REGEXEXTRACT(E1369, "[0-9]{1,5}")</f>
        <v>1970</v>
      </c>
      <c r="T1369" t="s">
        <v>2502</v>
      </c>
      <c r="U1369" t="s">
        <v>3897</v>
      </c>
    </row>
    <row r="1370" spans="1:21">
      <c r="A1370" s="136">
        <v>2</v>
      </c>
      <c r="B1370" s="246">
        <v>1970</v>
      </c>
      <c r="C1370" s="247" t="s">
        <v>13</v>
      </c>
      <c r="D1370" s="247" t="s">
        <v>1962</v>
      </c>
      <c r="E1370" s="248" t="s">
        <v>586</v>
      </c>
      <c r="F1370" s="235" t="s">
        <v>4272</v>
      </c>
      <c r="G1370" s="248" t="s">
        <v>2579</v>
      </c>
      <c r="H1370" s="249">
        <v>0.05</v>
      </c>
      <c r="I1370" s="249">
        <v>0.05</v>
      </c>
      <c r="J1370" s="246">
        <v>1</v>
      </c>
      <c r="K1370" s="250"/>
      <c r="L1370" s="248"/>
      <c r="M1370" s="276" t="str">
        <f t="shared" si="33"/>
        <v>Photo</v>
      </c>
      <c r="N1370" s="279" t="s">
        <v>25</v>
      </c>
      <c r="O1370" t="str">
        <f t="shared" si="32"/>
        <v>1970-D Jefferson Nickel</v>
      </c>
      <c r="P1370" s="235">
        <v>1973</v>
      </c>
      <c r="Q1370">
        <f>MATCH(P1370,NickelMintage!A:A,)</f>
        <v>87</v>
      </c>
      <c r="S1370" t="str" cm="1">
        <f t="array" ref="S1370">_xlfn.REGEXEXTRACT(E1370, "[0-9]{1,5}")</f>
        <v>1970</v>
      </c>
      <c r="T1370" t="s">
        <v>2502</v>
      </c>
      <c r="U1370" t="s">
        <v>3897</v>
      </c>
    </row>
    <row r="1371" spans="1:21">
      <c r="A1371" s="136">
        <v>2</v>
      </c>
      <c r="B1371" s="246">
        <v>1970</v>
      </c>
      <c r="C1371" s="247" t="s">
        <v>13</v>
      </c>
      <c r="D1371" s="247" t="s">
        <v>1962</v>
      </c>
      <c r="E1371" s="248" t="s">
        <v>587</v>
      </c>
      <c r="F1371" s="235" t="s">
        <v>4272</v>
      </c>
      <c r="G1371" s="248" t="s">
        <v>2579</v>
      </c>
      <c r="H1371" s="249">
        <v>0.05</v>
      </c>
      <c r="I1371" s="249">
        <v>0.05</v>
      </c>
      <c r="J1371" s="246">
        <v>1</v>
      </c>
      <c r="K1371" s="250"/>
      <c r="L1371" s="248"/>
      <c r="M1371" s="276" t="str">
        <f t="shared" si="33"/>
        <v>Photo</v>
      </c>
      <c r="N1371" s="279" t="s">
        <v>25</v>
      </c>
      <c r="O1371" t="str">
        <f t="shared" si="32"/>
        <v>1970-D Jefferson Nickel</v>
      </c>
      <c r="P1371" s="235">
        <v>1973</v>
      </c>
      <c r="Q1371">
        <f>MATCH(P1371,NickelMintage!A:A,)</f>
        <v>87</v>
      </c>
      <c r="S1371" t="str" cm="1">
        <f t="array" ref="S1371">_xlfn.REGEXEXTRACT(E1371, "[0-9]{1,5}")</f>
        <v>1970</v>
      </c>
      <c r="T1371" t="s">
        <v>2502</v>
      </c>
      <c r="U1371" t="s">
        <v>3897</v>
      </c>
    </row>
    <row r="1372" spans="1:21">
      <c r="A1372" s="136">
        <v>2</v>
      </c>
      <c r="B1372" s="246">
        <v>1970</v>
      </c>
      <c r="C1372" s="247" t="s">
        <v>13</v>
      </c>
      <c r="D1372" s="247" t="s">
        <v>1962</v>
      </c>
      <c r="E1372" s="248" t="s">
        <v>588</v>
      </c>
      <c r="F1372" s="235" t="s">
        <v>4272</v>
      </c>
      <c r="G1372" s="248" t="s">
        <v>2579</v>
      </c>
      <c r="H1372" s="249">
        <v>0.05</v>
      </c>
      <c r="I1372" s="249">
        <v>0.05</v>
      </c>
      <c r="J1372" s="246">
        <v>1</v>
      </c>
      <c r="K1372" s="250"/>
      <c r="L1372" s="248"/>
      <c r="M1372" s="276" t="str">
        <f t="shared" si="33"/>
        <v>Photo</v>
      </c>
      <c r="N1372" s="279" t="s">
        <v>25</v>
      </c>
      <c r="O1372" t="str">
        <f t="shared" si="32"/>
        <v>1970-D Jefferson Nickel</v>
      </c>
      <c r="P1372" s="235">
        <v>1973</v>
      </c>
      <c r="Q1372">
        <f>MATCH(P1372,NickelMintage!A:A,)</f>
        <v>87</v>
      </c>
      <c r="S1372" t="str" cm="1">
        <f t="array" ref="S1372">_xlfn.REGEXEXTRACT(E1372, "[0-9]{1,5}")</f>
        <v>1970</v>
      </c>
      <c r="T1372" t="s">
        <v>2502</v>
      </c>
      <c r="U1372" t="s">
        <v>3897</v>
      </c>
    </row>
    <row r="1373" spans="1:21">
      <c r="A1373" s="136">
        <v>2</v>
      </c>
      <c r="B1373" s="270">
        <v>1970</v>
      </c>
      <c r="C1373" s="136" t="s">
        <v>12</v>
      </c>
      <c r="D1373" s="257" t="s">
        <v>1962</v>
      </c>
      <c r="E1373" s="235" t="s">
        <v>5610</v>
      </c>
      <c r="F1373" s="235" t="s">
        <v>4272</v>
      </c>
      <c r="G1373" s="3" t="s">
        <v>5617</v>
      </c>
      <c r="H1373" s="236">
        <v>0.4</v>
      </c>
      <c r="I1373" s="236">
        <v>0.4</v>
      </c>
      <c r="J1373" s="233">
        <v>1</v>
      </c>
      <c r="N1373" s="279"/>
      <c r="O1373" t="str">
        <f t="shared" si="32"/>
        <v>1970-S Jefferson Nickel</v>
      </c>
      <c r="P1373" s="235">
        <v>1973</v>
      </c>
      <c r="Q1373">
        <f>MATCH(P1373,NickelMintage!A:A,)</f>
        <v>87</v>
      </c>
      <c r="S1373" t="str" cm="1">
        <f t="array" ref="S1373">_xlfn.REGEXEXTRACT(E1373, "[0-9]{1,5}")</f>
        <v>1970</v>
      </c>
      <c r="T1373" t="s">
        <v>2502</v>
      </c>
      <c r="U1373" t="s">
        <v>3897</v>
      </c>
    </row>
    <row r="1374" spans="1:21">
      <c r="A1374" s="136">
        <v>2</v>
      </c>
      <c r="B1374" s="246">
        <v>1971</v>
      </c>
      <c r="C1374" s="247" t="s">
        <v>13</v>
      </c>
      <c r="D1374" s="247" t="s">
        <v>1962</v>
      </c>
      <c r="E1374" s="248" t="s">
        <v>589</v>
      </c>
      <c r="F1374" s="235" t="s">
        <v>4272</v>
      </c>
      <c r="G1374" s="248" t="s">
        <v>2579</v>
      </c>
      <c r="H1374" s="249">
        <v>0.05</v>
      </c>
      <c r="I1374" s="249">
        <v>0.05</v>
      </c>
      <c r="J1374" s="246">
        <v>1</v>
      </c>
      <c r="K1374" s="250"/>
      <c r="L1374" s="248"/>
      <c r="M1374" s="276" t="str">
        <f>HYPERLINK($Y$2&amp;E1374&amp;$AA$2,"Photo")</f>
        <v>Photo</v>
      </c>
      <c r="N1374" s="279" t="s">
        <v>25</v>
      </c>
      <c r="O1374" t="str">
        <f t="shared" si="32"/>
        <v>1971-D Jefferson Nickel</v>
      </c>
      <c r="P1374" s="235">
        <v>1973</v>
      </c>
      <c r="Q1374">
        <f>MATCH(P1374,NickelMintage!A:A,)</f>
        <v>87</v>
      </c>
      <c r="S1374" t="str" cm="1">
        <f t="array" ref="S1374">_xlfn.REGEXEXTRACT(E1374, "[0-9]{1,5}")</f>
        <v>1971</v>
      </c>
      <c r="T1374" t="s">
        <v>2502</v>
      </c>
      <c r="U1374" t="s">
        <v>3897</v>
      </c>
    </row>
    <row r="1375" spans="1:21">
      <c r="A1375" s="136">
        <v>2</v>
      </c>
      <c r="B1375" s="246">
        <v>1971</v>
      </c>
      <c r="C1375" s="247" t="s">
        <v>13</v>
      </c>
      <c r="D1375" s="247" t="s">
        <v>1962</v>
      </c>
      <c r="E1375" s="248" t="s">
        <v>590</v>
      </c>
      <c r="F1375" s="235" t="s">
        <v>4272</v>
      </c>
      <c r="G1375" s="248" t="s">
        <v>2579</v>
      </c>
      <c r="H1375" s="249">
        <v>0.05</v>
      </c>
      <c r="I1375" s="249">
        <v>0.05</v>
      </c>
      <c r="J1375" s="246">
        <v>1</v>
      </c>
      <c r="K1375" s="250"/>
      <c r="L1375" s="248"/>
      <c r="M1375" s="276" t="str">
        <f>HYPERLINK($Y$2&amp;E1375&amp;$AA$2,"Photo")</f>
        <v>Photo</v>
      </c>
      <c r="N1375" s="279" t="s">
        <v>25</v>
      </c>
      <c r="O1375" t="str">
        <f t="shared" si="32"/>
        <v>1971-D Jefferson Nickel</v>
      </c>
      <c r="P1375" s="235">
        <v>1974</v>
      </c>
      <c r="Q1375">
        <f>MATCH(P1375,NickelMintage!A:A,)</f>
        <v>89</v>
      </c>
      <c r="S1375" t="str" cm="1">
        <f t="array" ref="S1375">_xlfn.REGEXEXTRACT(E1375, "[0-9]{1,5}")</f>
        <v>1971</v>
      </c>
      <c r="T1375" t="s">
        <v>2504</v>
      </c>
      <c r="U1375" t="s">
        <v>3897</v>
      </c>
    </row>
    <row r="1376" spans="1:21">
      <c r="A1376" s="136">
        <v>2</v>
      </c>
      <c r="B1376" s="270">
        <v>1971</v>
      </c>
      <c r="C1376" s="136" t="s">
        <v>25</v>
      </c>
      <c r="D1376" s="257" t="s">
        <v>1962</v>
      </c>
      <c r="E1376" s="235" t="s">
        <v>5611</v>
      </c>
      <c r="F1376" s="235" t="s">
        <v>4272</v>
      </c>
      <c r="G1376" s="3" t="s">
        <v>5617</v>
      </c>
      <c r="H1376" s="236">
        <v>1</v>
      </c>
      <c r="I1376" s="236">
        <v>1</v>
      </c>
      <c r="J1376" s="233">
        <v>1</v>
      </c>
      <c r="N1376" s="279"/>
      <c r="O1376" t="str">
        <f t="shared" si="32"/>
        <v>1971-P Jefferson Nickel</v>
      </c>
      <c r="P1376" s="235">
        <v>1974</v>
      </c>
      <c r="Q1376">
        <f>MATCH(P1376,NickelMintage!A:A,)</f>
        <v>89</v>
      </c>
      <c r="S1376" t="str" cm="1">
        <f t="array" ref="S1376">_xlfn.REGEXEXTRACT(E1376, "[0-9]{1,5}")</f>
        <v>1971</v>
      </c>
      <c r="T1376" t="s">
        <v>2504</v>
      </c>
      <c r="U1376" t="s">
        <v>3897</v>
      </c>
    </row>
    <row r="1377" spans="1:21">
      <c r="A1377" s="136">
        <v>2</v>
      </c>
      <c r="B1377" s="270">
        <v>1971</v>
      </c>
      <c r="C1377" s="136" t="s">
        <v>12</v>
      </c>
      <c r="D1377" s="257" t="s">
        <v>1962</v>
      </c>
      <c r="E1377" s="235" t="s">
        <v>5612</v>
      </c>
      <c r="F1377" s="235" t="s">
        <v>5144</v>
      </c>
      <c r="G1377" s="3" t="s">
        <v>2584</v>
      </c>
      <c r="H1377" s="236">
        <v>1.25</v>
      </c>
      <c r="I1377" s="236">
        <v>1.25</v>
      </c>
      <c r="J1377" s="233">
        <v>1</v>
      </c>
      <c r="N1377" s="279"/>
      <c r="O1377" t="str">
        <f t="shared" si="32"/>
        <v>1971-S Jefferson Nickel Proof</v>
      </c>
      <c r="P1377" s="235">
        <v>1974</v>
      </c>
      <c r="Q1377">
        <f>MATCH(P1377,NickelMintage!A:A,)</f>
        <v>89</v>
      </c>
      <c r="S1377" t="str" cm="1">
        <f t="array" ref="S1377">_xlfn.REGEXEXTRACT(E1377, "[0-9]{1,5}")</f>
        <v>1971</v>
      </c>
      <c r="T1377" t="s">
        <v>2504</v>
      </c>
      <c r="U1377" t="s">
        <v>3897</v>
      </c>
    </row>
    <row r="1378" spans="1:21">
      <c r="A1378" s="136">
        <v>2</v>
      </c>
      <c r="B1378" s="246">
        <v>1972</v>
      </c>
      <c r="C1378" s="247" t="s">
        <v>13</v>
      </c>
      <c r="D1378" s="247" t="s">
        <v>1962</v>
      </c>
      <c r="E1378" s="248" t="s">
        <v>591</v>
      </c>
      <c r="F1378" s="235" t="s">
        <v>4272</v>
      </c>
      <c r="G1378" s="248" t="s">
        <v>2579</v>
      </c>
      <c r="H1378" s="249">
        <v>0.05</v>
      </c>
      <c r="I1378" s="249">
        <v>0.05</v>
      </c>
      <c r="J1378" s="246">
        <v>1</v>
      </c>
      <c r="K1378" s="250"/>
      <c r="L1378" s="248"/>
      <c r="M1378" s="276" t="str">
        <f>HYPERLINK($Y$2&amp;E1378&amp;$AA$2,"Photo")</f>
        <v>Photo</v>
      </c>
      <c r="N1378" s="279" t="s">
        <v>25</v>
      </c>
      <c r="O1378" t="str">
        <f t="shared" si="32"/>
        <v>1972-D Jefferson Nickel</v>
      </c>
      <c r="P1378" s="235">
        <v>1974</v>
      </c>
      <c r="Q1378">
        <f>MATCH(P1378,NickelMintage!A:A,)</f>
        <v>89</v>
      </c>
      <c r="S1378" t="str" cm="1">
        <f t="array" ref="S1378">_xlfn.REGEXEXTRACT(E1378, "[0-9]{1,5}")</f>
        <v>1972</v>
      </c>
      <c r="T1378" t="s">
        <v>2504</v>
      </c>
      <c r="U1378" t="s">
        <v>3897</v>
      </c>
    </row>
    <row r="1379" spans="1:21">
      <c r="A1379" s="136">
        <v>2</v>
      </c>
      <c r="B1379" s="246">
        <v>1972</v>
      </c>
      <c r="C1379" s="247" t="s">
        <v>13</v>
      </c>
      <c r="D1379" s="247" t="s">
        <v>1962</v>
      </c>
      <c r="E1379" s="248" t="s">
        <v>592</v>
      </c>
      <c r="F1379" s="235" t="s">
        <v>4272</v>
      </c>
      <c r="G1379" s="248" t="s">
        <v>2579</v>
      </c>
      <c r="H1379" s="249">
        <v>0.05</v>
      </c>
      <c r="I1379" s="249">
        <v>0.05</v>
      </c>
      <c r="J1379" s="246">
        <v>1</v>
      </c>
      <c r="K1379" s="250"/>
      <c r="L1379" s="248"/>
      <c r="M1379" s="276" t="str">
        <f>HYPERLINK($Y$2&amp;E1379&amp;$AA$2,"Photo")</f>
        <v>Photo</v>
      </c>
      <c r="N1379" s="279" t="s">
        <v>25</v>
      </c>
      <c r="O1379" t="str">
        <f t="shared" si="32"/>
        <v>1972-D Jefferson Nickel</v>
      </c>
      <c r="P1379" s="235" t="s">
        <v>889</v>
      </c>
      <c r="Q1379">
        <f>MATCH(P1379,NickelMintage!A:A,)</f>
        <v>90</v>
      </c>
      <c r="S1379" t="str" cm="1">
        <f t="array" ref="S1379">_xlfn.REGEXEXTRACT(E1379, "[0-9]{1,5}")</f>
        <v>1972</v>
      </c>
      <c r="T1379" t="s">
        <v>2504</v>
      </c>
      <c r="U1379" t="s">
        <v>3897</v>
      </c>
    </row>
    <row r="1380" spans="1:21">
      <c r="A1380" s="136">
        <v>2</v>
      </c>
      <c r="B1380" s="246">
        <v>1972</v>
      </c>
      <c r="C1380" s="247" t="s">
        <v>13</v>
      </c>
      <c r="D1380" s="247" t="s">
        <v>1962</v>
      </c>
      <c r="E1380" s="248" t="s">
        <v>593</v>
      </c>
      <c r="F1380" s="235" t="s">
        <v>4272</v>
      </c>
      <c r="G1380" s="248" t="s">
        <v>2579</v>
      </c>
      <c r="H1380" s="249">
        <v>0.05</v>
      </c>
      <c r="I1380" s="249">
        <v>0.05</v>
      </c>
      <c r="J1380" s="246">
        <v>1</v>
      </c>
      <c r="K1380" s="250"/>
      <c r="L1380" s="248"/>
      <c r="M1380" s="276" t="str">
        <f>HYPERLINK($Y$2&amp;E1380&amp;$AA$2,"Photo")</f>
        <v>Photo</v>
      </c>
      <c r="N1380" s="279" t="s">
        <v>25</v>
      </c>
      <c r="O1380" t="str">
        <f t="shared" si="32"/>
        <v>1972-D Jefferson Nickel</v>
      </c>
      <c r="P1380" s="235" t="s">
        <v>889</v>
      </c>
      <c r="Q1380">
        <f>MATCH(P1380,NickelMintage!A:A,)</f>
        <v>90</v>
      </c>
      <c r="S1380" t="str" cm="1">
        <f t="array" ref="S1380">_xlfn.REGEXEXTRACT(E1380, "[0-9]{1,5}")</f>
        <v>1972</v>
      </c>
      <c r="T1380" t="s">
        <v>2504</v>
      </c>
      <c r="U1380" t="s">
        <v>3897</v>
      </c>
    </row>
    <row r="1381" spans="1:21">
      <c r="A1381" s="136">
        <v>2</v>
      </c>
      <c r="B1381" s="246">
        <v>1972</v>
      </c>
      <c r="C1381" s="247"/>
      <c r="D1381" s="247" t="s">
        <v>1962</v>
      </c>
      <c r="E1381" s="248" t="s">
        <v>594</v>
      </c>
      <c r="F1381" s="235" t="s">
        <v>4272</v>
      </c>
      <c r="G1381" s="248" t="s">
        <v>2579</v>
      </c>
      <c r="H1381" s="249">
        <v>0.05</v>
      </c>
      <c r="I1381" s="249">
        <v>0.05</v>
      </c>
      <c r="J1381" s="246">
        <v>1</v>
      </c>
      <c r="K1381" s="250"/>
      <c r="L1381" s="248"/>
      <c r="M1381" s="276" t="str">
        <f>HYPERLINK($Y$2&amp;E1381&amp;$AA$2,"Photo")</f>
        <v>Photo</v>
      </c>
      <c r="N1381" s="279" t="s">
        <v>25</v>
      </c>
      <c r="O1381" t="str">
        <f t="shared" si="32"/>
        <v>1972 Jefferson Nickel</v>
      </c>
      <c r="P1381" s="235">
        <v>1975</v>
      </c>
      <c r="Q1381">
        <f>MATCH(P1381,NickelMintage!A:A,)</f>
        <v>91</v>
      </c>
      <c r="S1381" t="str" cm="1">
        <f t="array" ref="S1381">_xlfn.REGEXEXTRACT(E1381, "[0-9]{1,5}")</f>
        <v>1972</v>
      </c>
      <c r="T1381" t="s">
        <v>2506</v>
      </c>
      <c r="U1381" t="s">
        <v>3897</v>
      </c>
    </row>
    <row r="1382" spans="1:21">
      <c r="A1382" s="136">
        <v>2</v>
      </c>
      <c r="B1382" s="270">
        <v>1972</v>
      </c>
      <c r="C1382" s="136" t="s">
        <v>12</v>
      </c>
      <c r="D1382" s="257" t="s">
        <v>1962</v>
      </c>
      <c r="E1382" s="235" t="s">
        <v>5604</v>
      </c>
      <c r="F1382" s="235" t="s">
        <v>5144</v>
      </c>
      <c r="G1382" s="3" t="s">
        <v>2584</v>
      </c>
      <c r="H1382" s="236">
        <v>1.5</v>
      </c>
      <c r="I1382" s="236">
        <v>1.5</v>
      </c>
      <c r="J1382" s="233">
        <v>1</v>
      </c>
      <c r="N1382" s="279"/>
      <c r="O1382" t="str">
        <f t="shared" si="32"/>
        <v>1972-S Jefferson Nickel Proof</v>
      </c>
      <c r="P1382" s="235">
        <v>1975</v>
      </c>
      <c r="Q1382">
        <f>MATCH(P1382,NickelMintage!A:A,)</f>
        <v>91</v>
      </c>
      <c r="S1382" t="str" cm="1">
        <f t="array" ref="S1382">_xlfn.REGEXEXTRACT(E1382, "[0-9]{1,5}")</f>
        <v>1972</v>
      </c>
      <c r="T1382" t="s">
        <v>2506</v>
      </c>
      <c r="U1382" t="s">
        <v>3897</v>
      </c>
    </row>
    <row r="1383" spans="1:21">
      <c r="A1383" s="136">
        <v>2</v>
      </c>
      <c r="B1383" s="246">
        <v>1973</v>
      </c>
      <c r="C1383" s="247"/>
      <c r="D1383" s="247" t="s">
        <v>1962</v>
      </c>
      <c r="E1383" s="248" t="s">
        <v>596</v>
      </c>
      <c r="F1383" s="235" t="s">
        <v>4272</v>
      </c>
      <c r="G1383" s="248" t="s">
        <v>2579</v>
      </c>
      <c r="H1383" s="249">
        <v>0.05</v>
      </c>
      <c r="I1383" s="249">
        <v>0.05</v>
      </c>
      <c r="J1383" s="246">
        <v>1</v>
      </c>
      <c r="K1383" s="250"/>
      <c r="L1383" s="248"/>
      <c r="M1383" s="276" t="str">
        <f t="shared" ref="M1383:M1389" si="34">HYPERLINK($Y$2&amp;E1383&amp;$AA$2,"Photo")</f>
        <v>Photo</v>
      </c>
      <c r="N1383" s="279" t="s">
        <v>25</v>
      </c>
      <c r="O1383" t="str">
        <f t="shared" si="32"/>
        <v>1973 Jefferson Nickel</v>
      </c>
      <c r="P1383" s="235" t="s">
        <v>890</v>
      </c>
      <c r="Q1383">
        <f>MATCH(P1383,NickelMintage!A:A,)</f>
        <v>92</v>
      </c>
      <c r="S1383" t="str" cm="1">
        <f t="array" ref="S1383">_xlfn.REGEXEXTRACT(E1383, "[0-9]{1,5}")</f>
        <v>1973</v>
      </c>
      <c r="T1383" t="s">
        <v>2506</v>
      </c>
      <c r="U1383" t="s">
        <v>3897</v>
      </c>
    </row>
    <row r="1384" spans="1:21">
      <c r="A1384" s="136">
        <v>2</v>
      </c>
      <c r="B1384" s="246">
        <v>1973</v>
      </c>
      <c r="C1384" s="247"/>
      <c r="D1384" s="247" t="s">
        <v>1962</v>
      </c>
      <c r="E1384" s="248" t="s">
        <v>598</v>
      </c>
      <c r="F1384" s="235" t="s">
        <v>4272</v>
      </c>
      <c r="G1384" s="248" t="s">
        <v>2579</v>
      </c>
      <c r="H1384" s="249">
        <v>0.05</v>
      </c>
      <c r="I1384" s="249">
        <v>0.05</v>
      </c>
      <c r="J1384" s="246">
        <v>1</v>
      </c>
      <c r="K1384" s="250"/>
      <c r="L1384" s="248"/>
      <c r="M1384" s="276" t="str">
        <f t="shared" si="34"/>
        <v>Photo</v>
      </c>
      <c r="N1384" s="279" t="s">
        <v>25</v>
      </c>
      <c r="O1384" t="str">
        <f t="shared" si="32"/>
        <v>1973 Jefferson Nickel</v>
      </c>
      <c r="P1384" s="235">
        <v>1975</v>
      </c>
      <c r="Q1384">
        <f>MATCH(P1384,NickelMintage!A:A,)</f>
        <v>91</v>
      </c>
      <c r="S1384" t="str" cm="1">
        <f t="array" ref="S1384">_xlfn.REGEXEXTRACT(E1384, "[0-9]{1,5}")</f>
        <v>1973</v>
      </c>
      <c r="T1384" t="s">
        <v>2506</v>
      </c>
      <c r="U1384" t="s">
        <v>3897</v>
      </c>
    </row>
    <row r="1385" spans="1:21">
      <c r="A1385" s="136">
        <v>2</v>
      </c>
      <c r="B1385" s="246">
        <v>1973</v>
      </c>
      <c r="C1385" s="247"/>
      <c r="D1385" s="247" t="s">
        <v>1962</v>
      </c>
      <c r="E1385" s="248" t="s">
        <v>599</v>
      </c>
      <c r="F1385" s="235" t="s">
        <v>4272</v>
      </c>
      <c r="G1385" s="248" t="s">
        <v>2579</v>
      </c>
      <c r="H1385" s="249">
        <v>0.05</v>
      </c>
      <c r="I1385" s="249">
        <v>0.05</v>
      </c>
      <c r="J1385" s="246">
        <v>1</v>
      </c>
      <c r="K1385" s="250"/>
      <c r="L1385" s="248"/>
      <c r="M1385" s="276" t="str">
        <f t="shared" si="34"/>
        <v>Photo</v>
      </c>
      <c r="N1385" s="279" t="s">
        <v>25</v>
      </c>
      <c r="O1385" t="str">
        <f t="shared" si="32"/>
        <v>1973 Jefferson Nickel</v>
      </c>
      <c r="P1385" s="235" t="s">
        <v>890</v>
      </c>
      <c r="Q1385">
        <f>MATCH(P1385,NickelMintage!A:A,)</f>
        <v>92</v>
      </c>
      <c r="S1385" t="str" cm="1">
        <f t="array" ref="S1385">_xlfn.REGEXEXTRACT(E1385, "[0-9]{1,5}")</f>
        <v>1973</v>
      </c>
      <c r="T1385" t="s">
        <v>2506</v>
      </c>
      <c r="U1385" t="s">
        <v>3897</v>
      </c>
    </row>
    <row r="1386" spans="1:21">
      <c r="A1386" s="136">
        <v>2</v>
      </c>
      <c r="B1386" s="246">
        <v>1973</v>
      </c>
      <c r="C1386" s="247"/>
      <c r="D1386" s="247" t="s">
        <v>1962</v>
      </c>
      <c r="E1386" s="248" t="s">
        <v>600</v>
      </c>
      <c r="F1386" s="235" t="s">
        <v>4272</v>
      </c>
      <c r="G1386" s="248" t="s">
        <v>2579</v>
      </c>
      <c r="H1386" s="249">
        <v>0.05</v>
      </c>
      <c r="I1386" s="249">
        <v>0.05</v>
      </c>
      <c r="J1386" s="246">
        <v>1</v>
      </c>
      <c r="K1386" s="250"/>
      <c r="L1386" s="248"/>
      <c r="M1386" s="276" t="str">
        <f t="shared" si="34"/>
        <v>Photo</v>
      </c>
      <c r="N1386" s="279" t="s">
        <v>25</v>
      </c>
      <c r="O1386" t="str">
        <f t="shared" si="32"/>
        <v>1973 Jefferson Nickel</v>
      </c>
      <c r="P1386" s="235">
        <v>1976</v>
      </c>
      <c r="Q1386">
        <f>MATCH(P1386,NickelMintage!A:A,)</f>
        <v>93</v>
      </c>
      <c r="S1386" t="str" cm="1">
        <f t="array" ref="S1386">_xlfn.REGEXEXTRACT(E1386, "[0-9]{1,5}")</f>
        <v>1973</v>
      </c>
      <c r="T1386" t="s">
        <v>2508</v>
      </c>
      <c r="U1386" t="s">
        <v>3897</v>
      </c>
    </row>
    <row r="1387" spans="1:21">
      <c r="A1387" s="136">
        <v>2</v>
      </c>
      <c r="B1387" s="246">
        <v>1973</v>
      </c>
      <c r="C1387" s="247"/>
      <c r="D1387" s="247" t="s">
        <v>1962</v>
      </c>
      <c r="E1387" s="248" t="s">
        <v>601</v>
      </c>
      <c r="F1387" s="235" t="s">
        <v>4272</v>
      </c>
      <c r="G1387" s="248" t="s">
        <v>2579</v>
      </c>
      <c r="H1387" s="249">
        <v>0.05</v>
      </c>
      <c r="I1387" s="249">
        <v>0.05</v>
      </c>
      <c r="J1387" s="246">
        <v>1</v>
      </c>
      <c r="K1387" s="250"/>
      <c r="L1387" s="248"/>
      <c r="M1387" s="276" t="str">
        <f t="shared" si="34"/>
        <v>Photo</v>
      </c>
      <c r="N1387" s="279" t="s">
        <v>25</v>
      </c>
      <c r="O1387" t="str">
        <f t="shared" si="32"/>
        <v>1973 Jefferson Nickel</v>
      </c>
      <c r="P1387" s="235">
        <v>1976</v>
      </c>
      <c r="Q1387">
        <f>MATCH(P1387,NickelMintage!A:A,)</f>
        <v>93</v>
      </c>
      <c r="S1387" t="str" cm="1">
        <f t="array" ref="S1387">_xlfn.REGEXEXTRACT(E1387, "[0-9]{1,5}")</f>
        <v>1973</v>
      </c>
      <c r="T1387" t="s">
        <v>2508</v>
      </c>
      <c r="U1387" t="s">
        <v>3897</v>
      </c>
    </row>
    <row r="1388" spans="1:21">
      <c r="A1388" s="136">
        <v>2</v>
      </c>
      <c r="B1388" s="246">
        <v>1973</v>
      </c>
      <c r="C1388" s="247"/>
      <c r="D1388" s="247" t="s">
        <v>1962</v>
      </c>
      <c r="E1388" s="248" t="s">
        <v>602</v>
      </c>
      <c r="F1388" s="235" t="s">
        <v>4272</v>
      </c>
      <c r="G1388" s="248" t="s">
        <v>2579</v>
      </c>
      <c r="H1388" s="249">
        <v>0.05</v>
      </c>
      <c r="I1388" s="249">
        <v>0.05</v>
      </c>
      <c r="J1388" s="246">
        <v>1</v>
      </c>
      <c r="K1388" s="250"/>
      <c r="L1388" s="248"/>
      <c r="M1388" s="276" t="str">
        <f t="shared" si="34"/>
        <v>Photo</v>
      </c>
      <c r="N1388" s="279" t="s">
        <v>25</v>
      </c>
      <c r="O1388" t="str">
        <f t="shared" si="32"/>
        <v>1973 Jefferson Nickel</v>
      </c>
      <c r="P1388" s="235">
        <v>1976</v>
      </c>
      <c r="Q1388">
        <f>MATCH(P1388,NickelMintage!A:A,)</f>
        <v>93</v>
      </c>
      <c r="S1388" t="str" cm="1">
        <f t="array" ref="S1388">_xlfn.REGEXEXTRACT(E1388, "[0-9]{1,5}")</f>
        <v>1973</v>
      </c>
      <c r="T1388" t="s">
        <v>2508</v>
      </c>
      <c r="U1388" t="s">
        <v>3897</v>
      </c>
    </row>
    <row r="1389" spans="1:21">
      <c r="A1389" s="136">
        <v>2</v>
      </c>
      <c r="B1389" s="246">
        <v>1973</v>
      </c>
      <c r="C1389" s="247"/>
      <c r="D1389" s="247" t="s">
        <v>1962</v>
      </c>
      <c r="E1389" s="248" t="s">
        <v>3962</v>
      </c>
      <c r="F1389" s="235" t="s">
        <v>4272</v>
      </c>
      <c r="G1389" s="248" t="s">
        <v>2579</v>
      </c>
      <c r="H1389" s="249">
        <v>0.05</v>
      </c>
      <c r="I1389" s="249">
        <v>0.05</v>
      </c>
      <c r="J1389" s="246">
        <v>1</v>
      </c>
      <c r="K1389" s="250"/>
      <c r="L1389" s="248"/>
      <c r="M1389" s="276" t="str">
        <f t="shared" si="34"/>
        <v>Photo</v>
      </c>
      <c r="N1389" s="279" t="s">
        <v>25</v>
      </c>
      <c r="O1389" t="str">
        <f t="shared" si="32"/>
        <v>1973 Jefferson Nickel</v>
      </c>
      <c r="P1389" s="235">
        <v>1976</v>
      </c>
      <c r="Q1389">
        <f>MATCH(P1389,NickelMintage!A:A,)</f>
        <v>93</v>
      </c>
      <c r="S1389" t="str" cm="1">
        <f t="array" ref="S1389">_xlfn.REGEXEXTRACT(E1389, "[0-9]{1,5}")</f>
        <v>1973</v>
      </c>
      <c r="T1389" t="s">
        <v>2508</v>
      </c>
      <c r="U1389" t="s">
        <v>3897</v>
      </c>
    </row>
    <row r="1390" spans="1:21">
      <c r="A1390" s="136">
        <v>2</v>
      </c>
      <c r="B1390" s="270">
        <v>1973</v>
      </c>
      <c r="C1390" s="136" t="s">
        <v>13</v>
      </c>
      <c r="D1390" s="257" t="s">
        <v>1962</v>
      </c>
      <c r="E1390" s="235" t="s">
        <v>5605</v>
      </c>
      <c r="F1390" s="235" t="s">
        <v>4272</v>
      </c>
      <c r="G1390" s="3" t="s">
        <v>5617</v>
      </c>
      <c r="H1390" s="236">
        <v>0.4</v>
      </c>
      <c r="I1390" s="236">
        <v>0.4</v>
      </c>
      <c r="J1390" s="233">
        <v>1</v>
      </c>
      <c r="N1390" s="279"/>
      <c r="O1390" t="str">
        <f t="shared" si="32"/>
        <v>1973-D Jefferson Nickel</v>
      </c>
      <c r="P1390" s="235">
        <v>1976</v>
      </c>
      <c r="Q1390">
        <f>MATCH(P1390,NickelMintage!A:A,)</f>
        <v>93</v>
      </c>
      <c r="S1390" t="str" cm="1">
        <f t="array" ref="S1390">_xlfn.REGEXEXTRACT(E1390, "[0-9]{1,5}")</f>
        <v>1973</v>
      </c>
      <c r="T1390" t="s">
        <v>2508</v>
      </c>
      <c r="U1390" t="s">
        <v>3897</v>
      </c>
    </row>
    <row r="1391" spans="1:21">
      <c r="A1391" s="136">
        <v>2</v>
      </c>
      <c r="B1391" s="270">
        <v>1973</v>
      </c>
      <c r="C1391" s="136" t="s">
        <v>12</v>
      </c>
      <c r="D1391" s="257" t="s">
        <v>1962</v>
      </c>
      <c r="E1391" s="235" t="s">
        <v>5613</v>
      </c>
      <c r="F1391" s="235" t="s">
        <v>5144</v>
      </c>
      <c r="G1391" s="3" t="s">
        <v>2584</v>
      </c>
      <c r="H1391" s="236">
        <v>1.75</v>
      </c>
      <c r="I1391" s="236">
        <v>1.75</v>
      </c>
      <c r="J1391" s="233">
        <v>1</v>
      </c>
      <c r="N1391" s="279"/>
      <c r="O1391" t="str">
        <f t="shared" si="32"/>
        <v>1973-S Jefferson Nickel Proof</v>
      </c>
      <c r="P1391" s="235" t="s">
        <v>891</v>
      </c>
      <c r="Q1391">
        <f>MATCH(P1391,NickelMintage!A:A,)</f>
        <v>94</v>
      </c>
      <c r="S1391" t="str" cm="1">
        <f t="array" ref="S1391">_xlfn.REGEXEXTRACT(E1391, "[0-9]{1,5}")</f>
        <v>1973</v>
      </c>
      <c r="T1391" t="s">
        <v>2508</v>
      </c>
      <c r="U1391" t="s">
        <v>3897</v>
      </c>
    </row>
    <row r="1392" spans="1:21">
      <c r="A1392" s="136">
        <v>2</v>
      </c>
      <c r="B1392" s="246">
        <v>1974</v>
      </c>
      <c r="C1392" s="247"/>
      <c r="D1392" s="247" t="s">
        <v>1962</v>
      </c>
      <c r="E1392" s="248" t="s">
        <v>603</v>
      </c>
      <c r="F1392" s="235" t="s">
        <v>4272</v>
      </c>
      <c r="G1392" s="248" t="s">
        <v>2579</v>
      </c>
      <c r="H1392" s="249">
        <v>0.05</v>
      </c>
      <c r="I1392" s="249">
        <v>0.05</v>
      </c>
      <c r="J1392" s="246">
        <v>1</v>
      </c>
      <c r="K1392" s="250"/>
      <c r="L1392" s="248"/>
      <c r="M1392" s="276" t="str">
        <f t="shared" ref="M1392:M1397" si="35">HYPERLINK($Y$2&amp;E1392&amp;$AA$2,"Photo")</f>
        <v>Photo</v>
      </c>
      <c r="N1392" s="279" t="s">
        <v>25</v>
      </c>
      <c r="O1392" t="str">
        <f t="shared" si="32"/>
        <v>1974 Jefferson Nickel</v>
      </c>
      <c r="P1392" s="235" t="s">
        <v>891</v>
      </c>
      <c r="Q1392">
        <f>MATCH(P1392,NickelMintage!A:A,)</f>
        <v>94</v>
      </c>
      <c r="S1392" t="str" cm="1">
        <f t="array" ref="S1392">_xlfn.REGEXEXTRACT(E1392, "[0-9]{1,5}")</f>
        <v>1974</v>
      </c>
      <c r="T1392" t="s">
        <v>2508</v>
      </c>
      <c r="U1392" t="s">
        <v>3897</v>
      </c>
    </row>
    <row r="1393" spans="1:21">
      <c r="A1393" s="136">
        <v>2</v>
      </c>
      <c r="B1393" s="246">
        <v>1974</v>
      </c>
      <c r="C1393" s="247"/>
      <c r="D1393" s="247" t="s">
        <v>1962</v>
      </c>
      <c r="E1393" s="248" t="s">
        <v>605</v>
      </c>
      <c r="F1393" s="235" t="s">
        <v>4272</v>
      </c>
      <c r="G1393" s="248" t="s">
        <v>2579</v>
      </c>
      <c r="H1393" s="249">
        <v>0.05</v>
      </c>
      <c r="I1393" s="249">
        <v>0.05</v>
      </c>
      <c r="J1393" s="246">
        <v>1</v>
      </c>
      <c r="K1393" s="250"/>
      <c r="L1393" s="248"/>
      <c r="M1393" s="276" t="str">
        <f t="shared" si="35"/>
        <v>Photo</v>
      </c>
      <c r="N1393" s="279" t="s">
        <v>25</v>
      </c>
      <c r="O1393" t="str">
        <f t="shared" si="32"/>
        <v>1974 Jefferson Nickel</v>
      </c>
      <c r="P1393" s="235">
        <v>1977</v>
      </c>
      <c r="Q1393">
        <f>MATCH(P1393,NickelMintage!A:A,)</f>
        <v>95</v>
      </c>
      <c r="S1393" t="str" cm="1">
        <f t="array" ref="S1393">_xlfn.REGEXEXTRACT(E1393, "[0-9]{1,5}")</f>
        <v>1974</v>
      </c>
      <c r="T1393" t="s">
        <v>2510</v>
      </c>
      <c r="U1393" t="s">
        <v>3897</v>
      </c>
    </row>
    <row r="1394" spans="1:21">
      <c r="A1394" s="136">
        <v>2</v>
      </c>
      <c r="B1394" s="246">
        <v>1974</v>
      </c>
      <c r="C1394" s="247"/>
      <c r="D1394" s="247" t="s">
        <v>1962</v>
      </c>
      <c r="E1394" s="248" t="s">
        <v>606</v>
      </c>
      <c r="F1394" s="235" t="s">
        <v>4272</v>
      </c>
      <c r="G1394" s="248" t="s">
        <v>2579</v>
      </c>
      <c r="H1394" s="249">
        <v>0.05</v>
      </c>
      <c r="I1394" s="249">
        <v>0.05</v>
      </c>
      <c r="J1394" s="246">
        <v>1</v>
      </c>
      <c r="K1394" s="250"/>
      <c r="L1394" s="248"/>
      <c r="M1394" s="276" t="str">
        <f t="shared" si="35"/>
        <v>Photo</v>
      </c>
      <c r="N1394" s="279" t="s">
        <v>25</v>
      </c>
      <c r="O1394" t="str">
        <f t="shared" si="32"/>
        <v>1974 Jefferson Nickel</v>
      </c>
      <c r="P1394" s="235">
        <v>1977</v>
      </c>
      <c r="Q1394">
        <f>MATCH(P1394,NickelMintage!A:A,)</f>
        <v>95</v>
      </c>
      <c r="S1394" t="str" cm="1">
        <f t="array" ref="S1394">_xlfn.REGEXEXTRACT(E1394, "[0-9]{1,5}")</f>
        <v>1974</v>
      </c>
      <c r="T1394" t="s">
        <v>2510</v>
      </c>
      <c r="U1394" t="s">
        <v>3897</v>
      </c>
    </row>
    <row r="1395" spans="1:21">
      <c r="A1395" s="136">
        <v>2</v>
      </c>
      <c r="B1395" s="246">
        <v>1974</v>
      </c>
      <c r="C1395" s="247"/>
      <c r="D1395" s="247" t="s">
        <v>1962</v>
      </c>
      <c r="E1395" s="248" t="s">
        <v>607</v>
      </c>
      <c r="F1395" s="235" t="s">
        <v>4272</v>
      </c>
      <c r="G1395" s="248" t="s">
        <v>2579</v>
      </c>
      <c r="H1395" s="249">
        <v>0.05</v>
      </c>
      <c r="I1395" s="249">
        <v>0.05</v>
      </c>
      <c r="J1395" s="246">
        <v>1</v>
      </c>
      <c r="K1395" s="250"/>
      <c r="L1395" s="248"/>
      <c r="M1395" s="276" t="str">
        <f t="shared" si="35"/>
        <v>Photo</v>
      </c>
      <c r="N1395" s="279" t="s">
        <v>25</v>
      </c>
      <c r="O1395" t="str">
        <f t="shared" si="32"/>
        <v>1974 Jefferson Nickel</v>
      </c>
      <c r="P1395" s="235">
        <v>1977</v>
      </c>
      <c r="Q1395">
        <f>MATCH(P1395,NickelMintage!A:A,)</f>
        <v>95</v>
      </c>
      <c r="S1395" t="str" cm="1">
        <f t="array" ref="S1395">_xlfn.REGEXEXTRACT(E1395, "[0-9]{1,5}")</f>
        <v>1974</v>
      </c>
      <c r="T1395" t="s">
        <v>2510</v>
      </c>
      <c r="U1395" t="s">
        <v>3897</v>
      </c>
    </row>
    <row r="1396" spans="1:21">
      <c r="A1396" s="136">
        <v>2</v>
      </c>
      <c r="B1396" s="246">
        <v>1974</v>
      </c>
      <c r="C1396" s="247" t="s">
        <v>13</v>
      </c>
      <c r="D1396" s="247" t="s">
        <v>1962</v>
      </c>
      <c r="E1396" s="248" t="s">
        <v>608</v>
      </c>
      <c r="F1396" s="235" t="s">
        <v>4272</v>
      </c>
      <c r="G1396" s="248" t="s">
        <v>2579</v>
      </c>
      <c r="H1396" s="249">
        <v>0.05</v>
      </c>
      <c r="I1396" s="249">
        <v>0.05</v>
      </c>
      <c r="J1396" s="246">
        <v>1</v>
      </c>
      <c r="K1396" s="250"/>
      <c r="L1396" s="248"/>
      <c r="M1396" s="276" t="str">
        <f t="shared" si="35"/>
        <v>Photo</v>
      </c>
      <c r="N1396" s="279" t="s">
        <v>25</v>
      </c>
      <c r="O1396" t="str">
        <f t="shared" si="32"/>
        <v>1974-D Jefferson Nickel</v>
      </c>
      <c r="P1396" s="235">
        <v>1977</v>
      </c>
      <c r="Q1396">
        <f>MATCH(P1396,NickelMintage!A:A,)</f>
        <v>95</v>
      </c>
      <c r="S1396" t="str" cm="1">
        <f t="array" ref="S1396">_xlfn.REGEXEXTRACT(E1396, "[0-9]{1,5}")</f>
        <v>1974</v>
      </c>
      <c r="T1396" t="s">
        <v>2510</v>
      </c>
      <c r="U1396" t="s">
        <v>3897</v>
      </c>
    </row>
    <row r="1397" spans="1:21">
      <c r="A1397" s="136">
        <v>2</v>
      </c>
      <c r="B1397" s="246">
        <v>1974</v>
      </c>
      <c r="C1397" s="247" t="s">
        <v>13</v>
      </c>
      <c r="D1397" s="247" t="s">
        <v>1962</v>
      </c>
      <c r="E1397" s="248" t="s">
        <v>609</v>
      </c>
      <c r="F1397" s="235" t="s">
        <v>4272</v>
      </c>
      <c r="G1397" s="248" t="s">
        <v>2579</v>
      </c>
      <c r="H1397" s="249">
        <v>0.05</v>
      </c>
      <c r="I1397" s="249">
        <v>0.05</v>
      </c>
      <c r="J1397" s="246">
        <v>1</v>
      </c>
      <c r="K1397" s="250"/>
      <c r="L1397" s="248"/>
      <c r="M1397" s="276" t="str">
        <f t="shared" si="35"/>
        <v>Photo</v>
      </c>
      <c r="N1397" s="279" t="s">
        <v>25</v>
      </c>
      <c r="O1397" t="str">
        <f t="shared" si="32"/>
        <v>1974-D Jefferson Nickel</v>
      </c>
      <c r="P1397" s="235">
        <v>1977</v>
      </c>
      <c r="Q1397">
        <f>MATCH(P1397,NickelMintage!A:A,)</f>
        <v>95</v>
      </c>
      <c r="S1397" t="str" cm="1">
        <f t="array" ref="S1397">_xlfn.REGEXEXTRACT(E1397, "[0-9]{1,5}")</f>
        <v>1974</v>
      </c>
      <c r="T1397" t="s">
        <v>2510</v>
      </c>
      <c r="U1397" t="s">
        <v>3897</v>
      </c>
    </row>
    <row r="1398" spans="1:21">
      <c r="A1398" s="136">
        <v>2</v>
      </c>
      <c r="B1398" s="270">
        <v>1974</v>
      </c>
      <c r="C1398" s="136" t="s">
        <v>12</v>
      </c>
      <c r="D1398" s="257" t="s">
        <v>1962</v>
      </c>
      <c r="E1398" s="235" t="s">
        <v>5614</v>
      </c>
      <c r="F1398" s="235" t="s">
        <v>5144</v>
      </c>
      <c r="G1398" s="3" t="s">
        <v>2584</v>
      </c>
      <c r="H1398" s="236">
        <v>0.75</v>
      </c>
      <c r="I1398" s="236">
        <v>0.75</v>
      </c>
      <c r="J1398" s="233">
        <v>1</v>
      </c>
      <c r="N1398" s="279"/>
      <c r="O1398" t="str">
        <f t="shared" si="32"/>
        <v>1974-S Jefferson Nickel Proof</v>
      </c>
      <c r="P1398" s="235">
        <v>1978</v>
      </c>
      <c r="Q1398">
        <f>MATCH(P1398,NickelMintage!A:A,)</f>
        <v>97</v>
      </c>
      <c r="S1398" t="str" cm="1">
        <f t="array" ref="S1398">_xlfn.REGEXEXTRACT(E1398, "[0-9]{1,5}")</f>
        <v>1974</v>
      </c>
      <c r="T1398" t="s">
        <v>2512</v>
      </c>
      <c r="U1398" t="s">
        <v>3897</v>
      </c>
    </row>
    <row r="1399" spans="1:21">
      <c r="A1399" s="136">
        <v>2</v>
      </c>
      <c r="B1399" s="246">
        <v>1975</v>
      </c>
      <c r="C1399" s="247"/>
      <c r="D1399" s="247" t="s">
        <v>1962</v>
      </c>
      <c r="E1399" s="248" t="s">
        <v>610</v>
      </c>
      <c r="F1399" s="235" t="s">
        <v>4272</v>
      </c>
      <c r="G1399" s="248" t="s">
        <v>2579</v>
      </c>
      <c r="H1399" s="249">
        <v>0.05</v>
      </c>
      <c r="I1399" s="249">
        <v>0.05</v>
      </c>
      <c r="J1399" s="246">
        <v>1</v>
      </c>
      <c r="K1399" s="250"/>
      <c r="L1399" s="248"/>
      <c r="M1399" s="276" t="str">
        <f>HYPERLINK($Y$2&amp;E1399&amp;$AA$2,"Photo")</f>
        <v>Photo</v>
      </c>
      <c r="N1399" s="279" t="s">
        <v>25</v>
      </c>
      <c r="O1399" t="str">
        <f t="shared" si="32"/>
        <v>1975 Jefferson Nickel</v>
      </c>
      <c r="P1399" s="235">
        <v>1978</v>
      </c>
      <c r="Q1399">
        <f>MATCH(P1399,NickelMintage!A:A,)</f>
        <v>97</v>
      </c>
      <c r="S1399" t="str" cm="1">
        <f t="array" ref="S1399">_xlfn.REGEXEXTRACT(E1399, "[0-9]{1,5}")</f>
        <v>1975</v>
      </c>
      <c r="T1399" t="s">
        <v>2512</v>
      </c>
      <c r="U1399" t="s">
        <v>3897</v>
      </c>
    </row>
    <row r="1400" spans="1:21">
      <c r="A1400" s="136">
        <v>2</v>
      </c>
      <c r="B1400" s="246">
        <v>1975</v>
      </c>
      <c r="C1400" s="247"/>
      <c r="D1400" s="247" t="s">
        <v>1962</v>
      </c>
      <c r="E1400" s="248" t="s">
        <v>612</v>
      </c>
      <c r="F1400" s="235" t="s">
        <v>4272</v>
      </c>
      <c r="G1400" s="248" t="s">
        <v>2579</v>
      </c>
      <c r="H1400" s="249">
        <v>0.05</v>
      </c>
      <c r="I1400" s="249">
        <v>0.05</v>
      </c>
      <c r="J1400" s="246">
        <v>1</v>
      </c>
      <c r="K1400" s="250"/>
      <c r="L1400" s="248"/>
      <c r="M1400" s="276" t="str">
        <f>HYPERLINK($Y$2&amp;E1400&amp;$AA$2,"Photo")</f>
        <v>Photo</v>
      </c>
      <c r="N1400" s="279" t="s">
        <v>25</v>
      </c>
      <c r="O1400" t="str">
        <f t="shared" si="32"/>
        <v>1975 Jefferson Nickel</v>
      </c>
      <c r="P1400" s="235">
        <v>1978</v>
      </c>
      <c r="Q1400">
        <f>MATCH(P1400,NickelMintage!A:A,)</f>
        <v>97</v>
      </c>
      <c r="S1400" t="str" cm="1">
        <f t="array" ref="S1400">_xlfn.REGEXEXTRACT(E1400, "[0-9]{1,5}")</f>
        <v>1975</v>
      </c>
      <c r="T1400" t="s">
        <v>2512</v>
      </c>
      <c r="U1400" t="s">
        <v>3897</v>
      </c>
    </row>
    <row r="1401" spans="1:21">
      <c r="A1401" s="136">
        <v>2</v>
      </c>
      <c r="B1401" s="246">
        <v>1975</v>
      </c>
      <c r="C1401" s="247" t="s">
        <v>13</v>
      </c>
      <c r="D1401" s="247" t="s">
        <v>1962</v>
      </c>
      <c r="E1401" s="248" t="s">
        <v>613</v>
      </c>
      <c r="F1401" s="235" t="s">
        <v>4272</v>
      </c>
      <c r="G1401" s="248" t="s">
        <v>2579</v>
      </c>
      <c r="H1401" s="249">
        <v>0.05</v>
      </c>
      <c r="I1401" s="249">
        <v>0.05</v>
      </c>
      <c r="J1401" s="246">
        <v>1</v>
      </c>
      <c r="K1401" s="250"/>
      <c r="L1401" s="248"/>
      <c r="M1401" s="276" t="str">
        <f>HYPERLINK($Y$2&amp;E1401&amp;$AA$2,"Photo")</f>
        <v>Photo</v>
      </c>
      <c r="N1401" s="279" t="s">
        <v>25</v>
      </c>
      <c r="O1401" t="str">
        <f t="shared" si="32"/>
        <v>1975-D Jefferson Nickel</v>
      </c>
      <c r="P1401" s="235">
        <v>1978</v>
      </c>
      <c r="Q1401">
        <f>MATCH(P1401,NickelMintage!A:A,)</f>
        <v>97</v>
      </c>
      <c r="S1401" t="str" cm="1">
        <f t="array" ref="S1401">_xlfn.REGEXEXTRACT(E1401, "[0-9]{1,5}")</f>
        <v>1975</v>
      </c>
      <c r="T1401" t="s">
        <v>2512</v>
      </c>
      <c r="U1401" t="s">
        <v>3897</v>
      </c>
    </row>
    <row r="1402" spans="1:21">
      <c r="A1402" s="136">
        <v>2</v>
      </c>
      <c r="B1402" s="246">
        <v>1975</v>
      </c>
      <c r="C1402" s="247"/>
      <c r="D1402" s="247" t="s">
        <v>1962</v>
      </c>
      <c r="E1402" s="248" t="s">
        <v>614</v>
      </c>
      <c r="F1402" s="235" t="s">
        <v>4272</v>
      </c>
      <c r="G1402" s="248" t="s">
        <v>2579</v>
      </c>
      <c r="H1402" s="249">
        <v>0.05</v>
      </c>
      <c r="I1402" s="249">
        <v>0.05</v>
      </c>
      <c r="J1402" s="246">
        <v>1</v>
      </c>
      <c r="K1402" s="250"/>
      <c r="L1402" s="248"/>
      <c r="M1402" s="276" t="str">
        <f>HYPERLINK($Y$2&amp;E1402&amp;$AA$2,"Photo")</f>
        <v>Photo</v>
      </c>
      <c r="N1402" s="279" t="s">
        <v>25</v>
      </c>
      <c r="O1402" t="str">
        <f t="shared" si="32"/>
        <v>1975 Jefferson Nickel</v>
      </c>
      <c r="P1402" s="235">
        <v>1978</v>
      </c>
      <c r="Q1402">
        <f>MATCH(P1402,NickelMintage!A:A,)</f>
        <v>97</v>
      </c>
      <c r="S1402" t="str" cm="1">
        <f t="array" ref="S1402">_xlfn.REGEXEXTRACT(E1402, "[0-9]{1,5}")</f>
        <v>1975</v>
      </c>
      <c r="T1402" t="s">
        <v>2512</v>
      </c>
      <c r="U1402" t="s">
        <v>3897</v>
      </c>
    </row>
    <row r="1403" spans="1:21">
      <c r="A1403" s="136">
        <v>2</v>
      </c>
      <c r="B1403" s="246">
        <v>1975</v>
      </c>
      <c r="C1403" s="247" t="s">
        <v>13</v>
      </c>
      <c r="D1403" s="247" t="s">
        <v>1962</v>
      </c>
      <c r="E1403" s="248" t="s">
        <v>3961</v>
      </c>
      <c r="F1403" s="235" t="s">
        <v>4272</v>
      </c>
      <c r="G1403" s="248" t="s">
        <v>2579</v>
      </c>
      <c r="H1403" s="249">
        <v>0.05</v>
      </c>
      <c r="I1403" s="249">
        <v>0.05</v>
      </c>
      <c r="J1403" s="246">
        <v>1</v>
      </c>
      <c r="K1403" s="250"/>
      <c r="L1403" s="248"/>
      <c r="M1403" s="276" t="str">
        <f>HYPERLINK($Y$2&amp;E1403&amp;$AA$2,"Photo")</f>
        <v>Photo</v>
      </c>
      <c r="N1403" s="279" t="s">
        <v>25</v>
      </c>
      <c r="O1403" t="str">
        <f t="shared" si="32"/>
        <v>1975-D Jefferson Nickel</v>
      </c>
      <c r="P1403" s="235">
        <v>1979</v>
      </c>
      <c r="Q1403">
        <f>MATCH(P1403,NickelMintage!A:A,)</f>
        <v>99</v>
      </c>
      <c r="S1403" t="str" cm="1">
        <f t="array" ref="S1403">_xlfn.REGEXEXTRACT(E1403, "[0-9]{1,5}")</f>
        <v>1975</v>
      </c>
      <c r="T1403" t="s">
        <v>1627</v>
      </c>
      <c r="U1403" t="s">
        <v>3897</v>
      </c>
    </row>
    <row r="1404" spans="1:21">
      <c r="A1404" s="136">
        <v>2</v>
      </c>
      <c r="B1404" s="270">
        <v>1975</v>
      </c>
      <c r="C1404" s="136" t="s">
        <v>12</v>
      </c>
      <c r="D1404" s="257" t="s">
        <v>1962</v>
      </c>
      <c r="E1404" s="235" t="s">
        <v>5615</v>
      </c>
      <c r="F1404" s="235" t="s">
        <v>5144</v>
      </c>
      <c r="G1404" s="3" t="s">
        <v>2584</v>
      </c>
      <c r="H1404" s="236">
        <v>0.75</v>
      </c>
      <c r="I1404" s="236">
        <v>0.75</v>
      </c>
      <c r="J1404" s="233">
        <v>1</v>
      </c>
      <c r="N1404" s="279"/>
      <c r="O1404" t="str">
        <f t="shared" si="32"/>
        <v>1975-S Jefferson Nickel Proof</v>
      </c>
      <c r="P1404" s="235">
        <v>1979</v>
      </c>
      <c r="Q1404">
        <f>MATCH(P1404,NickelMintage!A:A,)</f>
        <v>99</v>
      </c>
      <c r="S1404" t="str" cm="1">
        <f t="array" ref="S1404">_xlfn.REGEXEXTRACT(E1404, "[0-9]{1,5}")</f>
        <v>1975</v>
      </c>
      <c r="T1404" t="s">
        <v>1627</v>
      </c>
      <c r="U1404" t="s">
        <v>3897</v>
      </c>
    </row>
    <row r="1405" spans="1:21">
      <c r="A1405" s="136">
        <v>2</v>
      </c>
      <c r="B1405" s="246">
        <v>1976</v>
      </c>
      <c r="C1405" s="247"/>
      <c r="D1405" s="247" t="s">
        <v>1962</v>
      </c>
      <c r="E1405" s="248" t="s">
        <v>615</v>
      </c>
      <c r="F1405" s="235" t="s">
        <v>4272</v>
      </c>
      <c r="G1405" s="248" t="s">
        <v>2579</v>
      </c>
      <c r="H1405" s="249">
        <v>0.05</v>
      </c>
      <c r="I1405" s="249">
        <v>0.05</v>
      </c>
      <c r="J1405" s="246">
        <v>1</v>
      </c>
      <c r="K1405" s="250"/>
      <c r="L1405" s="248"/>
      <c r="M1405" s="276" t="str">
        <f t="shared" ref="M1405:M1411" si="36">HYPERLINK($Y$2&amp;E1405&amp;$AA$2,"Photo")</f>
        <v>Photo</v>
      </c>
      <c r="N1405" s="279" t="s">
        <v>25</v>
      </c>
      <c r="O1405" t="str">
        <f t="shared" si="32"/>
        <v>1976 Jefferson Nickel</v>
      </c>
      <c r="P1405" s="235" t="s">
        <v>895</v>
      </c>
      <c r="Q1405">
        <f>MATCH(P1405,NickelMintage!A:A,)</f>
        <v>101</v>
      </c>
      <c r="S1405" t="str" cm="1">
        <f t="array" ref="S1405">_xlfn.REGEXEXTRACT(E1405, "[0-9]{1,5}")</f>
        <v>1976</v>
      </c>
      <c r="T1405" t="s">
        <v>1649</v>
      </c>
      <c r="U1405" t="s">
        <v>3897</v>
      </c>
    </row>
    <row r="1406" spans="1:21">
      <c r="A1406" s="136">
        <v>2</v>
      </c>
      <c r="B1406" s="246">
        <v>1976</v>
      </c>
      <c r="C1406" s="247"/>
      <c r="D1406" s="247" t="s">
        <v>1962</v>
      </c>
      <c r="E1406" s="248" t="s">
        <v>617</v>
      </c>
      <c r="F1406" s="235" t="s">
        <v>4272</v>
      </c>
      <c r="G1406" s="248" t="s">
        <v>2579</v>
      </c>
      <c r="H1406" s="249">
        <v>0.05</v>
      </c>
      <c r="I1406" s="249">
        <v>0.05</v>
      </c>
      <c r="J1406" s="246">
        <v>1</v>
      </c>
      <c r="K1406" s="250"/>
      <c r="L1406" s="248"/>
      <c r="M1406" s="276" t="str">
        <f t="shared" si="36"/>
        <v>Photo</v>
      </c>
      <c r="N1406" s="279" t="s">
        <v>25</v>
      </c>
      <c r="O1406" t="str">
        <f t="shared" si="32"/>
        <v>1976 Jefferson Nickel</v>
      </c>
      <c r="P1406" s="235" t="s">
        <v>895</v>
      </c>
      <c r="Q1406">
        <f>MATCH(P1406,NickelMintage!A:A,)</f>
        <v>101</v>
      </c>
      <c r="S1406" t="str" cm="1">
        <f t="array" ref="S1406">_xlfn.REGEXEXTRACT(E1406, "[0-9]{1,5}")</f>
        <v>1976</v>
      </c>
      <c r="T1406" t="s">
        <v>1649</v>
      </c>
      <c r="U1406" t="s">
        <v>3897</v>
      </c>
    </row>
    <row r="1407" spans="1:21">
      <c r="A1407" s="136">
        <v>2</v>
      </c>
      <c r="B1407" s="246">
        <v>1976</v>
      </c>
      <c r="C1407" s="247"/>
      <c r="D1407" s="247" t="s">
        <v>1962</v>
      </c>
      <c r="E1407" s="248" t="s">
        <v>618</v>
      </c>
      <c r="F1407" s="235" t="s">
        <v>4272</v>
      </c>
      <c r="G1407" s="248" t="s">
        <v>2579</v>
      </c>
      <c r="H1407" s="249">
        <v>0.05</v>
      </c>
      <c r="I1407" s="249">
        <v>0.05</v>
      </c>
      <c r="J1407" s="246">
        <v>1</v>
      </c>
      <c r="K1407" s="250"/>
      <c r="L1407" s="248"/>
      <c r="M1407" s="276" t="str">
        <f t="shared" si="36"/>
        <v>Photo</v>
      </c>
      <c r="N1407" s="279" t="s">
        <v>25</v>
      </c>
      <c r="O1407" t="str">
        <f t="shared" si="32"/>
        <v>1976 Jefferson Nickel</v>
      </c>
      <c r="P1407" s="235" t="s">
        <v>895</v>
      </c>
      <c r="Q1407">
        <f>MATCH(P1407,NickelMintage!A:A,)</f>
        <v>101</v>
      </c>
      <c r="S1407" t="str" cm="1">
        <f t="array" ref="S1407">_xlfn.REGEXEXTRACT(E1407, "[0-9]{1,5}")</f>
        <v>1976</v>
      </c>
      <c r="T1407" t="s">
        <v>1649</v>
      </c>
      <c r="U1407" t="s">
        <v>3897</v>
      </c>
    </row>
    <row r="1408" spans="1:21">
      <c r="A1408" s="136">
        <v>2</v>
      </c>
      <c r="B1408" s="246">
        <v>1976</v>
      </c>
      <c r="C1408" s="247"/>
      <c r="D1408" s="247" t="s">
        <v>1962</v>
      </c>
      <c r="E1408" s="248" t="s">
        <v>619</v>
      </c>
      <c r="F1408" s="235" t="s">
        <v>4272</v>
      </c>
      <c r="G1408" s="248" t="s">
        <v>2579</v>
      </c>
      <c r="H1408" s="249">
        <v>0.05</v>
      </c>
      <c r="I1408" s="249">
        <v>0.05</v>
      </c>
      <c r="J1408" s="246">
        <v>1</v>
      </c>
      <c r="K1408" s="250"/>
      <c r="L1408" s="248"/>
      <c r="M1408" s="276" t="str">
        <f t="shared" si="36"/>
        <v>Photo</v>
      </c>
      <c r="N1408" s="279" t="s">
        <v>25</v>
      </c>
      <c r="O1408" t="str">
        <f t="shared" si="32"/>
        <v>1976 Jefferson Nickel</v>
      </c>
      <c r="P1408" s="235" t="s">
        <v>895</v>
      </c>
      <c r="Q1408">
        <f>MATCH(P1408,NickelMintage!A:A,)</f>
        <v>101</v>
      </c>
      <c r="S1408" t="str" cm="1">
        <f t="array" ref="S1408">_xlfn.REGEXEXTRACT(E1408, "[0-9]{1,5}")</f>
        <v>1976</v>
      </c>
      <c r="T1408" t="s">
        <v>1649</v>
      </c>
      <c r="U1408" t="s">
        <v>3897</v>
      </c>
    </row>
    <row r="1409" spans="1:21">
      <c r="A1409" s="136">
        <v>2</v>
      </c>
      <c r="B1409" s="246">
        <v>1976</v>
      </c>
      <c r="C1409" s="247"/>
      <c r="D1409" s="247" t="s">
        <v>1962</v>
      </c>
      <c r="E1409" s="248" t="s">
        <v>620</v>
      </c>
      <c r="F1409" s="235" t="s">
        <v>4272</v>
      </c>
      <c r="G1409" s="248" t="s">
        <v>2579</v>
      </c>
      <c r="H1409" s="249">
        <v>0.05</v>
      </c>
      <c r="I1409" s="249">
        <v>0.05</v>
      </c>
      <c r="J1409" s="246">
        <v>1</v>
      </c>
      <c r="K1409" s="250"/>
      <c r="L1409" s="248"/>
      <c r="M1409" s="276" t="str">
        <f t="shared" si="36"/>
        <v>Photo</v>
      </c>
      <c r="N1409" s="279" t="s">
        <v>25</v>
      </c>
      <c r="O1409" t="str">
        <f t="shared" si="32"/>
        <v>1976 Jefferson Nickel</v>
      </c>
      <c r="P1409" s="235" t="s">
        <v>895</v>
      </c>
      <c r="Q1409">
        <f>MATCH(P1409,NickelMintage!A:A,)</f>
        <v>101</v>
      </c>
      <c r="S1409" t="str" cm="1">
        <f t="array" ref="S1409">_xlfn.REGEXEXTRACT(E1409, "[0-9]{1,5}")</f>
        <v>1976</v>
      </c>
      <c r="T1409" t="s">
        <v>1649</v>
      </c>
      <c r="U1409" t="s">
        <v>3897</v>
      </c>
    </row>
    <row r="1410" spans="1:21">
      <c r="A1410" s="136">
        <v>2</v>
      </c>
      <c r="B1410" s="246">
        <v>1976</v>
      </c>
      <c r="C1410" s="247" t="s">
        <v>13</v>
      </c>
      <c r="D1410" s="247" t="s">
        <v>1962</v>
      </c>
      <c r="E1410" s="248" t="s">
        <v>621</v>
      </c>
      <c r="F1410" s="235" t="s">
        <v>4272</v>
      </c>
      <c r="G1410" s="248" t="s">
        <v>2579</v>
      </c>
      <c r="H1410" s="249">
        <v>0.05</v>
      </c>
      <c r="I1410" s="249">
        <v>0.05</v>
      </c>
      <c r="J1410" s="246">
        <v>1</v>
      </c>
      <c r="K1410" s="250"/>
      <c r="L1410" s="248"/>
      <c r="M1410" s="276" t="str">
        <f t="shared" si="36"/>
        <v>Photo</v>
      </c>
      <c r="N1410" s="279" t="s">
        <v>25</v>
      </c>
      <c r="O1410" t="str">
        <f t="shared" si="32"/>
        <v>1976-D Jefferson Nickel</v>
      </c>
      <c r="P1410" s="235" t="s">
        <v>896</v>
      </c>
      <c r="Q1410">
        <f>MATCH(P1410,NickelMintage!A:A,)</f>
        <v>102</v>
      </c>
      <c r="S1410" t="str" cm="1">
        <f t="array" ref="S1410">_xlfn.REGEXEXTRACT(E1410, "[0-9]{1,5}")</f>
        <v>1976</v>
      </c>
      <c r="T1410" t="s">
        <v>1649</v>
      </c>
      <c r="U1410" t="s">
        <v>3897</v>
      </c>
    </row>
    <row r="1411" spans="1:21">
      <c r="A1411" s="136">
        <v>2</v>
      </c>
      <c r="B1411" s="246">
        <v>1976</v>
      </c>
      <c r="C1411" s="247" t="s">
        <v>13</v>
      </c>
      <c r="D1411" s="247" t="s">
        <v>1962</v>
      </c>
      <c r="E1411" s="248" t="s">
        <v>622</v>
      </c>
      <c r="F1411" s="235" t="s">
        <v>4272</v>
      </c>
      <c r="G1411" s="248" t="s">
        <v>2579</v>
      </c>
      <c r="H1411" s="249">
        <v>0.05</v>
      </c>
      <c r="I1411" s="249">
        <v>0.05</v>
      </c>
      <c r="J1411" s="246">
        <v>1</v>
      </c>
      <c r="K1411" s="250"/>
      <c r="L1411" s="248"/>
      <c r="M1411" s="276" t="str">
        <f t="shared" si="36"/>
        <v>Photo</v>
      </c>
      <c r="N1411" s="279" t="s">
        <v>25</v>
      </c>
      <c r="O1411" t="str">
        <f t="shared" si="32"/>
        <v>1976-D Jefferson Nickel</v>
      </c>
      <c r="P1411" s="235" t="s">
        <v>897</v>
      </c>
      <c r="Q1411">
        <f>MATCH(P1411,NickelMintage!A:A,)</f>
        <v>103</v>
      </c>
      <c r="S1411" t="str" cm="1">
        <f t="array" ref="S1411">_xlfn.REGEXEXTRACT(E1411, "[0-9]{1,5}")</f>
        <v>1976</v>
      </c>
      <c r="T1411" t="s">
        <v>4187</v>
      </c>
      <c r="U1411" t="s">
        <v>3897</v>
      </c>
    </row>
    <row r="1412" spans="1:21">
      <c r="A1412" s="136">
        <v>2</v>
      </c>
      <c r="B1412" s="270">
        <v>1976</v>
      </c>
      <c r="C1412" s="136" t="s">
        <v>12</v>
      </c>
      <c r="D1412" s="257" t="s">
        <v>1962</v>
      </c>
      <c r="E1412" s="235" t="s">
        <v>5606</v>
      </c>
      <c r="F1412" s="235" t="s">
        <v>5144</v>
      </c>
      <c r="G1412" s="3" t="s">
        <v>2584</v>
      </c>
      <c r="H1412" s="236">
        <v>1</v>
      </c>
      <c r="I1412" s="236">
        <v>1</v>
      </c>
      <c r="J1412" s="233">
        <v>1</v>
      </c>
      <c r="N1412" s="279"/>
      <c r="O1412" t="str">
        <f t="shared" ref="O1412:O1475" si="37">IF(C1412&lt;&gt;"",B1412&amp;"-"&amp;C1412&amp;" "&amp;F1412,B1412&amp;" "&amp;F1412)</f>
        <v>1976-S Jefferson Nickel Proof</v>
      </c>
      <c r="P1412" s="235" t="s">
        <v>897</v>
      </c>
      <c r="Q1412">
        <f>MATCH(P1412,NickelMintage!A:A,)</f>
        <v>103</v>
      </c>
      <c r="S1412" t="str" cm="1">
        <f t="array" ref="S1412">_xlfn.REGEXEXTRACT(E1412, "[0-9]{1,5}")</f>
        <v>1976</v>
      </c>
      <c r="T1412" t="s">
        <v>4187</v>
      </c>
      <c r="U1412" t="s">
        <v>3897</v>
      </c>
    </row>
    <row r="1413" spans="1:21">
      <c r="A1413" s="136">
        <v>2</v>
      </c>
      <c r="B1413" s="270">
        <v>1976</v>
      </c>
      <c r="C1413" s="136" t="s">
        <v>12</v>
      </c>
      <c r="D1413" s="257" t="s">
        <v>1962</v>
      </c>
      <c r="E1413" s="235" t="s">
        <v>5608</v>
      </c>
      <c r="F1413" s="235" t="s">
        <v>5144</v>
      </c>
      <c r="G1413" s="3" t="s">
        <v>2584</v>
      </c>
      <c r="H1413" s="236">
        <v>1</v>
      </c>
      <c r="I1413" s="236">
        <v>1</v>
      </c>
      <c r="J1413" s="233">
        <v>1</v>
      </c>
      <c r="N1413" s="279"/>
      <c r="O1413" t="str">
        <f t="shared" si="37"/>
        <v>1976-S Jefferson Nickel Proof</v>
      </c>
      <c r="P1413" s="235" t="s">
        <v>897</v>
      </c>
      <c r="Q1413">
        <f>MATCH(P1413,NickelMintage!A:A,)</f>
        <v>103</v>
      </c>
      <c r="S1413" t="str" cm="1">
        <f t="array" ref="S1413">_xlfn.REGEXEXTRACT(E1413, "[0-9]{1,5}")</f>
        <v>1976</v>
      </c>
      <c r="T1413" t="s">
        <v>4187</v>
      </c>
      <c r="U1413" t="s">
        <v>3897</v>
      </c>
    </row>
    <row r="1414" spans="1:21">
      <c r="A1414" s="136">
        <v>2</v>
      </c>
      <c r="B1414" s="246">
        <v>1977</v>
      </c>
      <c r="C1414" s="247"/>
      <c r="D1414" s="247" t="s">
        <v>1962</v>
      </c>
      <c r="E1414" s="248" t="s">
        <v>623</v>
      </c>
      <c r="F1414" s="235" t="s">
        <v>4272</v>
      </c>
      <c r="G1414" s="248" t="s">
        <v>2579</v>
      </c>
      <c r="H1414" s="249">
        <v>0.05</v>
      </c>
      <c r="I1414" s="249">
        <v>0.05</v>
      </c>
      <c r="J1414" s="246">
        <v>1</v>
      </c>
      <c r="K1414" s="250"/>
      <c r="L1414" s="248"/>
      <c r="M1414" s="276" t="str">
        <f>HYPERLINK($Y$2&amp;E1414&amp;$AA$2,"Photo")</f>
        <v>Photo</v>
      </c>
      <c r="N1414" s="279" t="s">
        <v>25</v>
      </c>
      <c r="O1414" t="str">
        <f t="shared" si="37"/>
        <v>1977 Jefferson Nickel</v>
      </c>
      <c r="P1414" s="235" t="s">
        <v>897</v>
      </c>
      <c r="Q1414">
        <f>MATCH(P1414,NickelMintage!A:A,)</f>
        <v>103</v>
      </c>
      <c r="S1414" t="str" cm="1">
        <f t="array" ref="S1414">_xlfn.REGEXEXTRACT(E1414, "[0-9]{1,5}")</f>
        <v>1977</v>
      </c>
      <c r="T1414" t="s">
        <v>4187</v>
      </c>
      <c r="U1414" t="s">
        <v>3897</v>
      </c>
    </row>
    <row r="1415" spans="1:21">
      <c r="A1415" s="136">
        <v>2</v>
      </c>
      <c r="B1415" s="246">
        <v>1977</v>
      </c>
      <c r="C1415" s="247"/>
      <c r="D1415" s="247" t="s">
        <v>1962</v>
      </c>
      <c r="E1415" s="248" t="s">
        <v>625</v>
      </c>
      <c r="F1415" s="235" t="s">
        <v>4272</v>
      </c>
      <c r="G1415" s="248" t="s">
        <v>2579</v>
      </c>
      <c r="H1415" s="249">
        <v>0.05</v>
      </c>
      <c r="I1415" s="249">
        <v>0.05</v>
      </c>
      <c r="J1415" s="246">
        <v>1</v>
      </c>
      <c r="K1415" s="250"/>
      <c r="L1415" s="248"/>
      <c r="M1415" s="276" t="str">
        <f>HYPERLINK($Y$2&amp;E1415&amp;$AA$2,"Photo")</f>
        <v>Photo</v>
      </c>
      <c r="N1415" s="279" t="s">
        <v>25</v>
      </c>
      <c r="O1415" t="str">
        <f t="shared" si="37"/>
        <v>1977 Jefferson Nickel</v>
      </c>
      <c r="P1415" s="235" t="s">
        <v>897</v>
      </c>
      <c r="Q1415">
        <f>MATCH(P1415,NickelMintage!A:A,)</f>
        <v>103</v>
      </c>
      <c r="S1415" t="str" cm="1">
        <f t="array" ref="S1415">_xlfn.REGEXEXTRACT(E1415, "[0-9]{1,5}")</f>
        <v>1977</v>
      </c>
      <c r="T1415" t="s">
        <v>4187</v>
      </c>
      <c r="U1415" t="s">
        <v>3897</v>
      </c>
    </row>
    <row r="1416" spans="1:21">
      <c r="A1416" s="136">
        <v>2</v>
      </c>
      <c r="B1416" s="246">
        <v>1977</v>
      </c>
      <c r="C1416" s="247"/>
      <c r="D1416" s="247" t="s">
        <v>1962</v>
      </c>
      <c r="E1416" s="248" t="s">
        <v>626</v>
      </c>
      <c r="F1416" s="235" t="s">
        <v>4272</v>
      </c>
      <c r="G1416" s="248" t="s">
        <v>2579</v>
      </c>
      <c r="H1416" s="249">
        <v>0.05</v>
      </c>
      <c r="I1416" s="249">
        <v>0.05</v>
      </c>
      <c r="J1416" s="246">
        <v>1</v>
      </c>
      <c r="K1416" s="250"/>
      <c r="L1416" s="248"/>
      <c r="M1416" s="276" t="str">
        <f>HYPERLINK($Y$2&amp;E1416&amp;$AA$2,"Photo")</f>
        <v>Photo</v>
      </c>
      <c r="N1416" s="279" t="s">
        <v>25</v>
      </c>
      <c r="O1416" t="str">
        <f t="shared" si="37"/>
        <v>1977 Jefferson Nickel</v>
      </c>
      <c r="P1416" s="235" t="s">
        <v>897</v>
      </c>
      <c r="Q1416">
        <f>MATCH(P1416,NickelMintage!A:A,)</f>
        <v>103</v>
      </c>
      <c r="S1416" t="str" cm="1">
        <f t="array" ref="S1416">_xlfn.REGEXEXTRACT(E1416, "[0-9]{1,5}")</f>
        <v>1977</v>
      </c>
      <c r="T1416" t="s">
        <v>4187</v>
      </c>
      <c r="U1416" t="s">
        <v>3897</v>
      </c>
    </row>
    <row r="1417" spans="1:21">
      <c r="A1417" s="136">
        <v>2</v>
      </c>
      <c r="B1417" s="246">
        <v>1977</v>
      </c>
      <c r="C1417" s="247"/>
      <c r="D1417" s="247" t="s">
        <v>1962</v>
      </c>
      <c r="E1417" s="248" t="s">
        <v>627</v>
      </c>
      <c r="F1417" s="235" t="s">
        <v>4272</v>
      </c>
      <c r="G1417" s="248" t="s">
        <v>2579</v>
      </c>
      <c r="H1417" s="249">
        <v>0.05</v>
      </c>
      <c r="I1417" s="249">
        <v>0.05</v>
      </c>
      <c r="J1417" s="246">
        <v>1</v>
      </c>
      <c r="K1417" s="250"/>
      <c r="L1417" s="248"/>
      <c r="M1417" s="276" t="str">
        <f>HYPERLINK($Y$2&amp;E1417&amp;$AA$2,"Photo")</f>
        <v>Photo</v>
      </c>
      <c r="N1417" s="279" t="s">
        <v>25</v>
      </c>
      <c r="O1417" t="str">
        <f t="shared" si="37"/>
        <v>1977 Jefferson Nickel</v>
      </c>
      <c r="P1417" s="235" t="s">
        <v>897</v>
      </c>
      <c r="Q1417">
        <f>MATCH(P1417,NickelMintage!A:A,)</f>
        <v>103</v>
      </c>
      <c r="S1417" t="str" cm="1">
        <f t="array" ref="S1417">_xlfn.REGEXEXTRACT(E1417, "[0-9]{1,5}")</f>
        <v>1977</v>
      </c>
      <c r="T1417" t="s">
        <v>4187</v>
      </c>
      <c r="U1417" t="s">
        <v>3897</v>
      </c>
    </row>
    <row r="1418" spans="1:21">
      <c r="A1418" s="136">
        <v>2</v>
      </c>
      <c r="B1418" s="246">
        <v>1977</v>
      </c>
      <c r="C1418" s="247"/>
      <c r="D1418" s="247" t="s">
        <v>1962</v>
      </c>
      <c r="E1418" s="248" t="s">
        <v>628</v>
      </c>
      <c r="F1418" s="235" t="s">
        <v>4272</v>
      </c>
      <c r="G1418" s="248" t="s">
        <v>2579</v>
      </c>
      <c r="H1418" s="249">
        <v>0.05</v>
      </c>
      <c r="I1418" s="249">
        <v>0.05</v>
      </c>
      <c r="J1418" s="246">
        <v>1</v>
      </c>
      <c r="K1418" s="250"/>
      <c r="L1418" s="248"/>
      <c r="M1418" s="276" t="str">
        <f>HYPERLINK($Y$2&amp;E1418&amp;$AA$2,"Photo")</f>
        <v>Photo</v>
      </c>
      <c r="N1418" s="279" t="s">
        <v>25</v>
      </c>
      <c r="O1418" t="str">
        <f t="shared" si="37"/>
        <v>1977 Jefferson Nickel</v>
      </c>
      <c r="P1418" s="235" t="s">
        <v>897</v>
      </c>
      <c r="Q1418">
        <f>MATCH(P1418,NickelMintage!A:A,)</f>
        <v>103</v>
      </c>
      <c r="S1418" t="str" cm="1">
        <f t="array" ref="S1418">_xlfn.REGEXEXTRACT(E1418, "[0-9]{1,5}")</f>
        <v>1977</v>
      </c>
      <c r="T1418" t="s">
        <v>4187</v>
      </c>
      <c r="U1418" t="s">
        <v>3897</v>
      </c>
    </row>
    <row r="1419" spans="1:21">
      <c r="A1419" s="136">
        <v>2</v>
      </c>
      <c r="B1419" s="270">
        <v>1977</v>
      </c>
      <c r="C1419" s="136" t="s">
        <v>13</v>
      </c>
      <c r="D1419" s="257" t="s">
        <v>1962</v>
      </c>
      <c r="E1419" s="235" t="s">
        <v>5616</v>
      </c>
      <c r="F1419" s="235" t="s">
        <v>4272</v>
      </c>
      <c r="G1419" s="3" t="s">
        <v>5617</v>
      </c>
      <c r="H1419" s="236">
        <v>0.3</v>
      </c>
      <c r="I1419" s="236">
        <v>0.3</v>
      </c>
      <c r="J1419" s="233">
        <v>1</v>
      </c>
      <c r="N1419" s="279"/>
      <c r="O1419" t="str">
        <f t="shared" si="37"/>
        <v>1977-D Jefferson Nickel</v>
      </c>
      <c r="P1419" s="235" t="s">
        <v>897</v>
      </c>
      <c r="Q1419">
        <f>MATCH(P1419,NickelMintage!A:A,)</f>
        <v>103</v>
      </c>
      <c r="S1419" t="str" cm="1">
        <f t="array" ref="S1419">_xlfn.REGEXEXTRACT(E1419, "[0-9]{1,5}")</f>
        <v>1977</v>
      </c>
      <c r="T1419" t="s">
        <v>4187</v>
      </c>
      <c r="U1419" t="s">
        <v>3897</v>
      </c>
    </row>
    <row r="1420" spans="1:21">
      <c r="A1420" s="136">
        <v>2</v>
      </c>
      <c r="B1420" s="246">
        <v>1978</v>
      </c>
      <c r="C1420" s="247"/>
      <c r="D1420" s="247" t="s">
        <v>1962</v>
      </c>
      <c r="E1420" s="248" t="s">
        <v>629</v>
      </c>
      <c r="F1420" s="235" t="s">
        <v>4272</v>
      </c>
      <c r="G1420" s="248" t="s">
        <v>2579</v>
      </c>
      <c r="H1420" s="249">
        <v>0.05</v>
      </c>
      <c r="I1420" s="249">
        <v>0.05</v>
      </c>
      <c r="J1420" s="246">
        <v>1</v>
      </c>
      <c r="K1420" s="250"/>
      <c r="L1420" s="248"/>
      <c r="M1420" s="276" t="str">
        <f>HYPERLINK($Y$2&amp;E1420&amp;$AA$2,"Photo")</f>
        <v>Photo</v>
      </c>
      <c r="N1420" s="279" t="s">
        <v>25</v>
      </c>
      <c r="O1420" t="str">
        <f t="shared" si="37"/>
        <v>1978 Jefferson Nickel</v>
      </c>
      <c r="P1420" s="235" t="s">
        <v>898</v>
      </c>
      <c r="Q1420">
        <f>MATCH(P1420,NickelMintage!A:A,)</f>
        <v>104</v>
      </c>
      <c r="S1420" t="str" cm="1">
        <f t="array" ref="S1420">_xlfn.REGEXEXTRACT(E1420, "[0-9]{1,5}")</f>
        <v>1978</v>
      </c>
      <c r="T1420" t="s">
        <v>4187</v>
      </c>
      <c r="U1420" t="s">
        <v>3897</v>
      </c>
    </row>
    <row r="1421" spans="1:21">
      <c r="A1421" s="136">
        <v>2</v>
      </c>
      <c r="B1421" s="246">
        <v>1978</v>
      </c>
      <c r="C1421" s="247"/>
      <c r="D1421" s="247" t="s">
        <v>1962</v>
      </c>
      <c r="E1421" s="248" t="s">
        <v>631</v>
      </c>
      <c r="F1421" s="235" t="s">
        <v>4272</v>
      </c>
      <c r="G1421" s="248" t="s">
        <v>2579</v>
      </c>
      <c r="H1421" s="249">
        <v>0.05</v>
      </c>
      <c r="I1421" s="249">
        <v>0.05</v>
      </c>
      <c r="J1421" s="246">
        <v>1</v>
      </c>
      <c r="K1421" s="250"/>
      <c r="L1421" s="248"/>
      <c r="M1421" s="276" t="str">
        <f>HYPERLINK($Y$2&amp;E1421&amp;$AA$2,"Photo")</f>
        <v>Photo</v>
      </c>
      <c r="N1421" s="279" t="s">
        <v>25</v>
      </c>
      <c r="O1421" t="str">
        <f t="shared" si="37"/>
        <v>1978 Jefferson Nickel</v>
      </c>
      <c r="P1421" s="235" t="s">
        <v>900</v>
      </c>
      <c r="Q1421">
        <f>MATCH(P1421,NickelMintage!A:A,)</f>
        <v>106</v>
      </c>
      <c r="S1421" t="str" cm="1">
        <f t="array" ref="S1421">_xlfn.REGEXEXTRACT(E1421, "[0-9]{1,5}")</f>
        <v>1978</v>
      </c>
      <c r="T1421" t="s">
        <v>4188</v>
      </c>
      <c r="U1421" t="s">
        <v>3897</v>
      </c>
    </row>
    <row r="1422" spans="1:21">
      <c r="A1422" s="136">
        <v>2</v>
      </c>
      <c r="B1422" s="246">
        <v>1978</v>
      </c>
      <c r="C1422" s="247"/>
      <c r="D1422" s="247" t="s">
        <v>1962</v>
      </c>
      <c r="E1422" s="248" t="s">
        <v>632</v>
      </c>
      <c r="F1422" s="235" t="s">
        <v>4272</v>
      </c>
      <c r="G1422" s="248" t="s">
        <v>2579</v>
      </c>
      <c r="H1422" s="249">
        <v>0.05</v>
      </c>
      <c r="I1422" s="249">
        <v>0.05</v>
      </c>
      <c r="J1422" s="246">
        <v>1</v>
      </c>
      <c r="K1422" s="250"/>
      <c r="L1422" s="248"/>
      <c r="M1422" s="276" t="str">
        <f>HYPERLINK($Y$2&amp;E1422&amp;$AA$2,"Photo")</f>
        <v>Photo</v>
      </c>
      <c r="N1422" s="279" t="s">
        <v>25</v>
      </c>
      <c r="O1422" t="str">
        <f t="shared" si="37"/>
        <v>1978 Jefferson Nickel</v>
      </c>
      <c r="P1422" s="235" t="s">
        <v>899</v>
      </c>
      <c r="Q1422">
        <f>MATCH(P1422,NickelMintage!A:A,)</f>
        <v>105</v>
      </c>
      <c r="S1422" t="str" cm="1">
        <f t="array" ref="S1422">_xlfn.REGEXEXTRACT(E1422, "[0-9]{1,5}")</f>
        <v>1978</v>
      </c>
      <c r="T1422" t="s">
        <v>4188</v>
      </c>
      <c r="U1422" t="s">
        <v>3897</v>
      </c>
    </row>
    <row r="1423" spans="1:21">
      <c r="A1423" s="136">
        <v>2</v>
      </c>
      <c r="B1423" s="246">
        <v>1978</v>
      </c>
      <c r="C1423" s="247"/>
      <c r="D1423" s="247" t="s">
        <v>1962</v>
      </c>
      <c r="E1423" s="248" t="s">
        <v>633</v>
      </c>
      <c r="F1423" s="235" t="s">
        <v>4272</v>
      </c>
      <c r="G1423" s="248" t="s">
        <v>2579</v>
      </c>
      <c r="H1423" s="249">
        <v>0.05</v>
      </c>
      <c r="I1423" s="249">
        <v>0.05</v>
      </c>
      <c r="J1423" s="246">
        <v>1</v>
      </c>
      <c r="K1423" s="250"/>
      <c r="L1423" s="248"/>
      <c r="M1423" s="276" t="str">
        <f>HYPERLINK($Y$2&amp;E1423&amp;$AA$2,"Photo")</f>
        <v>Photo</v>
      </c>
      <c r="N1423" s="279" t="s">
        <v>25</v>
      </c>
      <c r="O1423" t="str">
        <f t="shared" si="37"/>
        <v>1978 Jefferson Nickel</v>
      </c>
      <c r="P1423" s="235" t="s">
        <v>899</v>
      </c>
      <c r="Q1423">
        <f>MATCH(P1423,NickelMintage!A:A,)</f>
        <v>105</v>
      </c>
      <c r="S1423" t="str" cm="1">
        <f t="array" ref="S1423">_xlfn.REGEXEXTRACT(E1423, "[0-9]{1,5}")</f>
        <v>1978</v>
      </c>
      <c r="T1423" t="s">
        <v>4188</v>
      </c>
      <c r="U1423" t="s">
        <v>3897</v>
      </c>
    </row>
    <row r="1424" spans="1:21">
      <c r="A1424" s="136">
        <v>2</v>
      </c>
      <c r="B1424" s="246">
        <v>1978</v>
      </c>
      <c r="C1424" s="247"/>
      <c r="D1424" s="247" t="s">
        <v>1962</v>
      </c>
      <c r="E1424" s="248" t="s">
        <v>634</v>
      </c>
      <c r="F1424" s="235" t="s">
        <v>4272</v>
      </c>
      <c r="G1424" s="248" t="s">
        <v>2579</v>
      </c>
      <c r="H1424" s="249">
        <v>0.05</v>
      </c>
      <c r="I1424" s="249">
        <v>0.05</v>
      </c>
      <c r="J1424" s="246">
        <v>1</v>
      </c>
      <c r="K1424" s="250"/>
      <c r="L1424" s="248"/>
      <c r="M1424" s="276" t="str">
        <f>HYPERLINK($Y$2&amp;E1424&amp;$AA$2,"Photo")</f>
        <v>Photo</v>
      </c>
      <c r="N1424" s="279" t="s">
        <v>25</v>
      </c>
      <c r="O1424" t="str">
        <f t="shared" si="37"/>
        <v>1978 Jefferson Nickel</v>
      </c>
      <c r="P1424" s="235" t="s">
        <v>899</v>
      </c>
      <c r="Q1424">
        <f>MATCH(P1424,NickelMintage!A:A,)</f>
        <v>105</v>
      </c>
      <c r="S1424" t="str" cm="1">
        <f t="array" ref="S1424">_xlfn.REGEXEXTRACT(E1424, "[0-9]{1,5}")</f>
        <v>1978</v>
      </c>
      <c r="T1424" t="s">
        <v>4188</v>
      </c>
      <c r="U1424" t="s">
        <v>3897</v>
      </c>
    </row>
    <row r="1425" spans="1:21">
      <c r="A1425" s="136">
        <v>2</v>
      </c>
      <c r="B1425" s="270">
        <v>1978</v>
      </c>
      <c r="C1425" s="136" t="s">
        <v>12</v>
      </c>
      <c r="D1425" s="257" t="s">
        <v>1962</v>
      </c>
      <c r="E1425" s="235" t="s">
        <v>5603</v>
      </c>
      <c r="F1425" s="235" t="s">
        <v>5144</v>
      </c>
      <c r="G1425" s="3" t="s">
        <v>2584</v>
      </c>
      <c r="H1425" s="236">
        <v>1</v>
      </c>
      <c r="I1425" s="236">
        <v>1</v>
      </c>
      <c r="J1425" s="233">
        <v>1</v>
      </c>
      <c r="N1425" s="279"/>
      <c r="O1425" t="str">
        <f t="shared" si="37"/>
        <v>1978-S Jefferson Nickel Proof</v>
      </c>
      <c r="P1425" s="235" t="s">
        <v>899</v>
      </c>
      <c r="Q1425">
        <f>MATCH(P1425,NickelMintage!A:A,)</f>
        <v>105</v>
      </c>
      <c r="S1425" t="str" cm="1">
        <f t="array" ref="S1425">_xlfn.REGEXEXTRACT(E1425, "[0-9]{1,5}")</f>
        <v>1978</v>
      </c>
      <c r="T1425" t="s">
        <v>4188</v>
      </c>
      <c r="U1425" t="s">
        <v>3897</v>
      </c>
    </row>
    <row r="1426" spans="1:21">
      <c r="A1426" s="136">
        <v>2</v>
      </c>
      <c r="B1426" s="270">
        <v>1978</v>
      </c>
      <c r="C1426" s="136" t="s">
        <v>13</v>
      </c>
      <c r="D1426" s="257" t="s">
        <v>1962</v>
      </c>
      <c r="E1426" s="235" t="s">
        <v>5618</v>
      </c>
      <c r="F1426" s="235" t="s">
        <v>4272</v>
      </c>
      <c r="G1426" s="3" t="s">
        <v>5617</v>
      </c>
      <c r="H1426" s="236">
        <v>0.5</v>
      </c>
      <c r="I1426" s="236">
        <v>0.5</v>
      </c>
      <c r="J1426" s="233">
        <v>1</v>
      </c>
      <c r="N1426" s="279"/>
      <c r="O1426" t="str">
        <f t="shared" si="37"/>
        <v>1978-D Jefferson Nickel</v>
      </c>
      <c r="P1426" s="235" t="s">
        <v>899</v>
      </c>
      <c r="Q1426">
        <f>MATCH(P1426,NickelMintage!A:A,)</f>
        <v>105</v>
      </c>
      <c r="S1426" t="str" cm="1">
        <f t="array" ref="S1426">_xlfn.REGEXEXTRACT(E1426, "[0-9]{1,5}")</f>
        <v>1978</v>
      </c>
      <c r="T1426" t="s">
        <v>4188</v>
      </c>
      <c r="U1426" t="s">
        <v>3897</v>
      </c>
    </row>
    <row r="1427" spans="1:21">
      <c r="A1427" s="136">
        <v>2</v>
      </c>
      <c r="B1427" s="246">
        <v>1979</v>
      </c>
      <c r="C1427" s="247"/>
      <c r="D1427" s="247" t="s">
        <v>1962</v>
      </c>
      <c r="E1427" s="248" t="s">
        <v>635</v>
      </c>
      <c r="F1427" s="235" t="s">
        <v>4272</v>
      </c>
      <c r="G1427" s="248" t="s">
        <v>2579</v>
      </c>
      <c r="H1427" s="249">
        <v>0.05</v>
      </c>
      <c r="I1427" s="249">
        <v>0.05</v>
      </c>
      <c r="J1427" s="246">
        <v>1</v>
      </c>
      <c r="K1427" s="250"/>
      <c r="L1427" s="248"/>
      <c r="M1427" s="276" t="str">
        <f>HYPERLINK($Y$2&amp;E1427&amp;$AA$2,"Photo")</f>
        <v>Photo</v>
      </c>
      <c r="N1427" s="279" t="s">
        <v>25</v>
      </c>
      <c r="O1427" t="str">
        <f t="shared" si="37"/>
        <v>1979 Jefferson Nickel</v>
      </c>
      <c r="P1427" s="235" t="s">
        <v>899</v>
      </c>
      <c r="Q1427">
        <f>MATCH(P1427,NickelMintage!A:A,)</f>
        <v>105</v>
      </c>
      <c r="S1427" t="str" cm="1">
        <f t="array" ref="S1427">_xlfn.REGEXEXTRACT(E1427, "[0-9]{1,5}")</f>
        <v>1979</v>
      </c>
      <c r="T1427" t="s">
        <v>4188</v>
      </c>
      <c r="U1427" t="s">
        <v>3897</v>
      </c>
    </row>
    <row r="1428" spans="1:21">
      <c r="A1428" s="136">
        <v>2</v>
      </c>
      <c r="B1428" s="246">
        <v>1979</v>
      </c>
      <c r="C1428" s="247"/>
      <c r="D1428" s="247" t="s">
        <v>1962</v>
      </c>
      <c r="E1428" s="248" t="s">
        <v>637</v>
      </c>
      <c r="F1428" s="235" t="s">
        <v>4272</v>
      </c>
      <c r="G1428" s="248" t="s">
        <v>2579</v>
      </c>
      <c r="H1428" s="249">
        <v>0.05</v>
      </c>
      <c r="I1428" s="249">
        <v>0.05</v>
      </c>
      <c r="J1428" s="246">
        <v>1</v>
      </c>
      <c r="K1428" s="250"/>
      <c r="L1428" s="248"/>
      <c r="M1428" s="276" t="str">
        <f>HYPERLINK($Y$2&amp;E1428&amp;$AA$2,"Photo")</f>
        <v>Photo</v>
      </c>
      <c r="N1428" s="279" t="s">
        <v>25</v>
      </c>
      <c r="O1428" t="str">
        <f t="shared" si="37"/>
        <v>1979 Jefferson Nickel</v>
      </c>
      <c r="P1428" s="235" t="s">
        <v>901</v>
      </c>
      <c r="Q1428">
        <f>MATCH(P1428,NickelMintage!A:A,)</f>
        <v>107</v>
      </c>
      <c r="S1428" t="str" cm="1">
        <f t="array" ref="S1428">_xlfn.REGEXEXTRACT(E1428, "[0-9]{1,5}")</f>
        <v>1979</v>
      </c>
      <c r="T1428" t="s">
        <v>4189</v>
      </c>
      <c r="U1428" t="s">
        <v>3897</v>
      </c>
    </row>
    <row r="1429" spans="1:21">
      <c r="A1429" s="136">
        <v>2</v>
      </c>
      <c r="B1429" s="270">
        <v>1979</v>
      </c>
      <c r="C1429" s="136" t="s">
        <v>13</v>
      </c>
      <c r="D1429" s="257" t="s">
        <v>1962</v>
      </c>
      <c r="E1429" s="235" t="s">
        <v>5609</v>
      </c>
      <c r="F1429" s="235" t="s">
        <v>4272</v>
      </c>
      <c r="G1429" s="3" t="s">
        <v>2579</v>
      </c>
      <c r="H1429" s="236">
        <v>0.4</v>
      </c>
      <c r="I1429" s="236">
        <v>0.4</v>
      </c>
      <c r="J1429" s="233">
        <v>1</v>
      </c>
      <c r="N1429" s="279"/>
      <c r="O1429" t="str">
        <f t="shared" si="37"/>
        <v>1979-D Jefferson Nickel</v>
      </c>
      <c r="P1429" s="235" t="s">
        <v>901</v>
      </c>
      <c r="Q1429">
        <f>MATCH(P1429,NickelMintage!A:A,)</f>
        <v>107</v>
      </c>
      <c r="S1429" t="str" cm="1">
        <f t="array" ref="S1429">_xlfn.REGEXEXTRACT(E1429, "[0-9]{1,5}")</f>
        <v>1979</v>
      </c>
      <c r="T1429" t="s">
        <v>4189</v>
      </c>
      <c r="U1429" t="s">
        <v>3897</v>
      </c>
    </row>
    <row r="1430" spans="1:21">
      <c r="A1430" s="136">
        <v>2</v>
      </c>
      <c r="B1430" s="270">
        <v>1979</v>
      </c>
      <c r="C1430" s="136" t="s">
        <v>12</v>
      </c>
      <c r="D1430" s="257" t="s">
        <v>1962</v>
      </c>
      <c r="E1430" s="235" t="s">
        <v>5619</v>
      </c>
      <c r="F1430" s="235" t="s">
        <v>5144</v>
      </c>
      <c r="G1430" s="3" t="s">
        <v>2584</v>
      </c>
      <c r="H1430" s="236">
        <v>1</v>
      </c>
      <c r="I1430" s="236">
        <v>1</v>
      </c>
      <c r="J1430" s="233">
        <v>1</v>
      </c>
      <c r="N1430" s="279"/>
      <c r="O1430" t="str">
        <f t="shared" si="37"/>
        <v>1979-S Jefferson Nickel Proof</v>
      </c>
      <c r="P1430" s="235" t="s">
        <v>902</v>
      </c>
      <c r="Q1430">
        <f>MATCH(P1430,NickelMintage!A:A,)</f>
        <v>108</v>
      </c>
      <c r="S1430" t="str" cm="1">
        <f t="array" ref="S1430">_xlfn.REGEXEXTRACT(E1430, "[0-9]{1,5}")</f>
        <v>1979</v>
      </c>
      <c r="T1430" t="s">
        <v>4189</v>
      </c>
      <c r="U1430" t="s">
        <v>3897</v>
      </c>
    </row>
    <row r="1431" spans="1:21">
      <c r="A1431" s="136">
        <v>2</v>
      </c>
      <c r="B1431" s="246">
        <v>1980</v>
      </c>
      <c r="C1431" s="247" t="s">
        <v>25</v>
      </c>
      <c r="D1431" s="247" t="s">
        <v>1962</v>
      </c>
      <c r="E1431" s="248" t="s">
        <v>638</v>
      </c>
      <c r="F1431" s="235" t="s">
        <v>4272</v>
      </c>
      <c r="G1431" s="248" t="s">
        <v>2579</v>
      </c>
      <c r="H1431" s="249">
        <v>0.05</v>
      </c>
      <c r="I1431" s="249">
        <v>0.05</v>
      </c>
      <c r="J1431" s="246">
        <v>1</v>
      </c>
      <c r="K1431" s="250"/>
      <c r="L1431" s="248"/>
      <c r="M1431" s="276" t="str">
        <f t="shared" ref="M1431:M1436" si="38">HYPERLINK($Y$2&amp;E1431&amp;$AA$2,"Photo")</f>
        <v>Photo</v>
      </c>
      <c r="N1431" s="279" t="s">
        <v>25</v>
      </c>
      <c r="O1431" t="str">
        <f t="shared" si="37"/>
        <v>1980-P Jefferson Nickel</v>
      </c>
      <c r="P1431" s="235" t="s">
        <v>901</v>
      </c>
      <c r="Q1431">
        <f>MATCH(P1431,NickelMintage!A:A,)</f>
        <v>107</v>
      </c>
      <c r="S1431" t="str" cm="1">
        <f t="array" ref="S1431">_xlfn.REGEXEXTRACT(E1431, "[0-9]{1,5}")</f>
        <v>1980</v>
      </c>
      <c r="T1431" t="s">
        <v>4189</v>
      </c>
      <c r="U1431" t="s">
        <v>3897</v>
      </c>
    </row>
    <row r="1432" spans="1:21">
      <c r="A1432" s="136">
        <v>2</v>
      </c>
      <c r="B1432" s="246">
        <v>1980</v>
      </c>
      <c r="C1432" s="247" t="s">
        <v>25</v>
      </c>
      <c r="D1432" s="247" t="s">
        <v>1962</v>
      </c>
      <c r="E1432" s="248" t="s">
        <v>639</v>
      </c>
      <c r="F1432" s="235" t="s">
        <v>4272</v>
      </c>
      <c r="G1432" s="248" t="s">
        <v>2579</v>
      </c>
      <c r="H1432" s="249">
        <v>0.05</v>
      </c>
      <c r="I1432" s="249">
        <v>0.05</v>
      </c>
      <c r="J1432" s="246">
        <v>1</v>
      </c>
      <c r="K1432" s="250"/>
      <c r="L1432" s="248"/>
      <c r="M1432" s="276" t="str">
        <f t="shared" si="38"/>
        <v>Photo</v>
      </c>
      <c r="N1432" s="279" t="s">
        <v>25</v>
      </c>
      <c r="O1432" t="str">
        <f t="shared" si="37"/>
        <v>1980-P Jefferson Nickel</v>
      </c>
      <c r="P1432" s="235" t="s">
        <v>902</v>
      </c>
      <c r="Q1432">
        <f>MATCH(P1432,NickelMintage!A:A,)</f>
        <v>108</v>
      </c>
      <c r="S1432" t="str" cm="1">
        <f t="array" ref="S1432">_xlfn.REGEXEXTRACT(E1432, "[0-9]{1,5}")</f>
        <v>1980</v>
      </c>
      <c r="T1432" t="s">
        <v>4189</v>
      </c>
      <c r="U1432" t="s">
        <v>3897</v>
      </c>
    </row>
    <row r="1433" spans="1:21">
      <c r="A1433" s="136">
        <v>2</v>
      </c>
      <c r="B1433" s="246">
        <v>1980</v>
      </c>
      <c r="C1433" s="247" t="s">
        <v>25</v>
      </c>
      <c r="D1433" s="247" t="s">
        <v>1962</v>
      </c>
      <c r="E1433" s="248" t="s">
        <v>640</v>
      </c>
      <c r="F1433" s="235" t="s">
        <v>4272</v>
      </c>
      <c r="G1433" s="248" t="s">
        <v>2579</v>
      </c>
      <c r="H1433" s="249">
        <v>0.05</v>
      </c>
      <c r="I1433" s="249">
        <v>0.05</v>
      </c>
      <c r="J1433" s="246">
        <v>1</v>
      </c>
      <c r="K1433" s="250"/>
      <c r="L1433" s="248"/>
      <c r="M1433" s="276" t="str">
        <f t="shared" si="38"/>
        <v>Photo</v>
      </c>
      <c r="N1433" s="279" t="s">
        <v>25</v>
      </c>
      <c r="O1433" t="str">
        <f t="shared" si="37"/>
        <v>1980-P Jefferson Nickel</v>
      </c>
      <c r="P1433" s="235" t="s">
        <v>902</v>
      </c>
      <c r="Q1433">
        <f>MATCH(P1433,NickelMintage!A:A,)</f>
        <v>108</v>
      </c>
      <c r="S1433" t="str" cm="1">
        <f t="array" ref="S1433">_xlfn.REGEXEXTRACT(E1433, "[0-9]{1,5}")</f>
        <v>1980</v>
      </c>
      <c r="T1433" t="s">
        <v>4189</v>
      </c>
      <c r="U1433" t="s">
        <v>3897</v>
      </c>
    </row>
    <row r="1434" spans="1:21">
      <c r="A1434" s="136">
        <v>2</v>
      </c>
      <c r="B1434" s="246">
        <v>1980</v>
      </c>
      <c r="C1434" s="247" t="s">
        <v>25</v>
      </c>
      <c r="D1434" s="247" t="s">
        <v>1962</v>
      </c>
      <c r="E1434" s="248" t="s">
        <v>641</v>
      </c>
      <c r="F1434" s="235" t="s">
        <v>4272</v>
      </c>
      <c r="G1434" s="248" t="s">
        <v>2579</v>
      </c>
      <c r="H1434" s="249">
        <v>0.05</v>
      </c>
      <c r="I1434" s="249">
        <v>0.05</v>
      </c>
      <c r="J1434" s="246">
        <v>1</v>
      </c>
      <c r="K1434" s="250"/>
      <c r="L1434" s="248"/>
      <c r="M1434" s="276" t="str">
        <f t="shared" si="38"/>
        <v>Photo</v>
      </c>
      <c r="N1434" s="279" t="s">
        <v>25</v>
      </c>
      <c r="O1434" t="str">
        <f t="shared" si="37"/>
        <v>1980-P Jefferson Nickel</v>
      </c>
      <c r="P1434" s="235" t="s">
        <v>901</v>
      </c>
      <c r="Q1434">
        <f>MATCH(P1434,NickelMintage!A:A,)</f>
        <v>107</v>
      </c>
      <c r="S1434" t="str" cm="1">
        <f t="array" ref="S1434">_xlfn.REGEXEXTRACT(E1434, "[0-9]{1,5}")</f>
        <v>1980</v>
      </c>
      <c r="T1434" t="s">
        <v>4189</v>
      </c>
      <c r="U1434" t="s">
        <v>4234</v>
      </c>
    </row>
    <row r="1435" spans="1:21">
      <c r="A1435" s="136">
        <v>2</v>
      </c>
      <c r="B1435" s="246">
        <v>1980</v>
      </c>
      <c r="C1435" s="247" t="s">
        <v>25</v>
      </c>
      <c r="D1435" s="247" t="s">
        <v>1962</v>
      </c>
      <c r="E1435" s="248" t="s">
        <v>642</v>
      </c>
      <c r="F1435" s="235" t="s">
        <v>4272</v>
      </c>
      <c r="G1435" s="248" t="s">
        <v>2579</v>
      </c>
      <c r="H1435" s="249">
        <v>0.05</v>
      </c>
      <c r="I1435" s="249">
        <v>0.05</v>
      </c>
      <c r="J1435" s="246">
        <v>1</v>
      </c>
      <c r="K1435" s="250"/>
      <c r="L1435" s="248"/>
      <c r="M1435" s="276" t="str">
        <f t="shared" si="38"/>
        <v>Photo</v>
      </c>
      <c r="N1435" s="279" t="s">
        <v>25</v>
      </c>
      <c r="O1435" t="str">
        <f t="shared" si="37"/>
        <v>1980-P Jefferson Nickel</v>
      </c>
      <c r="P1435" s="235" t="s">
        <v>904</v>
      </c>
      <c r="Q1435">
        <f>MATCH(P1435,NickelMintage!A:A,)</f>
        <v>110</v>
      </c>
      <c r="S1435" t="str" cm="1">
        <f t="array" ref="S1435">_xlfn.REGEXEXTRACT(E1435, "[0-9]{1,5}")</f>
        <v>1980</v>
      </c>
      <c r="T1435" t="s">
        <v>4190</v>
      </c>
      <c r="U1435" t="s">
        <v>3897</v>
      </c>
    </row>
    <row r="1436" spans="1:21">
      <c r="A1436" s="136">
        <v>2</v>
      </c>
      <c r="B1436" s="233">
        <v>1980</v>
      </c>
      <c r="C1436" s="234" t="s">
        <v>13</v>
      </c>
      <c r="D1436" s="234" t="s">
        <v>1962</v>
      </c>
      <c r="E1436" s="235" t="s">
        <v>2302</v>
      </c>
      <c r="F1436" s="235" t="s">
        <v>4272</v>
      </c>
      <c r="G1436" s="235" t="s">
        <v>2579</v>
      </c>
      <c r="H1436" s="236">
        <v>0.25</v>
      </c>
      <c r="I1436" s="236">
        <v>0.25</v>
      </c>
      <c r="J1436" s="233">
        <v>1</v>
      </c>
      <c r="K1436" s="237"/>
      <c r="L1436" s="235"/>
      <c r="M1436" s="276" t="str">
        <f t="shared" si="38"/>
        <v>Photo</v>
      </c>
      <c r="N1436" s="279" t="s">
        <v>25</v>
      </c>
      <c r="O1436" t="str">
        <f t="shared" si="37"/>
        <v>1980-D Jefferson Nickel</v>
      </c>
      <c r="P1436" s="235" t="s">
        <v>904</v>
      </c>
      <c r="Q1436">
        <f>MATCH(P1436,NickelMintage!A:A,)</f>
        <v>110</v>
      </c>
      <c r="S1436" t="str" cm="1">
        <f t="array" ref="S1436">_xlfn.REGEXEXTRACT(E1436, "[0-9]{1,5}")</f>
        <v>1980</v>
      </c>
      <c r="T1436" t="s">
        <v>4190</v>
      </c>
      <c r="U1436" t="s">
        <v>3897</v>
      </c>
    </row>
    <row r="1437" spans="1:21">
      <c r="A1437" s="136">
        <v>2</v>
      </c>
      <c r="B1437" s="270">
        <v>1980</v>
      </c>
      <c r="C1437" s="136" t="s">
        <v>12</v>
      </c>
      <c r="D1437" s="257" t="s">
        <v>1962</v>
      </c>
      <c r="E1437" s="235" t="s">
        <v>5620</v>
      </c>
      <c r="F1437" s="235" t="s">
        <v>5144</v>
      </c>
      <c r="G1437" s="3" t="s">
        <v>2584</v>
      </c>
      <c r="H1437" s="236">
        <v>0.4</v>
      </c>
      <c r="I1437" s="236">
        <v>0.4</v>
      </c>
      <c r="J1437" s="233">
        <v>1</v>
      </c>
      <c r="N1437" s="279"/>
      <c r="O1437" t="str">
        <f t="shared" si="37"/>
        <v>1980-S Jefferson Nickel Proof</v>
      </c>
      <c r="P1437" s="235" t="s">
        <v>905</v>
      </c>
      <c r="Q1437">
        <f>MATCH(P1437,NickelMintage!A:A,)</f>
        <v>111</v>
      </c>
      <c r="S1437" t="str" cm="1">
        <f t="array" ref="S1437">_xlfn.REGEXEXTRACT(E1437, "[0-9]{1,5}")</f>
        <v>1980</v>
      </c>
      <c r="T1437" t="s">
        <v>4191</v>
      </c>
      <c r="U1437" t="s">
        <v>3897</v>
      </c>
    </row>
    <row r="1438" spans="1:21">
      <c r="A1438" s="136">
        <v>2</v>
      </c>
      <c r="B1438" s="246">
        <v>1981</v>
      </c>
      <c r="C1438" s="247" t="s">
        <v>25</v>
      </c>
      <c r="D1438" s="247" t="s">
        <v>1962</v>
      </c>
      <c r="E1438" s="248" t="s">
        <v>643</v>
      </c>
      <c r="F1438" s="235" t="s">
        <v>4272</v>
      </c>
      <c r="G1438" s="248" t="s">
        <v>2579</v>
      </c>
      <c r="H1438" s="249">
        <v>0.05</v>
      </c>
      <c r="I1438" s="249">
        <v>0.05</v>
      </c>
      <c r="J1438" s="246">
        <v>1</v>
      </c>
      <c r="K1438" s="250"/>
      <c r="L1438" s="248"/>
      <c r="M1438" s="276" t="str">
        <f t="shared" ref="M1438:M1447" si="39">HYPERLINK($Y$2&amp;E1438&amp;$AA$2,"Photo")</f>
        <v>Photo</v>
      </c>
      <c r="N1438" s="279" t="s">
        <v>25</v>
      </c>
      <c r="O1438" t="str">
        <f t="shared" si="37"/>
        <v>1981-P Jefferson Nickel</v>
      </c>
      <c r="P1438" s="235" t="s">
        <v>905</v>
      </c>
      <c r="Q1438">
        <f>MATCH(P1438,NickelMintage!A:A,)</f>
        <v>111</v>
      </c>
      <c r="S1438" t="str" cm="1">
        <f t="array" ref="S1438">_xlfn.REGEXEXTRACT(E1438, "[0-9]{1,5}")</f>
        <v>1981</v>
      </c>
      <c r="T1438" t="s">
        <v>4191</v>
      </c>
      <c r="U1438" t="s">
        <v>3897</v>
      </c>
    </row>
    <row r="1439" spans="1:21">
      <c r="A1439" s="136">
        <v>2</v>
      </c>
      <c r="B1439" s="246">
        <v>1981</v>
      </c>
      <c r="C1439" s="247" t="s">
        <v>25</v>
      </c>
      <c r="D1439" s="247" t="s">
        <v>1962</v>
      </c>
      <c r="E1439" s="248" t="s">
        <v>644</v>
      </c>
      <c r="F1439" s="235" t="s">
        <v>4272</v>
      </c>
      <c r="G1439" s="248" t="s">
        <v>2579</v>
      </c>
      <c r="H1439" s="249">
        <v>0.05</v>
      </c>
      <c r="I1439" s="249">
        <v>0.05</v>
      </c>
      <c r="J1439" s="246">
        <v>1</v>
      </c>
      <c r="K1439" s="250"/>
      <c r="L1439" s="248"/>
      <c r="M1439" s="276" t="str">
        <f t="shared" si="39"/>
        <v>Photo</v>
      </c>
      <c r="N1439" s="279" t="s">
        <v>25</v>
      </c>
      <c r="O1439" t="str">
        <f t="shared" si="37"/>
        <v>1981-P Jefferson Nickel</v>
      </c>
      <c r="P1439" s="235" t="s">
        <v>907</v>
      </c>
      <c r="Q1439">
        <f>MATCH(P1439,NickelMintage!A:A,)</f>
        <v>113</v>
      </c>
      <c r="S1439" t="str" cm="1">
        <f t="array" ref="S1439">_xlfn.REGEXEXTRACT(E1439, "[0-9]{1,5}")</f>
        <v>1981</v>
      </c>
      <c r="T1439" t="s">
        <v>4192</v>
      </c>
      <c r="U1439" t="s">
        <v>3897</v>
      </c>
    </row>
    <row r="1440" spans="1:21">
      <c r="A1440" s="136">
        <v>2</v>
      </c>
      <c r="B1440" s="246">
        <v>1981</v>
      </c>
      <c r="C1440" s="247" t="s">
        <v>25</v>
      </c>
      <c r="D1440" s="247" t="s">
        <v>1962</v>
      </c>
      <c r="E1440" s="248" t="s">
        <v>645</v>
      </c>
      <c r="F1440" s="235" t="s">
        <v>4272</v>
      </c>
      <c r="G1440" s="248" t="s">
        <v>2579</v>
      </c>
      <c r="H1440" s="249">
        <v>0.05</v>
      </c>
      <c r="I1440" s="249">
        <v>0.05</v>
      </c>
      <c r="J1440" s="246">
        <v>1</v>
      </c>
      <c r="K1440" s="250"/>
      <c r="L1440" s="248"/>
      <c r="M1440" s="276" t="str">
        <f t="shared" si="39"/>
        <v>Photo</v>
      </c>
      <c r="N1440" s="279" t="s">
        <v>25</v>
      </c>
      <c r="O1440" t="str">
        <f t="shared" si="37"/>
        <v>1981-P Jefferson Nickel</v>
      </c>
      <c r="P1440" s="235" t="s">
        <v>907</v>
      </c>
      <c r="Q1440">
        <f>MATCH(P1440,NickelMintage!A:A,)</f>
        <v>113</v>
      </c>
      <c r="S1440" t="str" cm="1">
        <f t="array" ref="S1440">_xlfn.REGEXEXTRACT(E1440, "[0-9]{1,5}")</f>
        <v>1981</v>
      </c>
      <c r="T1440" t="s">
        <v>4192</v>
      </c>
      <c r="U1440" t="s">
        <v>3897</v>
      </c>
    </row>
    <row r="1441" spans="1:21">
      <c r="A1441" s="136">
        <v>2</v>
      </c>
      <c r="B1441" s="246">
        <v>1981</v>
      </c>
      <c r="C1441" s="247" t="s">
        <v>25</v>
      </c>
      <c r="D1441" s="247" t="s">
        <v>1962</v>
      </c>
      <c r="E1441" s="248" t="s">
        <v>646</v>
      </c>
      <c r="F1441" s="235" t="s">
        <v>4272</v>
      </c>
      <c r="G1441" s="248" t="s">
        <v>2579</v>
      </c>
      <c r="H1441" s="249">
        <v>0.05</v>
      </c>
      <c r="I1441" s="249">
        <v>0.05</v>
      </c>
      <c r="J1441" s="246">
        <v>1</v>
      </c>
      <c r="K1441" s="250"/>
      <c r="L1441" s="248"/>
      <c r="M1441" s="276" t="str">
        <f t="shared" si="39"/>
        <v>Photo</v>
      </c>
      <c r="N1441" s="279" t="s">
        <v>25</v>
      </c>
      <c r="O1441" t="str">
        <f t="shared" si="37"/>
        <v>1981-P Jefferson Nickel</v>
      </c>
      <c r="P1441" s="235" t="s">
        <v>910</v>
      </c>
      <c r="Q1441">
        <f>MATCH(P1441,NickelMintage!A:A,)</f>
        <v>116</v>
      </c>
      <c r="S1441" t="str" cm="1">
        <f t="array" ref="S1441">_xlfn.REGEXEXTRACT(E1441, "[0-9]{1,5}")</f>
        <v>1981</v>
      </c>
      <c r="T1441" t="s">
        <v>4193</v>
      </c>
      <c r="U1441" t="s">
        <v>3897</v>
      </c>
    </row>
    <row r="1442" spans="1:21">
      <c r="A1442" s="136">
        <v>2</v>
      </c>
      <c r="B1442" s="246">
        <v>1981</v>
      </c>
      <c r="C1442" s="247" t="s">
        <v>25</v>
      </c>
      <c r="D1442" s="247" t="s">
        <v>1962</v>
      </c>
      <c r="E1442" s="248" t="s">
        <v>647</v>
      </c>
      <c r="F1442" s="235" t="s">
        <v>4272</v>
      </c>
      <c r="G1442" s="248" t="s">
        <v>2579</v>
      </c>
      <c r="H1442" s="249">
        <v>0.05</v>
      </c>
      <c r="I1442" s="249">
        <v>0.05</v>
      </c>
      <c r="J1442" s="246">
        <v>1</v>
      </c>
      <c r="K1442" s="250"/>
      <c r="L1442" s="248"/>
      <c r="M1442" s="276" t="str">
        <f t="shared" si="39"/>
        <v>Photo</v>
      </c>
      <c r="N1442" s="279" t="s">
        <v>25</v>
      </c>
      <c r="O1442" t="str">
        <f t="shared" si="37"/>
        <v>1981-P Jefferson Nickel</v>
      </c>
      <c r="P1442" s="235" t="s">
        <v>910</v>
      </c>
      <c r="Q1442">
        <f>MATCH(P1442,NickelMintage!A:A,)</f>
        <v>116</v>
      </c>
      <c r="S1442" t="str" cm="1">
        <f t="array" ref="S1442">_xlfn.REGEXEXTRACT(E1442, "[0-9]{1,5}")</f>
        <v>1981</v>
      </c>
      <c r="T1442" t="s">
        <v>4193</v>
      </c>
      <c r="U1442" t="s">
        <v>3897</v>
      </c>
    </row>
    <row r="1443" spans="1:21">
      <c r="A1443" s="136">
        <v>2</v>
      </c>
      <c r="B1443" s="246">
        <v>1981</v>
      </c>
      <c r="C1443" s="247" t="s">
        <v>25</v>
      </c>
      <c r="D1443" s="247" t="s">
        <v>1962</v>
      </c>
      <c r="E1443" s="248" t="s">
        <v>648</v>
      </c>
      <c r="F1443" s="235" t="s">
        <v>4272</v>
      </c>
      <c r="G1443" s="248" t="s">
        <v>2579</v>
      </c>
      <c r="H1443" s="249">
        <v>0.05</v>
      </c>
      <c r="I1443" s="249">
        <v>0.05</v>
      </c>
      <c r="J1443" s="246">
        <v>1</v>
      </c>
      <c r="K1443" s="250"/>
      <c r="L1443" s="248"/>
      <c r="M1443" s="276" t="str">
        <f t="shared" si="39"/>
        <v>Photo</v>
      </c>
      <c r="N1443" s="279" t="s">
        <v>25</v>
      </c>
      <c r="O1443" t="str">
        <f t="shared" si="37"/>
        <v>1981-P Jefferson Nickel</v>
      </c>
      <c r="P1443" s="235" t="s">
        <v>912</v>
      </c>
      <c r="Q1443">
        <f>MATCH(P1443,NickelMintage!A:A,)</f>
        <v>118</v>
      </c>
      <c r="S1443" t="str" cm="1">
        <f t="array" ref="S1443">_xlfn.REGEXEXTRACT(E1443, "[0-9]{1,5}")</f>
        <v>1981</v>
      </c>
      <c r="T1443" t="s">
        <v>4194</v>
      </c>
      <c r="U1443" t="s">
        <v>3897</v>
      </c>
    </row>
    <row r="1444" spans="1:21">
      <c r="A1444" s="136">
        <v>2</v>
      </c>
      <c r="B1444" s="246">
        <v>1981</v>
      </c>
      <c r="C1444" s="247" t="s">
        <v>25</v>
      </c>
      <c r="D1444" s="247" t="s">
        <v>1962</v>
      </c>
      <c r="E1444" s="248" t="s">
        <v>649</v>
      </c>
      <c r="F1444" s="235" t="s">
        <v>4272</v>
      </c>
      <c r="G1444" s="248" t="s">
        <v>2579</v>
      </c>
      <c r="H1444" s="249">
        <v>0.05</v>
      </c>
      <c r="I1444" s="249">
        <v>0.05</v>
      </c>
      <c r="J1444" s="246">
        <v>1</v>
      </c>
      <c r="K1444" s="250"/>
      <c r="L1444" s="248"/>
      <c r="M1444" s="276" t="str">
        <f t="shared" si="39"/>
        <v>Photo</v>
      </c>
      <c r="N1444" s="279" t="s">
        <v>25</v>
      </c>
      <c r="O1444" t="str">
        <f t="shared" si="37"/>
        <v>1981-P Jefferson Nickel</v>
      </c>
      <c r="P1444" s="235" t="s">
        <v>912</v>
      </c>
      <c r="Q1444">
        <f>MATCH(P1444,NickelMintage!A:A,)</f>
        <v>118</v>
      </c>
      <c r="S1444" t="str" cm="1">
        <f t="array" ref="S1444">_xlfn.REGEXEXTRACT(E1444, "[0-9]{1,5}")</f>
        <v>1981</v>
      </c>
      <c r="T1444" t="s">
        <v>4194</v>
      </c>
      <c r="U1444" t="s">
        <v>3897</v>
      </c>
    </row>
    <row r="1445" spans="1:21">
      <c r="A1445" s="136">
        <v>2</v>
      </c>
      <c r="B1445" s="246">
        <v>1981</v>
      </c>
      <c r="C1445" s="247" t="s">
        <v>25</v>
      </c>
      <c r="D1445" s="247" t="s">
        <v>1962</v>
      </c>
      <c r="E1445" s="248" t="s">
        <v>650</v>
      </c>
      <c r="F1445" s="235" t="s">
        <v>4272</v>
      </c>
      <c r="G1445" s="248" t="s">
        <v>2579</v>
      </c>
      <c r="H1445" s="249">
        <v>0.05</v>
      </c>
      <c r="I1445" s="249">
        <v>0.05</v>
      </c>
      <c r="J1445" s="246">
        <v>1</v>
      </c>
      <c r="K1445" s="250"/>
      <c r="L1445" s="248"/>
      <c r="M1445" s="276" t="str">
        <f t="shared" si="39"/>
        <v>Photo</v>
      </c>
      <c r="N1445" s="279" t="s">
        <v>25</v>
      </c>
      <c r="O1445" t="str">
        <f t="shared" si="37"/>
        <v>1981-P Jefferson Nickel</v>
      </c>
      <c r="P1445" s="235" t="s">
        <v>914</v>
      </c>
      <c r="Q1445">
        <f>MATCH(P1445,NickelMintage!A:A,)</f>
        <v>120</v>
      </c>
      <c r="S1445" t="str" cm="1">
        <f t="array" ref="S1445">_xlfn.REGEXEXTRACT(E1445, "[0-9]{1,5}")</f>
        <v>1981</v>
      </c>
      <c r="T1445" t="s">
        <v>4195</v>
      </c>
      <c r="U1445" t="s">
        <v>3897</v>
      </c>
    </row>
    <row r="1446" spans="1:21">
      <c r="A1446" s="136">
        <v>2</v>
      </c>
      <c r="B1446" s="246">
        <v>1981</v>
      </c>
      <c r="C1446" s="247" t="s">
        <v>25</v>
      </c>
      <c r="D1446" s="247" t="s">
        <v>1962</v>
      </c>
      <c r="E1446" s="248" t="s">
        <v>651</v>
      </c>
      <c r="F1446" s="235" t="s">
        <v>4272</v>
      </c>
      <c r="G1446" s="248" t="s">
        <v>2579</v>
      </c>
      <c r="H1446" s="249">
        <v>0.05</v>
      </c>
      <c r="I1446" s="249">
        <v>0.05</v>
      </c>
      <c r="J1446" s="246">
        <v>1</v>
      </c>
      <c r="K1446" s="250"/>
      <c r="L1446" s="248"/>
      <c r="M1446" s="276" t="str">
        <f t="shared" si="39"/>
        <v>Photo</v>
      </c>
      <c r="N1446" s="279" t="s">
        <v>25</v>
      </c>
      <c r="O1446" t="str">
        <f t="shared" si="37"/>
        <v>1981-P Jefferson Nickel</v>
      </c>
      <c r="P1446" s="235" t="s">
        <v>914</v>
      </c>
      <c r="Q1446">
        <f>MATCH(P1446,NickelMintage!A:A,)</f>
        <v>120</v>
      </c>
      <c r="S1446" t="str" cm="1">
        <f t="array" ref="S1446">_xlfn.REGEXEXTRACT(E1446, "[0-9]{1,5}")</f>
        <v>1981</v>
      </c>
      <c r="T1446" t="s">
        <v>4195</v>
      </c>
      <c r="U1446" t="s">
        <v>3897</v>
      </c>
    </row>
    <row r="1447" spans="1:21">
      <c r="A1447" s="136">
        <v>2</v>
      </c>
      <c r="B1447" s="246">
        <v>1981</v>
      </c>
      <c r="C1447" s="247" t="s">
        <v>13</v>
      </c>
      <c r="D1447" s="247" t="s">
        <v>1962</v>
      </c>
      <c r="E1447" s="248" t="s">
        <v>652</v>
      </c>
      <c r="F1447" s="235" t="s">
        <v>4272</v>
      </c>
      <c r="G1447" s="248" t="s">
        <v>2579</v>
      </c>
      <c r="H1447" s="249">
        <v>0.05</v>
      </c>
      <c r="I1447" s="249">
        <v>0.05</v>
      </c>
      <c r="J1447" s="246">
        <v>1</v>
      </c>
      <c r="K1447" s="250"/>
      <c r="L1447" s="248"/>
      <c r="M1447" s="276" t="str">
        <f t="shared" si="39"/>
        <v>Photo</v>
      </c>
      <c r="N1447" s="279" t="s">
        <v>25</v>
      </c>
      <c r="O1447" t="str">
        <f t="shared" si="37"/>
        <v>1981-D Jefferson Nickel</v>
      </c>
      <c r="P1447" s="235" t="s">
        <v>913</v>
      </c>
      <c r="Q1447">
        <f>MATCH(P1447,NickelMintage!A:A,)</f>
        <v>119</v>
      </c>
      <c r="S1447" t="str" cm="1">
        <f t="array" ref="S1447">_xlfn.REGEXEXTRACT(E1447, "[0-9]{1,5}")</f>
        <v>1981</v>
      </c>
      <c r="T1447" t="s">
        <v>4195</v>
      </c>
      <c r="U1447" t="s">
        <v>3897</v>
      </c>
    </row>
    <row r="1448" spans="1:21">
      <c r="A1448" s="136">
        <v>2</v>
      </c>
      <c r="B1448" s="270">
        <v>1981</v>
      </c>
      <c r="C1448" s="136" t="s">
        <v>12</v>
      </c>
      <c r="D1448" s="257" t="s">
        <v>1962</v>
      </c>
      <c r="E1448" s="235" t="s">
        <v>5621</v>
      </c>
      <c r="F1448" s="235" t="s">
        <v>5144</v>
      </c>
      <c r="G1448" s="3" t="s">
        <v>2584</v>
      </c>
      <c r="H1448" s="236">
        <v>0.5</v>
      </c>
      <c r="I1448" s="236">
        <v>0.5</v>
      </c>
      <c r="J1448" s="233">
        <v>1</v>
      </c>
      <c r="N1448" s="279"/>
      <c r="O1448" t="str">
        <f t="shared" si="37"/>
        <v>1981-S Jefferson Nickel Proof</v>
      </c>
      <c r="P1448" s="235" t="s">
        <v>913</v>
      </c>
      <c r="Q1448">
        <f>MATCH(P1448,NickelMintage!A:A,)</f>
        <v>119</v>
      </c>
      <c r="S1448" t="str" cm="1">
        <f t="array" ref="S1448">_xlfn.REGEXEXTRACT(E1448, "[0-9]{1,5}")</f>
        <v>1981</v>
      </c>
      <c r="T1448" t="s">
        <v>4195</v>
      </c>
      <c r="U1448" t="s">
        <v>3897</v>
      </c>
    </row>
    <row r="1449" spans="1:21">
      <c r="A1449" s="136">
        <v>2</v>
      </c>
      <c r="B1449" s="246">
        <v>1982</v>
      </c>
      <c r="C1449" s="247" t="s">
        <v>13</v>
      </c>
      <c r="D1449" s="247" t="s">
        <v>1962</v>
      </c>
      <c r="E1449" s="248" t="s">
        <v>653</v>
      </c>
      <c r="F1449" s="235" t="s">
        <v>4272</v>
      </c>
      <c r="G1449" s="248" t="s">
        <v>2579</v>
      </c>
      <c r="H1449" s="249">
        <v>0.05</v>
      </c>
      <c r="I1449" s="249">
        <v>0.05</v>
      </c>
      <c r="J1449" s="246">
        <v>1</v>
      </c>
      <c r="K1449" s="250"/>
      <c r="L1449" s="248"/>
      <c r="M1449" s="276" t="str">
        <f t="shared" ref="M1449:M1455" si="40">HYPERLINK($Y$2&amp;E1449&amp;$AA$2,"Photo")</f>
        <v>Photo</v>
      </c>
      <c r="N1449" s="279" t="s">
        <v>25</v>
      </c>
      <c r="O1449" t="str">
        <f t="shared" si="37"/>
        <v>1982-D Jefferson Nickel</v>
      </c>
      <c r="P1449" s="235" t="s">
        <v>913</v>
      </c>
      <c r="Q1449">
        <f>MATCH(P1449,NickelMintage!A:A,)</f>
        <v>119</v>
      </c>
      <c r="S1449" t="str" cm="1">
        <f t="array" ref="S1449">_xlfn.REGEXEXTRACT(E1449, "[0-9]{1,5}")</f>
        <v>1982</v>
      </c>
      <c r="T1449" t="s">
        <v>4195</v>
      </c>
      <c r="U1449" t="s">
        <v>3897</v>
      </c>
    </row>
    <row r="1450" spans="1:21">
      <c r="A1450" s="136">
        <v>2</v>
      </c>
      <c r="B1450" s="246">
        <v>1982</v>
      </c>
      <c r="C1450" s="247" t="s">
        <v>25</v>
      </c>
      <c r="D1450" s="247" t="s">
        <v>1962</v>
      </c>
      <c r="E1450" s="248" t="s">
        <v>654</v>
      </c>
      <c r="F1450" s="235" t="s">
        <v>4272</v>
      </c>
      <c r="G1450" s="248" t="s">
        <v>2579</v>
      </c>
      <c r="H1450" s="249">
        <v>0.05</v>
      </c>
      <c r="I1450" s="249">
        <v>0.05</v>
      </c>
      <c r="J1450" s="246">
        <v>1</v>
      </c>
      <c r="K1450" s="250"/>
      <c r="L1450" s="248"/>
      <c r="M1450" s="276" t="str">
        <f t="shared" si="40"/>
        <v>Photo</v>
      </c>
      <c r="N1450" s="279" t="s">
        <v>25</v>
      </c>
      <c r="O1450" t="str">
        <f t="shared" si="37"/>
        <v>1982-P Jefferson Nickel</v>
      </c>
      <c r="P1450" s="235" t="s">
        <v>916</v>
      </c>
      <c r="Q1450">
        <f>MATCH(P1450,NickelMintage!A:A,)</f>
        <v>122</v>
      </c>
      <c r="S1450" t="str" cm="1">
        <f t="array" ref="S1450">_xlfn.REGEXEXTRACT(E1450, "[0-9]{1,5}")</f>
        <v>1982</v>
      </c>
      <c r="T1450" t="s">
        <v>4196</v>
      </c>
      <c r="U1450" t="s">
        <v>3897</v>
      </c>
    </row>
    <row r="1451" spans="1:21">
      <c r="A1451" s="136">
        <v>2</v>
      </c>
      <c r="B1451" s="246">
        <v>1982</v>
      </c>
      <c r="C1451" s="247" t="s">
        <v>25</v>
      </c>
      <c r="D1451" s="247" t="s">
        <v>1962</v>
      </c>
      <c r="E1451" s="248" t="s">
        <v>656</v>
      </c>
      <c r="F1451" s="235" t="s">
        <v>4272</v>
      </c>
      <c r="G1451" s="248" t="s">
        <v>2579</v>
      </c>
      <c r="H1451" s="249">
        <v>0.05</v>
      </c>
      <c r="I1451" s="249">
        <v>0.05</v>
      </c>
      <c r="J1451" s="246">
        <v>1</v>
      </c>
      <c r="K1451" s="250"/>
      <c r="L1451" s="248"/>
      <c r="M1451" s="276" t="str">
        <f t="shared" si="40"/>
        <v>Photo</v>
      </c>
      <c r="N1451" s="279" t="s">
        <v>25</v>
      </c>
      <c r="O1451" t="str">
        <f t="shared" si="37"/>
        <v>1982-P Jefferson Nickel</v>
      </c>
      <c r="P1451" s="235" t="s">
        <v>915</v>
      </c>
      <c r="Q1451">
        <f>MATCH(P1451,NickelMintage!A:A,)</f>
        <v>121</v>
      </c>
      <c r="S1451" t="str" cm="1">
        <f t="array" ref="S1451">_xlfn.REGEXEXTRACT(E1451, "[0-9]{1,5}")</f>
        <v>1982</v>
      </c>
      <c r="T1451" t="s">
        <v>4196</v>
      </c>
      <c r="U1451" t="s">
        <v>3897</v>
      </c>
    </row>
    <row r="1452" spans="1:21">
      <c r="A1452" s="136">
        <v>2</v>
      </c>
      <c r="B1452" s="246">
        <v>1982</v>
      </c>
      <c r="C1452" s="247" t="s">
        <v>25</v>
      </c>
      <c r="D1452" s="247" t="s">
        <v>1962</v>
      </c>
      <c r="E1452" s="248" t="s">
        <v>657</v>
      </c>
      <c r="F1452" s="235" t="s">
        <v>4272</v>
      </c>
      <c r="G1452" s="248" t="s">
        <v>2579</v>
      </c>
      <c r="H1452" s="249">
        <v>0.05</v>
      </c>
      <c r="I1452" s="249">
        <v>0.05</v>
      </c>
      <c r="J1452" s="246">
        <v>1</v>
      </c>
      <c r="K1452" s="250"/>
      <c r="L1452" s="248"/>
      <c r="M1452" s="276" t="str">
        <f t="shared" si="40"/>
        <v>Photo</v>
      </c>
      <c r="N1452" s="279" t="s">
        <v>25</v>
      </c>
      <c r="O1452" t="str">
        <f t="shared" si="37"/>
        <v>1982-P Jefferson Nickel</v>
      </c>
      <c r="P1452" s="235" t="s">
        <v>917</v>
      </c>
      <c r="Q1452">
        <f>MATCH(P1452,NickelMintage!A:A,)</f>
        <v>123</v>
      </c>
      <c r="S1452" t="str" cm="1">
        <f t="array" ref="S1452">_xlfn.REGEXEXTRACT(E1452, "[0-9]{1,5}")</f>
        <v>1982</v>
      </c>
      <c r="T1452" t="s">
        <v>4197</v>
      </c>
      <c r="U1452" t="s">
        <v>3897</v>
      </c>
    </row>
    <row r="1453" spans="1:21">
      <c r="A1453" s="136">
        <v>2</v>
      </c>
      <c r="B1453" s="246">
        <v>1982</v>
      </c>
      <c r="C1453" s="247" t="s">
        <v>25</v>
      </c>
      <c r="D1453" s="247" t="s">
        <v>1962</v>
      </c>
      <c r="E1453" s="248" t="s">
        <v>658</v>
      </c>
      <c r="F1453" s="235" t="s">
        <v>4272</v>
      </c>
      <c r="G1453" s="248" t="s">
        <v>2579</v>
      </c>
      <c r="H1453" s="249">
        <v>0.05</v>
      </c>
      <c r="I1453" s="249">
        <v>0.05</v>
      </c>
      <c r="J1453" s="246">
        <v>1</v>
      </c>
      <c r="K1453" s="250"/>
      <c r="L1453" s="248"/>
      <c r="M1453" s="276" t="str">
        <f t="shared" si="40"/>
        <v>Photo</v>
      </c>
      <c r="N1453" s="279" t="s">
        <v>25</v>
      </c>
      <c r="O1453" t="str">
        <f t="shared" si="37"/>
        <v>1982-P Jefferson Nickel</v>
      </c>
      <c r="P1453" s="235" t="s">
        <v>918</v>
      </c>
      <c r="Q1453">
        <f>MATCH(P1453,NickelMintage!A:A,)</f>
        <v>124</v>
      </c>
      <c r="S1453" t="str" cm="1">
        <f t="array" ref="S1453">_xlfn.REGEXEXTRACT(E1453, "[0-9]{1,5}")</f>
        <v>1982</v>
      </c>
      <c r="T1453" t="s">
        <v>4197</v>
      </c>
      <c r="U1453" t="s">
        <v>3897</v>
      </c>
    </row>
    <row r="1454" spans="1:21">
      <c r="A1454" s="136">
        <v>2</v>
      </c>
      <c r="B1454" s="246">
        <v>1982</v>
      </c>
      <c r="C1454" s="247" t="s">
        <v>25</v>
      </c>
      <c r="D1454" s="247" t="s">
        <v>1962</v>
      </c>
      <c r="E1454" s="248" t="s">
        <v>659</v>
      </c>
      <c r="F1454" s="235" t="s">
        <v>4272</v>
      </c>
      <c r="G1454" s="248" t="s">
        <v>2579</v>
      </c>
      <c r="H1454" s="249">
        <v>0.05</v>
      </c>
      <c r="I1454" s="249">
        <v>0.05</v>
      </c>
      <c r="J1454" s="246">
        <v>1</v>
      </c>
      <c r="K1454" s="250"/>
      <c r="L1454" s="248"/>
      <c r="M1454" s="276" t="str">
        <f t="shared" si="40"/>
        <v>Photo</v>
      </c>
      <c r="N1454" s="279" t="s">
        <v>25</v>
      </c>
      <c r="O1454" t="str">
        <f t="shared" si="37"/>
        <v>1982-P Jefferson Nickel</v>
      </c>
      <c r="P1454" s="235" t="s">
        <v>919</v>
      </c>
      <c r="Q1454">
        <f>MATCH(P1454,NickelMintage!A:A,)</f>
        <v>125</v>
      </c>
      <c r="S1454" t="str" cm="1">
        <f t="array" ref="S1454">_xlfn.REGEXEXTRACT(E1454, "[0-9]{1,5}")</f>
        <v>1982</v>
      </c>
      <c r="T1454" t="s">
        <v>4198</v>
      </c>
      <c r="U1454" t="s">
        <v>3897</v>
      </c>
    </row>
    <row r="1455" spans="1:21">
      <c r="A1455" s="136">
        <v>2</v>
      </c>
      <c r="B1455" s="246">
        <v>1982</v>
      </c>
      <c r="C1455" s="247" t="s">
        <v>25</v>
      </c>
      <c r="D1455" s="247" t="s">
        <v>1962</v>
      </c>
      <c r="E1455" s="248" t="s">
        <v>660</v>
      </c>
      <c r="F1455" s="235" t="s">
        <v>4272</v>
      </c>
      <c r="G1455" s="248" t="s">
        <v>2579</v>
      </c>
      <c r="H1455" s="249">
        <v>0.05</v>
      </c>
      <c r="I1455" s="249">
        <v>0.05</v>
      </c>
      <c r="J1455" s="246">
        <v>1</v>
      </c>
      <c r="K1455" s="250"/>
      <c r="L1455" s="248"/>
      <c r="M1455" s="276" t="str">
        <f t="shared" si="40"/>
        <v>Photo</v>
      </c>
      <c r="N1455" s="279" t="s">
        <v>25</v>
      </c>
      <c r="O1455" t="str">
        <f t="shared" si="37"/>
        <v>1982-P Jefferson Nickel</v>
      </c>
      <c r="P1455" s="235" t="s">
        <v>919</v>
      </c>
      <c r="Q1455">
        <f>MATCH(P1455,NickelMintage!A:A,)</f>
        <v>125</v>
      </c>
      <c r="S1455" t="str" cm="1">
        <f t="array" ref="S1455">_xlfn.REGEXEXTRACT(E1455, "[0-9]{1,5}")</f>
        <v>1982</v>
      </c>
      <c r="T1455" t="s">
        <v>4198</v>
      </c>
      <c r="U1455" t="s">
        <v>3897</v>
      </c>
    </row>
    <row r="1456" spans="1:21">
      <c r="A1456" s="136">
        <v>2</v>
      </c>
      <c r="B1456" s="270">
        <v>1982</v>
      </c>
      <c r="C1456" s="136" t="s">
        <v>12</v>
      </c>
      <c r="D1456" s="257" t="s">
        <v>1962</v>
      </c>
      <c r="E1456" s="235" t="s">
        <v>5622</v>
      </c>
      <c r="F1456" s="235" t="s">
        <v>5144</v>
      </c>
      <c r="G1456" s="3" t="s">
        <v>2584</v>
      </c>
      <c r="H1456" s="236">
        <v>1.5</v>
      </c>
      <c r="I1456" s="236">
        <v>1.5</v>
      </c>
      <c r="J1456" s="233">
        <v>1</v>
      </c>
      <c r="N1456" s="279"/>
      <c r="O1456" t="str">
        <f t="shared" si="37"/>
        <v>1982-S Jefferson Nickel Proof</v>
      </c>
      <c r="P1456" s="235" t="s">
        <v>920</v>
      </c>
      <c r="Q1456">
        <f>MATCH(P1456,NickelMintage!A:A,)</f>
        <v>126</v>
      </c>
      <c r="S1456" t="str" cm="1">
        <f t="array" ref="S1456">_xlfn.REGEXEXTRACT(E1456, "[0-9]{1,5}")</f>
        <v>1982</v>
      </c>
      <c r="T1456" t="s">
        <v>4198</v>
      </c>
      <c r="U1456" t="s">
        <v>3897</v>
      </c>
    </row>
    <row r="1457" spans="1:21">
      <c r="A1457" s="136">
        <v>2</v>
      </c>
      <c r="B1457" s="246">
        <v>1983</v>
      </c>
      <c r="C1457" s="247" t="s">
        <v>25</v>
      </c>
      <c r="D1457" s="247" t="s">
        <v>1962</v>
      </c>
      <c r="E1457" s="248" t="s">
        <v>661</v>
      </c>
      <c r="F1457" s="235" t="s">
        <v>4272</v>
      </c>
      <c r="G1457" s="248" t="s">
        <v>2579</v>
      </c>
      <c r="H1457" s="249">
        <v>0.05</v>
      </c>
      <c r="I1457" s="249">
        <v>0.05</v>
      </c>
      <c r="J1457" s="246">
        <v>1</v>
      </c>
      <c r="K1457" s="250"/>
      <c r="L1457" s="248"/>
      <c r="M1457" s="276" t="str">
        <f t="shared" ref="M1457:M1462" si="41">HYPERLINK($Y$2&amp;E1457&amp;$AA$2,"Photo")</f>
        <v>Photo</v>
      </c>
      <c r="N1457" s="279" t="s">
        <v>25</v>
      </c>
      <c r="O1457" t="str">
        <f t="shared" si="37"/>
        <v>1983-P Jefferson Nickel</v>
      </c>
      <c r="P1457" s="235" t="s">
        <v>920</v>
      </c>
      <c r="Q1457">
        <f>MATCH(P1457,NickelMintage!A:A,)</f>
        <v>126</v>
      </c>
      <c r="S1457" t="str" cm="1">
        <f t="array" ref="S1457">_xlfn.REGEXEXTRACT(E1457, "[0-9]{1,5}")</f>
        <v>1983</v>
      </c>
      <c r="T1457" t="s">
        <v>4198</v>
      </c>
      <c r="U1457" t="s">
        <v>3897</v>
      </c>
    </row>
    <row r="1458" spans="1:21">
      <c r="A1458" s="136">
        <v>2</v>
      </c>
      <c r="B1458" s="246">
        <v>1983</v>
      </c>
      <c r="C1458" s="247" t="s">
        <v>25</v>
      </c>
      <c r="D1458" s="247" t="s">
        <v>1962</v>
      </c>
      <c r="E1458" s="248" t="s">
        <v>662</v>
      </c>
      <c r="F1458" s="235" t="s">
        <v>4272</v>
      </c>
      <c r="G1458" s="248" t="s">
        <v>2579</v>
      </c>
      <c r="H1458" s="249">
        <v>0.05</v>
      </c>
      <c r="I1458" s="249">
        <v>0.05</v>
      </c>
      <c r="J1458" s="246">
        <v>1</v>
      </c>
      <c r="K1458" s="250"/>
      <c r="L1458" s="248"/>
      <c r="M1458" s="276" t="str">
        <f t="shared" si="41"/>
        <v>Photo</v>
      </c>
      <c r="N1458" s="279" t="s">
        <v>25</v>
      </c>
      <c r="O1458" t="str">
        <f t="shared" si="37"/>
        <v>1983-P Jefferson Nickel</v>
      </c>
      <c r="P1458" s="235" t="s">
        <v>922</v>
      </c>
      <c r="Q1458">
        <f>MATCH(P1458,NickelMintage!A:A,)</f>
        <v>128</v>
      </c>
      <c r="S1458" t="str" cm="1">
        <f t="array" ref="S1458">_xlfn.REGEXEXTRACT(E1458, "[0-9]{1,5}")</f>
        <v>1983</v>
      </c>
      <c r="T1458" t="s">
        <v>4199</v>
      </c>
      <c r="U1458" t="s">
        <v>3897</v>
      </c>
    </row>
    <row r="1459" spans="1:21">
      <c r="A1459" s="136">
        <v>2</v>
      </c>
      <c r="B1459" s="246">
        <v>1983</v>
      </c>
      <c r="C1459" s="247" t="s">
        <v>13</v>
      </c>
      <c r="D1459" s="247" t="s">
        <v>1962</v>
      </c>
      <c r="E1459" s="248" t="s">
        <v>663</v>
      </c>
      <c r="F1459" s="235" t="s">
        <v>4272</v>
      </c>
      <c r="G1459" s="248" t="s">
        <v>2579</v>
      </c>
      <c r="H1459" s="249">
        <v>0.05</v>
      </c>
      <c r="I1459" s="249">
        <v>0.05</v>
      </c>
      <c r="J1459" s="246">
        <v>1</v>
      </c>
      <c r="K1459" s="250"/>
      <c r="L1459" s="248"/>
      <c r="M1459" s="276" t="str">
        <f t="shared" si="41"/>
        <v>Photo</v>
      </c>
      <c r="N1459" s="279" t="s">
        <v>25</v>
      </c>
      <c r="O1459" t="str">
        <f t="shared" si="37"/>
        <v>1983-D Jefferson Nickel</v>
      </c>
      <c r="P1459" s="235" t="s">
        <v>922</v>
      </c>
      <c r="Q1459">
        <f>MATCH(P1459,NickelMintage!A:A,)</f>
        <v>128</v>
      </c>
      <c r="S1459" t="str" cm="1">
        <f t="array" ref="S1459">_xlfn.REGEXEXTRACT(E1459, "[0-9]{1,5}")</f>
        <v>1983</v>
      </c>
      <c r="T1459" t="s">
        <v>4199</v>
      </c>
      <c r="U1459" t="s">
        <v>3897</v>
      </c>
    </row>
    <row r="1460" spans="1:21">
      <c r="A1460" s="136">
        <v>2</v>
      </c>
      <c r="B1460" s="246">
        <v>1983</v>
      </c>
      <c r="C1460" s="247" t="s">
        <v>25</v>
      </c>
      <c r="D1460" s="247" t="s">
        <v>1962</v>
      </c>
      <c r="E1460" s="248" t="s">
        <v>664</v>
      </c>
      <c r="F1460" s="235" t="s">
        <v>4272</v>
      </c>
      <c r="G1460" s="248" t="s">
        <v>2579</v>
      </c>
      <c r="H1460" s="249">
        <v>0.05</v>
      </c>
      <c r="I1460" s="249">
        <v>0.05</v>
      </c>
      <c r="J1460" s="246">
        <v>1</v>
      </c>
      <c r="K1460" s="250"/>
      <c r="L1460" s="248"/>
      <c r="M1460" s="276" t="str">
        <f t="shared" si="41"/>
        <v>Photo</v>
      </c>
      <c r="N1460" s="279" t="s">
        <v>25</v>
      </c>
      <c r="O1460" t="str">
        <f t="shared" si="37"/>
        <v>1983-P Jefferson Nickel</v>
      </c>
      <c r="P1460" s="235" t="s">
        <v>923</v>
      </c>
      <c r="Q1460">
        <f>MATCH(P1460,NickelMintage!A:A,)</f>
        <v>129</v>
      </c>
      <c r="S1460" t="str" cm="1">
        <f t="array" ref="S1460">_xlfn.REGEXEXTRACT(E1460, "[0-9]{1,5}")</f>
        <v>1983</v>
      </c>
      <c r="T1460" t="s">
        <v>4200</v>
      </c>
      <c r="U1460" t="s">
        <v>3897</v>
      </c>
    </row>
    <row r="1461" spans="1:21">
      <c r="A1461" s="136">
        <v>2</v>
      </c>
      <c r="B1461" s="246">
        <v>1983</v>
      </c>
      <c r="C1461" s="247" t="s">
        <v>13</v>
      </c>
      <c r="D1461" s="247" t="s">
        <v>1962</v>
      </c>
      <c r="E1461" s="248" t="s">
        <v>665</v>
      </c>
      <c r="F1461" s="235" t="s">
        <v>4272</v>
      </c>
      <c r="G1461" s="248" t="s">
        <v>2579</v>
      </c>
      <c r="H1461" s="249">
        <v>0.05</v>
      </c>
      <c r="I1461" s="249">
        <v>0.05</v>
      </c>
      <c r="J1461" s="246">
        <v>1</v>
      </c>
      <c r="K1461" s="250"/>
      <c r="L1461" s="248"/>
      <c r="M1461" s="276" t="str">
        <f t="shared" si="41"/>
        <v>Photo</v>
      </c>
      <c r="N1461" s="279" t="s">
        <v>25</v>
      </c>
      <c r="O1461" t="str">
        <f t="shared" si="37"/>
        <v>1983-D Jefferson Nickel</v>
      </c>
      <c r="P1461" s="235" t="s">
        <v>923</v>
      </c>
      <c r="Q1461">
        <f>MATCH(P1461,NickelMintage!A:A,)</f>
        <v>129</v>
      </c>
      <c r="S1461" t="str" cm="1">
        <f t="array" ref="S1461">_xlfn.REGEXEXTRACT(E1461, "[0-9]{1,5}")</f>
        <v>1983</v>
      </c>
      <c r="T1461" t="s">
        <v>4200</v>
      </c>
      <c r="U1461" t="s">
        <v>3897</v>
      </c>
    </row>
    <row r="1462" spans="1:21">
      <c r="A1462" s="136">
        <v>2</v>
      </c>
      <c r="B1462" s="246">
        <v>1983</v>
      </c>
      <c r="C1462" s="247" t="s">
        <v>13</v>
      </c>
      <c r="D1462" s="247" t="s">
        <v>1962</v>
      </c>
      <c r="E1462" s="248" t="s">
        <v>666</v>
      </c>
      <c r="F1462" s="235" t="s">
        <v>4272</v>
      </c>
      <c r="G1462" s="248" t="s">
        <v>2579</v>
      </c>
      <c r="H1462" s="249">
        <v>0.05</v>
      </c>
      <c r="I1462" s="249">
        <v>0.05</v>
      </c>
      <c r="J1462" s="246">
        <v>1</v>
      </c>
      <c r="K1462" s="250"/>
      <c r="L1462" s="248"/>
      <c r="M1462" s="276" t="str">
        <f t="shared" si="41"/>
        <v>Photo</v>
      </c>
      <c r="N1462" s="279" t="s">
        <v>25</v>
      </c>
      <c r="O1462" t="str">
        <f t="shared" si="37"/>
        <v>1983-D Jefferson Nickel</v>
      </c>
      <c r="P1462" s="235" t="s">
        <v>923</v>
      </c>
      <c r="Q1462">
        <f>MATCH(P1462,NickelMintage!A:A,)</f>
        <v>129</v>
      </c>
      <c r="S1462" t="str" cm="1">
        <f t="array" ref="S1462">_xlfn.REGEXEXTRACT(E1462, "[0-9]{1,5}")</f>
        <v>1983</v>
      </c>
      <c r="T1462" t="s">
        <v>4200</v>
      </c>
      <c r="U1462" t="s">
        <v>3897</v>
      </c>
    </row>
    <row r="1463" spans="1:21">
      <c r="A1463" s="136">
        <v>2</v>
      </c>
      <c r="B1463" s="270">
        <v>1983</v>
      </c>
      <c r="C1463" s="136" t="s">
        <v>12</v>
      </c>
      <c r="D1463" s="257" t="s">
        <v>1962</v>
      </c>
      <c r="E1463" s="235" t="s">
        <v>5623</v>
      </c>
      <c r="F1463" s="235" t="s">
        <v>5144</v>
      </c>
      <c r="G1463" s="3" t="s">
        <v>2584</v>
      </c>
      <c r="H1463" s="236">
        <v>1.25</v>
      </c>
      <c r="I1463" s="236">
        <v>1.25</v>
      </c>
      <c r="J1463" s="233">
        <v>1</v>
      </c>
      <c r="N1463" s="279"/>
      <c r="O1463" t="str">
        <f t="shared" si="37"/>
        <v>1983-S Jefferson Nickel Proof</v>
      </c>
      <c r="P1463" s="235" t="s">
        <v>923</v>
      </c>
      <c r="Q1463">
        <f>MATCH(P1463,NickelMintage!A:A,)</f>
        <v>129</v>
      </c>
      <c r="S1463" t="str" cm="1">
        <f t="array" ref="S1463">_xlfn.REGEXEXTRACT(E1463, "[0-9]{1,5}")</f>
        <v>1983</v>
      </c>
      <c r="T1463" t="s">
        <v>4200</v>
      </c>
      <c r="U1463" t="s">
        <v>3897</v>
      </c>
    </row>
    <row r="1464" spans="1:21">
      <c r="A1464" s="136">
        <v>2</v>
      </c>
      <c r="B1464" s="246">
        <v>1983</v>
      </c>
      <c r="C1464" s="247" t="s">
        <v>25</v>
      </c>
      <c r="D1464" s="247" t="s">
        <v>1962</v>
      </c>
      <c r="E1464" s="248" t="s">
        <v>667</v>
      </c>
      <c r="F1464" s="235" t="s">
        <v>4272</v>
      </c>
      <c r="G1464" s="248" t="s">
        <v>2579</v>
      </c>
      <c r="H1464" s="249">
        <v>0.05</v>
      </c>
      <c r="I1464" s="249">
        <v>0.05</v>
      </c>
      <c r="J1464" s="246">
        <v>1</v>
      </c>
      <c r="K1464" s="250"/>
      <c r="L1464" s="248"/>
      <c r="M1464" s="276" t="str">
        <f>HYPERLINK($Y$2&amp;E1464&amp;$AA$2,"Photo")</f>
        <v>Photo</v>
      </c>
      <c r="N1464" s="279" t="s">
        <v>25</v>
      </c>
      <c r="O1464" t="str">
        <f t="shared" si="37"/>
        <v>1983-P Jefferson Nickel</v>
      </c>
      <c r="P1464" s="235" t="s">
        <v>925</v>
      </c>
      <c r="Q1464">
        <f>MATCH(P1464,NickelMintage!A:A,)</f>
        <v>131</v>
      </c>
      <c r="S1464" t="str" cm="1">
        <f t="array" ref="S1464">_xlfn.REGEXEXTRACT(E1464, "[0-9]{1,5}")</f>
        <v>1983</v>
      </c>
      <c r="T1464" t="s">
        <v>4201</v>
      </c>
      <c r="U1464" t="s">
        <v>3897</v>
      </c>
    </row>
    <row r="1465" spans="1:21">
      <c r="A1465" s="136">
        <v>2</v>
      </c>
      <c r="B1465" s="246">
        <v>1984</v>
      </c>
      <c r="C1465" s="247" t="s">
        <v>13</v>
      </c>
      <c r="D1465" s="247" t="s">
        <v>1962</v>
      </c>
      <c r="E1465" s="248" t="s">
        <v>668</v>
      </c>
      <c r="F1465" s="235" t="s">
        <v>4272</v>
      </c>
      <c r="G1465" s="248" t="s">
        <v>2579</v>
      </c>
      <c r="H1465" s="249">
        <v>0.05</v>
      </c>
      <c r="I1465" s="249">
        <v>0.05</v>
      </c>
      <c r="J1465" s="246">
        <v>1</v>
      </c>
      <c r="K1465" s="250"/>
      <c r="L1465" s="248"/>
      <c r="M1465" s="276" t="str">
        <f>HYPERLINK($Y$2&amp;E1465&amp;$AA$2,"Photo")</f>
        <v>Photo</v>
      </c>
      <c r="N1465" s="279" t="s">
        <v>25</v>
      </c>
      <c r="O1465" t="str">
        <f t="shared" si="37"/>
        <v>1984-D Jefferson Nickel</v>
      </c>
      <c r="P1465" s="235" t="s">
        <v>925</v>
      </c>
      <c r="Q1465">
        <f>MATCH(P1465,NickelMintage!A:A,)</f>
        <v>131</v>
      </c>
      <c r="S1465" t="str" cm="1">
        <f t="array" ref="S1465">_xlfn.REGEXEXTRACT(E1465, "[0-9]{1,5}")</f>
        <v>1984</v>
      </c>
      <c r="T1465" t="s">
        <v>4201</v>
      </c>
      <c r="U1465" t="s">
        <v>3897</v>
      </c>
    </row>
    <row r="1466" spans="1:21">
      <c r="A1466" s="136">
        <v>2</v>
      </c>
      <c r="B1466" s="246">
        <v>1984</v>
      </c>
      <c r="C1466" s="247" t="s">
        <v>13</v>
      </c>
      <c r="D1466" s="247" t="s">
        <v>1962</v>
      </c>
      <c r="E1466" s="248" t="s">
        <v>669</v>
      </c>
      <c r="F1466" s="235" t="s">
        <v>4272</v>
      </c>
      <c r="G1466" s="248" t="s">
        <v>2579</v>
      </c>
      <c r="H1466" s="249">
        <v>0.05</v>
      </c>
      <c r="I1466" s="249">
        <v>0.05</v>
      </c>
      <c r="J1466" s="246">
        <v>1</v>
      </c>
      <c r="K1466" s="250"/>
      <c r="L1466" s="248"/>
      <c r="M1466" s="276" t="str">
        <f>HYPERLINK($Y$2&amp;E1466&amp;$AA$2,"Photo")</f>
        <v>Photo</v>
      </c>
      <c r="N1466" s="279" t="s">
        <v>25</v>
      </c>
      <c r="O1466" t="str">
        <f t="shared" si="37"/>
        <v>1984-D Jefferson Nickel</v>
      </c>
      <c r="P1466" s="235" t="s">
        <v>925</v>
      </c>
      <c r="Q1466">
        <f>MATCH(P1466,NickelMintage!A:A,)</f>
        <v>131</v>
      </c>
      <c r="S1466" t="str" cm="1">
        <f t="array" ref="S1466">_xlfn.REGEXEXTRACT(E1466, "[0-9]{1,5}")</f>
        <v>1984</v>
      </c>
      <c r="T1466" t="s">
        <v>4201</v>
      </c>
      <c r="U1466" t="s">
        <v>3897</v>
      </c>
    </row>
    <row r="1467" spans="1:21">
      <c r="A1467" s="136">
        <v>2</v>
      </c>
      <c r="B1467" s="270">
        <v>1984</v>
      </c>
      <c r="C1467" s="136" t="s">
        <v>25</v>
      </c>
      <c r="D1467" s="257" t="s">
        <v>1962</v>
      </c>
      <c r="E1467" s="235" t="s">
        <v>5624</v>
      </c>
      <c r="F1467" s="235" t="s">
        <v>4272</v>
      </c>
      <c r="G1467" s="3" t="s">
        <v>5617</v>
      </c>
      <c r="H1467" s="236">
        <v>0.75</v>
      </c>
      <c r="I1467" s="236">
        <v>0.75</v>
      </c>
      <c r="J1467" s="233">
        <v>1</v>
      </c>
      <c r="N1467" s="279"/>
      <c r="O1467" t="str">
        <f t="shared" si="37"/>
        <v>1984-P Jefferson Nickel</v>
      </c>
      <c r="P1467" s="235" t="s">
        <v>925</v>
      </c>
      <c r="Q1467">
        <f>MATCH(P1467,NickelMintage!A:A,)</f>
        <v>131</v>
      </c>
      <c r="S1467" t="str" cm="1">
        <f t="array" ref="S1467">_xlfn.REGEXEXTRACT(E1467, "[0-9]{1,5}")</f>
        <v>1984</v>
      </c>
      <c r="T1467" t="s">
        <v>4201</v>
      </c>
      <c r="U1467" t="s">
        <v>3897</v>
      </c>
    </row>
    <row r="1468" spans="1:21">
      <c r="A1468" s="136">
        <v>2</v>
      </c>
      <c r="B1468" s="270">
        <v>1984</v>
      </c>
      <c r="C1468" s="136" t="s">
        <v>12</v>
      </c>
      <c r="D1468" s="257" t="s">
        <v>1962</v>
      </c>
      <c r="E1468" s="235" t="s">
        <v>5625</v>
      </c>
      <c r="F1468" s="235" t="s">
        <v>5144</v>
      </c>
      <c r="G1468" s="3" t="s">
        <v>2584</v>
      </c>
      <c r="H1468" s="236">
        <v>1.25</v>
      </c>
      <c r="I1468" s="236">
        <v>1.25</v>
      </c>
      <c r="J1468" s="233">
        <v>1</v>
      </c>
      <c r="N1468" s="279"/>
      <c r="O1468" t="str">
        <f t="shared" si="37"/>
        <v>1984-S Jefferson Nickel Proof</v>
      </c>
      <c r="P1468" s="235" t="s">
        <v>926</v>
      </c>
      <c r="Q1468">
        <f>MATCH(P1468,NickelMintage!A:A,)</f>
        <v>132</v>
      </c>
      <c r="S1468" t="str" cm="1">
        <f t="array" ref="S1468">_xlfn.REGEXEXTRACT(E1468, "[0-9]{1,5}")</f>
        <v>1984</v>
      </c>
      <c r="T1468" t="s">
        <v>4201</v>
      </c>
      <c r="U1468" t="s">
        <v>3897</v>
      </c>
    </row>
    <row r="1469" spans="1:21">
      <c r="A1469" s="136">
        <v>2</v>
      </c>
      <c r="B1469" s="270">
        <v>1985</v>
      </c>
      <c r="C1469" s="136" t="s">
        <v>12</v>
      </c>
      <c r="D1469" s="257" t="s">
        <v>1962</v>
      </c>
      <c r="E1469" s="235" t="s">
        <v>5627</v>
      </c>
      <c r="F1469" s="235" t="s">
        <v>5144</v>
      </c>
      <c r="G1469" s="3" t="s">
        <v>2584</v>
      </c>
      <c r="H1469" s="236">
        <v>1.5</v>
      </c>
      <c r="I1469" s="236">
        <v>1.5</v>
      </c>
      <c r="J1469" s="233">
        <v>1</v>
      </c>
      <c r="N1469" s="279"/>
      <c r="O1469" t="str">
        <f t="shared" si="37"/>
        <v>1985-S Jefferson Nickel Proof</v>
      </c>
      <c r="P1469" s="235" t="s">
        <v>926</v>
      </c>
      <c r="Q1469">
        <f>MATCH(P1469,NickelMintage!A:A,)</f>
        <v>132</v>
      </c>
      <c r="S1469" t="str" cm="1">
        <f t="array" ref="S1469">_xlfn.REGEXEXTRACT(E1469, "[0-9]{1,5}")</f>
        <v>1685</v>
      </c>
      <c r="T1469" t="s">
        <v>4201</v>
      </c>
      <c r="U1469" t="s">
        <v>3897</v>
      </c>
    </row>
    <row r="1470" spans="1:21">
      <c r="A1470" s="136">
        <v>2</v>
      </c>
      <c r="B1470" s="246">
        <v>1985</v>
      </c>
      <c r="C1470" s="247" t="s">
        <v>25</v>
      </c>
      <c r="D1470" s="247" t="s">
        <v>1962</v>
      </c>
      <c r="E1470" s="248" t="s">
        <v>670</v>
      </c>
      <c r="F1470" s="235" t="s">
        <v>4272</v>
      </c>
      <c r="G1470" s="248" t="s">
        <v>2579</v>
      </c>
      <c r="H1470" s="249">
        <v>0.05</v>
      </c>
      <c r="I1470" s="249">
        <v>0.05</v>
      </c>
      <c r="J1470" s="246">
        <v>1</v>
      </c>
      <c r="K1470" s="250"/>
      <c r="L1470" s="248"/>
      <c r="M1470" s="276" t="str">
        <f>HYPERLINK($Y$2&amp;E1470&amp;$AA$2,"Photo")</f>
        <v>Photo</v>
      </c>
      <c r="N1470" s="279" t="s">
        <v>25</v>
      </c>
      <c r="O1470" t="str">
        <f t="shared" si="37"/>
        <v>1985-P Jefferson Nickel</v>
      </c>
      <c r="P1470" s="235" t="s">
        <v>927</v>
      </c>
      <c r="Q1470">
        <f>MATCH(P1470,NickelMintage!A:A,)</f>
        <v>133</v>
      </c>
      <c r="S1470" t="str" cm="1">
        <f t="array" ref="S1470">_xlfn.REGEXEXTRACT(E1470, "[0-9]{1,5}")</f>
        <v>1985</v>
      </c>
      <c r="T1470" t="s">
        <v>4202</v>
      </c>
      <c r="U1470" t="s">
        <v>3897</v>
      </c>
    </row>
    <row r="1471" spans="1:21">
      <c r="A1471" s="136">
        <v>2</v>
      </c>
      <c r="B1471" s="246">
        <v>1985</v>
      </c>
      <c r="C1471" s="247" t="s">
        <v>25</v>
      </c>
      <c r="D1471" s="247" t="s">
        <v>1962</v>
      </c>
      <c r="E1471" s="248" t="s">
        <v>672</v>
      </c>
      <c r="F1471" s="235" t="s">
        <v>4272</v>
      </c>
      <c r="G1471" s="248" t="s">
        <v>2579</v>
      </c>
      <c r="H1471" s="249">
        <v>0.05</v>
      </c>
      <c r="I1471" s="249">
        <v>0.05</v>
      </c>
      <c r="J1471" s="246">
        <v>1</v>
      </c>
      <c r="K1471" s="250"/>
      <c r="L1471" s="248"/>
      <c r="M1471" s="276" t="str">
        <f>HYPERLINK($Y$2&amp;E1471&amp;$AA$2,"Photo")</f>
        <v>Photo</v>
      </c>
      <c r="N1471" s="279" t="s">
        <v>25</v>
      </c>
      <c r="O1471" t="str">
        <f t="shared" si="37"/>
        <v>1985-P Jefferson Nickel</v>
      </c>
      <c r="P1471" s="235" t="s">
        <v>927</v>
      </c>
      <c r="Q1471">
        <f>MATCH(P1471,NickelMintage!A:A,)</f>
        <v>133</v>
      </c>
      <c r="S1471" t="str" cm="1">
        <f t="array" ref="S1471">_xlfn.REGEXEXTRACT(E1471, "[0-9]{1,5}")</f>
        <v>1985</v>
      </c>
      <c r="T1471" t="s">
        <v>4202</v>
      </c>
      <c r="U1471" t="s">
        <v>3897</v>
      </c>
    </row>
    <row r="1472" spans="1:21">
      <c r="A1472" s="136">
        <v>2</v>
      </c>
      <c r="B1472" s="270">
        <v>1985</v>
      </c>
      <c r="C1472" s="136" t="s">
        <v>13</v>
      </c>
      <c r="D1472" s="257" t="s">
        <v>1962</v>
      </c>
      <c r="E1472" s="235" t="s">
        <v>5626</v>
      </c>
      <c r="F1472" s="235" t="s">
        <v>4272</v>
      </c>
      <c r="G1472" s="3" t="s">
        <v>2586</v>
      </c>
      <c r="H1472" s="236">
        <v>0.4</v>
      </c>
      <c r="I1472" s="236">
        <v>0.4</v>
      </c>
      <c r="J1472" s="233">
        <v>1</v>
      </c>
      <c r="N1472" s="279"/>
      <c r="O1472" t="str">
        <f t="shared" si="37"/>
        <v>1985-D Jefferson Nickel</v>
      </c>
      <c r="P1472" s="235" t="s">
        <v>927</v>
      </c>
      <c r="Q1472">
        <f>MATCH(P1472,NickelMintage!A:A,)</f>
        <v>133</v>
      </c>
      <c r="S1472" t="str" cm="1">
        <f t="array" ref="S1472">_xlfn.REGEXEXTRACT(E1472, "[0-9]{1,5}")</f>
        <v>1985</v>
      </c>
      <c r="T1472" t="s">
        <v>4202</v>
      </c>
      <c r="U1472" t="s">
        <v>3897</v>
      </c>
    </row>
    <row r="1473" spans="1:21">
      <c r="A1473" s="136">
        <v>2</v>
      </c>
      <c r="B1473" s="246">
        <v>1986</v>
      </c>
      <c r="C1473" s="247" t="s">
        <v>25</v>
      </c>
      <c r="D1473" s="247" t="s">
        <v>1962</v>
      </c>
      <c r="E1473" s="248" t="s">
        <v>673</v>
      </c>
      <c r="F1473" s="235" t="s">
        <v>4272</v>
      </c>
      <c r="G1473" s="248" t="s">
        <v>2579</v>
      </c>
      <c r="H1473" s="249">
        <v>0.05</v>
      </c>
      <c r="I1473" s="249">
        <v>0.05</v>
      </c>
      <c r="J1473" s="246">
        <v>1</v>
      </c>
      <c r="K1473" s="250"/>
      <c r="L1473" s="248"/>
      <c r="M1473" s="276" t="str">
        <f>HYPERLINK($Y$2&amp;E1473&amp;$AA$2,"Photo")</f>
        <v>Photo</v>
      </c>
      <c r="N1473" s="279" t="s">
        <v>25</v>
      </c>
      <c r="O1473" t="str">
        <f t="shared" si="37"/>
        <v>1986-P Jefferson Nickel</v>
      </c>
      <c r="P1473" s="235" t="s">
        <v>927</v>
      </c>
      <c r="Q1473">
        <f>MATCH(P1473,NickelMintage!A:A,)</f>
        <v>133</v>
      </c>
      <c r="S1473" t="str" cm="1">
        <f t="array" ref="S1473">_xlfn.REGEXEXTRACT(E1473, "[0-9]{1,5}")</f>
        <v>1986</v>
      </c>
      <c r="T1473" t="s">
        <v>4202</v>
      </c>
      <c r="U1473" t="s">
        <v>3897</v>
      </c>
    </row>
    <row r="1474" spans="1:21">
      <c r="A1474" s="136">
        <v>2</v>
      </c>
      <c r="B1474" s="246">
        <v>1986</v>
      </c>
      <c r="C1474" s="247" t="s">
        <v>25</v>
      </c>
      <c r="D1474" s="247" t="s">
        <v>1962</v>
      </c>
      <c r="E1474" s="248" t="s">
        <v>3959</v>
      </c>
      <c r="F1474" s="235" t="s">
        <v>4272</v>
      </c>
      <c r="G1474" s="248" t="s">
        <v>2579</v>
      </c>
      <c r="H1474" s="249">
        <v>0.05</v>
      </c>
      <c r="I1474" s="249">
        <v>0.05</v>
      </c>
      <c r="J1474" s="246">
        <v>1</v>
      </c>
      <c r="K1474" s="250"/>
      <c r="L1474" s="248"/>
      <c r="M1474" s="276" t="str">
        <f>HYPERLINK($Y$2&amp;E1474&amp;$AA$2,"Photo")</f>
        <v>Photo</v>
      </c>
      <c r="N1474" s="279" t="s">
        <v>25</v>
      </c>
      <c r="O1474" t="str">
        <f t="shared" si="37"/>
        <v>1986-P Jefferson Nickel</v>
      </c>
      <c r="P1474" s="235" t="s">
        <v>929</v>
      </c>
      <c r="Q1474">
        <f>MATCH(P1474,NickelMintage!A:A,)</f>
        <v>135</v>
      </c>
      <c r="S1474" t="str" cm="1">
        <f t="array" ref="S1474">_xlfn.REGEXEXTRACT(E1474, "[0-9]{1,5}")</f>
        <v>1986</v>
      </c>
      <c r="T1474" t="s">
        <v>4203</v>
      </c>
      <c r="U1474" t="s">
        <v>3897</v>
      </c>
    </row>
    <row r="1475" spans="1:21">
      <c r="A1475" s="136">
        <v>2</v>
      </c>
      <c r="B1475" s="270">
        <v>1986</v>
      </c>
      <c r="C1475" s="136" t="s">
        <v>13</v>
      </c>
      <c r="D1475" s="257" t="s">
        <v>1962</v>
      </c>
      <c r="E1475" s="235" t="s">
        <v>5628</v>
      </c>
      <c r="F1475" s="235" t="s">
        <v>4272</v>
      </c>
      <c r="G1475" s="3" t="s">
        <v>5617</v>
      </c>
      <c r="H1475" s="236">
        <v>0.6</v>
      </c>
      <c r="I1475" s="236">
        <v>0.6</v>
      </c>
      <c r="J1475" s="233">
        <v>1</v>
      </c>
      <c r="N1475" s="279"/>
      <c r="O1475" t="str">
        <f t="shared" si="37"/>
        <v>1986-D Jefferson Nickel</v>
      </c>
      <c r="P1475" s="235" t="s">
        <v>929</v>
      </c>
      <c r="Q1475">
        <f>MATCH(P1475,NickelMintage!A:A,)</f>
        <v>135</v>
      </c>
      <c r="S1475" t="str" cm="1">
        <f t="array" ref="S1475">_xlfn.REGEXEXTRACT(E1475, "[0-9]{1,5}")</f>
        <v>1986</v>
      </c>
      <c r="T1475" t="s">
        <v>4203</v>
      </c>
      <c r="U1475" t="s">
        <v>3897</v>
      </c>
    </row>
    <row r="1476" spans="1:21">
      <c r="A1476" s="136">
        <v>2</v>
      </c>
      <c r="B1476" s="270">
        <v>1986</v>
      </c>
      <c r="C1476" s="136" t="s">
        <v>12</v>
      </c>
      <c r="D1476" s="257" t="s">
        <v>1962</v>
      </c>
      <c r="E1476" s="235" t="s">
        <v>5629</v>
      </c>
      <c r="F1476" s="235" t="s">
        <v>5144</v>
      </c>
      <c r="G1476" s="3" t="s">
        <v>2584</v>
      </c>
      <c r="H1476" s="236">
        <v>2.25</v>
      </c>
      <c r="I1476" s="236">
        <v>2.25</v>
      </c>
      <c r="J1476" s="233">
        <v>1</v>
      </c>
      <c r="N1476" s="279"/>
      <c r="O1476" t="str">
        <f t="shared" ref="O1476:O1539" si="42">IF(C1476&lt;&gt;"",B1476&amp;"-"&amp;C1476&amp;" "&amp;F1476,B1476&amp;" "&amp;F1476)</f>
        <v>1986-S Jefferson Nickel Proof</v>
      </c>
      <c r="P1476" s="235" t="s">
        <v>930</v>
      </c>
      <c r="Q1476">
        <f>MATCH(P1476,NickelMintage!A:A,)</f>
        <v>136</v>
      </c>
      <c r="S1476" t="str" cm="1">
        <f t="array" ref="S1476">_xlfn.REGEXEXTRACT(E1476, "[0-9]{1,5}")</f>
        <v>1986</v>
      </c>
      <c r="T1476" t="s">
        <v>4203</v>
      </c>
      <c r="U1476" t="s">
        <v>3897</v>
      </c>
    </row>
    <row r="1477" spans="1:21">
      <c r="A1477" s="136">
        <v>2</v>
      </c>
      <c r="B1477" s="246">
        <v>1987</v>
      </c>
      <c r="C1477" s="247" t="s">
        <v>13</v>
      </c>
      <c r="D1477" s="247" t="s">
        <v>1962</v>
      </c>
      <c r="E1477" s="248" t="s">
        <v>674</v>
      </c>
      <c r="F1477" s="235" t="s">
        <v>4272</v>
      </c>
      <c r="G1477" s="248" t="s">
        <v>2579</v>
      </c>
      <c r="H1477" s="249">
        <v>0.05</v>
      </c>
      <c r="I1477" s="249">
        <v>0.05</v>
      </c>
      <c r="J1477" s="246">
        <v>1</v>
      </c>
      <c r="K1477" s="250"/>
      <c r="L1477" s="248"/>
      <c r="M1477" s="276" t="str">
        <f>HYPERLINK($Y$2&amp;E1477&amp;$AA$2,"Photo")</f>
        <v>Photo</v>
      </c>
      <c r="N1477" s="279" t="s">
        <v>25</v>
      </c>
      <c r="O1477" t="str">
        <f t="shared" si="42"/>
        <v>1987-D Jefferson Nickel</v>
      </c>
      <c r="P1477" s="235" t="s">
        <v>929</v>
      </c>
      <c r="Q1477">
        <f>MATCH(P1477,NickelMintage!A:A,)</f>
        <v>135</v>
      </c>
      <c r="S1477" t="str" cm="1">
        <f t="array" ref="S1477">_xlfn.REGEXEXTRACT(E1477, "[0-9]{1,5}")</f>
        <v>1987</v>
      </c>
      <c r="T1477" t="s">
        <v>4203</v>
      </c>
      <c r="U1477" t="s">
        <v>3897</v>
      </c>
    </row>
    <row r="1478" spans="1:21">
      <c r="A1478" s="136">
        <v>2</v>
      </c>
      <c r="B1478" s="246">
        <v>1987</v>
      </c>
      <c r="C1478" s="247" t="s">
        <v>13</v>
      </c>
      <c r="D1478" s="247" t="s">
        <v>1962</v>
      </c>
      <c r="E1478" s="248" t="s">
        <v>676</v>
      </c>
      <c r="F1478" s="235" t="s">
        <v>4272</v>
      </c>
      <c r="G1478" s="248" t="s">
        <v>2579</v>
      </c>
      <c r="H1478" s="249">
        <v>0.05</v>
      </c>
      <c r="I1478" s="249">
        <v>0.05</v>
      </c>
      <c r="J1478" s="246">
        <v>1</v>
      </c>
      <c r="K1478" s="250"/>
      <c r="L1478" s="248"/>
      <c r="M1478" s="276" t="str">
        <f>HYPERLINK($Y$2&amp;E1478&amp;$AA$2,"Photo")</f>
        <v>Photo</v>
      </c>
      <c r="N1478" s="279" t="s">
        <v>25</v>
      </c>
      <c r="O1478" t="str">
        <f t="shared" si="42"/>
        <v>1987-D Jefferson Nickel</v>
      </c>
      <c r="P1478" s="235" t="s">
        <v>931</v>
      </c>
      <c r="Q1478">
        <f>MATCH(P1478,NickelMintage!A:A,)</f>
        <v>137</v>
      </c>
      <c r="S1478" t="str" cm="1">
        <f t="array" ref="S1478">_xlfn.REGEXEXTRACT(E1478, "[0-9]{1,5}")</f>
        <v>1987</v>
      </c>
      <c r="T1478" t="s">
        <v>4204</v>
      </c>
      <c r="U1478" t="s">
        <v>3897</v>
      </c>
    </row>
    <row r="1479" spans="1:21">
      <c r="A1479" s="136">
        <v>2</v>
      </c>
      <c r="B1479" s="270">
        <v>1987</v>
      </c>
      <c r="C1479" s="136" t="s">
        <v>25</v>
      </c>
      <c r="D1479" s="257" t="s">
        <v>1962</v>
      </c>
      <c r="E1479" s="235" t="s">
        <v>5630</v>
      </c>
      <c r="F1479" s="235" t="s">
        <v>4272</v>
      </c>
      <c r="G1479" s="3" t="s">
        <v>5617</v>
      </c>
      <c r="H1479" s="236">
        <v>0.4</v>
      </c>
      <c r="I1479" s="236">
        <v>0.4</v>
      </c>
      <c r="J1479" s="233">
        <v>1</v>
      </c>
      <c r="N1479" s="279"/>
      <c r="O1479" t="str">
        <f t="shared" si="42"/>
        <v>1987-P Jefferson Nickel</v>
      </c>
      <c r="P1479" s="235" t="s">
        <v>931</v>
      </c>
      <c r="Q1479">
        <f>MATCH(P1479,NickelMintage!A:A,)</f>
        <v>137</v>
      </c>
      <c r="S1479" t="str" cm="1">
        <f t="array" ref="S1479">_xlfn.REGEXEXTRACT(E1479, "[0-9]{1,5}")</f>
        <v>1987</v>
      </c>
      <c r="T1479" t="s">
        <v>4204</v>
      </c>
      <c r="U1479" t="s">
        <v>3897</v>
      </c>
    </row>
    <row r="1480" spans="1:21">
      <c r="A1480" s="136">
        <v>2</v>
      </c>
      <c r="B1480" s="270">
        <v>1987</v>
      </c>
      <c r="C1480" s="136" t="s">
        <v>12</v>
      </c>
      <c r="D1480" s="257" t="s">
        <v>1962</v>
      </c>
      <c r="E1480" s="235" t="s">
        <v>5631</v>
      </c>
      <c r="F1480" s="235" t="s">
        <v>5144</v>
      </c>
      <c r="G1480" s="3" t="s">
        <v>2584</v>
      </c>
      <c r="H1480" s="236">
        <v>0.75</v>
      </c>
      <c r="I1480" s="236">
        <v>0.75</v>
      </c>
      <c r="J1480" s="233">
        <v>1</v>
      </c>
      <c r="N1480" s="279"/>
      <c r="O1480" t="str">
        <f t="shared" si="42"/>
        <v>1987-S Jefferson Nickel Proof</v>
      </c>
      <c r="P1480" s="235" t="s">
        <v>931</v>
      </c>
      <c r="Q1480">
        <f>MATCH(P1480,NickelMintage!A:A,)</f>
        <v>137</v>
      </c>
      <c r="S1480" t="str" cm="1">
        <f t="array" ref="S1480">_xlfn.REGEXEXTRACT(E1480, "[0-9]{1,5}")</f>
        <v>1987</v>
      </c>
      <c r="T1480" t="s">
        <v>4204</v>
      </c>
      <c r="U1480" t="s">
        <v>3897</v>
      </c>
    </row>
    <row r="1481" spans="1:21">
      <c r="A1481" s="136">
        <v>2</v>
      </c>
      <c r="B1481" s="246">
        <v>1988</v>
      </c>
      <c r="C1481" s="247" t="s">
        <v>13</v>
      </c>
      <c r="D1481" s="247" t="s">
        <v>1962</v>
      </c>
      <c r="E1481" s="248" t="s">
        <v>677</v>
      </c>
      <c r="F1481" s="235" t="s">
        <v>4272</v>
      </c>
      <c r="G1481" s="248" t="s">
        <v>2579</v>
      </c>
      <c r="H1481" s="249">
        <v>0.05</v>
      </c>
      <c r="I1481" s="249">
        <v>0.05</v>
      </c>
      <c r="J1481" s="246">
        <v>1</v>
      </c>
      <c r="K1481" s="250"/>
      <c r="L1481" s="248"/>
      <c r="M1481" s="276" t="str">
        <f>HYPERLINK($Y$2&amp;E1481&amp;$AA$2,"Photo")</f>
        <v>Photo</v>
      </c>
      <c r="N1481" s="279" t="s">
        <v>25</v>
      </c>
      <c r="O1481" t="str">
        <f t="shared" si="42"/>
        <v>1988-D Jefferson Nickel</v>
      </c>
      <c r="P1481" s="235" t="s">
        <v>932</v>
      </c>
      <c r="Q1481">
        <f>MATCH(P1481,NickelMintage!A:A,)</f>
        <v>138</v>
      </c>
      <c r="S1481" t="str" cm="1">
        <f t="array" ref="S1481">_xlfn.REGEXEXTRACT(E1481, "[0-9]{1,5}")</f>
        <v>1988</v>
      </c>
      <c r="T1481" t="s">
        <v>4204</v>
      </c>
      <c r="U1481" t="s">
        <v>3897</v>
      </c>
    </row>
    <row r="1482" spans="1:21">
      <c r="A1482" s="136">
        <v>2</v>
      </c>
      <c r="B1482" s="246">
        <v>1988</v>
      </c>
      <c r="C1482" s="247" t="s">
        <v>13</v>
      </c>
      <c r="D1482" s="247" t="s">
        <v>1962</v>
      </c>
      <c r="E1482" s="248" t="s">
        <v>679</v>
      </c>
      <c r="F1482" s="235" t="s">
        <v>4272</v>
      </c>
      <c r="G1482" s="248" t="s">
        <v>2579</v>
      </c>
      <c r="H1482" s="249">
        <v>0.05</v>
      </c>
      <c r="I1482" s="249">
        <v>0.05</v>
      </c>
      <c r="J1482" s="246">
        <v>1</v>
      </c>
      <c r="K1482" s="250"/>
      <c r="L1482" s="248"/>
      <c r="M1482" s="276" t="str">
        <f>HYPERLINK($Y$2&amp;E1482&amp;$AA$2,"Photo")</f>
        <v>Photo</v>
      </c>
      <c r="N1482" s="279" t="s">
        <v>25</v>
      </c>
      <c r="O1482" t="str">
        <f t="shared" si="42"/>
        <v>1988-D Jefferson Nickel</v>
      </c>
      <c r="P1482" s="235" t="s">
        <v>932</v>
      </c>
      <c r="Q1482">
        <f>MATCH(P1482,NickelMintage!A:A,)</f>
        <v>138</v>
      </c>
      <c r="S1482" t="str" cm="1">
        <f t="array" ref="S1482">_xlfn.REGEXEXTRACT(E1482, "[0-9]{1,5}")</f>
        <v>1988</v>
      </c>
      <c r="T1482" t="s">
        <v>4204</v>
      </c>
      <c r="U1482" t="s">
        <v>3897</v>
      </c>
    </row>
    <row r="1483" spans="1:21">
      <c r="A1483" s="136">
        <v>2</v>
      </c>
      <c r="B1483" s="270">
        <v>1988</v>
      </c>
      <c r="C1483" s="136" t="s">
        <v>25</v>
      </c>
      <c r="D1483" s="257" t="s">
        <v>1962</v>
      </c>
      <c r="E1483" s="235" t="s">
        <v>5632</v>
      </c>
      <c r="F1483" s="235" t="s">
        <v>4272</v>
      </c>
      <c r="G1483" s="3" t="s">
        <v>5617</v>
      </c>
      <c r="H1483" s="236">
        <v>0.35</v>
      </c>
      <c r="I1483" s="236">
        <v>0.35</v>
      </c>
      <c r="J1483" s="233">
        <v>1</v>
      </c>
      <c r="N1483" s="279"/>
      <c r="O1483" t="str">
        <f t="shared" si="42"/>
        <v>1988-P Jefferson Nickel</v>
      </c>
      <c r="P1483" s="235" t="s">
        <v>933</v>
      </c>
      <c r="Q1483">
        <f>MATCH(P1483,NickelMintage!A:A,)</f>
        <v>139</v>
      </c>
      <c r="S1483" t="str" cm="1">
        <f t="array" ref="S1483">_xlfn.REGEXEXTRACT(E1483, "[0-9]{1,5}")</f>
        <v>1988</v>
      </c>
      <c r="T1483" t="s">
        <v>4205</v>
      </c>
      <c r="U1483" t="s">
        <v>3897</v>
      </c>
    </row>
    <row r="1484" spans="1:21">
      <c r="A1484" s="136">
        <v>2</v>
      </c>
      <c r="B1484" s="270">
        <v>1988</v>
      </c>
      <c r="C1484" s="136" t="s">
        <v>12</v>
      </c>
      <c r="D1484" s="257" t="s">
        <v>1962</v>
      </c>
      <c r="E1484" s="235" t="s">
        <v>5633</v>
      </c>
      <c r="F1484" s="235" t="s">
        <v>5144</v>
      </c>
      <c r="G1484" s="3" t="s">
        <v>2584</v>
      </c>
      <c r="H1484" s="236">
        <v>1.5</v>
      </c>
      <c r="I1484" s="236">
        <v>1.5</v>
      </c>
      <c r="J1484" s="233">
        <v>1</v>
      </c>
      <c r="N1484" s="279"/>
      <c r="O1484" t="str">
        <f t="shared" si="42"/>
        <v>1988-S Jefferson Nickel Proof</v>
      </c>
      <c r="P1484" s="235" t="s">
        <v>933</v>
      </c>
      <c r="Q1484">
        <f>MATCH(P1484,NickelMintage!A:A,)</f>
        <v>139</v>
      </c>
      <c r="S1484" t="str" cm="1">
        <f t="array" ref="S1484">_xlfn.REGEXEXTRACT(E1484, "[0-9]{1,5}")</f>
        <v>1988</v>
      </c>
      <c r="T1484" t="s">
        <v>4205</v>
      </c>
      <c r="U1484" t="s">
        <v>3897</v>
      </c>
    </row>
    <row r="1485" spans="1:21">
      <c r="A1485" s="136">
        <v>2</v>
      </c>
      <c r="B1485" s="246">
        <v>1989</v>
      </c>
      <c r="C1485" s="247" t="s">
        <v>13</v>
      </c>
      <c r="D1485" s="247" t="s">
        <v>1962</v>
      </c>
      <c r="E1485" s="248" t="s">
        <v>680</v>
      </c>
      <c r="F1485" s="235" t="s">
        <v>4272</v>
      </c>
      <c r="G1485" s="248" t="s">
        <v>2579</v>
      </c>
      <c r="H1485" s="249">
        <v>0.05</v>
      </c>
      <c r="I1485" s="249">
        <v>0.05</v>
      </c>
      <c r="J1485" s="246">
        <v>1</v>
      </c>
      <c r="K1485" s="250"/>
      <c r="L1485" s="248"/>
      <c r="M1485" s="276" t="str">
        <f>HYPERLINK($Y$2&amp;E1485&amp;$AA$2,"Photo")</f>
        <v>Photo</v>
      </c>
      <c r="N1485" s="279" t="s">
        <v>25</v>
      </c>
      <c r="O1485" t="str">
        <f t="shared" si="42"/>
        <v>1989-D Jefferson Nickel</v>
      </c>
      <c r="P1485" s="235" t="s">
        <v>933</v>
      </c>
      <c r="Q1485">
        <f>MATCH(P1485,NickelMintage!A:A,)</f>
        <v>139</v>
      </c>
      <c r="S1485" t="str" cm="1">
        <f t="array" ref="S1485">_xlfn.REGEXEXTRACT(E1485, "[0-9]{1,5}")</f>
        <v>1989</v>
      </c>
      <c r="T1485" t="s">
        <v>4205</v>
      </c>
      <c r="U1485" t="s">
        <v>3897</v>
      </c>
    </row>
    <row r="1486" spans="1:21">
      <c r="A1486" s="136">
        <v>2</v>
      </c>
      <c r="B1486" s="246">
        <v>1989</v>
      </c>
      <c r="C1486" s="247" t="s">
        <v>13</v>
      </c>
      <c r="D1486" s="247" t="s">
        <v>1962</v>
      </c>
      <c r="E1486" s="248" t="s">
        <v>681</v>
      </c>
      <c r="F1486" s="235" t="s">
        <v>4272</v>
      </c>
      <c r="G1486" s="248" t="s">
        <v>2579</v>
      </c>
      <c r="H1486" s="249">
        <v>0.05</v>
      </c>
      <c r="I1486" s="249">
        <v>0.05</v>
      </c>
      <c r="J1486" s="246">
        <v>1</v>
      </c>
      <c r="K1486" s="250"/>
      <c r="L1486" s="248"/>
      <c r="M1486" s="276" t="str">
        <f>HYPERLINK($Y$2&amp;E1486&amp;$AA$2,"Photo")</f>
        <v>Photo</v>
      </c>
      <c r="N1486" s="279" t="s">
        <v>25</v>
      </c>
      <c r="O1486" t="str">
        <f t="shared" si="42"/>
        <v>1989-D Jefferson Nickel</v>
      </c>
      <c r="P1486" s="235" t="s">
        <v>936</v>
      </c>
      <c r="Q1486">
        <f>MATCH(P1486,NickelMintage!A:A,)</f>
        <v>142</v>
      </c>
      <c r="S1486" t="str" cm="1">
        <f t="array" ref="S1486">_xlfn.REGEXEXTRACT(E1486, "[0-9]{1,5}")</f>
        <v>1989</v>
      </c>
      <c r="T1486" t="s">
        <v>4206</v>
      </c>
      <c r="U1486" t="s">
        <v>3897</v>
      </c>
    </row>
    <row r="1487" spans="1:21">
      <c r="A1487" s="136">
        <v>2</v>
      </c>
      <c r="B1487" s="246">
        <v>1989</v>
      </c>
      <c r="C1487" s="247" t="s">
        <v>25</v>
      </c>
      <c r="D1487" s="247" t="s">
        <v>1962</v>
      </c>
      <c r="E1487" s="248" t="s">
        <v>682</v>
      </c>
      <c r="F1487" s="235" t="s">
        <v>4272</v>
      </c>
      <c r="G1487" s="248" t="s">
        <v>2579</v>
      </c>
      <c r="H1487" s="249">
        <v>0.05</v>
      </c>
      <c r="I1487" s="249">
        <v>0.05</v>
      </c>
      <c r="J1487" s="246">
        <v>1</v>
      </c>
      <c r="K1487" s="250"/>
      <c r="L1487" s="248"/>
      <c r="M1487" s="276" t="str">
        <f>HYPERLINK($Y$2&amp;E1487&amp;$AA$2,"Photo")</f>
        <v>Photo</v>
      </c>
      <c r="N1487" s="279" t="s">
        <v>25</v>
      </c>
      <c r="O1487" t="str">
        <f t="shared" si="42"/>
        <v>1989-P Jefferson Nickel</v>
      </c>
      <c r="P1487" s="235" t="s">
        <v>935</v>
      </c>
      <c r="Q1487">
        <f>MATCH(P1487,NickelMintage!A:A,)</f>
        <v>141</v>
      </c>
      <c r="S1487" t="str" cm="1">
        <f t="array" ref="S1487">_xlfn.REGEXEXTRACT(E1487, "[0-9]{1,5}")</f>
        <v>1989</v>
      </c>
      <c r="T1487" t="s">
        <v>4206</v>
      </c>
      <c r="U1487" t="s">
        <v>3897</v>
      </c>
    </row>
    <row r="1488" spans="1:21">
      <c r="A1488" s="136">
        <v>2</v>
      </c>
      <c r="B1488" s="246">
        <v>1989</v>
      </c>
      <c r="C1488" s="247" t="s">
        <v>25</v>
      </c>
      <c r="D1488" s="247" t="s">
        <v>1962</v>
      </c>
      <c r="E1488" s="248" t="s">
        <v>683</v>
      </c>
      <c r="F1488" s="235" t="s">
        <v>4272</v>
      </c>
      <c r="G1488" s="248" t="s">
        <v>2579</v>
      </c>
      <c r="H1488" s="249">
        <v>0.05</v>
      </c>
      <c r="I1488" s="249">
        <v>0.05</v>
      </c>
      <c r="J1488" s="246">
        <v>1</v>
      </c>
      <c r="K1488" s="250"/>
      <c r="L1488" s="248"/>
      <c r="M1488" s="276" t="str">
        <f>HYPERLINK($Y$2&amp;E1488&amp;$AA$2,"Photo")</f>
        <v>Photo</v>
      </c>
      <c r="N1488" s="279" t="s">
        <v>25</v>
      </c>
      <c r="O1488" t="str">
        <f t="shared" si="42"/>
        <v>1989-P Jefferson Nickel</v>
      </c>
      <c r="P1488" s="235" t="s">
        <v>937</v>
      </c>
      <c r="Q1488">
        <f>MATCH(P1488,NickelMintage!A:A,)</f>
        <v>143</v>
      </c>
      <c r="S1488" t="str" cm="1">
        <f t="array" ref="S1488">_xlfn.REGEXEXTRACT(E1488, "[0-9]{1,5}")</f>
        <v>1989</v>
      </c>
      <c r="T1488" t="s">
        <v>4207</v>
      </c>
      <c r="U1488" t="s">
        <v>3897</v>
      </c>
    </row>
    <row r="1489" spans="1:21">
      <c r="A1489" s="136">
        <v>2</v>
      </c>
      <c r="B1489" s="246">
        <v>1989</v>
      </c>
      <c r="C1489" s="247" t="s">
        <v>25</v>
      </c>
      <c r="D1489" s="247" t="s">
        <v>1962</v>
      </c>
      <c r="E1489" s="248" t="s">
        <v>684</v>
      </c>
      <c r="F1489" s="235" t="s">
        <v>4272</v>
      </c>
      <c r="G1489" s="248" t="s">
        <v>2579</v>
      </c>
      <c r="H1489" s="249">
        <v>0.05</v>
      </c>
      <c r="I1489" s="249">
        <v>0.05</v>
      </c>
      <c r="J1489" s="246">
        <v>1</v>
      </c>
      <c r="K1489" s="250"/>
      <c r="L1489" s="248"/>
      <c r="M1489" s="276" t="str">
        <f>HYPERLINK($Y$2&amp;E1489&amp;$AA$2,"Photo")</f>
        <v>Photo</v>
      </c>
      <c r="N1489" s="279" t="s">
        <v>25</v>
      </c>
      <c r="O1489" t="str">
        <f t="shared" si="42"/>
        <v>1989-P Jefferson Nickel</v>
      </c>
      <c r="P1489" s="235" t="s">
        <v>937</v>
      </c>
      <c r="Q1489">
        <f>MATCH(P1489,NickelMintage!A:A,)</f>
        <v>143</v>
      </c>
      <c r="S1489" t="str" cm="1">
        <f t="array" ref="S1489">_xlfn.REGEXEXTRACT(E1489, "[0-9]{1,5}")</f>
        <v>1989</v>
      </c>
      <c r="T1489" t="s">
        <v>4207</v>
      </c>
      <c r="U1489" t="s">
        <v>3897</v>
      </c>
    </row>
    <row r="1490" spans="1:21">
      <c r="A1490" s="136">
        <v>2</v>
      </c>
      <c r="B1490" s="270">
        <v>1989</v>
      </c>
      <c r="C1490" s="136" t="s">
        <v>12</v>
      </c>
      <c r="D1490" s="257" t="s">
        <v>1962</v>
      </c>
      <c r="E1490" s="235" t="s">
        <v>5634</v>
      </c>
      <c r="F1490" s="235" t="s">
        <v>5144</v>
      </c>
      <c r="G1490" s="3" t="s">
        <v>2584</v>
      </c>
      <c r="H1490" s="236">
        <v>1.5</v>
      </c>
      <c r="I1490" s="236">
        <v>1.5</v>
      </c>
      <c r="J1490" s="233">
        <v>1</v>
      </c>
      <c r="N1490" s="279"/>
      <c r="O1490" t="str">
        <f t="shared" si="42"/>
        <v>1989-S Jefferson Nickel Proof</v>
      </c>
      <c r="P1490" s="235" t="s">
        <v>938</v>
      </c>
      <c r="Q1490">
        <f>MATCH(P1490,NickelMintage!A:A,)</f>
        <v>144</v>
      </c>
      <c r="S1490" t="str" cm="1">
        <f t="array" ref="S1490">_xlfn.REGEXEXTRACT(E1490, "[0-9]{1,5}")</f>
        <v>1989</v>
      </c>
      <c r="T1490" t="s">
        <v>4207</v>
      </c>
      <c r="U1490" t="s">
        <v>3897</v>
      </c>
    </row>
    <row r="1491" spans="1:21">
      <c r="A1491" s="136">
        <v>2</v>
      </c>
      <c r="B1491" s="246">
        <v>1990</v>
      </c>
      <c r="C1491" s="247" t="s">
        <v>13</v>
      </c>
      <c r="D1491" s="247" t="s">
        <v>1962</v>
      </c>
      <c r="E1491" s="248" t="s">
        <v>685</v>
      </c>
      <c r="F1491" s="235" t="s">
        <v>4272</v>
      </c>
      <c r="G1491" s="248" t="s">
        <v>2579</v>
      </c>
      <c r="H1491" s="249">
        <v>0.05</v>
      </c>
      <c r="I1491" s="249">
        <v>0.05</v>
      </c>
      <c r="J1491" s="246">
        <v>1</v>
      </c>
      <c r="K1491" s="250"/>
      <c r="L1491" s="248"/>
      <c r="M1491" s="276" t="str">
        <f>HYPERLINK($Y$2&amp;E1491&amp;$AA$2,"Photo")</f>
        <v>Photo</v>
      </c>
      <c r="N1491" s="279" t="s">
        <v>25</v>
      </c>
      <c r="O1491" t="str">
        <f t="shared" si="42"/>
        <v>1990-D Jefferson Nickel</v>
      </c>
      <c r="P1491" s="235" t="s">
        <v>939</v>
      </c>
      <c r="Q1491">
        <f>MATCH(P1491,NickelMintage!A:A,)</f>
        <v>145</v>
      </c>
      <c r="S1491" t="str" cm="1">
        <f t="array" ref="S1491">_xlfn.REGEXEXTRACT(E1491, "[0-9]{1,5}")</f>
        <v>1990</v>
      </c>
      <c r="T1491" t="s">
        <v>4208</v>
      </c>
      <c r="U1491" t="s">
        <v>3897</v>
      </c>
    </row>
    <row r="1492" spans="1:21">
      <c r="A1492" s="136">
        <v>2</v>
      </c>
      <c r="B1492" s="246">
        <v>1990</v>
      </c>
      <c r="C1492" s="247" t="s">
        <v>25</v>
      </c>
      <c r="D1492" s="247" t="s">
        <v>1962</v>
      </c>
      <c r="E1492" s="248" t="s">
        <v>686</v>
      </c>
      <c r="F1492" s="235" t="s">
        <v>4272</v>
      </c>
      <c r="G1492" s="248" t="s">
        <v>2579</v>
      </c>
      <c r="H1492" s="249">
        <v>0.05</v>
      </c>
      <c r="I1492" s="249">
        <v>0.05</v>
      </c>
      <c r="J1492" s="246">
        <v>1</v>
      </c>
      <c r="K1492" s="250"/>
      <c r="L1492" s="248"/>
      <c r="M1492" s="276" t="str">
        <f>HYPERLINK($Y$2&amp;E1492&amp;$AA$2,"Photo")</f>
        <v>Photo</v>
      </c>
      <c r="N1492" s="279" t="s">
        <v>25</v>
      </c>
      <c r="O1492" t="str">
        <f t="shared" si="42"/>
        <v>1990-P Jefferson Nickel</v>
      </c>
      <c r="P1492" s="235" t="s">
        <v>939</v>
      </c>
      <c r="Q1492">
        <f>MATCH(P1492,NickelMintage!A:A,)</f>
        <v>145</v>
      </c>
      <c r="S1492" t="str" cm="1">
        <f t="array" ref="S1492">_xlfn.REGEXEXTRACT(E1492, "[0-9]{1,5}")</f>
        <v>1990</v>
      </c>
      <c r="T1492" t="s">
        <v>4208</v>
      </c>
      <c r="U1492" t="s">
        <v>3897</v>
      </c>
    </row>
    <row r="1493" spans="1:21">
      <c r="A1493" s="136">
        <v>2</v>
      </c>
      <c r="B1493" s="270">
        <v>1990</v>
      </c>
      <c r="C1493" s="136" t="s">
        <v>12</v>
      </c>
      <c r="D1493" s="257" t="s">
        <v>1962</v>
      </c>
      <c r="E1493" s="235" t="s">
        <v>5639</v>
      </c>
      <c r="F1493" s="235" t="s">
        <v>5144</v>
      </c>
      <c r="G1493" s="3" t="s">
        <v>2584</v>
      </c>
      <c r="H1493" s="236">
        <v>2.5</v>
      </c>
      <c r="I1493" s="236">
        <v>2.5</v>
      </c>
      <c r="J1493" s="233">
        <v>1</v>
      </c>
      <c r="N1493" s="279"/>
      <c r="O1493" t="str">
        <f t="shared" si="42"/>
        <v>1990-S Jefferson Nickel Proof</v>
      </c>
      <c r="P1493" s="235" t="s">
        <v>941</v>
      </c>
      <c r="Q1493">
        <f>MATCH(P1493,NickelMintage!A:A,)</f>
        <v>147</v>
      </c>
      <c r="S1493" t="str" cm="1">
        <f t="array" ref="S1493">_xlfn.REGEXEXTRACT(E1493, "[0-9]{1,5}")</f>
        <v>1990</v>
      </c>
      <c r="T1493" t="s">
        <v>4209</v>
      </c>
      <c r="U1493" t="s">
        <v>3897</v>
      </c>
    </row>
    <row r="1494" spans="1:21">
      <c r="A1494" s="136">
        <v>2</v>
      </c>
      <c r="B1494" s="246">
        <v>1991</v>
      </c>
      <c r="C1494" s="247" t="s">
        <v>25</v>
      </c>
      <c r="D1494" s="247" t="s">
        <v>1962</v>
      </c>
      <c r="E1494" s="248" t="s">
        <v>688</v>
      </c>
      <c r="F1494" s="235" t="s">
        <v>4272</v>
      </c>
      <c r="G1494" s="248" t="s">
        <v>2579</v>
      </c>
      <c r="H1494" s="249">
        <v>0.05</v>
      </c>
      <c r="I1494" s="249">
        <v>0.05</v>
      </c>
      <c r="J1494" s="246">
        <v>1</v>
      </c>
      <c r="K1494" s="250"/>
      <c r="L1494" s="248"/>
      <c r="M1494" s="276" t="str">
        <f>HYPERLINK($Y$2&amp;E1494&amp;$AA$2,"Photo")</f>
        <v>Photo</v>
      </c>
      <c r="N1494" s="279" t="s">
        <v>25</v>
      </c>
      <c r="O1494" t="str">
        <f t="shared" si="42"/>
        <v>1991-P Jefferson Nickel</v>
      </c>
      <c r="P1494" s="235">
        <v>2004</v>
      </c>
      <c r="Q1494" t="e">
        <f>MATCH(P1494,NickelMintage!A:A,)</f>
        <v>#N/A</v>
      </c>
      <c r="S1494" t="str" cm="1">
        <f t="array" ref="S1494">_xlfn.REGEXEXTRACT(E1494, "[0-9]{1,5}")</f>
        <v>1991</v>
      </c>
      <c r="T1494" t="s">
        <v>4210</v>
      </c>
      <c r="U1494" t="s">
        <v>3897</v>
      </c>
    </row>
    <row r="1495" spans="1:21">
      <c r="A1495" s="136">
        <v>2</v>
      </c>
      <c r="B1495" s="246">
        <v>1991</v>
      </c>
      <c r="C1495" s="247" t="s">
        <v>13</v>
      </c>
      <c r="D1495" s="247" t="s">
        <v>1962</v>
      </c>
      <c r="E1495" s="248" t="s">
        <v>689</v>
      </c>
      <c r="F1495" s="235" t="s">
        <v>4272</v>
      </c>
      <c r="G1495" s="248" t="s">
        <v>2579</v>
      </c>
      <c r="H1495" s="249">
        <v>0.05</v>
      </c>
      <c r="I1495" s="249">
        <v>0.05</v>
      </c>
      <c r="J1495" s="246">
        <v>1</v>
      </c>
      <c r="K1495" s="250"/>
      <c r="L1495" s="248"/>
      <c r="M1495" s="276" t="str">
        <f>HYPERLINK($Y$2&amp;E1495&amp;$AA$2,"Photo")</f>
        <v>Photo</v>
      </c>
      <c r="N1495" s="279" t="s">
        <v>25</v>
      </c>
      <c r="O1495" t="str">
        <f t="shared" si="42"/>
        <v>1991-D Jefferson Nickel</v>
      </c>
      <c r="P1495" s="235" t="s">
        <v>943</v>
      </c>
      <c r="Q1495">
        <f>MATCH(P1495,NickelMintage!A:A,)</f>
        <v>149</v>
      </c>
      <c r="S1495" t="str" cm="1">
        <f t="array" ref="S1495">_xlfn.REGEXEXTRACT(E1495, "[0-9]{1,5}")</f>
        <v>1991</v>
      </c>
      <c r="T1495" t="s">
        <v>4210</v>
      </c>
      <c r="U1495" t="s">
        <v>3897</v>
      </c>
    </row>
    <row r="1496" spans="1:21">
      <c r="A1496" s="136">
        <v>2</v>
      </c>
      <c r="B1496" s="270">
        <v>1991</v>
      </c>
      <c r="C1496" s="136" t="s">
        <v>12</v>
      </c>
      <c r="D1496" s="257" t="s">
        <v>1962</v>
      </c>
      <c r="E1496" s="235" t="s">
        <v>5640</v>
      </c>
      <c r="F1496" s="235" t="s">
        <v>5144</v>
      </c>
      <c r="G1496" s="3" t="s">
        <v>2584</v>
      </c>
      <c r="H1496" s="236">
        <v>1.25</v>
      </c>
      <c r="I1496" s="236">
        <v>1.25</v>
      </c>
      <c r="J1496" s="233">
        <v>1</v>
      </c>
      <c r="N1496" s="279"/>
      <c r="O1496" t="str">
        <f t="shared" si="42"/>
        <v>1991-S Jefferson Nickel Proof</v>
      </c>
      <c r="P1496" s="235" t="s">
        <v>949</v>
      </c>
      <c r="Q1496">
        <f>MATCH(P1496,NickelMintage!A:A,)</f>
        <v>154</v>
      </c>
      <c r="S1496" t="str" cm="1">
        <f t="array" ref="S1496">_xlfn.REGEXEXTRACT(E1496, "[0-9]{1,5}")</f>
        <v>1991</v>
      </c>
      <c r="T1496" t="s">
        <v>4211</v>
      </c>
      <c r="U1496" t="s">
        <v>3897</v>
      </c>
    </row>
    <row r="1497" spans="1:21">
      <c r="A1497" s="136">
        <v>2</v>
      </c>
      <c r="B1497" s="246">
        <v>1992</v>
      </c>
      <c r="C1497" s="247" t="s">
        <v>25</v>
      </c>
      <c r="D1497" s="247" t="s">
        <v>1962</v>
      </c>
      <c r="E1497" s="248" t="s">
        <v>690</v>
      </c>
      <c r="F1497" s="235" t="s">
        <v>4272</v>
      </c>
      <c r="G1497" s="248" t="s">
        <v>2579</v>
      </c>
      <c r="H1497" s="249">
        <v>0.05</v>
      </c>
      <c r="I1497" s="249">
        <v>0.05</v>
      </c>
      <c r="J1497" s="246">
        <v>1</v>
      </c>
      <c r="K1497" s="250"/>
      <c r="L1497" s="248"/>
      <c r="M1497" s="276" t="str">
        <f>HYPERLINK($Y$2&amp;E1497&amp;$AA$2,"Photo")</f>
        <v>Photo</v>
      </c>
      <c r="N1497" s="279" t="s">
        <v>25</v>
      </c>
      <c r="O1497" t="str">
        <f t="shared" si="42"/>
        <v>1992-P Jefferson Nickel</v>
      </c>
      <c r="P1497" s="235" t="s">
        <v>949</v>
      </c>
      <c r="Q1497">
        <f>MATCH(P1497,NickelMintage!A:A,)</f>
        <v>154</v>
      </c>
      <c r="S1497" t="str" cm="1">
        <f t="array" ref="S1497">_xlfn.REGEXEXTRACT(E1497, "[0-9]{1,5}")</f>
        <v>1992</v>
      </c>
      <c r="T1497" t="s">
        <v>4211</v>
      </c>
      <c r="U1497" t="s">
        <v>3897</v>
      </c>
    </row>
    <row r="1498" spans="1:21">
      <c r="A1498" s="136">
        <v>2</v>
      </c>
      <c r="B1498" s="246">
        <v>1992</v>
      </c>
      <c r="C1498" s="247" t="s">
        <v>25</v>
      </c>
      <c r="D1498" s="247" t="s">
        <v>1962</v>
      </c>
      <c r="E1498" s="248" t="s">
        <v>692</v>
      </c>
      <c r="F1498" s="235" t="s">
        <v>4272</v>
      </c>
      <c r="G1498" s="248" t="s">
        <v>2579</v>
      </c>
      <c r="H1498" s="249">
        <v>0.05</v>
      </c>
      <c r="I1498" s="249">
        <v>0.05</v>
      </c>
      <c r="J1498" s="246">
        <v>1</v>
      </c>
      <c r="K1498" s="250"/>
      <c r="L1498" s="248"/>
      <c r="M1498" s="276" t="str">
        <f>HYPERLINK($Y$2&amp;E1498&amp;$AA$2,"Photo")</f>
        <v>Photo</v>
      </c>
      <c r="N1498" s="279" t="s">
        <v>25</v>
      </c>
      <c r="O1498" t="str">
        <f t="shared" si="42"/>
        <v>1992-P Jefferson Nickel</v>
      </c>
      <c r="P1498" s="235" t="s">
        <v>947</v>
      </c>
      <c r="Q1498">
        <f>MATCH(P1498,NickelMintage!A:A,)</f>
        <v>153</v>
      </c>
      <c r="S1498" t="str" cm="1">
        <f t="array" ref="S1498">_xlfn.REGEXEXTRACT(E1498, "[0-9]{1,5}")</f>
        <v>1992</v>
      </c>
      <c r="T1498" t="s">
        <v>4211</v>
      </c>
      <c r="U1498" t="s">
        <v>3897</v>
      </c>
    </row>
    <row r="1499" spans="1:21">
      <c r="A1499" s="136">
        <v>2</v>
      </c>
      <c r="B1499" s="246">
        <v>1992</v>
      </c>
      <c r="C1499" s="247" t="s">
        <v>13</v>
      </c>
      <c r="D1499" s="247" t="s">
        <v>1962</v>
      </c>
      <c r="E1499" s="248" t="s">
        <v>693</v>
      </c>
      <c r="F1499" s="235" t="s">
        <v>4272</v>
      </c>
      <c r="G1499" s="248" t="s">
        <v>2579</v>
      </c>
      <c r="H1499" s="249">
        <v>0.05</v>
      </c>
      <c r="I1499" s="249">
        <v>0.05</v>
      </c>
      <c r="J1499" s="246">
        <v>1</v>
      </c>
      <c r="K1499" s="250"/>
      <c r="L1499" s="248"/>
      <c r="M1499" s="276" t="str">
        <f>HYPERLINK($Y$2&amp;E1499&amp;$AA$2,"Photo")</f>
        <v>Photo</v>
      </c>
      <c r="N1499" s="279" t="s">
        <v>25</v>
      </c>
      <c r="O1499" t="str">
        <f t="shared" si="42"/>
        <v>1992-D Jefferson Nickel</v>
      </c>
      <c r="P1499" s="235" t="s">
        <v>947</v>
      </c>
      <c r="Q1499">
        <f>MATCH(P1499,NickelMintage!A:A,)</f>
        <v>153</v>
      </c>
      <c r="S1499" t="str" cm="1">
        <f t="array" ref="S1499">_xlfn.REGEXEXTRACT(E1499, "[0-9]{1,5}")</f>
        <v>1992</v>
      </c>
      <c r="T1499" t="s">
        <v>4211</v>
      </c>
      <c r="U1499" t="s">
        <v>3897</v>
      </c>
    </row>
    <row r="1500" spans="1:21">
      <c r="A1500" s="136">
        <v>2</v>
      </c>
      <c r="B1500" s="246">
        <v>1992</v>
      </c>
      <c r="C1500" s="247" t="s">
        <v>13</v>
      </c>
      <c r="D1500" s="247" t="s">
        <v>1962</v>
      </c>
      <c r="E1500" s="248" t="s">
        <v>694</v>
      </c>
      <c r="F1500" s="235" t="s">
        <v>4272</v>
      </c>
      <c r="G1500" s="248" t="s">
        <v>2579</v>
      </c>
      <c r="H1500" s="249">
        <v>0.05</v>
      </c>
      <c r="I1500" s="249">
        <v>0.05</v>
      </c>
      <c r="J1500" s="246">
        <v>1</v>
      </c>
      <c r="K1500" s="250"/>
      <c r="L1500" s="248"/>
      <c r="M1500" s="276" t="str">
        <f>HYPERLINK($Y$2&amp;E1500&amp;$AA$2,"Photo")</f>
        <v>Photo</v>
      </c>
      <c r="N1500" s="279" t="s">
        <v>25</v>
      </c>
      <c r="O1500" t="str">
        <f t="shared" si="42"/>
        <v>1992-D Jefferson Nickel</v>
      </c>
      <c r="P1500" s="235" t="s">
        <v>954</v>
      </c>
      <c r="Q1500">
        <f>MATCH(P1500,NickelMintage!A:A,)</f>
        <v>160</v>
      </c>
      <c r="S1500" t="str" cm="1">
        <f t="array" ref="S1500">_xlfn.REGEXEXTRACT(E1500, "[0-9]{1,5}")</f>
        <v>1992</v>
      </c>
      <c r="T1500" t="s">
        <v>4213</v>
      </c>
      <c r="U1500" t="s">
        <v>3897</v>
      </c>
    </row>
    <row r="1501" spans="1:21">
      <c r="A1501" s="136">
        <v>2</v>
      </c>
      <c r="B1501" s="270">
        <v>1992</v>
      </c>
      <c r="C1501" s="136" t="s">
        <v>12</v>
      </c>
      <c r="D1501" s="257" t="s">
        <v>1962</v>
      </c>
      <c r="E1501" s="235" t="s">
        <v>5641</v>
      </c>
      <c r="F1501" s="235" t="s">
        <v>5144</v>
      </c>
      <c r="G1501" s="3" t="s">
        <v>2584</v>
      </c>
      <c r="H1501" s="236">
        <v>2.25</v>
      </c>
      <c r="I1501" s="236">
        <v>2.25</v>
      </c>
      <c r="J1501" s="233">
        <v>1</v>
      </c>
      <c r="N1501" s="279"/>
      <c r="O1501" t="str">
        <f t="shared" si="42"/>
        <v>1992-S Jefferson Nickel Proof</v>
      </c>
      <c r="P1501" s="235" t="s">
        <v>954</v>
      </c>
      <c r="Q1501">
        <f>MATCH(P1501,NickelMintage!A:A,)</f>
        <v>160</v>
      </c>
      <c r="S1501" t="str" cm="1">
        <f t="array" ref="S1501">_xlfn.REGEXEXTRACT(E1501, "[0-9]{1,5}")</f>
        <v>1992</v>
      </c>
      <c r="T1501" t="s">
        <v>4213</v>
      </c>
      <c r="U1501" t="s">
        <v>3897</v>
      </c>
    </row>
    <row r="1502" spans="1:21">
      <c r="A1502" s="136">
        <v>2</v>
      </c>
      <c r="B1502" s="246">
        <v>1993</v>
      </c>
      <c r="C1502" s="247" t="s">
        <v>13</v>
      </c>
      <c r="D1502" s="247" t="s">
        <v>1962</v>
      </c>
      <c r="E1502" s="248" t="s">
        <v>695</v>
      </c>
      <c r="F1502" s="235" t="s">
        <v>4272</v>
      </c>
      <c r="G1502" s="248" t="s">
        <v>2579</v>
      </c>
      <c r="H1502" s="249">
        <v>0.05</v>
      </c>
      <c r="I1502" s="249">
        <v>0.05</v>
      </c>
      <c r="J1502" s="246">
        <v>1</v>
      </c>
      <c r="K1502" s="250"/>
      <c r="L1502" s="248"/>
      <c r="M1502" s="276" t="str">
        <f>HYPERLINK($Y$2&amp;E1502&amp;$AA$2,"Photo")</f>
        <v>Photo</v>
      </c>
      <c r="N1502" s="279" t="s">
        <v>25</v>
      </c>
      <c r="O1502" t="str">
        <f t="shared" si="42"/>
        <v>1993-D Jefferson Nickel</v>
      </c>
      <c r="P1502" s="235" t="s">
        <v>956</v>
      </c>
      <c r="Q1502">
        <f>MATCH(P1502,NickelMintage!A:A,)</f>
        <v>162</v>
      </c>
      <c r="S1502" t="str" cm="1">
        <f t="array" ref="S1502">_xlfn.REGEXEXTRACT(E1502, "[0-9]{1,5}")</f>
        <v>1993</v>
      </c>
      <c r="T1502" t="s">
        <v>4214</v>
      </c>
      <c r="U1502" t="s">
        <v>3897</v>
      </c>
    </row>
    <row r="1503" spans="1:21">
      <c r="A1503" s="136">
        <v>2</v>
      </c>
      <c r="B1503" s="246">
        <v>1993</v>
      </c>
      <c r="C1503" s="247" t="s">
        <v>13</v>
      </c>
      <c r="D1503" s="247" t="s">
        <v>1962</v>
      </c>
      <c r="E1503" s="248" t="s">
        <v>696</v>
      </c>
      <c r="F1503" s="235" t="s">
        <v>4272</v>
      </c>
      <c r="G1503" s="248" t="s">
        <v>2579</v>
      </c>
      <c r="H1503" s="249">
        <v>0.05</v>
      </c>
      <c r="I1503" s="249">
        <v>0.05</v>
      </c>
      <c r="J1503" s="246">
        <v>1</v>
      </c>
      <c r="K1503" s="250"/>
      <c r="L1503" s="248"/>
      <c r="M1503" s="276" t="str">
        <f>HYPERLINK($Y$2&amp;E1503&amp;$AA$2,"Photo")</f>
        <v>Photo</v>
      </c>
      <c r="N1503" s="279" t="s">
        <v>25</v>
      </c>
      <c r="O1503" t="str">
        <f t="shared" si="42"/>
        <v>1993-D Jefferson Nickel</v>
      </c>
      <c r="P1503" s="235" t="s">
        <v>3965</v>
      </c>
      <c r="Q1503" t="e">
        <f>MATCH(P1503,NickelMintage!A:A,)</f>
        <v>#N/A</v>
      </c>
      <c r="S1503" t="str" cm="1">
        <f t="array" ref="S1503">_xlfn.REGEXEXTRACT(E1503, "[0-9]{1,5}")</f>
        <v>1993</v>
      </c>
      <c r="T1503" t="s">
        <v>4216</v>
      </c>
      <c r="U1503" t="s">
        <v>3897</v>
      </c>
    </row>
    <row r="1504" spans="1:21">
      <c r="A1504" s="136">
        <v>2</v>
      </c>
      <c r="B1504" s="270">
        <v>1993</v>
      </c>
      <c r="C1504" s="136" t="s">
        <v>25</v>
      </c>
      <c r="D1504" s="257" t="s">
        <v>1962</v>
      </c>
      <c r="E1504" s="235" t="s">
        <v>5642</v>
      </c>
      <c r="F1504" s="235" t="s">
        <v>4272</v>
      </c>
      <c r="G1504" s="3" t="s">
        <v>5617</v>
      </c>
      <c r="H1504" s="236">
        <v>0.5</v>
      </c>
      <c r="I1504" s="236">
        <v>0.5</v>
      </c>
      <c r="J1504" s="233">
        <v>1</v>
      </c>
      <c r="N1504" s="279"/>
      <c r="O1504" t="str">
        <f t="shared" si="42"/>
        <v>1993-P Jefferson Nickel</v>
      </c>
      <c r="P1504" s="235" t="s">
        <v>961</v>
      </c>
      <c r="Q1504">
        <f>MATCH(P1504,NickelMintage!A:A,)</f>
        <v>167</v>
      </c>
      <c r="S1504" t="str" cm="1">
        <f t="array" ref="S1504">_xlfn.REGEXEXTRACT(E1504, "[0-9]{1,5}")</f>
        <v>1993</v>
      </c>
      <c r="T1504" t="s">
        <v>4217</v>
      </c>
      <c r="U1504" t="s">
        <v>3897</v>
      </c>
    </row>
    <row r="1505" spans="1:21">
      <c r="A1505" s="136">
        <v>2</v>
      </c>
      <c r="B1505" s="270">
        <v>1993</v>
      </c>
      <c r="C1505" s="136" t="s">
        <v>12</v>
      </c>
      <c r="D1505" s="257" t="s">
        <v>1962</v>
      </c>
      <c r="E1505" s="235" t="s">
        <v>5659</v>
      </c>
      <c r="F1505" s="235" t="s">
        <v>5144</v>
      </c>
      <c r="G1505" s="3" t="s">
        <v>2584</v>
      </c>
      <c r="H1505" s="236">
        <v>1.5</v>
      </c>
      <c r="I1505" s="236">
        <v>1.5</v>
      </c>
      <c r="J1505" s="233">
        <v>1</v>
      </c>
      <c r="N1505" s="279"/>
      <c r="O1505" t="str">
        <f t="shared" si="42"/>
        <v>1993-S Jefferson Nickel Proof</v>
      </c>
      <c r="P1505" s="235" t="s">
        <v>3966</v>
      </c>
      <c r="Q1505" t="e">
        <f>MATCH(P1505,NickelMintage!A:A,)</f>
        <v>#N/A</v>
      </c>
      <c r="S1505" t="str" cm="1">
        <f t="array" ref="S1505">_xlfn.REGEXEXTRACT(E1505, "[0-9]{1,5}")</f>
        <v>1993</v>
      </c>
      <c r="T1505" t="s">
        <v>4217</v>
      </c>
      <c r="U1505" t="s">
        <v>3897</v>
      </c>
    </row>
    <row r="1506" spans="1:21">
      <c r="A1506" s="136">
        <v>2</v>
      </c>
      <c r="B1506" s="246">
        <v>1994</v>
      </c>
      <c r="C1506" s="247" t="s">
        <v>25</v>
      </c>
      <c r="D1506" s="247" t="s">
        <v>1962</v>
      </c>
      <c r="E1506" s="248" t="s">
        <v>697</v>
      </c>
      <c r="F1506" s="235" t="s">
        <v>4272</v>
      </c>
      <c r="G1506" s="248" t="s">
        <v>2579</v>
      </c>
      <c r="H1506" s="249">
        <v>0.05</v>
      </c>
      <c r="I1506" s="249">
        <v>0.05</v>
      </c>
      <c r="J1506" s="246">
        <v>1</v>
      </c>
      <c r="K1506" s="250"/>
      <c r="L1506" s="248"/>
      <c r="M1506" s="276" t="str">
        <f>HYPERLINK($Y$2&amp;E1506&amp;$AA$2,"Photo")</f>
        <v>Photo</v>
      </c>
      <c r="N1506" s="279" t="s">
        <v>25</v>
      </c>
      <c r="O1506" t="str">
        <f t="shared" si="42"/>
        <v>1994-P Jefferson Nickel</v>
      </c>
      <c r="P1506" s="235" t="s">
        <v>962</v>
      </c>
      <c r="Q1506">
        <f>MATCH(P1506,NickelMintage!A:A,)</f>
        <v>168</v>
      </c>
      <c r="S1506" t="str" cm="1">
        <f t="array" ref="S1506">_xlfn.REGEXEXTRACT(E1506, "[0-9]{1,5}")</f>
        <v>1994</v>
      </c>
      <c r="T1506" t="s">
        <v>4217</v>
      </c>
      <c r="U1506" t="s">
        <v>3897</v>
      </c>
    </row>
    <row r="1507" spans="1:21">
      <c r="A1507" s="136">
        <v>2</v>
      </c>
      <c r="B1507" s="246">
        <v>1994</v>
      </c>
      <c r="C1507" s="247" t="s">
        <v>25</v>
      </c>
      <c r="D1507" s="247" t="s">
        <v>1962</v>
      </c>
      <c r="E1507" s="248" t="s">
        <v>699</v>
      </c>
      <c r="F1507" s="235" t="s">
        <v>4272</v>
      </c>
      <c r="G1507" s="248" t="s">
        <v>2579</v>
      </c>
      <c r="H1507" s="249">
        <v>0.05</v>
      </c>
      <c r="I1507" s="249">
        <v>0.05</v>
      </c>
      <c r="J1507" s="246">
        <v>1</v>
      </c>
      <c r="K1507" s="250"/>
      <c r="L1507" s="248"/>
      <c r="M1507" s="276" t="str">
        <f>HYPERLINK($Y$2&amp;E1507&amp;$AA$2,"Photo")</f>
        <v>Photo</v>
      </c>
      <c r="N1507" s="279" t="s">
        <v>25</v>
      </c>
      <c r="O1507" t="str">
        <f t="shared" si="42"/>
        <v>1994-P Jefferson Nickel</v>
      </c>
      <c r="P1507" s="235" t="s">
        <v>961</v>
      </c>
      <c r="Q1507">
        <f>MATCH(P1507,NickelMintage!A:A,)</f>
        <v>167</v>
      </c>
      <c r="S1507" t="str" cm="1">
        <f t="array" ref="S1507">_xlfn.REGEXEXTRACT(E1507, "[0-9]{1,5}")</f>
        <v>1994</v>
      </c>
      <c r="T1507" t="s">
        <v>4217</v>
      </c>
      <c r="U1507" t="s">
        <v>3897</v>
      </c>
    </row>
    <row r="1508" spans="1:21">
      <c r="A1508" s="136">
        <v>2</v>
      </c>
      <c r="B1508" s="246">
        <v>1994</v>
      </c>
      <c r="C1508" s="247" t="s">
        <v>25</v>
      </c>
      <c r="D1508" s="247" t="s">
        <v>1962</v>
      </c>
      <c r="E1508" s="248" t="s">
        <v>700</v>
      </c>
      <c r="F1508" s="235" t="s">
        <v>4272</v>
      </c>
      <c r="G1508" s="248" t="s">
        <v>2579</v>
      </c>
      <c r="H1508" s="249">
        <v>0.05</v>
      </c>
      <c r="I1508" s="249">
        <v>0.05</v>
      </c>
      <c r="J1508" s="246">
        <v>1</v>
      </c>
      <c r="K1508" s="250"/>
      <c r="L1508" s="248"/>
      <c r="M1508" s="276" t="str">
        <f>HYPERLINK($Y$2&amp;E1508&amp;$AA$2,"Photo")</f>
        <v>Photo</v>
      </c>
      <c r="N1508" s="279" t="s">
        <v>25</v>
      </c>
      <c r="O1508" t="str">
        <f t="shared" si="42"/>
        <v>1994-P Jefferson Nickel</v>
      </c>
      <c r="P1508" s="235" t="s">
        <v>962</v>
      </c>
      <c r="Q1508">
        <f>MATCH(P1508,NickelMintage!A:A,)</f>
        <v>168</v>
      </c>
      <c r="S1508" t="str" cm="1">
        <f t="array" ref="S1508">_xlfn.REGEXEXTRACT(E1508, "[0-9]{1,5}")</f>
        <v>1994</v>
      </c>
      <c r="T1508" t="s">
        <v>4217</v>
      </c>
      <c r="U1508" t="s">
        <v>3897</v>
      </c>
    </row>
    <row r="1509" spans="1:21">
      <c r="A1509" s="136">
        <v>2</v>
      </c>
      <c r="B1509" s="246">
        <v>1994</v>
      </c>
      <c r="C1509" s="247" t="s">
        <v>25</v>
      </c>
      <c r="D1509" s="247" t="s">
        <v>1962</v>
      </c>
      <c r="E1509" s="248" t="s">
        <v>701</v>
      </c>
      <c r="F1509" s="235" t="s">
        <v>4272</v>
      </c>
      <c r="G1509" s="248" t="s">
        <v>2579</v>
      </c>
      <c r="H1509" s="249">
        <v>0.05</v>
      </c>
      <c r="I1509" s="249">
        <v>0.05</v>
      </c>
      <c r="J1509" s="246">
        <v>1</v>
      </c>
      <c r="K1509" s="250"/>
      <c r="L1509" s="248"/>
      <c r="M1509" s="276" t="str">
        <f>HYPERLINK($Y$2&amp;E1509&amp;$AA$2,"Photo")</f>
        <v>Photo</v>
      </c>
      <c r="N1509" s="279" t="s">
        <v>25</v>
      </c>
      <c r="O1509" t="str">
        <f t="shared" si="42"/>
        <v>1994-P Jefferson Nickel</v>
      </c>
      <c r="P1509" s="235" t="s">
        <v>3966</v>
      </c>
      <c r="Q1509" t="e">
        <f>MATCH(P1509,NickelMintage!A:A,)</f>
        <v>#N/A</v>
      </c>
      <c r="S1509" t="str" cm="1">
        <f t="array" ref="S1509">_xlfn.REGEXEXTRACT(E1509, "[0-9]{1,5}")</f>
        <v>1994</v>
      </c>
      <c r="T1509" t="s">
        <v>4217</v>
      </c>
      <c r="U1509" t="s">
        <v>3897</v>
      </c>
    </row>
    <row r="1510" spans="1:21">
      <c r="A1510" s="136">
        <v>2</v>
      </c>
      <c r="B1510" s="270">
        <v>1994</v>
      </c>
      <c r="C1510" s="136" t="s">
        <v>13</v>
      </c>
      <c r="D1510" s="257" t="s">
        <v>1962</v>
      </c>
      <c r="E1510" s="235" t="s">
        <v>5660</v>
      </c>
      <c r="F1510" s="235" t="s">
        <v>4272</v>
      </c>
      <c r="G1510" s="3" t="s">
        <v>5617</v>
      </c>
      <c r="H1510" s="236">
        <v>0.4</v>
      </c>
      <c r="I1510" s="236">
        <v>0.4</v>
      </c>
      <c r="J1510" s="233">
        <v>1</v>
      </c>
      <c r="N1510" s="279"/>
      <c r="O1510" t="str">
        <f t="shared" si="42"/>
        <v>1994-D Jefferson Nickel</v>
      </c>
      <c r="P1510" s="235" t="s">
        <v>963</v>
      </c>
      <c r="Q1510">
        <f>MATCH(P1510,NickelMintage!A:A,)</f>
        <v>169</v>
      </c>
      <c r="S1510" t="str" cm="1">
        <f t="array" ref="S1510">_xlfn.REGEXEXTRACT(E1510, "[0-9]{1,5}")</f>
        <v>1994</v>
      </c>
      <c r="T1510" t="s">
        <v>4218</v>
      </c>
      <c r="U1510" t="s">
        <v>3897</v>
      </c>
    </row>
    <row r="1511" spans="1:21">
      <c r="A1511" s="136">
        <v>2</v>
      </c>
      <c r="B1511" s="270">
        <v>1994</v>
      </c>
      <c r="C1511" s="136" t="s">
        <v>12</v>
      </c>
      <c r="D1511" s="257" t="s">
        <v>1962</v>
      </c>
      <c r="E1511" s="235" t="s">
        <v>5661</v>
      </c>
      <c r="F1511" s="235" t="s">
        <v>5144</v>
      </c>
      <c r="G1511" s="3" t="s">
        <v>2584</v>
      </c>
      <c r="H1511" s="236">
        <v>0.6</v>
      </c>
      <c r="I1511" s="236">
        <v>0.6</v>
      </c>
      <c r="J1511" s="233">
        <v>1</v>
      </c>
      <c r="N1511" s="279"/>
      <c r="O1511" t="str">
        <f t="shared" si="42"/>
        <v>1994-S Jefferson Nickel Proof</v>
      </c>
      <c r="P1511" s="235" t="s">
        <v>963</v>
      </c>
      <c r="Q1511">
        <f>MATCH(P1511,NickelMintage!A:A,)</f>
        <v>169</v>
      </c>
      <c r="S1511" t="str" cm="1">
        <f t="array" ref="S1511">_xlfn.REGEXEXTRACT(E1511, "[0-9]{1,5}")</f>
        <v>1994</v>
      </c>
      <c r="T1511" t="s">
        <v>4218</v>
      </c>
      <c r="U1511" t="s">
        <v>3897</v>
      </c>
    </row>
    <row r="1512" spans="1:21">
      <c r="A1512" s="136">
        <v>2</v>
      </c>
      <c r="B1512" s="246">
        <v>1995</v>
      </c>
      <c r="C1512" s="247" t="s">
        <v>25</v>
      </c>
      <c r="D1512" s="247" t="s">
        <v>1962</v>
      </c>
      <c r="E1512" s="248" t="s">
        <v>702</v>
      </c>
      <c r="F1512" s="235" t="s">
        <v>4272</v>
      </c>
      <c r="G1512" s="248" t="s">
        <v>2579</v>
      </c>
      <c r="H1512" s="249">
        <v>0.05</v>
      </c>
      <c r="I1512" s="249">
        <v>0.05</v>
      </c>
      <c r="J1512" s="246">
        <v>1</v>
      </c>
      <c r="K1512" s="250"/>
      <c r="L1512" s="248"/>
      <c r="M1512" s="276" t="str">
        <f t="shared" ref="M1512:M1517" si="43">HYPERLINK($Y$2&amp;E1512&amp;$AA$2,"Photo")</f>
        <v>Photo</v>
      </c>
      <c r="N1512" s="279" t="s">
        <v>25</v>
      </c>
      <c r="O1512" t="str">
        <f t="shared" si="42"/>
        <v>1995-P Jefferson Nickel</v>
      </c>
      <c r="P1512" s="235" t="s">
        <v>963</v>
      </c>
      <c r="Q1512">
        <f>MATCH(P1512,NickelMintage!A:A,)</f>
        <v>169</v>
      </c>
      <c r="S1512" t="str" cm="1">
        <f t="array" ref="S1512">_xlfn.REGEXEXTRACT(E1512, "[0-9]{1,5}")</f>
        <v>1995</v>
      </c>
      <c r="T1512" t="s">
        <v>4218</v>
      </c>
      <c r="U1512" t="s">
        <v>3897</v>
      </c>
    </row>
    <row r="1513" spans="1:21">
      <c r="A1513" s="136">
        <v>2</v>
      </c>
      <c r="B1513" s="246">
        <v>1995</v>
      </c>
      <c r="C1513" s="247" t="s">
        <v>25</v>
      </c>
      <c r="D1513" s="247" t="s">
        <v>1962</v>
      </c>
      <c r="E1513" s="248" t="s">
        <v>703</v>
      </c>
      <c r="F1513" s="235" t="s">
        <v>4272</v>
      </c>
      <c r="G1513" s="248" t="s">
        <v>2579</v>
      </c>
      <c r="H1513" s="249">
        <v>0.05</v>
      </c>
      <c r="I1513" s="249">
        <v>0.05</v>
      </c>
      <c r="J1513" s="246">
        <v>1</v>
      </c>
      <c r="K1513" s="250"/>
      <c r="L1513" s="248"/>
      <c r="M1513" s="276" t="str">
        <f t="shared" si="43"/>
        <v>Photo</v>
      </c>
      <c r="N1513" s="279" t="s">
        <v>25</v>
      </c>
      <c r="O1513" t="str">
        <f t="shared" si="42"/>
        <v>1995-P Jefferson Nickel</v>
      </c>
      <c r="P1513" s="235" t="s">
        <v>963</v>
      </c>
      <c r="Q1513">
        <f>MATCH(P1513,NickelMintage!A:A,)</f>
        <v>169</v>
      </c>
      <c r="S1513" t="str" cm="1">
        <f t="array" ref="S1513">_xlfn.REGEXEXTRACT(E1513, "[0-9]{1,5}")</f>
        <v>1995</v>
      </c>
      <c r="T1513" t="s">
        <v>4218</v>
      </c>
      <c r="U1513" t="s">
        <v>3897</v>
      </c>
    </row>
    <row r="1514" spans="1:21">
      <c r="A1514" s="136">
        <v>2</v>
      </c>
      <c r="B1514" s="246">
        <v>1995</v>
      </c>
      <c r="C1514" s="247" t="s">
        <v>25</v>
      </c>
      <c r="D1514" s="247" t="s">
        <v>1962</v>
      </c>
      <c r="E1514" s="248" t="s">
        <v>704</v>
      </c>
      <c r="F1514" s="235" t="s">
        <v>4272</v>
      </c>
      <c r="G1514" s="248" t="s">
        <v>2579</v>
      </c>
      <c r="H1514" s="249">
        <v>0.05</v>
      </c>
      <c r="I1514" s="249">
        <v>0.05</v>
      </c>
      <c r="J1514" s="246">
        <v>1</v>
      </c>
      <c r="K1514" s="250"/>
      <c r="L1514" s="248"/>
      <c r="M1514" s="276" t="str">
        <f t="shared" si="43"/>
        <v>Photo</v>
      </c>
      <c r="N1514" s="279" t="s">
        <v>25</v>
      </c>
      <c r="O1514" t="str">
        <f t="shared" si="42"/>
        <v>1995-P Jefferson Nickel</v>
      </c>
      <c r="P1514" s="235" t="s">
        <v>964</v>
      </c>
      <c r="Q1514">
        <f>MATCH(P1514,NickelMintage!A:A,)</f>
        <v>170</v>
      </c>
      <c r="S1514" t="str" cm="1">
        <f t="array" ref="S1514">_xlfn.REGEXEXTRACT(E1514, "[0-9]{1,5}")</f>
        <v>1995</v>
      </c>
      <c r="T1514" t="s">
        <v>4218</v>
      </c>
      <c r="U1514" t="s">
        <v>3897</v>
      </c>
    </row>
    <row r="1515" spans="1:21">
      <c r="A1515" s="136">
        <v>2</v>
      </c>
      <c r="B1515" s="246">
        <v>1995</v>
      </c>
      <c r="C1515" s="247" t="s">
        <v>25</v>
      </c>
      <c r="D1515" s="247" t="s">
        <v>1962</v>
      </c>
      <c r="E1515" s="248" t="s">
        <v>705</v>
      </c>
      <c r="F1515" s="235" t="s">
        <v>4272</v>
      </c>
      <c r="G1515" s="248" t="s">
        <v>2579</v>
      </c>
      <c r="H1515" s="249">
        <v>0.05</v>
      </c>
      <c r="I1515" s="249">
        <v>0.05</v>
      </c>
      <c r="J1515" s="246">
        <v>1</v>
      </c>
      <c r="K1515" s="250"/>
      <c r="L1515" s="248"/>
      <c r="M1515" s="276" t="str">
        <f t="shared" si="43"/>
        <v>Photo</v>
      </c>
      <c r="N1515" s="279" t="s">
        <v>25</v>
      </c>
      <c r="O1515" t="str">
        <f t="shared" si="42"/>
        <v>1995-P Jefferson Nickel</v>
      </c>
      <c r="P1515" s="235" t="s">
        <v>3967</v>
      </c>
      <c r="Q1515" t="e">
        <f>MATCH(P1515,NickelMintage!A:A,)</f>
        <v>#N/A</v>
      </c>
      <c r="S1515" t="str" cm="1">
        <f t="array" ref="S1515">_xlfn.REGEXEXTRACT(E1515, "[0-9]{1,5}")</f>
        <v>1995</v>
      </c>
      <c r="T1515" t="s">
        <v>4218</v>
      </c>
      <c r="U1515" t="s">
        <v>3897</v>
      </c>
    </row>
    <row r="1516" spans="1:21">
      <c r="A1516" s="136">
        <v>2</v>
      </c>
      <c r="B1516" s="246">
        <v>1995</v>
      </c>
      <c r="C1516" s="247" t="s">
        <v>13</v>
      </c>
      <c r="D1516" s="247" t="s">
        <v>1962</v>
      </c>
      <c r="E1516" s="248" t="s">
        <v>706</v>
      </c>
      <c r="F1516" s="235" t="s">
        <v>4272</v>
      </c>
      <c r="G1516" s="248" t="s">
        <v>2579</v>
      </c>
      <c r="H1516" s="249">
        <v>0.05</v>
      </c>
      <c r="I1516" s="249">
        <v>0.05</v>
      </c>
      <c r="J1516" s="246">
        <v>1</v>
      </c>
      <c r="K1516" s="250"/>
      <c r="L1516" s="248"/>
      <c r="M1516" s="276" t="str">
        <f t="shared" si="43"/>
        <v>Photo</v>
      </c>
      <c r="N1516" s="279" t="s">
        <v>25</v>
      </c>
      <c r="O1516" t="str">
        <f t="shared" si="42"/>
        <v>1995-D Jefferson Nickel</v>
      </c>
      <c r="P1516" s="235" t="s">
        <v>964</v>
      </c>
      <c r="Q1516">
        <f>MATCH(P1516,NickelMintage!A:A,)</f>
        <v>170</v>
      </c>
      <c r="S1516" t="str" cm="1">
        <f t="array" ref="S1516">_xlfn.REGEXEXTRACT(E1516, "[0-9]{1,5}")</f>
        <v>1995</v>
      </c>
      <c r="T1516" t="s">
        <v>4218</v>
      </c>
      <c r="U1516" t="s">
        <v>3897</v>
      </c>
    </row>
    <row r="1517" spans="1:21">
      <c r="A1517" s="136">
        <v>2</v>
      </c>
      <c r="B1517" s="246">
        <v>1995</v>
      </c>
      <c r="C1517" s="247" t="s">
        <v>13</v>
      </c>
      <c r="D1517" s="247" t="s">
        <v>1962</v>
      </c>
      <c r="E1517" s="248" t="s">
        <v>708</v>
      </c>
      <c r="F1517" s="235" t="s">
        <v>4272</v>
      </c>
      <c r="G1517" s="248" t="s">
        <v>2579</v>
      </c>
      <c r="H1517" s="249">
        <v>0.05</v>
      </c>
      <c r="I1517" s="249">
        <v>0.05</v>
      </c>
      <c r="J1517" s="246">
        <v>1</v>
      </c>
      <c r="K1517" s="250"/>
      <c r="L1517" s="248"/>
      <c r="M1517" s="276" t="str">
        <f t="shared" si="43"/>
        <v>Photo</v>
      </c>
      <c r="N1517" s="279" t="s">
        <v>25</v>
      </c>
      <c r="O1517" t="str">
        <f t="shared" si="42"/>
        <v>1995-D Jefferson Nickel</v>
      </c>
      <c r="P1517" s="235" t="s">
        <v>3967</v>
      </c>
      <c r="Q1517" t="e">
        <f>MATCH(P1517,NickelMintage!A:A,)</f>
        <v>#N/A</v>
      </c>
      <c r="S1517" t="str" cm="1">
        <f t="array" ref="S1517">_xlfn.REGEXEXTRACT(E1517, "[0-9]{1,5}")</f>
        <v>1995</v>
      </c>
      <c r="T1517" t="s">
        <v>4218</v>
      </c>
      <c r="U1517" t="s">
        <v>3897</v>
      </c>
    </row>
    <row r="1518" spans="1:21">
      <c r="A1518" s="136">
        <v>2</v>
      </c>
      <c r="B1518" s="270">
        <v>1995</v>
      </c>
      <c r="C1518" s="136" t="s">
        <v>12</v>
      </c>
      <c r="D1518" s="257" t="s">
        <v>1962</v>
      </c>
      <c r="E1518" s="235" t="s">
        <v>5662</v>
      </c>
      <c r="F1518" s="235" t="s">
        <v>5144</v>
      </c>
      <c r="G1518" s="3" t="s">
        <v>2584</v>
      </c>
      <c r="H1518" s="236">
        <v>1.25</v>
      </c>
      <c r="I1518" s="236">
        <v>1.25</v>
      </c>
      <c r="J1518" s="233">
        <v>1</v>
      </c>
      <c r="N1518" s="279"/>
      <c r="O1518" t="str">
        <f t="shared" si="42"/>
        <v>1995-S Jefferson Nickel Proof</v>
      </c>
      <c r="P1518" s="235" t="s">
        <v>965</v>
      </c>
      <c r="Q1518">
        <f>MATCH(P1518,NickelMintage!A:A,)</f>
        <v>171</v>
      </c>
      <c r="S1518" t="str" cm="1">
        <f t="array" ref="S1518">_xlfn.REGEXEXTRACT(E1518, "[0-9]{1,5}")</f>
        <v>1995</v>
      </c>
      <c r="T1518" t="s">
        <v>4219</v>
      </c>
      <c r="U1518" t="s">
        <v>3897</v>
      </c>
    </row>
    <row r="1519" spans="1:21">
      <c r="A1519" s="136">
        <v>2</v>
      </c>
      <c r="B1519" s="246">
        <v>1996</v>
      </c>
      <c r="C1519" s="247" t="s">
        <v>25</v>
      </c>
      <c r="D1519" s="247" t="s">
        <v>1962</v>
      </c>
      <c r="E1519" s="248" t="s">
        <v>709</v>
      </c>
      <c r="F1519" s="235" t="s">
        <v>4272</v>
      </c>
      <c r="G1519" s="248" t="s">
        <v>2579</v>
      </c>
      <c r="H1519" s="249">
        <v>0.05</v>
      </c>
      <c r="I1519" s="249">
        <v>0.05</v>
      </c>
      <c r="J1519" s="246">
        <v>1</v>
      </c>
      <c r="K1519" s="250"/>
      <c r="L1519" s="248"/>
      <c r="M1519" s="276" t="str">
        <f>HYPERLINK($Y$2&amp;E1519&amp;$AA$2,"Photo")</f>
        <v>Photo</v>
      </c>
      <c r="N1519" s="279" t="s">
        <v>25</v>
      </c>
      <c r="O1519" t="str">
        <f t="shared" si="42"/>
        <v>1996-P Jefferson Nickel</v>
      </c>
      <c r="P1519" s="235" t="s">
        <v>965</v>
      </c>
      <c r="Q1519">
        <f>MATCH(P1519,NickelMintage!A:A,)</f>
        <v>171</v>
      </c>
      <c r="S1519" t="str" cm="1">
        <f t="array" ref="S1519">_xlfn.REGEXEXTRACT(E1519, "[0-9]{1,5}")</f>
        <v>1996</v>
      </c>
      <c r="T1519" t="s">
        <v>4219</v>
      </c>
      <c r="U1519" t="s">
        <v>3897</v>
      </c>
    </row>
    <row r="1520" spans="1:21">
      <c r="A1520" s="136">
        <v>2</v>
      </c>
      <c r="B1520" s="246">
        <v>1996</v>
      </c>
      <c r="C1520" s="247" t="s">
        <v>25</v>
      </c>
      <c r="D1520" s="247" t="s">
        <v>1962</v>
      </c>
      <c r="E1520" s="248" t="s">
        <v>711</v>
      </c>
      <c r="F1520" s="235" t="s">
        <v>4272</v>
      </c>
      <c r="G1520" s="248" t="s">
        <v>2579</v>
      </c>
      <c r="H1520" s="249">
        <v>0.05</v>
      </c>
      <c r="I1520" s="249">
        <v>0.05</v>
      </c>
      <c r="J1520" s="246">
        <v>1</v>
      </c>
      <c r="K1520" s="250"/>
      <c r="L1520" s="248"/>
      <c r="M1520" s="276" t="str">
        <f>HYPERLINK($Y$2&amp;E1520&amp;$AA$2,"Photo")</f>
        <v>Photo</v>
      </c>
      <c r="N1520" s="279" t="s">
        <v>25</v>
      </c>
      <c r="O1520" t="str">
        <f t="shared" si="42"/>
        <v>1996-P Jefferson Nickel</v>
      </c>
      <c r="P1520" s="235" t="s">
        <v>965</v>
      </c>
      <c r="Q1520">
        <f>MATCH(P1520,NickelMintage!A:A,)</f>
        <v>171</v>
      </c>
      <c r="S1520" t="str" cm="1">
        <f t="array" ref="S1520">_xlfn.REGEXEXTRACT(E1520, "[0-9]{1,5}")</f>
        <v>1996</v>
      </c>
      <c r="T1520" t="s">
        <v>4219</v>
      </c>
      <c r="U1520" t="s">
        <v>3897</v>
      </c>
    </row>
    <row r="1521" spans="1:21">
      <c r="A1521" s="136">
        <v>2</v>
      </c>
      <c r="B1521" s="246">
        <v>1996</v>
      </c>
      <c r="C1521" s="247" t="s">
        <v>25</v>
      </c>
      <c r="D1521" s="247" t="s">
        <v>1962</v>
      </c>
      <c r="E1521" s="248" t="s">
        <v>712</v>
      </c>
      <c r="F1521" s="235" t="s">
        <v>4272</v>
      </c>
      <c r="G1521" s="248" t="s">
        <v>2579</v>
      </c>
      <c r="H1521" s="249">
        <v>0.05</v>
      </c>
      <c r="I1521" s="249">
        <v>0.05</v>
      </c>
      <c r="J1521" s="246">
        <v>1</v>
      </c>
      <c r="K1521" s="250"/>
      <c r="L1521" s="248"/>
      <c r="M1521" s="276" t="str">
        <f>HYPERLINK($Y$2&amp;E1521&amp;$AA$2,"Photo")</f>
        <v>Photo</v>
      </c>
      <c r="N1521" s="279" t="s">
        <v>25</v>
      </c>
      <c r="O1521" t="str">
        <f t="shared" si="42"/>
        <v>1996-P Jefferson Nickel</v>
      </c>
      <c r="P1521" s="235" t="s">
        <v>966</v>
      </c>
      <c r="Q1521">
        <f>MATCH(P1521,NickelMintage!A:A,)</f>
        <v>172</v>
      </c>
      <c r="S1521" t="str" cm="1">
        <f t="array" ref="S1521">_xlfn.REGEXEXTRACT(E1521, "[0-9]{1,5}")</f>
        <v>1996</v>
      </c>
      <c r="T1521" t="s">
        <v>4219</v>
      </c>
      <c r="U1521" t="s">
        <v>3897</v>
      </c>
    </row>
    <row r="1522" spans="1:21">
      <c r="A1522" s="136">
        <v>2</v>
      </c>
      <c r="B1522" s="246">
        <v>1996</v>
      </c>
      <c r="C1522" s="247" t="s">
        <v>25</v>
      </c>
      <c r="D1522" s="247" t="s">
        <v>1962</v>
      </c>
      <c r="E1522" s="248" t="s">
        <v>713</v>
      </c>
      <c r="F1522" s="235" t="s">
        <v>4272</v>
      </c>
      <c r="G1522" s="248" t="s">
        <v>2579</v>
      </c>
      <c r="H1522" s="249">
        <v>0.05</v>
      </c>
      <c r="I1522" s="249">
        <v>0.05</v>
      </c>
      <c r="J1522" s="246">
        <v>1</v>
      </c>
      <c r="K1522" s="250"/>
      <c r="L1522" s="248"/>
      <c r="M1522" s="276" t="str">
        <f>HYPERLINK($Y$2&amp;E1522&amp;$AA$2,"Photo")</f>
        <v>Photo</v>
      </c>
      <c r="N1522" s="279" t="s">
        <v>25</v>
      </c>
      <c r="O1522" t="str">
        <f t="shared" si="42"/>
        <v>1996-P Jefferson Nickel</v>
      </c>
      <c r="P1522" s="235" t="s">
        <v>3968</v>
      </c>
      <c r="Q1522" t="e">
        <f>MATCH(P1522,NickelMintage!A:A,)</f>
        <v>#N/A</v>
      </c>
      <c r="S1522" t="str" cm="1">
        <f t="array" ref="S1522">_xlfn.REGEXEXTRACT(E1522, "[0-9]{1,5}")</f>
        <v>1996</v>
      </c>
      <c r="T1522" t="s">
        <v>4219</v>
      </c>
      <c r="U1522" t="s">
        <v>3897</v>
      </c>
    </row>
    <row r="1523" spans="1:21">
      <c r="A1523" s="136">
        <v>2</v>
      </c>
      <c r="B1523" s="270">
        <v>1996</v>
      </c>
      <c r="C1523" s="136" t="s">
        <v>13</v>
      </c>
      <c r="D1523" s="257" t="s">
        <v>1962</v>
      </c>
      <c r="E1523" s="235" t="s">
        <v>5663</v>
      </c>
      <c r="F1523" s="235" t="s">
        <v>4272</v>
      </c>
      <c r="G1523" s="3" t="s">
        <v>5664</v>
      </c>
      <c r="H1523" s="236">
        <v>0.5</v>
      </c>
      <c r="I1523" s="236">
        <v>0.5</v>
      </c>
      <c r="J1523" s="233">
        <v>1</v>
      </c>
      <c r="N1523" s="279"/>
      <c r="O1523" t="str">
        <f t="shared" si="42"/>
        <v>1996-D Jefferson Nickel</v>
      </c>
      <c r="P1523" s="235" t="s">
        <v>966</v>
      </c>
      <c r="Q1523">
        <f>MATCH(P1523,NickelMintage!A:A,)</f>
        <v>172</v>
      </c>
      <c r="S1523" t="str" cm="1">
        <f t="array" ref="S1523">_xlfn.REGEXEXTRACT(E1523, "[0-9]{1,5}")</f>
        <v>1996</v>
      </c>
      <c r="T1523" t="s">
        <v>4219</v>
      </c>
      <c r="U1523" t="s">
        <v>3897</v>
      </c>
    </row>
    <row r="1524" spans="1:21">
      <c r="A1524" s="136">
        <v>2</v>
      </c>
      <c r="B1524" s="270">
        <v>1996</v>
      </c>
      <c r="C1524" s="136" t="s">
        <v>12</v>
      </c>
      <c r="D1524" s="257" t="s">
        <v>1962</v>
      </c>
      <c r="E1524" s="235" t="s">
        <v>5665</v>
      </c>
      <c r="F1524" s="235" t="s">
        <v>5144</v>
      </c>
      <c r="G1524" s="3" t="s">
        <v>2584</v>
      </c>
      <c r="H1524" s="236">
        <v>0.9</v>
      </c>
      <c r="I1524" s="236">
        <v>0.9</v>
      </c>
      <c r="J1524" s="233">
        <v>1</v>
      </c>
      <c r="N1524" s="279"/>
      <c r="O1524" t="str">
        <f t="shared" si="42"/>
        <v>1996-S Jefferson Nickel Proof</v>
      </c>
      <c r="P1524" s="235" t="s">
        <v>3968</v>
      </c>
      <c r="Q1524" t="e">
        <f>MATCH(P1524,NickelMintage!A:A,)</f>
        <v>#N/A</v>
      </c>
      <c r="S1524" t="str" cm="1">
        <f t="array" ref="S1524">_xlfn.REGEXEXTRACT(E1524, "[0-9]{1,5}")</f>
        <v>1996</v>
      </c>
      <c r="T1524" t="s">
        <v>4219</v>
      </c>
      <c r="U1524" t="s">
        <v>3897</v>
      </c>
    </row>
    <row r="1525" spans="1:21">
      <c r="A1525" s="136">
        <v>2</v>
      </c>
      <c r="B1525" s="246">
        <v>1997</v>
      </c>
      <c r="C1525" s="247" t="s">
        <v>25</v>
      </c>
      <c r="D1525" s="247" t="s">
        <v>1962</v>
      </c>
      <c r="E1525" s="248" t="s">
        <v>714</v>
      </c>
      <c r="F1525" s="235" t="s">
        <v>4272</v>
      </c>
      <c r="G1525" s="248" t="s">
        <v>2579</v>
      </c>
      <c r="H1525" s="249">
        <v>0.05</v>
      </c>
      <c r="I1525" s="249">
        <v>0.05</v>
      </c>
      <c r="J1525" s="246">
        <v>1</v>
      </c>
      <c r="K1525" s="250"/>
      <c r="L1525" s="248"/>
      <c r="M1525" s="276" t="str">
        <f>HYPERLINK($Y$2&amp;E1525&amp;$AA$2,"Photo")</f>
        <v>Photo</v>
      </c>
      <c r="N1525" s="279" t="s">
        <v>25</v>
      </c>
      <c r="O1525" t="str">
        <f t="shared" si="42"/>
        <v>1997-P Jefferson Nickel</v>
      </c>
      <c r="P1525" s="235" t="s">
        <v>967</v>
      </c>
      <c r="Q1525">
        <f>MATCH(P1525,NickelMintage!A:A,)</f>
        <v>173</v>
      </c>
      <c r="S1525" t="str" cm="1">
        <f t="array" ref="S1525">_xlfn.REGEXEXTRACT(E1525, "[0-9]{1,5}")</f>
        <v>1997</v>
      </c>
      <c r="T1525" t="s">
        <v>4220</v>
      </c>
      <c r="U1525" t="s">
        <v>3897</v>
      </c>
    </row>
    <row r="1526" spans="1:21">
      <c r="A1526" s="136">
        <v>2</v>
      </c>
      <c r="B1526" s="246">
        <v>1997</v>
      </c>
      <c r="C1526" s="247" t="s">
        <v>25</v>
      </c>
      <c r="D1526" s="247" t="s">
        <v>1962</v>
      </c>
      <c r="E1526" s="248" t="s">
        <v>716</v>
      </c>
      <c r="F1526" s="235" t="s">
        <v>4272</v>
      </c>
      <c r="G1526" s="248" t="s">
        <v>2579</v>
      </c>
      <c r="H1526" s="249">
        <v>0.05</v>
      </c>
      <c r="I1526" s="249">
        <v>0.05</v>
      </c>
      <c r="J1526" s="246">
        <v>1</v>
      </c>
      <c r="K1526" s="250"/>
      <c r="L1526" s="248"/>
      <c r="M1526" s="276" t="str">
        <f>HYPERLINK($Y$2&amp;E1526&amp;$AA$2,"Photo")</f>
        <v>Photo</v>
      </c>
      <c r="N1526" s="279" t="s">
        <v>25</v>
      </c>
      <c r="O1526" t="str">
        <f t="shared" si="42"/>
        <v>1997-P Jefferson Nickel</v>
      </c>
      <c r="P1526" s="235" t="s">
        <v>3969</v>
      </c>
      <c r="Q1526" t="e">
        <f>MATCH(P1526,NickelMintage!A:A,)</f>
        <v>#N/A</v>
      </c>
      <c r="S1526" t="str" cm="1">
        <f t="array" ref="S1526">_xlfn.REGEXEXTRACT(E1526, "[0-9]{1,5}")</f>
        <v>1997</v>
      </c>
      <c r="T1526" t="s">
        <v>4220</v>
      </c>
      <c r="U1526" t="s">
        <v>3897</v>
      </c>
    </row>
    <row r="1527" spans="1:21">
      <c r="A1527" s="136">
        <v>2</v>
      </c>
      <c r="B1527" s="246">
        <v>1997</v>
      </c>
      <c r="C1527" s="247" t="s">
        <v>13</v>
      </c>
      <c r="D1527" s="247" t="s">
        <v>1962</v>
      </c>
      <c r="E1527" s="248" t="s">
        <v>718</v>
      </c>
      <c r="F1527" s="235" t="s">
        <v>4272</v>
      </c>
      <c r="G1527" s="248" t="s">
        <v>2579</v>
      </c>
      <c r="H1527" s="249">
        <v>0.05</v>
      </c>
      <c r="I1527" s="249">
        <v>0.05</v>
      </c>
      <c r="J1527" s="246">
        <v>1</v>
      </c>
      <c r="K1527" s="250"/>
      <c r="L1527" s="248"/>
      <c r="M1527" s="276" t="str">
        <f>HYPERLINK($Y$2&amp;E1527&amp;$AA$2,"Photo")</f>
        <v>Photo</v>
      </c>
      <c r="N1527" s="279" t="s">
        <v>25</v>
      </c>
      <c r="O1527" t="str">
        <f t="shared" si="42"/>
        <v>1997-D Jefferson Nickel</v>
      </c>
      <c r="P1527" s="235" t="s">
        <v>968</v>
      </c>
      <c r="Q1527">
        <f>MATCH(P1527,NickelMintage!A:A,)</f>
        <v>174</v>
      </c>
      <c r="S1527" t="str" cm="1">
        <f t="array" ref="S1527">_xlfn.REGEXEXTRACT(E1527, "[0-9]{1,5}")</f>
        <v>1997</v>
      </c>
      <c r="T1527" t="s">
        <v>4220</v>
      </c>
      <c r="U1527" t="s">
        <v>3897</v>
      </c>
    </row>
    <row r="1528" spans="1:21">
      <c r="A1528" s="136">
        <v>2</v>
      </c>
      <c r="B1528" s="246">
        <v>1997</v>
      </c>
      <c r="C1528" s="247" t="s">
        <v>25</v>
      </c>
      <c r="D1528" s="247" t="s">
        <v>1962</v>
      </c>
      <c r="E1528" s="248" t="s">
        <v>720</v>
      </c>
      <c r="F1528" s="235" t="s">
        <v>4272</v>
      </c>
      <c r="G1528" s="248" t="s">
        <v>2579</v>
      </c>
      <c r="H1528" s="249">
        <v>0.05</v>
      </c>
      <c r="I1528" s="249">
        <v>0.05</v>
      </c>
      <c r="J1528" s="246">
        <v>1</v>
      </c>
      <c r="K1528" s="250"/>
      <c r="L1528" s="248"/>
      <c r="M1528" s="276" t="str">
        <f>HYPERLINK($Y$2&amp;E1528&amp;$AA$2,"Photo")</f>
        <v>Photo</v>
      </c>
      <c r="N1528" s="279" t="s">
        <v>25</v>
      </c>
      <c r="O1528" t="str">
        <f t="shared" si="42"/>
        <v>1997-P Jefferson Nickel</v>
      </c>
      <c r="P1528" s="235" t="s">
        <v>968</v>
      </c>
      <c r="Q1528">
        <f>MATCH(P1528,NickelMintage!A:A,)</f>
        <v>174</v>
      </c>
      <c r="S1528" t="str" cm="1">
        <f t="array" ref="S1528">_xlfn.REGEXEXTRACT(E1528, "[0-9]{1,5}")</f>
        <v>1997</v>
      </c>
      <c r="T1528" t="s">
        <v>4220</v>
      </c>
      <c r="U1528" t="s">
        <v>3897</v>
      </c>
    </row>
    <row r="1529" spans="1:21">
      <c r="A1529" s="136">
        <v>2</v>
      </c>
      <c r="B1529" s="270">
        <v>1997</v>
      </c>
      <c r="C1529" s="136" t="s">
        <v>12</v>
      </c>
      <c r="D1529" s="257" t="s">
        <v>1962</v>
      </c>
      <c r="E1529" s="235" t="s">
        <v>5666</v>
      </c>
      <c r="F1529" s="235" t="s">
        <v>5144</v>
      </c>
      <c r="G1529" s="3" t="s">
        <v>2584</v>
      </c>
      <c r="H1529" s="236">
        <v>2</v>
      </c>
      <c r="I1529" s="236">
        <v>2</v>
      </c>
      <c r="J1529" s="233">
        <v>1</v>
      </c>
      <c r="N1529" s="279"/>
      <c r="O1529" t="str">
        <f t="shared" si="42"/>
        <v>1997-S Jefferson Nickel Proof</v>
      </c>
      <c r="P1529" s="235" t="s">
        <v>3969</v>
      </c>
      <c r="Q1529" t="e">
        <f>MATCH(P1529,NickelMintage!A:A,)</f>
        <v>#N/A</v>
      </c>
      <c r="S1529" t="str" cm="1">
        <f t="array" ref="S1529">_xlfn.REGEXEXTRACT(E1529, "[0-9]{1,5}")</f>
        <v>1997</v>
      </c>
      <c r="T1529" t="s">
        <v>4220</v>
      </c>
      <c r="U1529" t="s">
        <v>3897</v>
      </c>
    </row>
    <row r="1530" spans="1:21">
      <c r="A1530" s="136">
        <v>2</v>
      </c>
      <c r="B1530" s="246">
        <v>1998</v>
      </c>
      <c r="C1530" s="247" t="s">
        <v>25</v>
      </c>
      <c r="D1530" s="247" t="s">
        <v>1962</v>
      </c>
      <c r="E1530" s="248" t="s">
        <v>721</v>
      </c>
      <c r="F1530" s="235" t="s">
        <v>4272</v>
      </c>
      <c r="G1530" s="248" t="s">
        <v>2579</v>
      </c>
      <c r="H1530" s="249">
        <v>0.05</v>
      </c>
      <c r="I1530" s="249">
        <v>0.05</v>
      </c>
      <c r="J1530" s="246">
        <v>1</v>
      </c>
      <c r="K1530" s="250"/>
      <c r="L1530" s="248"/>
      <c r="M1530" s="276" t="str">
        <f>HYPERLINK($Y$2&amp;E1530&amp;$AA$2,"Photo")</f>
        <v>Photo</v>
      </c>
      <c r="N1530" s="279" t="s">
        <v>25</v>
      </c>
      <c r="O1530" t="str">
        <f t="shared" si="42"/>
        <v>1998-P Jefferson Nickel</v>
      </c>
      <c r="P1530" s="235" t="s">
        <v>969</v>
      </c>
      <c r="Q1530">
        <f>MATCH(P1530,NickelMintage!A:A,)</f>
        <v>175</v>
      </c>
      <c r="S1530" t="str" cm="1">
        <f t="array" ref="S1530">_xlfn.REGEXEXTRACT(E1530, "[0-9]{1,5}")</f>
        <v>1998</v>
      </c>
      <c r="T1530" t="s">
        <v>4221</v>
      </c>
      <c r="U1530" t="s">
        <v>3897</v>
      </c>
    </row>
    <row r="1531" spans="1:21">
      <c r="A1531" s="136">
        <v>2</v>
      </c>
      <c r="B1531" s="246">
        <v>1998</v>
      </c>
      <c r="C1531" s="247" t="s">
        <v>25</v>
      </c>
      <c r="D1531" s="247" t="s">
        <v>1962</v>
      </c>
      <c r="E1531" s="248" t="s">
        <v>722</v>
      </c>
      <c r="F1531" s="235" t="s">
        <v>4272</v>
      </c>
      <c r="G1531" s="248" t="s">
        <v>2579</v>
      </c>
      <c r="H1531" s="249">
        <v>0.05</v>
      </c>
      <c r="I1531" s="249">
        <v>0.05</v>
      </c>
      <c r="J1531" s="246">
        <v>1</v>
      </c>
      <c r="K1531" s="250"/>
      <c r="L1531" s="248"/>
      <c r="M1531" s="276" t="str">
        <f>HYPERLINK($Y$2&amp;E1531&amp;$AA$2,"Photo")</f>
        <v>Photo</v>
      </c>
      <c r="N1531" s="279" t="s">
        <v>25</v>
      </c>
      <c r="O1531" t="str">
        <f t="shared" si="42"/>
        <v>1998-P Jefferson Nickel</v>
      </c>
      <c r="P1531" s="235" t="s">
        <v>969</v>
      </c>
      <c r="Q1531">
        <f>MATCH(P1531,NickelMintage!A:A,)</f>
        <v>175</v>
      </c>
      <c r="S1531" t="str" cm="1">
        <f t="array" ref="S1531">_xlfn.REGEXEXTRACT(E1531, "[0-9]{1,5}")</f>
        <v>1998</v>
      </c>
      <c r="T1531" t="s">
        <v>4221</v>
      </c>
      <c r="U1531" t="s">
        <v>3897</v>
      </c>
    </row>
    <row r="1532" spans="1:21">
      <c r="A1532" s="136">
        <v>2</v>
      </c>
      <c r="B1532" s="246">
        <v>1998</v>
      </c>
      <c r="C1532" s="247" t="s">
        <v>25</v>
      </c>
      <c r="D1532" s="247" t="s">
        <v>1962</v>
      </c>
      <c r="E1532" s="248" t="s">
        <v>723</v>
      </c>
      <c r="F1532" s="235" t="s">
        <v>4272</v>
      </c>
      <c r="G1532" s="248" t="s">
        <v>2579</v>
      </c>
      <c r="H1532" s="249">
        <v>0.05</v>
      </c>
      <c r="I1532" s="249">
        <v>0.05</v>
      </c>
      <c r="J1532" s="246">
        <v>1</v>
      </c>
      <c r="K1532" s="250"/>
      <c r="L1532" s="248"/>
      <c r="M1532" s="276" t="str">
        <f>HYPERLINK($Y$2&amp;E1532&amp;$AA$2,"Photo")</f>
        <v>Photo</v>
      </c>
      <c r="N1532" s="279" t="s">
        <v>25</v>
      </c>
      <c r="O1532" t="str">
        <f t="shared" si="42"/>
        <v>1998-P Jefferson Nickel</v>
      </c>
      <c r="P1532" s="235" t="s">
        <v>970</v>
      </c>
      <c r="Q1532">
        <f>MATCH(P1532,NickelMintage!A:A,)</f>
        <v>176</v>
      </c>
      <c r="S1532" t="str" cm="1">
        <f t="array" ref="S1532">_xlfn.REGEXEXTRACT(E1532, "[0-9]{1,5}")</f>
        <v>1998</v>
      </c>
      <c r="T1532" t="s">
        <v>4221</v>
      </c>
      <c r="U1532" t="s">
        <v>3897</v>
      </c>
    </row>
    <row r="1533" spans="1:21">
      <c r="A1533" s="136">
        <v>2</v>
      </c>
      <c r="B1533" s="246">
        <v>1998</v>
      </c>
      <c r="C1533" s="247" t="s">
        <v>13</v>
      </c>
      <c r="D1533" s="247" t="s">
        <v>1962</v>
      </c>
      <c r="E1533" s="248" t="s">
        <v>724</v>
      </c>
      <c r="F1533" s="235" t="s">
        <v>4272</v>
      </c>
      <c r="G1533" s="248" t="s">
        <v>2579</v>
      </c>
      <c r="H1533" s="249">
        <v>0.05</v>
      </c>
      <c r="I1533" s="249">
        <v>0.05</v>
      </c>
      <c r="J1533" s="246">
        <v>1</v>
      </c>
      <c r="K1533" s="250"/>
      <c r="L1533" s="248"/>
      <c r="M1533" s="276" t="str">
        <f>HYPERLINK($Y$2&amp;E1533&amp;$AA$2,"Photo")</f>
        <v>Photo</v>
      </c>
      <c r="N1533" s="279" t="s">
        <v>25</v>
      </c>
      <c r="O1533" t="str">
        <f t="shared" si="42"/>
        <v>1998-D Jefferson Nickel</v>
      </c>
      <c r="P1533" s="235" t="s">
        <v>969</v>
      </c>
      <c r="Q1533">
        <f>MATCH(P1533,NickelMintage!A:A,)</f>
        <v>175</v>
      </c>
      <c r="S1533" t="str" cm="1">
        <f t="array" ref="S1533">_xlfn.REGEXEXTRACT(E1533, "[0-9]{1,5}")</f>
        <v>1998</v>
      </c>
      <c r="T1533" t="s">
        <v>4221</v>
      </c>
      <c r="U1533" t="s">
        <v>3897</v>
      </c>
    </row>
    <row r="1534" spans="1:21">
      <c r="A1534" s="136">
        <v>2</v>
      </c>
      <c r="B1534" s="246">
        <v>1998</v>
      </c>
      <c r="C1534" s="247" t="s">
        <v>13</v>
      </c>
      <c r="D1534" s="247" t="s">
        <v>1962</v>
      </c>
      <c r="E1534" s="248" t="s">
        <v>3958</v>
      </c>
      <c r="F1534" s="235" t="s">
        <v>4272</v>
      </c>
      <c r="G1534" s="248" t="s">
        <v>2579</v>
      </c>
      <c r="H1534" s="249">
        <v>0.05</v>
      </c>
      <c r="I1534" s="249">
        <v>0.05</v>
      </c>
      <c r="J1534" s="246">
        <v>1</v>
      </c>
      <c r="K1534" s="250"/>
      <c r="L1534" s="248"/>
      <c r="M1534" s="276" t="str">
        <f>HYPERLINK($Y$2&amp;E1534&amp;$AA$2,"Photo")</f>
        <v>Photo</v>
      </c>
      <c r="N1534" s="279" t="s">
        <v>25</v>
      </c>
      <c r="O1534" t="str">
        <f t="shared" si="42"/>
        <v>1998-D Jefferson Nickel</v>
      </c>
      <c r="P1534" s="235" t="s">
        <v>3970</v>
      </c>
      <c r="Q1534" t="e">
        <f>MATCH(P1534,NickelMintage!A:A,)</f>
        <v>#N/A</v>
      </c>
      <c r="S1534" t="str" cm="1">
        <f t="array" ref="S1534">_xlfn.REGEXEXTRACT(E1534, "[0-9]{1,5}")</f>
        <v>1998</v>
      </c>
      <c r="T1534" t="s">
        <v>4221</v>
      </c>
      <c r="U1534" t="s">
        <v>3897</v>
      </c>
    </row>
    <row r="1535" spans="1:21">
      <c r="A1535" s="136">
        <v>2</v>
      </c>
      <c r="B1535" s="270">
        <v>1998</v>
      </c>
      <c r="C1535" s="136" t="s">
        <v>12</v>
      </c>
      <c r="D1535" s="257" t="s">
        <v>1962</v>
      </c>
      <c r="E1535" s="235" t="s">
        <v>5667</v>
      </c>
      <c r="F1535" s="235" t="s">
        <v>5144</v>
      </c>
      <c r="G1535" s="3" t="s">
        <v>2584</v>
      </c>
      <c r="H1535" s="236">
        <v>0.6</v>
      </c>
      <c r="I1535" s="236">
        <v>0.6</v>
      </c>
      <c r="J1535" s="233">
        <v>1</v>
      </c>
      <c r="N1535" s="279"/>
      <c r="O1535" t="str">
        <f t="shared" si="42"/>
        <v>1998-S Jefferson Nickel Proof</v>
      </c>
      <c r="P1535" s="235" t="s">
        <v>3970</v>
      </c>
      <c r="Q1535" t="e">
        <f>MATCH(P1535,NickelMintage!A:A,)</f>
        <v>#N/A</v>
      </c>
      <c r="S1535" t="str" cm="1">
        <f t="array" ref="S1535">_xlfn.REGEXEXTRACT(E1535, "[0-9]{1,5}")</f>
        <v>1998</v>
      </c>
      <c r="T1535" t="s">
        <v>4221</v>
      </c>
      <c r="U1535" t="s">
        <v>3897</v>
      </c>
    </row>
    <row r="1536" spans="1:21">
      <c r="A1536" s="136">
        <v>2</v>
      </c>
      <c r="B1536" s="246">
        <v>1999</v>
      </c>
      <c r="C1536" s="247" t="s">
        <v>25</v>
      </c>
      <c r="D1536" s="247" t="s">
        <v>1962</v>
      </c>
      <c r="E1536" s="248" t="s">
        <v>726</v>
      </c>
      <c r="F1536" s="235" t="s">
        <v>4272</v>
      </c>
      <c r="G1536" s="248" t="s">
        <v>2579</v>
      </c>
      <c r="H1536" s="249">
        <v>0.05</v>
      </c>
      <c r="I1536" s="249">
        <v>0.05</v>
      </c>
      <c r="J1536" s="246">
        <v>1</v>
      </c>
      <c r="K1536" s="250"/>
      <c r="L1536" s="248"/>
      <c r="M1536" s="276" t="str">
        <f>HYPERLINK($Y$2&amp;E1536&amp;$AA$2,"Photo")</f>
        <v>Photo</v>
      </c>
      <c r="N1536" s="279" t="s">
        <v>25</v>
      </c>
      <c r="O1536" t="str">
        <f t="shared" si="42"/>
        <v>1999-P Jefferson Nickel</v>
      </c>
      <c r="P1536" s="235" t="s">
        <v>971</v>
      </c>
      <c r="Q1536">
        <f>MATCH(P1536,NickelMintage!A:A,)</f>
        <v>177</v>
      </c>
      <c r="S1536" t="str" cm="1">
        <f t="array" ref="S1536">_xlfn.REGEXEXTRACT(E1536, "[0-9]{1,5}")</f>
        <v>1999</v>
      </c>
      <c r="T1536" t="s">
        <v>4222</v>
      </c>
      <c r="U1536" t="s">
        <v>3897</v>
      </c>
    </row>
    <row r="1537" spans="1:21">
      <c r="A1537" s="136">
        <v>2</v>
      </c>
      <c r="B1537" s="246">
        <v>1999</v>
      </c>
      <c r="C1537" s="247" t="s">
        <v>25</v>
      </c>
      <c r="D1537" s="247" t="s">
        <v>1962</v>
      </c>
      <c r="E1537" s="248" t="s">
        <v>728</v>
      </c>
      <c r="F1537" s="235" t="s">
        <v>4272</v>
      </c>
      <c r="G1537" s="248" t="s">
        <v>2579</v>
      </c>
      <c r="H1537" s="249">
        <v>0.05</v>
      </c>
      <c r="I1537" s="249">
        <v>0.05</v>
      </c>
      <c r="J1537" s="246">
        <v>1</v>
      </c>
      <c r="K1537" s="250"/>
      <c r="L1537" s="248"/>
      <c r="M1537" s="276" t="str">
        <f>HYPERLINK($Y$2&amp;E1537&amp;$AA$2,"Photo")</f>
        <v>Photo</v>
      </c>
      <c r="N1537" s="279" t="s">
        <v>25</v>
      </c>
      <c r="O1537" t="str">
        <f t="shared" si="42"/>
        <v>1999-P Jefferson Nickel</v>
      </c>
      <c r="P1537" s="235" t="s">
        <v>971</v>
      </c>
      <c r="Q1537">
        <f>MATCH(P1537,NickelMintage!A:A,)</f>
        <v>177</v>
      </c>
      <c r="S1537" t="str" cm="1">
        <f t="array" ref="S1537">_xlfn.REGEXEXTRACT(E1537, "[0-9]{1,5}")</f>
        <v>1999</v>
      </c>
      <c r="T1537" t="s">
        <v>4222</v>
      </c>
      <c r="U1537" t="s">
        <v>3897</v>
      </c>
    </row>
    <row r="1538" spans="1:21">
      <c r="A1538" s="136">
        <v>2</v>
      </c>
      <c r="B1538" s="246">
        <v>1999</v>
      </c>
      <c r="C1538" s="247" t="s">
        <v>25</v>
      </c>
      <c r="D1538" s="247" t="s">
        <v>1962</v>
      </c>
      <c r="E1538" s="248" t="s">
        <v>729</v>
      </c>
      <c r="F1538" s="235" t="s">
        <v>4272</v>
      </c>
      <c r="G1538" s="248" t="s">
        <v>2579</v>
      </c>
      <c r="H1538" s="249">
        <v>0.05</v>
      </c>
      <c r="I1538" s="249">
        <v>0.05</v>
      </c>
      <c r="J1538" s="246">
        <v>1</v>
      </c>
      <c r="K1538" s="250"/>
      <c r="L1538" s="248"/>
      <c r="M1538" s="276" t="str">
        <f>HYPERLINK($Y$2&amp;E1538&amp;$AA$2,"Photo")</f>
        <v>Photo</v>
      </c>
      <c r="N1538" s="279" t="s">
        <v>25</v>
      </c>
      <c r="O1538" t="str">
        <f t="shared" si="42"/>
        <v>1999-P Jefferson Nickel</v>
      </c>
      <c r="P1538" s="235" t="s">
        <v>971</v>
      </c>
      <c r="Q1538">
        <f>MATCH(P1538,NickelMintage!A:A,)</f>
        <v>177</v>
      </c>
      <c r="S1538" t="str" cm="1">
        <f t="array" ref="S1538">_xlfn.REGEXEXTRACT(E1538, "[0-9]{1,5}")</f>
        <v>1999</v>
      </c>
      <c r="T1538" t="s">
        <v>4222</v>
      </c>
      <c r="U1538" t="s">
        <v>3897</v>
      </c>
    </row>
    <row r="1539" spans="1:21">
      <c r="A1539" s="136">
        <v>2</v>
      </c>
      <c r="B1539" s="270">
        <v>1999</v>
      </c>
      <c r="C1539" s="136" t="s">
        <v>13</v>
      </c>
      <c r="D1539" s="257" t="s">
        <v>1962</v>
      </c>
      <c r="E1539" s="235" t="s">
        <v>5668</v>
      </c>
      <c r="F1539" s="235" t="s">
        <v>4272</v>
      </c>
      <c r="G1539" s="3" t="s">
        <v>5617</v>
      </c>
      <c r="H1539" s="236">
        <v>0.45</v>
      </c>
      <c r="I1539" s="236">
        <v>0.45</v>
      </c>
      <c r="J1539" s="233">
        <v>1</v>
      </c>
      <c r="N1539" s="279"/>
      <c r="O1539" t="str">
        <f t="shared" si="42"/>
        <v>1999-D Jefferson Nickel</v>
      </c>
      <c r="P1539" s="235" t="s">
        <v>971</v>
      </c>
      <c r="Q1539">
        <f>MATCH(P1539,NickelMintage!A:A,)</f>
        <v>177</v>
      </c>
      <c r="S1539" t="str" cm="1">
        <f t="array" ref="S1539">_xlfn.REGEXEXTRACT(E1539, "[0-9]{1,5}")</f>
        <v>1999</v>
      </c>
      <c r="T1539" t="s">
        <v>4222</v>
      </c>
      <c r="U1539" t="s">
        <v>3897</v>
      </c>
    </row>
    <row r="1540" spans="1:21">
      <c r="A1540" s="136">
        <v>2</v>
      </c>
      <c r="B1540" s="270">
        <v>1999</v>
      </c>
      <c r="C1540" s="136" t="s">
        <v>12</v>
      </c>
      <c r="D1540" s="257" t="s">
        <v>1962</v>
      </c>
      <c r="E1540" s="235" t="s">
        <v>5669</v>
      </c>
      <c r="F1540" s="235" t="s">
        <v>5144</v>
      </c>
      <c r="G1540" s="3" t="s">
        <v>2584</v>
      </c>
      <c r="H1540" s="236">
        <v>1.25</v>
      </c>
      <c r="I1540" s="236">
        <v>1.25</v>
      </c>
      <c r="J1540" s="233">
        <v>1</v>
      </c>
      <c r="N1540" s="279"/>
      <c r="O1540" t="str">
        <f t="shared" ref="O1540:O1603" si="44">IF(C1540&lt;&gt;"",B1540&amp;"-"&amp;C1540&amp;" "&amp;F1540,B1540&amp;" "&amp;F1540)</f>
        <v>1999-S Jefferson Nickel Proof</v>
      </c>
      <c r="P1540" s="235" t="s">
        <v>971</v>
      </c>
      <c r="Q1540">
        <f>MATCH(P1540,NickelMintage!A:A,)</f>
        <v>177</v>
      </c>
      <c r="S1540" t="str" cm="1">
        <f t="array" ref="S1540">_xlfn.REGEXEXTRACT(E1540, "[0-9]{1,5}")</f>
        <v>1999</v>
      </c>
      <c r="T1540" t="s">
        <v>4222</v>
      </c>
      <c r="U1540" t="s">
        <v>3897</v>
      </c>
    </row>
    <row r="1541" spans="1:21">
      <c r="A1541" s="136">
        <v>2</v>
      </c>
      <c r="B1541" s="246">
        <v>2000</v>
      </c>
      <c r="C1541" s="247" t="s">
        <v>13</v>
      </c>
      <c r="D1541" s="247" t="s">
        <v>1962</v>
      </c>
      <c r="E1541" s="248" t="s">
        <v>730</v>
      </c>
      <c r="F1541" s="235" t="s">
        <v>4272</v>
      </c>
      <c r="G1541" s="248" t="s">
        <v>2579</v>
      </c>
      <c r="H1541" s="249">
        <v>0.05</v>
      </c>
      <c r="I1541" s="249">
        <v>0.05</v>
      </c>
      <c r="J1541" s="246">
        <v>1</v>
      </c>
      <c r="K1541" s="250"/>
      <c r="L1541" s="248"/>
      <c r="M1541" s="276" t="str">
        <f>HYPERLINK($Y$2&amp;E1541&amp;$AA$2,"Photo")</f>
        <v>Photo</v>
      </c>
      <c r="N1541" s="279" t="s">
        <v>25</v>
      </c>
      <c r="O1541" t="str">
        <f t="shared" si="44"/>
        <v>2000-D Jefferson Nickel</v>
      </c>
      <c r="P1541" s="235" t="s">
        <v>972</v>
      </c>
      <c r="Q1541">
        <f>MATCH(P1541,NickelMintage!A:A,)</f>
        <v>178</v>
      </c>
      <c r="S1541" t="str" cm="1">
        <f t="array" ref="S1541">_xlfn.REGEXEXTRACT(E1541, "[0-9]{1,5}")</f>
        <v>2000</v>
      </c>
      <c r="T1541" t="s">
        <v>4222</v>
      </c>
      <c r="U1541" t="s">
        <v>3897</v>
      </c>
    </row>
    <row r="1542" spans="1:21">
      <c r="A1542" s="136">
        <v>2</v>
      </c>
      <c r="B1542" s="246">
        <v>2000</v>
      </c>
      <c r="C1542" s="247" t="s">
        <v>25</v>
      </c>
      <c r="D1542" s="247" t="s">
        <v>1962</v>
      </c>
      <c r="E1542" s="248" t="s">
        <v>732</v>
      </c>
      <c r="F1542" s="235" t="s">
        <v>4272</v>
      </c>
      <c r="G1542" s="248" t="s">
        <v>2579</v>
      </c>
      <c r="H1542" s="249">
        <v>0.05</v>
      </c>
      <c r="I1542" s="249">
        <v>0.05</v>
      </c>
      <c r="J1542" s="246">
        <v>1</v>
      </c>
      <c r="K1542" s="250"/>
      <c r="L1542" s="248"/>
      <c r="M1542" s="276" t="str">
        <f>HYPERLINK($Y$2&amp;E1542&amp;$AA$2,"Photo")</f>
        <v>Photo</v>
      </c>
      <c r="N1542" s="279" t="s">
        <v>25</v>
      </c>
      <c r="O1542" t="str">
        <f t="shared" si="44"/>
        <v>2000-P Jefferson Nickel</v>
      </c>
      <c r="P1542" s="235" t="s">
        <v>3971</v>
      </c>
      <c r="Q1542" t="e">
        <f>MATCH(P1542,NickelMintage!A:A,)</f>
        <v>#N/A</v>
      </c>
      <c r="S1542" t="str" cm="1">
        <f t="array" ref="S1542">_xlfn.REGEXEXTRACT(E1542, "[0-9]{1,5}")</f>
        <v>2000</v>
      </c>
      <c r="T1542" t="s">
        <v>4222</v>
      </c>
      <c r="U1542" t="s">
        <v>3897</v>
      </c>
    </row>
    <row r="1543" spans="1:21">
      <c r="A1543" s="136">
        <v>2</v>
      </c>
      <c r="B1543" s="270">
        <v>2000</v>
      </c>
      <c r="C1543" s="234" t="s">
        <v>12</v>
      </c>
      <c r="D1543" s="257" t="s">
        <v>1962</v>
      </c>
      <c r="E1543" s="235" t="s">
        <v>5578</v>
      </c>
      <c r="F1543" s="235" t="s">
        <v>5144</v>
      </c>
      <c r="G1543" s="3" t="s">
        <v>2584</v>
      </c>
      <c r="H1543" s="236">
        <v>1.5</v>
      </c>
      <c r="I1543" s="236">
        <v>1.5</v>
      </c>
      <c r="J1543" s="233">
        <v>1</v>
      </c>
      <c r="N1543" s="279"/>
      <c r="O1543" t="str">
        <f t="shared" si="44"/>
        <v>2000-S Jefferson Nickel Proof</v>
      </c>
      <c r="P1543" s="235" t="s">
        <v>972</v>
      </c>
      <c r="Q1543">
        <f>MATCH(P1543,NickelMintage!A:A,)</f>
        <v>178</v>
      </c>
      <c r="S1543" t="str" cm="1">
        <f t="array" ref="S1543">_xlfn.REGEXEXTRACT(E1543, "[0-9]{1,5}")</f>
        <v>2000</v>
      </c>
      <c r="T1543" t="s">
        <v>4222</v>
      </c>
      <c r="U1543" t="s">
        <v>3897</v>
      </c>
    </row>
    <row r="1544" spans="1:21">
      <c r="A1544" s="136">
        <v>2</v>
      </c>
      <c r="B1544" s="246">
        <v>2001</v>
      </c>
      <c r="C1544" s="247" t="s">
        <v>25</v>
      </c>
      <c r="D1544" s="247" t="s">
        <v>1962</v>
      </c>
      <c r="E1544" s="248" t="s">
        <v>733</v>
      </c>
      <c r="F1544" s="235" t="s">
        <v>4272</v>
      </c>
      <c r="G1544" s="248" t="s">
        <v>2579</v>
      </c>
      <c r="H1544" s="249">
        <v>0.05</v>
      </c>
      <c r="I1544" s="249">
        <v>0.05</v>
      </c>
      <c r="J1544" s="246">
        <v>1</v>
      </c>
      <c r="K1544" s="250"/>
      <c r="L1544" s="248"/>
      <c r="M1544" s="276" t="str">
        <f>HYPERLINK($Y$2&amp;E1544&amp;$AA$2,"Photo")</f>
        <v>Photo</v>
      </c>
      <c r="N1544" s="279" t="s">
        <v>25</v>
      </c>
      <c r="O1544" t="str">
        <f t="shared" si="44"/>
        <v>2001-P Jefferson Nickel</v>
      </c>
      <c r="P1544" s="235" t="s">
        <v>3971</v>
      </c>
      <c r="Q1544" t="e">
        <f>MATCH(P1544,NickelMintage!A:A,)</f>
        <v>#N/A</v>
      </c>
      <c r="S1544" t="str" cm="1">
        <f t="array" ref="S1544">_xlfn.REGEXEXTRACT(E1544, "[0-9]{1,5}")</f>
        <v>2001</v>
      </c>
      <c r="T1544" t="s">
        <v>4222</v>
      </c>
      <c r="U1544" t="s">
        <v>3897</v>
      </c>
    </row>
    <row r="1545" spans="1:21">
      <c r="A1545" s="136">
        <v>2</v>
      </c>
      <c r="B1545" s="246">
        <v>2001</v>
      </c>
      <c r="C1545" s="247" t="s">
        <v>25</v>
      </c>
      <c r="D1545" s="247" t="s">
        <v>1962</v>
      </c>
      <c r="E1545" s="248" t="s">
        <v>734</v>
      </c>
      <c r="F1545" s="235" t="s">
        <v>4272</v>
      </c>
      <c r="G1545" s="248" t="s">
        <v>2579</v>
      </c>
      <c r="H1545" s="249">
        <v>0.05</v>
      </c>
      <c r="I1545" s="249">
        <v>0.05</v>
      </c>
      <c r="J1545" s="246">
        <v>1</v>
      </c>
      <c r="K1545" s="250"/>
      <c r="L1545" s="248"/>
      <c r="M1545" s="276" t="str">
        <f>HYPERLINK($Y$2&amp;E1545&amp;$AA$2,"Photo")</f>
        <v>Photo</v>
      </c>
      <c r="N1545" s="279" t="s">
        <v>25</v>
      </c>
      <c r="O1545" t="str">
        <f t="shared" si="44"/>
        <v>2001-P Jefferson Nickel</v>
      </c>
      <c r="P1545" s="235" t="s">
        <v>973</v>
      </c>
      <c r="Q1545">
        <f>MATCH(P1545,NickelMintage!A:A,)</f>
        <v>179</v>
      </c>
      <c r="S1545" t="str" cm="1">
        <f t="array" ref="S1545">_xlfn.REGEXEXTRACT(E1545, "[0-9]{1,5}")</f>
        <v>2001</v>
      </c>
      <c r="T1545" t="s">
        <v>4223</v>
      </c>
      <c r="U1545" t="s">
        <v>3897</v>
      </c>
    </row>
    <row r="1546" spans="1:21">
      <c r="A1546" s="136">
        <v>2</v>
      </c>
      <c r="B1546" s="246">
        <v>2001</v>
      </c>
      <c r="C1546" s="247" t="s">
        <v>13</v>
      </c>
      <c r="D1546" s="247" t="s">
        <v>1962</v>
      </c>
      <c r="E1546" s="248" t="s">
        <v>735</v>
      </c>
      <c r="F1546" s="235" t="s">
        <v>4272</v>
      </c>
      <c r="G1546" s="248" t="s">
        <v>2579</v>
      </c>
      <c r="H1546" s="249">
        <v>0.05</v>
      </c>
      <c r="I1546" s="249">
        <v>0.05</v>
      </c>
      <c r="J1546" s="246">
        <v>1</v>
      </c>
      <c r="K1546" s="250"/>
      <c r="L1546" s="248"/>
      <c r="M1546" s="276" t="str">
        <f>HYPERLINK($Y$2&amp;E1546&amp;$AA$2,"Photo")</f>
        <v>Photo</v>
      </c>
      <c r="N1546" s="279" t="s">
        <v>25</v>
      </c>
      <c r="O1546" t="str">
        <f t="shared" si="44"/>
        <v>2001-D Jefferson Nickel</v>
      </c>
      <c r="P1546" s="235" t="s">
        <v>973</v>
      </c>
      <c r="Q1546">
        <f>MATCH(P1546,NickelMintage!A:A,)</f>
        <v>179</v>
      </c>
      <c r="S1546" t="str" cm="1">
        <f t="array" ref="S1546">_xlfn.REGEXEXTRACT(E1546, "[0-9]{1,5}")</f>
        <v>2001</v>
      </c>
      <c r="T1546" t="s">
        <v>4223</v>
      </c>
      <c r="U1546" t="s">
        <v>3897</v>
      </c>
    </row>
    <row r="1547" spans="1:21">
      <c r="A1547" s="136">
        <v>2</v>
      </c>
      <c r="B1547" s="270">
        <v>2001</v>
      </c>
      <c r="C1547" s="234" t="s">
        <v>12</v>
      </c>
      <c r="D1547" s="257" t="s">
        <v>1962</v>
      </c>
      <c r="E1547" s="235" t="s">
        <v>5590</v>
      </c>
      <c r="F1547" s="235" t="s">
        <v>5144</v>
      </c>
      <c r="G1547" s="3" t="s">
        <v>2584</v>
      </c>
      <c r="H1547" s="236">
        <v>0.75</v>
      </c>
      <c r="I1547" s="236">
        <v>0.75</v>
      </c>
      <c r="J1547" s="233">
        <v>1</v>
      </c>
      <c r="N1547" s="279"/>
      <c r="O1547" t="str">
        <f t="shared" si="44"/>
        <v>2001-S Jefferson Nickel Proof</v>
      </c>
      <c r="P1547" s="235" t="s">
        <v>974</v>
      </c>
      <c r="Q1547">
        <f>MATCH(P1547,NickelMintage!A:A,)</f>
        <v>180</v>
      </c>
      <c r="S1547" t="str" cm="1">
        <f t="array" ref="S1547">_xlfn.REGEXEXTRACT(E1547, "[0-9]{1,5}")</f>
        <v>2001</v>
      </c>
      <c r="T1547" t="s">
        <v>4223</v>
      </c>
      <c r="U1547" t="s">
        <v>3897</v>
      </c>
    </row>
    <row r="1548" spans="1:21">
      <c r="A1548" s="136">
        <v>2</v>
      </c>
      <c r="B1548" s="246">
        <v>2002</v>
      </c>
      <c r="C1548" s="247" t="s">
        <v>25</v>
      </c>
      <c r="D1548" s="247" t="s">
        <v>1962</v>
      </c>
      <c r="E1548" s="248" t="s">
        <v>737</v>
      </c>
      <c r="F1548" s="235" t="s">
        <v>4272</v>
      </c>
      <c r="G1548" s="248" t="s">
        <v>2579</v>
      </c>
      <c r="H1548" s="249">
        <v>0.05</v>
      </c>
      <c r="I1548" s="249">
        <v>0.05</v>
      </c>
      <c r="J1548" s="246">
        <v>1</v>
      </c>
      <c r="K1548" s="250"/>
      <c r="L1548" s="248"/>
      <c r="M1548" s="276" t="str">
        <f>HYPERLINK($Y$2&amp;E1548&amp;$AA$2,"Photo")</f>
        <v>Photo</v>
      </c>
      <c r="N1548" s="279" t="s">
        <v>25</v>
      </c>
      <c r="O1548" t="str">
        <f t="shared" si="44"/>
        <v>2002-P Jefferson Nickel</v>
      </c>
      <c r="P1548" s="235" t="s">
        <v>3972</v>
      </c>
      <c r="Q1548" t="e">
        <f>MATCH(P1548,NickelMintage!A:A,)</f>
        <v>#N/A</v>
      </c>
      <c r="S1548" t="str" cm="1">
        <f t="array" ref="S1548">_xlfn.REGEXEXTRACT(E1548, "[0-9]{1,5}")</f>
        <v>2002</v>
      </c>
      <c r="T1548" t="s">
        <v>4223</v>
      </c>
      <c r="U1548" t="s">
        <v>3897</v>
      </c>
    </row>
    <row r="1549" spans="1:21">
      <c r="A1549" s="136">
        <v>2</v>
      </c>
      <c r="B1549" s="246">
        <v>2002</v>
      </c>
      <c r="C1549" s="247" t="s">
        <v>25</v>
      </c>
      <c r="D1549" s="247" t="s">
        <v>1962</v>
      </c>
      <c r="E1549" s="248" t="s">
        <v>738</v>
      </c>
      <c r="F1549" s="235" t="s">
        <v>4272</v>
      </c>
      <c r="G1549" s="248" t="s">
        <v>2579</v>
      </c>
      <c r="H1549" s="249">
        <v>0.05</v>
      </c>
      <c r="I1549" s="249">
        <v>0.05</v>
      </c>
      <c r="J1549" s="246">
        <v>1</v>
      </c>
      <c r="K1549" s="250"/>
      <c r="L1549" s="248"/>
      <c r="M1549" s="276" t="str">
        <f>HYPERLINK($Y$2&amp;E1549&amp;$AA$2,"Photo")</f>
        <v>Photo</v>
      </c>
      <c r="N1549" s="279" t="s">
        <v>25</v>
      </c>
      <c r="O1549" t="str">
        <f t="shared" si="44"/>
        <v>2002-P Jefferson Nickel</v>
      </c>
      <c r="P1549" s="235" t="s">
        <v>974</v>
      </c>
      <c r="Q1549">
        <f>MATCH(P1549,NickelMintage!A:A,)</f>
        <v>180</v>
      </c>
      <c r="S1549" t="str" cm="1">
        <f t="array" ref="S1549">_xlfn.REGEXEXTRACT(E1549, "[0-9]{1,5}")</f>
        <v>2002</v>
      </c>
      <c r="T1549" t="s">
        <v>4223</v>
      </c>
      <c r="U1549" t="s">
        <v>3897</v>
      </c>
    </row>
    <row r="1550" spans="1:21">
      <c r="A1550" s="136">
        <v>2</v>
      </c>
      <c r="B1550" s="270">
        <v>2002</v>
      </c>
      <c r="C1550" s="234" t="s">
        <v>12</v>
      </c>
      <c r="D1550" s="257" t="s">
        <v>1962</v>
      </c>
      <c r="E1550" s="235" t="s">
        <v>5577</v>
      </c>
      <c r="F1550" s="235" t="s">
        <v>5144</v>
      </c>
      <c r="G1550" s="3" t="s">
        <v>2584</v>
      </c>
      <c r="H1550" s="236">
        <v>0.75</v>
      </c>
      <c r="I1550" s="236">
        <v>0.75</v>
      </c>
      <c r="J1550" s="233">
        <v>1</v>
      </c>
      <c r="N1550" s="279"/>
      <c r="O1550" t="str">
        <f t="shared" si="44"/>
        <v>2002-S Jefferson Nickel Proof</v>
      </c>
      <c r="P1550" s="235" t="s">
        <v>3972</v>
      </c>
      <c r="Q1550" t="e">
        <f>MATCH(P1550,NickelMintage!A:A,)</f>
        <v>#N/A</v>
      </c>
      <c r="S1550" t="str" cm="1">
        <f t="array" ref="S1550">_xlfn.REGEXEXTRACT(E1550, "[0-9]{1,5}")</f>
        <v>2002</v>
      </c>
      <c r="T1550" t="s">
        <v>4223</v>
      </c>
      <c r="U1550" t="s">
        <v>3897</v>
      </c>
    </row>
    <row r="1551" spans="1:21">
      <c r="A1551" s="136">
        <v>2</v>
      </c>
      <c r="B1551" s="270">
        <v>2002</v>
      </c>
      <c r="C1551" s="234" t="s">
        <v>13</v>
      </c>
      <c r="D1551" s="257" t="s">
        <v>1962</v>
      </c>
      <c r="E1551" s="235" t="s">
        <v>5584</v>
      </c>
      <c r="F1551" s="235" t="s">
        <v>4272</v>
      </c>
      <c r="G1551" s="3" t="s">
        <v>2579</v>
      </c>
      <c r="H1551" s="236">
        <v>0.4</v>
      </c>
      <c r="I1551" s="236">
        <v>0.4</v>
      </c>
      <c r="J1551" s="233">
        <v>1</v>
      </c>
      <c r="N1551" s="279"/>
      <c r="O1551" t="str">
        <f t="shared" si="44"/>
        <v>2002-D Jefferson Nickel</v>
      </c>
      <c r="P1551" s="235" t="s">
        <v>975</v>
      </c>
      <c r="Q1551">
        <f>MATCH(P1551,NickelMintage!A:A,)</f>
        <v>181</v>
      </c>
      <c r="S1551" t="str" cm="1">
        <f t="array" ref="S1551">_xlfn.REGEXEXTRACT(E1551, "[0-9]{1,5}")</f>
        <v>2002</v>
      </c>
      <c r="T1551" t="s">
        <v>4224</v>
      </c>
      <c r="U1551" t="s">
        <v>3897</v>
      </c>
    </row>
    <row r="1552" spans="1:21">
      <c r="A1552" s="136">
        <v>2</v>
      </c>
      <c r="B1552" s="246">
        <v>2003</v>
      </c>
      <c r="C1552" s="247" t="s">
        <v>25</v>
      </c>
      <c r="D1552" s="247" t="s">
        <v>1962</v>
      </c>
      <c r="E1552" s="248" t="s">
        <v>739</v>
      </c>
      <c r="F1552" s="235" t="s">
        <v>4272</v>
      </c>
      <c r="G1552" s="248" t="s">
        <v>2579</v>
      </c>
      <c r="H1552" s="249">
        <v>0.05</v>
      </c>
      <c r="I1552" s="249">
        <v>0.1</v>
      </c>
      <c r="J1552" s="246">
        <v>1</v>
      </c>
      <c r="K1552" s="250"/>
      <c r="L1552" s="248"/>
      <c r="M1552" s="276" t="str">
        <f>HYPERLINK($Y$2&amp;E1552&amp;$AA$2,"Photo")</f>
        <v>Photo</v>
      </c>
      <c r="N1552" s="279" t="s">
        <v>25</v>
      </c>
      <c r="O1552" t="str">
        <f t="shared" si="44"/>
        <v>2003-P Jefferson Nickel</v>
      </c>
      <c r="P1552" s="235" t="s">
        <v>975</v>
      </c>
      <c r="Q1552">
        <f>MATCH(P1552,NickelMintage!A:A,)</f>
        <v>181</v>
      </c>
      <c r="S1552" t="str" cm="1">
        <f t="array" ref="S1552">_xlfn.REGEXEXTRACT(E1552, "[0-9]{1,5}")</f>
        <v>2003</v>
      </c>
      <c r="T1552" t="s">
        <v>4224</v>
      </c>
      <c r="U1552" t="s">
        <v>3897</v>
      </c>
    </row>
    <row r="1553" spans="1:21">
      <c r="A1553" s="136">
        <v>2</v>
      </c>
      <c r="B1553" s="270">
        <v>2003</v>
      </c>
      <c r="C1553" s="234" t="s">
        <v>12</v>
      </c>
      <c r="D1553" s="257" t="s">
        <v>1962</v>
      </c>
      <c r="E1553" s="235" t="s">
        <v>5588</v>
      </c>
      <c r="F1553" s="235" t="s">
        <v>5144</v>
      </c>
      <c r="G1553" s="3" t="s">
        <v>2584</v>
      </c>
      <c r="H1553" s="236">
        <v>1.6</v>
      </c>
      <c r="I1553" s="236">
        <v>1.6</v>
      </c>
      <c r="J1553" s="233">
        <v>1</v>
      </c>
      <c r="N1553" s="279"/>
      <c r="O1553" t="str">
        <f t="shared" si="44"/>
        <v>2003-S Jefferson Nickel Proof</v>
      </c>
      <c r="P1553" s="235" t="s">
        <v>975</v>
      </c>
      <c r="Q1553">
        <f>MATCH(P1553,NickelMintage!A:A,)</f>
        <v>181</v>
      </c>
      <c r="S1553" t="str" cm="1">
        <f t="array" ref="S1553">_xlfn.REGEXEXTRACT(E1553, "[0-9]{1,5}")</f>
        <v>2003</v>
      </c>
      <c r="T1553" t="s">
        <v>4224</v>
      </c>
      <c r="U1553" t="s">
        <v>3897</v>
      </c>
    </row>
    <row r="1554" spans="1:21">
      <c r="A1554" s="136">
        <v>2</v>
      </c>
      <c r="B1554" s="270">
        <v>2003</v>
      </c>
      <c r="C1554" s="234" t="s">
        <v>13</v>
      </c>
      <c r="D1554" s="257" t="s">
        <v>1962</v>
      </c>
      <c r="E1554" s="235" t="s">
        <v>5589</v>
      </c>
      <c r="F1554" s="235" t="s">
        <v>4272</v>
      </c>
      <c r="G1554" s="3" t="s">
        <v>2586</v>
      </c>
      <c r="H1554" s="236">
        <v>0.4</v>
      </c>
      <c r="I1554" s="236">
        <v>0.4</v>
      </c>
      <c r="J1554" s="233">
        <v>1</v>
      </c>
      <c r="N1554" s="279"/>
      <c r="O1554" t="str">
        <f t="shared" si="44"/>
        <v>2003-D Jefferson Nickel</v>
      </c>
      <c r="P1554" s="235" t="s">
        <v>976</v>
      </c>
      <c r="Q1554">
        <f>MATCH(P1554,NickelMintage!A:A,)</f>
        <v>182</v>
      </c>
      <c r="S1554" t="str" cm="1">
        <f t="array" ref="S1554">_xlfn.REGEXEXTRACT(E1554, "[0-9]{1,5}")</f>
        <v>2003</v>
      </c>
      <c r="T1554" t="s">
        <v>4224</v>
      </c>
      <c r="U1554" t="s">
        <v>3897</v>
      </c>
    </row>
    <row r="1555" spans="1:21">
      <c r="A1555" s="136">
        <v>2</v>
      </c>
      <c r="B1555" s="246">
        <v>2004</v>
      </c>
      <c r="C1555" s="247"/>
      <c r="D1555" s="247" t="s">
        <v>1962</v>
      </c>
      <c r="E1555" s="248" t="s">
        <v>740</v>
      </c>
      <c r="F1555" s="235" t="s">
        <v>4272</v>
      </c>
      <c r="G1555" s="248" t="s">
        <v>2579</v>
      </c>
      <c r="H1555" s="249">
        <v>2</v>
      </c>
      <c r="I1555" s="249">
        <v>9.6</v>
      </c>
      <c r="J1555" s="246">
        <v>40</v>
      </c>
      <c r="K1555" s="250" t="s">
        <v>3756</v>
      </c>
      <c r="L1555" s="248"/>
      <c r="M1555" s="276" t="str">
        <f>HYPERLINK($Y$2&amp;E1555&amp;$AA$2,"Photo")</f>
        <v>Photo</v>
      </c>
      <c r="N1555" s="279"/>
      <c r="O1555" t="str">
        <f t="shared" si="44"/>
        <v>2004 Jefferson Nickel</v>
      </c>
      <c r="P1555" s="235" t="s">
        <v>3973</v>
      </c>
      <c r="Q1555" t="e">
        <f>MATCH(P1555,NickelMintage!A:A,)</f>
        <v>#N/A</v>
      </c>
      <c r="S1555" t="str" cm="1">
        <f t="array" ref="S1555">_xlfn.REGEXEXTRACT(E1555, "[0-9]{1,5}")</f>
        <v>2004</v>
      </c>
      <c r="T1555" t="s">
        <v>4224</v>
      </c>
      <c r="U1555" t="s">
        <v>3897</v>
      </c>
    </row>
    <row r="1556" spans="1:21">
      <c r="A1556" s="136">
        <v>2</v>
      </c>
      <c r="B1556" s="246">
        <v>2004</v>
      </c>
      <c r="C1556" s="247" t="s">
        <v>25</v>
      </c>
      <c r="D1556" s="247" t="s">
        <v>1962</v>
      </c>
      <c r="E1556" s="248" t="s">
        <v>743</v>
      </c>
      <c r="F1556" s="235" t="s">
        <v>4272</v>
      </c>
      <c r="G1556" s="248" t="s">
        <v>2579</v>
      </c>
      <c r="H1556" s="249">
        <v>0.05</v>
      </c>
      <c r="I1556" s="249">
        <v>0.05</v>
      </c>
      <c r="J1556" s="246">
        <v>1</v>
      </c>
      <c r="K1556" s="250" t="s">
        <v>3757</v>
      </c>
      <c r="L1556" s="248"/>
      <c r="M1556" s="276" t="str">
        <f>HYPERLINK($Y$2&amp;E1556&amp;$AA$2,"Photo")</f>
        <v>Photo</v>
      </c>
      <c r="N1556" s="279" t="s">
        <v>25</v>
      </c>
      <c r="O1556" t="str">
        <f t="shared" si="44"/>
        <v>2004-P Jefferson Nickel</v>
      </c>
      <c r="P1556" s="235" t="s">
        <v>3973</v>
      </c>
      <c r="Q1556" t="e">
        <f>MATCH(P1556,NickelMintage!A:A,)</f>
        <v>#N/A</v>
      </c>
      <c r="S1556" t="str" cm="1">
        <f t="array" ref="S1556">_xlfn.REGEXEXTRACT(E1556, "[0-9]{1,5}")</f>
        <v>2004</v>
      </c>
      <c r="T1556" t="s">
        <v>4224</v>
      </c>
      <c r="U1556" t="s">
        <v>3897</v>
      </c>
    </row>
    <row r="1557" spans="1:21">
      <c r="A1557" s="136">
        <v>2</v>
      </c>
      <c r="B1557" s="270">
        <v>2004</v>
      </c>
      <c r="C1557" s="136" t="s">
        <v>13</v>
      </c>
      <c r="D1557" s="257" t="s">
        <v>1962</v>
      </c>
      <c r="E1557" s="235" t="s">
        <v>5674</v>
      </c>
      <c r="F1557" s="235" t="s">
        <v>5675</v>
      </c>
      <c r="G1557" s="3" t="s">
        <v>2586</v>
      </c>
      <c r="H1557" s="236">
        <v>0.35</v>
      </c>
      <c r="I1557" s="236">
        <v>0.35</v>
      </c>
      <c r="J1557" s="233">
        <v>1</v>
      </c>
      <c r="N1557" s="279"/>
      <c r="O1557" t="str">
        <f t="shared" si="44"/>
        <v>2004-D Jefferson Nickel Peace Medal</v>
      </c>
      <c r="P1557" s="235" t="s">
        <v>976</v>
      </c>
      <c r="Q1557">
        <f>MATCH(P1557,NickelMintage!A:A,)</f>
        <v>182</v>
      </c>
      <c r="S1557" t="str" cm="1">
        <f t="array" ref="S1557">_xlfn.REGEXEXTRACT(E1557, "[0-9]{1,5}")</f>
        <v>2004</v>
      </c>
      <c r="T1557" t="s">
        <v>4224</v>
      </c>
      <c r="U1557" t="s">
        <v>3897</v>
      </c>
    </row>
    <row r="1558" spans="1:21">
      <c r="A1558" s="136">
        <v>2</v>
      </c>
      <c r="B1558" s="270">
        <v>2004</v>
      </c>
      <c r="C1558" s="136" t="s">
        <v>12</v>
      </c>
      <c r="D1558" s="257" t="s">
        <v>1962</v>
      </c>
      <c r="E1558" s="235" t="s">
        <v>5676</v>
      </c>
      <c r="F1558" s="235" t="s">
        <v>5677</v>
      </c>
      <c r="G1558" s="3" t="s">
        <v>2584</v>
      </c>
      <c r="H1558" s="236">
        <v>2.25</v>
      </c>
      <c r="I1558" s="236">
        <v>2.25</v>
      </c>
      <c r="J1558" s="233">
        <v>1</v>
      </c>
      <c r="N1558" s="279"/>
      <c r="O1558" t="str">
        <f t="shared" si="44"/>
        <v>2004-S Jefferson Nickel Peace Medal Proof</v>
      </c>
      <c r="P1558" s="235" t="s">
        <v>977</v>
      </c>
      <c r="Q1558">
        <f>MATCH(P1558,NickelMintage!A:A,)</f>
        <v>183</v>
      </c>
      <c r="S1558" t="str" cm="1">
        <f t="array" ref="S1558">_xlfn.REGEXEXTRACT(E1558, "[0-9]{1,5}")</f>
        <v>2004</v>
      </c>
      <c r="T1558" t="s">
        <v>4225</v>
      </c>
      <c r="U1558" t="s">
        <v>3897</v>
      </c>
    </row>
    <row r="1559" spans="1:21">
      <c r="A1559" s="136">
        <v>2</v>
      </c>
      <c r="B1559" s="270">
        <v>2004</v>
      </c>
      <c r="C1559" s="136" t="s">
        <v>13</v>
      </c>
      <c r="D1559" s="257" t="s">
        <v>1962</v>
      </c>
      <c r="E1559" s="235" t="s">
        <v>5679</v>
      </c>
      <c r="F1559" s="235" t="s">
        <v>5680</v>
      </c>
      <c r="G1559" s="3" t="s">
        <v>5617</v>
      </c>
      <c r="H1559" s="236">
        <v>0.4</v>
      </c>
      <c r="I1559" s="236">
        <v>0.4</v>
      </c>
      <c r="J1559" s="233">
        <v>1</v>
      </c>
      <c r="N1559" s="279"/>
      <c r="O1559" t="str">
        <f t="shared" si="44"/>
        <v>2004-D Jefferson Nickel Keelboat</v>
      </c>
      <c r="P1559" s="235" t="s">
        <v>977</v>
      </c>
      <c r="Q1559">
        <f>MATCH(P1559,NickelMintage!A:A,)</f>
        <v>183</v>
      </c>
      <c r="S1559" t="str" cm="1">
        <f t="array" ref="S1559">_xlfn.REGEXEXTRACT(E1559, "[0-9]{1,5}")</f>
        <v>2004</v>
      </c>
      <c r="T1559" t="s">
        <v>4225</v>
      </c>
      <c r="U1559" t="s">
        <v>3897</v>
      </c>
    </row>
    <row r="1560" spans="1:21">
      <c r="A1560" s="136">
        <v>2</v>
      </c>
      <c r="B1560" s="270">
        <v>2004</v>
      </c>
      <c r="C1560" s="136" t="s">
        <v>12</v>
      </c>
      <c r="D1560" s="257" t="s">
        <v>1962</v>
      </c>
      <c r="E1560" s="235" t="s">
        <v>5681</v>
      </c>
      <c r="F1560" s="235" t="s">
        <v>5682</v>
      </c>
      <c r="G1560" s="3" t="s">
        <v>2584</v>
      </c>
      <c r="H1560" s="236">
        <v>2.25</v>
      </c>
      <c r="I1560" s="236">
        <v>2.25</v>
      </c>
      <c r="J1560" s="233">
        <v>1</v>
      </c>
      <c r="N1560" s="279"/>
      <c r="O1560" t="str">
        <f t="shared" si="44"/>
        <v>2004-S Jefferson Nickel Keelboat Proof</v>
      </c>
      <c r="P1560" s="235" t="s">
        <v>3974</v>
      </c>
      <c r="Q1560" t="e">
        <f>MATCH(P1560,NickelMintage!A:A,)</f>
        <v>#N/A</v>
      </c>
      <c r="S1560" t="str" cm="1">
        <f t="array" ref="S1560">_xlfn.REGEXEXTRACT(E1560, "[0-9]{1,5}")</f>
        <v>2004</v>
      </c>
      <c r="T1560" t="s">
        <v>4225</v>
      </c>
      <c r="U1560" t="s">
        <v>3897</v>
      </c>
    </row>
    <row r="1561" spans="1:21">
      <c r="A1561" s="136">
        <v>2</v>
      </c>
      <c r="B1561" s="246">
        <v>2005</v>
      </c>
      <c r="C1561" s="247" t="s">
        <v>13</v>
      </c>
      <c r="D1561" s="247" t="s">
        <v>1962</v>
      </c>
      <c r="E1561" s="248" t="s">
        <v>755</v>
      </c>
      <c r="F1561" s="235" t="s">
        <v>4272</v>
      </c>
      <c r="G1561" s="248" t="s">
        <v>2579</v>
      </c>
      <c r="H1561" s="249">
        <v>0.05</v>
      </c>
      <c r="I1561" s="249">
        <v>0.05</v>
      </c>
      <c r="J1561" s="246">
        <v>1</v>
      </c>
      <c r="K1561" s="250" t="s">
        <v>3758</v>
      </c>
      <c r="L1561" s="248"/>
      <c r="M1561" s="276" t="str">
        <f>HYPERLINK($Y$2&amp;E1561&amp;$AA$2,"Photo")</f>
        <v>Photo</v>
      </c>
      <c r="N1561" s="279" t="s">
        <v>25</v>
      </c>
      <c r="O1561" t="str">
        <f t="shared" si="44"/>
        <v>2005-D Jefferson Nickel</v>
      </c>
      <c r="P1561" s="235" t="s">
        <v>978</v>
      </c>
      <c r="Q1561">
        <f>MATCH(P1561,NickelMintage!A:A,)</f>
        <v>184</v>
      </c>
      <c r="S1561" t="str" cm="1">
        <f t="array" ref="S1561">_xlfn.REGEXEXTRACT(E1561, "[0-9]{1,5}")</f>
        <v>2005</v>
      </c>
      <c r="T1561" t="s">
        <v>4225</v>
      </c>
      <c r="U1561" t="s">
        <v>3897</v>
      </c>
    </row>
    <row r="1562" spans="1:21">
      <c r="A1562" s="136">
        <v>2</v>
      </c>
      <c r="B1562" s="246">
        <v>2005</v>
      </c>
      <c r="C1562" s="247" t="s">
        <v>13</v>
      </c>
      <c r="D1562" s="247" t="s">
        <v>1962</v>
      </c>
      <c r="E1562" s="248" t="s">
        <v>756</v>
      </c>
      <c r="F1562" s="235" t="s">
        <v>4272</v>
      </c>
      <c r="G1562" s="248" t="s">
        <v>2579</v>
      </c>
      <c r="H1562" s="249">
        <v>0.05</v>
      </c>
      <c r="I1562" s="249">
        <v>0.05</v>
      </c>
      <c r="J1562" s="246">
        <v>1</v>
      </c>
      <c r="K1562" s="250" t="s">
        <v>3758</v>
      </c>
      <c r="L1562" s="248"/>
      <c r="M1562" s="276" t="str">
        <f>HYPERLINK($Y$2&amp;E1562&amp;$AA$2,"Photo")</f>
        <v>Photo</v>
      </c>
      <c r="N1562" s="279" t="s">
        <v>25</v>
      </c>
      <c r="O1562" t="str">
        <f t="shared" si="44"/>
        <v>2005-D Jefferson Nickel</v>
      </c>
      <c r="P1562" s="235" t="s">
        <v>978</v>
      </c>
      <c r="Q1562">
        <f>MATCH(P1562,NickelMintage!A:A,)</f>
        <v>184</v>
      </c>
      <c r="S1562" t="str" cm="1">
        <f t="array" ref="S1562">_xlfn.REGEXEXTRACT(E1562, "[0-9]{1,5}")</f>
        <v>2005</v>
      </c>
      <c r="T1562" t="s">
        <v>4225</v>
      </c>
      <c r="U1562" t="s">
        <v>3897</v>
      </c>
    </row>
    <row r="1563" spans="1:21">
      <c r="A1563" s="136">
        <v>2</v>
      </c>
      <c r="B1563" s="246">
        <v>2005</v>
      </c>
      <c r="C1563" s="247" t="s">
        <v>25</v>
      </c>
      <c r="D1563" s="247" t="s">
        <v>1962</v>
      </c>
      <c r="E1563" s="248" t="s">
        <v>757</v>
      </c>
      <c r="F1563" s="235" t="s">
        <v>4272</v>
      </c>
      <c r="G1563" s="248" t="s">
        <v>2579</v>
      </c>
      <c r="H1563" s="249">
        <v>0.05</v>
      </c>
      <c r="I1563" s="249">
        <v>0.05</v>
      </c>
      <c r="J1563" s="246">
        <v>1</v>
      </c>
      <c r="K1563" s="250" t="s">
        <v>3758</v>
      </c>
      <c r="L1563" s="248"/>
      <c r="M1563" s="276" t="str">
        <f>HYPERLINK($Y$2&amp;E1563&amp;$AA$2,"Photo")</f>
        <v>Photo</v>
      </c>
      <c r="N1563" s="279" t="s">
        <v>25</v>
      </c>
      <c r="O1563" t="str">
        <f t="shared" si="44"/>
        <v>2005-P Jefferson Nickel</v>
      </c>
      <c r="P1563" s="235" t="s">
        <v>3974</v>
      </c>
      <c r="Q1563" t="e">
        <f>MATCH(P1563,NickelMintage!A:A,)</f>
        <v>#N/A</v>
      </c>
      <c r="S1563" t="str" cm="1">
        <f t="array" ref="S1563">_xlfn.REGEXEXTRACT(E1563, "[0-9]{1,5}")</f>
        <v>2005</v>
      </c>
      <c r="T1563" t="s">
        <v>4225</v>
      </c>
      <c r="U1563" t="s">
        <v>3897</v>
      </c>
    </row>
    <row r="1564" spans="1:21">
      <c r="A1564" s="136">
        <v>2</v>
      </c>
      <c r="B1564" s="246">
        <v>2005</v>
      </c>
      <c r="C1564" s="247" t="s">
        <v>25</v>
      </c>
      <c r="D1564" s="247" t="s">
        <v>1962</v>
      </c>
      <c r="E1564" s="248" t="s">
        <v>759</v>
      </c>
      <c r="F1564" s="235" t="s">
        <v>4272</v>
      </c>
      <c r="G1564" s="248" t="s">
        <v>2579</v>
      </c>
      <c r="H1564" s="249">
        <v>0.05</v>
      </c>
      <c r="I1564" s="249">
        <v>0.05</v>
      </c>
      <c r="J1564" s="246">
        <v>1</v>
      </c>
      <c r="K1564" s="250" t="s">
        <v>3758</v>
      </c>
      <c r="L1564" s="248"/>
      <c r="M1564" s="276" t="str">
        <f>HYPERLINK($Y$2&amp;E1564&amp;$AA$2,"Photo")</f>
        <v>Photo</v>
      </c>
      <c r="N1564" s="279" t="s">
        <v>25</v>
      </c>
      <c r="O1564" t="str">
        <f t="shared" si="44"/>
        <v>2005-P Jefferson Nickel</v>
      </c>
      <c r="P1564" s="235" t="s">
        <v>979</v>
      </c>
      <c r="Q1564">
        <f>MATCH(P1564,NickelMintage!A:A,)</f>
        <v>185</v>
      </c>
      <c r="S1564" t="str" cm="1">
        <f t="array" ref="S1564">_xlfn.REGEXEXTRACT(E1564, "[0-9]{1,5}")</f>
        <v>2005</v>
      </c>
      <c r="T1564" t="s">
        <v>4226</v>
      </c>
      <c r="U1564" t="s">
        <v>3897</v>
      </c>
    </row>
    <row r="1565" spans="1:21">
      <c r="A1565" s="136">
        <v>2</v>
      </c>
      <c r="B1565" s="270">
        <v>2005</v>
      </c>
      <c r="C1565" s="136" t="s">
        <v>12</v>
      </c>
      <c r="D1565" s="257" t="s">
        <v>1962</v>
      </c>
      <c r="E1565" s="235" t="s">
        <v>5684</v>
      </c>
      <c r="F1565" s="235" t="s">
        <v>5685</v>
      </c>
      <c r="G1565" s="3" t="s">
        <v>2584</v>
      </c>
      <c r="H1565" s="236">
        <v>1.25</v>
      </c>
      <c r="I1565" s="236">
        <v>1.25</v>
      </c>
      <c r="J1565" s="233">
        <v>1</v>
      </c>
      <c r="N1565" s="279"/>
      <c r="O1565" t="str">
        <f t="shared" si="44"/>
        <v>2005-S Jefferson Nickel Bison Proof</v>
      </c>
      <c r="P1565" s="235" t="s">
        <v>3975</v>
      </c>
      <c r="Q1565" t="e">
        <f>MATCH(P1565,NickelMintage!A:A,)</f>
        <v>#N/A</v>
      </c>
      <c r="S1565" t="str" cm="1">
        <f t="array" ref="S1565">_xlfn.REGEXEXTRACT(E1565, "[0-9]{1,5}")</f>
        <v>2005</v>
      </c>
      <c r="T1565" t="s">
        <v>4226</v>
      </c>
      <c r="U1565" t="s">
        <v>3897</v>
      </c>
    </row>
    <row r="1566" spans="1:21">
      <c r="A1566" s="136">
        <v>2</v>
      </c>
      <c r="B1566" s="246">
        <v>2007</v>
      </c>
      <c r="C1566" s="247" t="s">
        <v>13</v>
      </c>
      <c r="D1566" s="247" t="s">
        <v>1962</v>
      </c>
      <c r="E1566" s="248" t="s">
        <v>760</v>
      </c>
      <c r="F1566" s="235" t="s">
        <v>4272</v>
      </c>
      <c r="G1566" s="248" t="s">
        <v>2579</v>
      </c>
      <c r="H1566" s="249">
        <v>0.05</v>
      </c>
      <c r="I1566" s="249">
        <v>0.05</v>
      </c>
      <c r="J1566" s="246">
        <v>1</v>
      </c>
      <c r="K1566" s="250" t="s">
        <v>1183</v>
      </c>
      <c r="L1566" s="248"/>
      <c r="M1566" s="276" t="str">
        <f>HYPERLINK($Y$2&amp;E1566&amp;$AA$2,"Photo")</f>
        <v>Photo</v>
      </c>
      <c r="N1566" s="279" t="s">
        <v>25</v>
      </c>
      <c r="O1566" t="str">
        <f t="shared" si="44"/>
        <v>2007-D Jefferson Nickel</v>
      </c>
      <c r="P1566" s="235" t="s">
        <v>980</v>
      </c>
      <c r="Q1566">
        <f>MATCH(P1566,NickelMintage!A:A,)</f>
        <v>186</v>
      </c>
      <c r="S1566" t="str" cm="1">
        <f t="array" ref="S1566">_xlfn.REGEXEXTRACT(E1566, "[0-9]{1,5}")</f>
        <v>2007</v>
      </c>
      <c r="T1566" t="s">
        <v>4226</v>
      </c>
      <c r="U1566" t="s">
        <v>3897</v>
      </c>
    </row>
    <row r="1567" spans="1:21">
      <c r="A1567" s="136">
        <v>2</v>
      </c>
      <c r="B1567" s="246">
        <v>2007</v>
      </c>
      <c r="C1567" s="247" t="s">
        <v>13</v>
      </c>
      <c r="D1567" s="247" t="s">
        <v>1962</v>
      </c>
      <c r="E1567" s="248" t="s">
        <v>761</v>
      </c>
      <c r="F1567" s="235" t="s">
        <v>4272</v>
      </c>
      <c r="G1567" s="248" t="s">
        <v>2579</v>
      </c>
      <c r="H1567" s="249">
        <v>0.05</v>
      </c>
      <c r="I1567" s="249">
        <v>0.05</v>
      </c>
      <c r="J1567" s="246">
        <v>1</v>
      </c>
      <c r="K1567" s="250" t="s">
        <v>1183</v>
      </c>
      <c r="L1567" s="248"/>
      <c r="M1567" s="276" t="str">
        <f>HYPERLINK($Y$2&amp;E1567&amp;$AA$2,"Photo")</f>
        <v>Photo</v>
      </c>
      <c r="N1567" s="279" t="s">
        <v>25</v>
      </c>
      <c r="O1567" t="str">
        <f t="shared" si="44"/>
        <v>2007-D Jefferson Nickel</v>
      </c>
      <c r="P1567" s="235" t="s">
        <v>3975</v>
      </c>
      <c r="Q1567" t="e">
        <f>MATCH(P1567,NickelMintage!A:A,)</f>
        <v>#N/A</v>
      </c>
      <c r="S1567" t="str" cm="1">
        <f t="array" ref="S1567">_xlfn.REGEXEXTRACT(E1567, "[0-9]{1,5}")</f>
        <v>2007</v>
      </c>
      <c r="T1567" t="s">
        <v>4226</v>
      </c>
      <c r="U1567" t="s">
        <v>3897</v>
      </c>
    </row>
    <row r="1568" spans="1:21">
      <c r="A1568" s="136">
        <v>2</v>
      </c>
      <c r="B1568" s="270">
        <v>2007</v>
      </c>
      <c r="C1568" s="234" t="s">
        <v>25</v>
      </c>
      <c r="D1568" s="257" t="s">
        <v>1962</v>
      </c>
      <c r="E1568" s="235" t="s">
        <v>5579</v>
      </c>
      <c r="F1568" s="235" t="s">
        <v>4272</v>
      </c>
      <c r="G1568" s="3" t="s">
        <v>2579</v>
      </c>
      <c r="H1568" s="236">
        <v>0.3</v>
      </c>
      <c r="I1568" s="236">
        <v>0.3</v>
      </c>
      <c r="J1568" s="233">
        <v>1</v>
      </c>
      <c r="N1568" s="279"/>
      <c r="O1568" t="str">
        <f t="shared" si="44"/>
        <v>2007-P Jefferson Nickel</v>
      </c>
      <c r="P1568" s="235" t="s">
        <v>980</v>
      </c>
      <c r="Q1568">
        <f>MATCH(P1568,NickelMintage!A:A,)</f>
        <v>186</v>
      </c>
      <c r="S1568" t="str" cm="1">
        <f t="array" ref="S1568">_xlfn.REGEXEXTRACT(E1568, "[0-9]{1,5}")</f>
        <v>2007</v>
      </c>
      <c r="T1568" t="s">
        <v>4226</v>
      </c>
      <c r="U1568" t="s">
        <v>3897</v>
      </c>
    </row>
    <row r="1569" spans="1:21">
      <c r="A1569" s="136">
        <v>2</v>
      </c>
      <c r="B1569" s="270">
        <v>2007</v>
      </c>
      <c r="C1569" s="234" t="s">
        <v>12</v>
      </c>
      <c r="D1569" s="257" t="s">
        <v>1962</v>
      </c>
      <c r="E1569" s="235" t="s">
        <v>5591</v>
      </c>
      <c r="F1569" s="235" t="s">
        <v>5144</v>
      </c>
      <c r="G1569" s="3" t="s">
        <v>2584</v>
      </c>
      <c r="H1569" s="236">
        <v>1.25</v>
      </c>
      <c r="I1569" s="236">
        <v>1.25</v>
      </c>
      <c r="J1569" s="233">
        <v>1</v>
      </c>
      <c r="N1569" s="279"/>
      <c r="O1569" t="str">
        <f t="shared" si="44"/>
        <v>2007-S Jefferson Nickel Proof</v>
      </c>
      <c r="P1569" s="235" t="s">
        <v>979</v>
      </c>
      <c r="Q1569">
        <f>MATCH(P1569,NickelMintage!A:A,)</f>
        <v>185</v>
      </c>
      <c r="S1569" t="str" cm="1">
        <f t="array" ref="S1569">_xlfn.REGEXEXTRACT(E1569, "[0-9]{1,5}")</f>
        <v>2007</v>
      </c>
      <c r="T1569" t="s">
        <v>4226</v>
      </c>
      <c r="U1569" t="s">
        <v>3897</v>
      </c>
    </row>
    <row r="1570" spans="1:21">
      <c r="A1570" s="136">
        <v>2</v>
      </c>
      <c r="B1570" s="246">
        <v>2008</v>
      </c>
      <c r="C1570" s="247" t="s">
        <v>13</v>
      </c>
      <c r="D1570" s="247" t="s">
        <v>1962</v>
      </c>
      <c r="E1570" s="248" t="s">
        <v>762</v>
      </c>
      <c r="F1570" s="235" t="s">
        <v>4272</v>
      </c>
      <c r="G1570" s="248" t="s">
        <v>2579</v>
      </c>
      <c r="H1570" s="249">
        <v>0.05</v>
      </c>
      <c r="I1570" s="249">
        <v>0.05</v>
      </c>
      <c r="J1570" s="246">
        <v>1</v>
      </c>
      <c r="K1570" s="250" t="s">
        <v>1183</v>
      </c>
      <c r="L1570" s="248"/>
      <c r="M1570" s="276" t="str">
        <f>HYPERLINK($Y$2&amp;E1570&amp;$AA$2,"Photo")</f>
        <v>Photo</v>
      </c>
      <c r="N1570" s="279" t="s">
        <v>25</v>
      </c>
      <c r="O1570" t="str">
        <f t="shared" si="44"/>
        <v>2008-D Jefferson Nickel</v>
      </c>
      <c r="P1570" s="235" t="s">
        <v>2564</v>
      </c>
      <c r="Q1570">
        <f>MATCH(P1570,NickelMintage!A:A,)</f>
        <v>189</v>
      </c>
      <c r="S1570" t="str" cm="1">
        <f t="array" ref="S1570">_xlfn.REGEXEXTRACT(E1570, "[0-9]{1,5}")</f>
        <v>2008</v>
      </c>
      <c r="T1570" t="s">
        <v>4227</v>
      </c>
      <c r="U1570" t="s">
        <v>3897</v>
      </c>
    </row>
    <row r="1571" spans="1:21">
      <c r="A1571" s="136">
        <v>2</v>
      </c>
      <c r="B1571" s="270">
        <v>2008</v>
      </c>
      <c r="C1571" s="234" t="s">
        <v>25</v>
      </c>
      <c r="D1571" s="257" t="s">
        <v>1962</v>
      </c>
      <c r="E1571" s="235" t="s">
        <v>5581</v>
      </c>
      <c r="F1571" s="235" t="s">
        <v>4272</v>
      </c>
      <c r="G1571" s="3" t="s">
        <v>2579</v>
      </c>
      <c r="H1571" s="236">
        <v>0.5</v>
      </c>
      <c r="I1571" s="236">
        <v>0.5</v>
      </c>
      <c r="J1571" s="233">
        <v>1</v>
      </c>
      <c r="N1571" s="279"/>
      <c r="O1571" t="str">
        <f t="shared" si="44"/>
        <v>2008-P Jefferson Nickel</v>
      </c>
      <c r="P1571" s="235" t="s">
        <v>2565</v>
      </c>
      <c r="Q1571">
        <f>MATCH(P1571,NickelMintage!A:A,)</f>
        <v>190</v>
      </c>
      <c r="S1571" t="str" cm="1">
        <f t="array" ref="S1571">_xlfn.REGEXEXTRACT(E1571, "[0-9]{1,5}")</f>
        <v>2008</v>
      </c>
      <c r="T1571" t="s">
        <v>4227</v>
      </c>
      <c r="U1571" t="s">
        <v>3897</v>
      </c>
    </row>
    <row r="1572" spans="1:21">
      <c r="A1572" s="136">
        <v>2</v>
      </c>
      <c r="B1572" s="270">
        <v>2008</v>
      </c>
      <c r="C1572" s="234" t="s">
        <v>12</v>
      </c>
      <c r="D1572" s="257" t="s">
        <v>1962</v>
      </c>
      <c r="E1572" s="235" t="s">
        <v>5583</v>
      </c>
      <c r="F1572" s="235" t="s">
        <v>5144</v>
      </c>
      <c r="G1572" s="3" t="s">
        <v>2584</v>
      </c>
      <c r="H1572" s="236">
        <v>2.5</v>
      </c>
      <c r="I1572" s="236">
        <v>2.5</v>
      </c>
      <c r="J1572" s="233">
        <v>1</v>
      </c>
      <c r="N1572" s="279"/>
      <c r="O1572" t="str">
        <f t="shared" si="44"/>
        <v>2008-S Jefferson Nickel Proof</v>
      </c>
      <c r="P1572" s="235" t="s">
        <v>3976</v>
      </c>
      <c r="Q1572">
        <f>MATCH(P1572,NickelMintage!A:A,)</f>
        <v>191</v>
      </c>
      <c r="S1572" t="str" cm="1">
        <f t="array" ref="S1572">_xlfn.REGEXEXTRACT(E1572, "[0-9]{1,5}")</f>
        <v>2008</v>
      </c>
      <c r="T1572" t="s">
        <v>4227</v>
      </c>
      <c r="U1572" t="s">
        <v>3897</v>
      </c>
    </row>
    <row r="1573" spans="1:21">
      <c r="A1573" s="136">
        <v>2</v>
      </c>
      <c r="B1573" s="270">
        <v>2009</v>
      </c>
      <c r="C1573" s="234" t="s">
        <v>12</v>
      </c>
      <c r="D1573" s="257" t="s">
        <v>1962</v>
      </c>
      <c r="E1573" s="235" t="s">
        <v>5585</v>
      </c>
      <c r="F1573" s="235" t="s">
        <v>5144</v>
      </c>
      <c r="G1573" s="3" t="s">
        <v>2584</v>
      </c>
      <c r="H1573" s="236">
        <v>1.75</v>
      </c>
      <c r="I1573" s="236">
        <v>1.75</v>
      </c>
      <c r="J1573" s="233">
        <v>1</v>
      </c>
      <c r="N1573" s="279"/>
      <c r="O1573" t="str">
        <f t="shared" si="44"/>
        <v>2009-S Jefferson Nickel Proof</v>
      </c>
      <c r="P1573" s="235" t="s">
        <v>2564</v>
      </c>
      <c r="Q1573">
        <f>MATCH(P1573,NickelMintage!A:A,)</f>
        <v>189</v>
      </c>
      <c r="S1573" t="str" cm="1">
        <f t="array" ref="S1573">_xlfn.REGEXEXTRACT(E1573, "[0-9]{1,5}")</f>
        <v>2009</v>
      </c>
      <c r="T1573" t="s">
        <v>4227</v>
      </c>
      <c r="U1573" t="s">
        <v>3897</v>
      </c>
    </row>
    <row r="1574" spans="1:21">
      <c r="A1574" s="136">
        <v>2</v>
      </c>
      <c r="B1574" s="270">
        <v>2009</v>
      </c>
      <c r="C1574" s="234" t="s">
        <v>25</v>
      </c>
      <c r="D1574" s="257" t="s">
        <v>1962</v>
      </c>
      <c r="E1574" s="235" t="s">
        <v>5580</v>
      </c>
      <c r="F1574" s="235" t="s">
        <v>4272</v>
      </c>
      <c r="G1574" s="3" t="s">
        <v>2579</v>
      </c>
      <c r="H1574" s="236">
        <v>1.75</v>
      </c>
      <c r="I1574" s="236">
        <v>1.75</v>
      </c>
      <c r="J1574" s="233">
        <v>1</v>
      </c>
      <c r="N1574" s="279"/>
      <c r="O1574" t="str">
        <f t="shared" si="44"/>
        <v>2009-P Jefferson Nickel</v>
      </c>
      <c r="P1574" s="235" t="s">
        <v>2564</v>
      </c>
      <c r="Q1574">
        <f>MATCH(P1574,NickelMintage!A:A,)</f>
        <v>189</v>
      </c>
      <c r="S1574" t="str" cm="1">
        <f t="array" ref="S1574">_xlfn.REGEXEXTRACT(E1574, "[0-9]{1,5}")</f>
        <v>2009</v>
      </c>
      <c r="T1574" t="s">
        <v>4227</v>
      </c>
      <c r="U1574" t="s">
        <v>3897</v>
      </c>
    </row>
    <row r="1575" spans="1:21">
      <c r="A1575" s="136">
        <v>2</v>
      </c>
      <c r="B1575" s="270">
        <v>2009</v>
      </c>
      <c r="C1575" s="234" t="s">
        <v>13</v>
      </c>
      <c r="D1575" s="257" t="s">
        <v>1962</v>
      </c>
      <c r="E1575" s="235" t="s">
        <v>5582</v>
      </c>
      <c r="F1575" s="235" t="s">
        <v>4272</v>
      </c>
      <c r="G1575" s="3" t="s">
        <v>2579</v>
      </c>
      <c r="H1575" s="236">
        <v>1.25</v>
      </c>
      <c r="I1575" s="236">
        <v>1.25</v>
      </c>
      <c r="J1575" s="233">
        <v>1</v>
      </c>
      <c r="N1575" s="279"/>
      <c r="O1575" t="str">
        <f t="shared" si="44"/>
        <v>2009-D Jefferson Nickel</v>
      </c>
      <c r="P1575" s="235" t="s">
        <v>2565</v>
      </c>
      <c r="Q1575">
        <f>MATCH(P1575,NickelMintage!A:A,)</f>
        <v>190</v>
      </c>
      <c r="S1575" t="str" cm="1">
        <f t="array" ref="S1575">_xlfn.REGEXEXTRACT(E1575, "[0-9]{1,5}")</f>
        <v>2009</v>
      </c>
      <c r="T1575" t="s">
        <v>4227</v>
      </c>
      <c r="U1575" t="s">
        <v>3897</v>
      </c>
    </row>
    <row r="1576" spans="1:21">
      <c r="A1576" s="136">
        <v>2</v>
      </c>
      <c r="B1576" s="246">
        <v>2010</v>
      </c>
      <c r="C1576" s="247" t="s">
        <v>12</v>
      </c>
      <c r="D1576" s="247" t="s">
        <v>1962</v>
      </c>
      <c r="E1576" s="248" t="s">
        <v>763</v>
      </c>
      <c r="F1576" s="235" t="s">
        <v>5144</v>
      </c>
      <c r="G1576" s="248" t="s">
        <v>2579</v>
      </c>
      <c r="H1576" s="249">
        <v>1.5</v>
      </c>
      <c r="I1576" s="249">
        <v>4.95</v>
      </c>
      <c r="J1576" s="246">
        <v>1</v>
      </c>
      <c r="K1576" s="250" t="s">
        <v>3755</v>
      </c>
      <c r="L1576" s="248"/>
      <c r="M1576" s="276" t="str">
        <f>HYPERLINK($Y$2&amp;E1576&amp;$AA$2,"Photo")</f>
        <v>Photo</v>
      </c>
      <c r="N1576" s="279" t="s">
        <v>25</v>
      </c>
      <c r="O1576" t="str">
        <f t="shared" si="44"/>
        <v>2010-S Jefferson Nickel Proof</v>
      </c>
      <c r="P1576" s="235" t="s">
        <v>3976</v>
      </c>
      <c r="Q1576">
        <f>MATCH(P1576,NickelMintage!A:A,)</f>
        <v>191</v>
      </c>
      <c r="S1576" t="str" cm="1">
        <f t="array" ref="S1576">_xlfn.REGEXEXTRACT(E1576, "[0-9]{1,5}")</f>
        <v>2010</v>
      </c>
      <c r="T1576" t="s">
        <v>4227</v>
      </c>
      <c r="U1576" t="s">
        <v>3897</v>
      </c>
    </row>
    <row r="1577" spans="1:21">
      <c r="A1577" s="136">
        <v>2</v>
      </c>
      <c r="B1577" s="270">
        <v>2010</v>
      </c>
      <c r="C1577" s="234" t="s">
        <v>25</v>
      </c>
      <c r="D1577" s="257" t="s">
        <v>1962</v>
      </c>
      <c r="E1577" s="235" t="s">
        <v>5586</v>
      </c>
      <c r="F1577" s="235" t="s">
        <v>4272</v>
      </c>
      <c r="G1577" s="3" t="s">
        <v>2584</v>
      </c>
      <c r="H1577" s="236">
        <v>0.3</v>
      </c>
      <c r="I1577" s="236">
        <v>0.3</v>
      </c>
      <c r="J1577" s="233">
        <v>1</v>
      </c>
      <c r="N1577" s="279"/>
      <c r="O1577" t="str">
        <f t="shared" si="44"/>
        <v>2010-P Jefferson Nickel</v>
      </c>
      <c r="P1577" s="235" t="s">
        <v>2567</v>
      </c>
      <c r="Q1577">
        <f>MATCH(P1577,NickelMintage!A:A,)</f>
        <v>192</v>
      </c>
      <c r="S1577" t="str" cm="1">
        <f t="array" ref="S1577">_xlfn.REGEXEXTRACT(E1577, "[0-9]{1,5}")</f>
        <v>2010</v>
      </c>
      <c r="T1577" t="s">
        <v>4229</v>
      </c>
      <c r="U1577" t="s">
        <v>3897</v>
      </c>
    </row>
    <row r="1578" spans="1:21">
      <c r="A1578" s="136">
        <v>2</v>
      </c>
      <c r="B1578" s="270">
        <v>2010</v>
      </c>
      <c r="C1578" s="234" t="s">
        <v>13</v>
      </c>
      <c r="D1578" s="257" t="s">
        <v>1962</v>
      </c>
      <c r="E1578" s="235" t="s">
        <v>5587</v>
      </c>
      <c r="F1578" s="235" t="s">
        <v>4272</v>
      </c>
      <c r="G1578" s="3" t="s">
        <v>2579</v>
      </c>
      <c r="H1578" s="236">
        <v>0.4</v>
      </c>
      <c r="I1578" s="236">
        <v>0.4</v>
      </c>
      <c r="J1578" s="233">
        <v>1</v>
      </c>
      <c r="N1578" s="279"/>
      <c r="O1578" t="str">
        <f t="shared" si="44"/>
        <v>2010-D Jefferson Nickel</v>
      </c>
      <c r="P1578" s="235" t="s">
        <v>2566</v>
      </c>
      <c r="Q1578">
        <f>MATCH(P1578,NickelMintage!A:A,)</f>
        <v>193</v>
      </c>
      <c r="S1578" t="str" cm="1">
        <f t="array" ref="S1578">_xlfn.REGEXEXTRACT(E1578, "[0-9]{1,5}")</f>
        <v>2010</v>
      </c>
      <c r="T1578" t="s">
        <v>4229</v>
      </c>
      <c r="U1578" t="s">
        <v>3897</v>
      </c>
    </row>
    <row r="1579" spans="1:21">
      <c r="A1579" s="136">
        <v>2</v>
      </c>
      <c r="B1579" s="246">
        <v>2011</v>
      </c>
      <c r="C1579" s="247" t="s">
        <v>25</v>
      </c>
      <c r="D1579" s="247" t="s">
        <v>1962</v>
      </c>
      <c r="E1579" s="248" t="s">
        <v>764</v>
      </c>
      <c r="F1579" s="235" t="s">
        <v>4272</v>
      </c>
      <c r="G1579" s="248" t="s">
        <v>2579</v>
      </c>
      <c r="H1579" s="249">
        <v>0.3</v>
      </c>
      <c r="I1579" s="249">
        <v>0.56999999999999995</v>
      </c>
      <c r="J1579" s="246">
        <v>1</v>
      </c>
      <c r="K1579" s="250" t="s">
        <v>1183</v>
      </c>
      <c r="L1579" s="248"/>
      <c r="M1579" s="276" t="str">
        <f t="shared" ref="M1579:M1604" si="45">HYPERLINK($Y$2&amp;E1579&amp;$AA$2,"Photo")</f>
        <v>Photo</v>
      </c>
      <c r="N1579" s="279" t="s">
        <v>25</v>
      </c>
      <c r="O1579" t="str">
        <f t="shared" si="44"/>
        <v>2011-P Jefferson Nickel</v>
      </c>
      <c r="P1579" s="235" t="s">
        <v>2570</v>
      </c>
      <c r="Q1579">
        <f>MATCH(P1579,NickelMintage!A:A,)</f>
        <v>194</v>
      </c>
      <c r="S1579" t="str" cm="1">
        <f t="array" ref="S1579">_xlfn.REGEXEXTRACT(E1579, "[0-9]{1,5}")</f>
        <v>2011</v>
      </c>
      <c r="T1579" t="s">
        <v>4229</v>
      </c>
      <c r="U1579" t="s">
        <v>3897</v>
      </c>
    </row>
    <row r="1580" spans="1:21">
      <c r="A1580" s="136">
        <v>2</v>
      </c>
      <c r="B1580" s="246">
        <v>2011</v>
      </c>
      <c r="C1580" s="247" t="s">
        <v>12</v>
      </c>
      <c r="D1580" s="247" t="s">
        <v>1962</v>
      </c>
      <c r="E1580" s="248" t="s">
        <v>765</v>
      </c>
      <c r="F1580" s="235" t="s">
        <v>5144</v>
      </c>
      <c r="G1580" s="248" t="s">
        <v>2579</v>
      </c>
      <c r="H1580" s="249">
        <v>1.25</v>
      </c>
      <c r="I1580" s="249">
        <v>1</v>
      </c>
      <c r="J1580" s="246">
        <v>1</v>
      </c>
      <c r="K1580" s="250" t="s">
        <v>3755</v>
      </c>
      <c r="L1580" s="248"/>
      <c r="M1580" s="276" t="str">
        <f t="shared" si="45"/>
        <v>Photo</v>
      </c>
      <c r="N1580" s="279" t="s">
        <v>25</v>
      </c>
      <c r="O1580" t="str">
        <f t="shared" si="44"/>
        <v>2011-S Jefferson Nickel Proof</v>
      </c>
      <c r="P1580" s="235" t="s">
        <v>2567</v>
      </c>
      <c r="Q1580">
        <f>MATCH(P1580,NickelMintage!A:A,)</f>
        <v>192</v>
      </c>
      <c r="S1580" t="str" cm="1">
        <f t="array" ref="S1580">_xlfn.REGEXEXTRACT(E1580, "[0-9]{1,5}")</f>
        <v>2011</v>
      </c>
      <c r="T1580" t="s">
        <v>4229</v>
      </c>
      <c r="U1580" t="s">
        <v>3897</v>
      </c>
    </row>
    <row r="1581" spans="1:21">
      <c r="A1581" s="136">
        <v>2</v>
      </c>
      <c r="B1581" s="246">
        <v>2011</v>
      </c>
      <c r="C1581" s="247" t="s">
        <v>13</v>
      </c>
      <c r="D1581" s="247" t="s">
        <v>1962</v>
      </c>
      <c r="E1581" s="248" t="s">
        <v>766</v>
      </c>
      <c r="F1581" s="235" t="s">
        <v>4272</v>
      </c>
      <c r="G1581" s="248" t="s">
        <v>2579</v>
      </c>
      <c r="H1581" s="249">
        <v>0.5</v>
      </c>
      <c r="I1581" s="249">
        <v>0.56999999999999995</v>
      </c>
      <c r="J1581" s="246">
        <v>1</v>
      </c>
      <c r="K1581" s="250" t="s">
        <v>1183</v>
      </c>
      <c r="L1581" s="248"/>
      <c r="M1581" s="276" t="str">
        <f t="shared" si="45"/>
        <v>Photo</v>
      </c>
      <c r="N1581" s="279" t="s">
        <v>25</v>
      </c>
      <c r="O1581" t="str">
        <f t="shared" si="44"/>
        <v>2011-D Jefferson Nickel</v>
      </c>
      <c r="P1581" s="235" t="s">
        <v>2566</v>
      </c>
      <c r="Q1581">
        <f>MATCH(P1581,NickelMintage!A:A,)</f>
        <v>193</v>
      </c>
      <c r="S1581" t="str" cm="1">
        <f t="array" ref="S1581">_xlfn.REGEXEXTRACT(E1581, "[0-9]{1,5}")</f>
        <v>2011</v>
      </c>
      <c r="T1581" t="s">
        <v>4229</v>
      </c>
      <c r="U1581" t="s">
        <v>3897</v>
      </c>
    </row>
    <row r="1582" spans="1:21">
      <c r="A1582" s="136">
        <v>2</v>
      </c>
      <c r="B1582" s="233">
        <v>2011</v>
      </c>
      <c r="C1582" s="234" t="s">
        <v>25</v>
      </c>
      <c r="D1582" s="247" t="s">
        <v>1962</v>
      </c>
      <c r="E1582" s="235" t="s">
        <v>2215</v>
      </c>
      <c r="F1582" s="235" t="s">
        <v>4272</v>
      </c>
      <c r="G1582" s="235" t="s">
        <v>2579</v>
      </c>
      <c r="H1582" s="236">
        <v>0.3</v>
      </c>
      <c r="I1582" s="236">
        <v>0.3</v>
      </c>
      <c r="J1582" s="233">
        <v>1</v>
      </c>
      <c r="K1582" s="237" t="s">
        <v>1183</v>
      </c>
      <c r="L1582" s="235"/>
      <c r="M1582" s="276" t="str">
        <f t="shared" si="45"/>
        <v>Photo</v>
      </c>
      <c r="N1582" s="279" t="s">
        <v>25</v>
      </c>
      <c r="O1582" t="str">
        <f t="shared" si="44"/>
        <v>2011-P Jefferson Nickel</v>
      </c>
      <c r="P1582" s="235" t="s">
        <v>2570</v>
      </c>
      <c r="Q1582">
        <f>MATCH(P1582,NickelMintage!A:A,)</f>
        <v>194</v>
      </c>
      <c r="S1582" t="str" cm="1">
        <f t="array" ref="S1582">_xlfn.REGEXEXTRACT(E1582, "[0-9]{1,5}")</f>
        <v>2011</v>
      </c>
      <c r="T1582" t="s">
        <v>4229</v>
      </c>
      <c r="U1582" t="s">
        <v>3897</v>
      </c>
    </row>
    <row r="1583" spans="1:21">
      <c r="A1583" s="136">
        <v>2</v>
      </c>
      <c r="B1583" s="233">
        <v>2011</v>
      </c>
      <c r="C1583" s="234" t="s">
        <v>13</v>
      </c>
      <c r="D1583" s="247" t="s">
        <v>1962</v>
      </c>
      <c r="E1583" s="235" t="s">
        <v>2216</v>
      </c>
      <c r="F1583" s="235" t="s">
        <v>4272</v>
      </c>
      <c r="G1583" s="235" t="s">
        <v>2579</v>
      </c>
      <c r="H1583" s="236">
        <v>0.3</v>
      </c>
      <c r="I1583" s="236">
        <v>0.3</v>
      </c>
      <c r="J1583" s="233">
        <v>1</v>
      </c>
      <c r="K1583" s="237" t="s">
        <v>1183</v>
      </c>
      <c r="L1583" s="235"/>
      <c r="M1583" s="276" t="str">
        <f t="shared" si="45"/>
        <v>Photo</v>
      </c>
      <c r="N1583" s="279" t="s">
        <v>25</v>
      </c>
      <c r="O1583" t="str">
        <f t="shared" si="44"/>
        <v>2011-D Jefferson Nickel</v>
      </c>
      <c r="P1583" s="235" t="s">
        <v>2567</v>
      </c>
      <c r="Q1583">
        <f>MATCH(P1583,NickelMintage!A:A,)</f>
        <v>192</v>
      </c>
      <c r="S1583" t="str" cm="1">
        <f t="array" ref="S1583">_xlfn.REGEXEXTRACT(E1583, "[0-9]{1,5}")</f>
        <v>2011</v>
      </c>
      <c r="T1583" t="s">
        <v>4229</v>
      </c>
      <c r="U1583" t="s">
        <v>3897</v>
      </c>
    </row>
    <row r="1584" spans="1:21">
      <c r="A1584" s="136">
        <v>2</v>
      </c>
      <c r="B1584" s="233">
        <v>2011</v>
      </c>
      <c r="C1584" s="234" t="s">
        <v>12</v>
      </c>
      <c r="D1584" s="247" t="s">
        <v>1962</v>
      </c>
      <c r="E1584" s="235" t="s">
        <v>2217</v>
      </c>
      <c r="F1584" s="235" t="s">
        <v>4272</v>
      </c>
      <c r="G1584" s="235" t="s">
        <v>2579</v>
      </c>
      <c r="H1584" s="236">
        <v>2</v>
      </c>
      <c r="I1584" s="236">
        <v>2</v>
      </c>
      <c r="J1584" s="233">
        <v>1</v>
      </c>
      <c r="K1584" s="237" t="s">
        <v>1183</v>
      </c>
      <c r="L1584" s="235"/>
      <c r="M1584" s="276" t="str">
        <f t="shared" si="45"/>
        <v>Photo</v>
      </c>
      <c r="N1584" s="279" t="s">
        <v>25</v>
      </c>
      <c r="O1584" t="str">
        <f t="shared" si="44"/>
        <v>2011-S Jefferson Nickel</v>
      </c>
      <c r="P1584" s="235" t="s">
        <v>2568</v>
      </c>
      <c r="Q1584">
        <f>MATCH(P1584,NickelMintage!A:A,)</f>
        <v>195</v>
      </c>
      <c r="S1584" t="str" cm="1">
        <f t="array" ref="S1584">_xlfn.REGEXEXTRACT(E1584, "[0-9]{1,5}")</f>
        <v>2011</v>
      </c>
      <c r="T1584" t="s">
        <v>4230</v>
      </c>
      <c r="U1584" t="s">
        <v>3897</v>
      </c>
    </row>
    <row r="1585" spans="1:21">
      <c r="A1585" s="136">
        <v>2</v>
      </c>
      <c r="B1585" s="246">
        <v>2012</v>
      </c>
      <c r="C1585" s="247" t="s">
        <v>25</v>
      </c>
      <c r="D1585" s="247" t="s">
        <v>1962</v>
      </c>
      <c r="E1585" s="248" t="s">
        <v>767</v>
      </c>
      <c r="F1585" s="235" t="s">
        <v>4272</v>
      </c>
      <c r="G1585" s="248" t="s">
        <v>2579</v>
      </c>
      <c r="H1585" s="249">
        <v>0.05</v>
      </c>
      <c r="I1585" s="249">
        <v>0.05</v>
      </c>
      <c r="J1585" s="246">
        <v>1</v>
      </c>
      <c r="K1585" s="250" t="s">
        <v>1183</v>
      </c>
      <c r="L1585" s="248"/>
      <c r="M1585" s="276" t="str">
        <f t="shared" si="45"/>
        <v>Photo</v>
      </c>
      <c r="N1585" s="279" t="s">
        <v>25</v>
      </c>
      <c r="O1585" t="str">
        <f t="shared" si="44"/>
        <v>2012-P Jefferson Nickel</v>
      </c>
      <c r="P1585" s="235" t="s">
        <v>3977</v>
      </c>
      <c r="Q1585">
        <f>MATCH(P1585,NickelMintage!A:A,)</f>
        <v>197</v>
      </c>
      <c r="S1585" t="str" cm="1">
        <f t="array" ref="S1585">_xlfn.REGEXEXTRACT(E1585, "[0-9]{1,5}")</f>
        <v>2012</v>
      </c>
      <c r="T1585" t="s">
        <v>4230</v>
      </c>
      <c r="U1585" t="s">
        <v>3897</v>
      </c>
    </row>
    <row r="1586" spans="1:21">
      <c r="A1586" s="136">
        <v>2</v>
      </c>
      <c r="B1586" s="246">
        <v>2012</v>
      </c>
      <c r="C1586" s="247" t="s">
        <v>25</v>
      </c>
      <c r="D1586" s="247" t="s">
        <v>1962</v>
      </c>
      <c r="E1586" s="248" t="s">
        <v>769</v>
      </c>
      <c r="F1586" s="235" t="s">
        <v>4272</v>
      </c>
      <c r="G1586" s="248" t="s">
        <v>2579</v>
      </c>
      <c r="H1586" s="249">
        <v>0.05</v>
      </c>
      <c r="I1586" s="249">
        <v>0.05</v>
      </c>
      <c r="J1586" s="246">
        <v>1</v>
      </c>
      <c r="K1586" s="250" t="s">
        <v>1183</v>
      </c>
      <c r="L1586" s="248"/>
      <c r="M1586" s="276" t="str">
        <f t="shared" si="45"/>
        <v>Photo</v>
      </c>
      <c r="N1586" s="279" t="s">
        <v>25</v>
      </c>
      <c r="O1586" t="str">
        <f t="shared" si="44"/>
        <v>2012-P Jefferson Nickel</v>
      </c>
      <c r="P1586" s="235" t="s">
        <v>2568</v>
      </c>
      <c r="Q1586">
        <f>MATCH(P1586,NickelMintage!A:A,)</f>
        <v>195</v>
      </c>
      <c r="S1586" t="str" cm="1">
        <f t="array" ref="S1586">_xlfn.REGEXEXTRACT(E1586, "[0-9]{1,5}")</f>
        <v>2012</v>
      </c>
      <c r="T1586" t="s">
        <v>4230</v>
      </c>
      <c r="U1586" t="s">
        <v>3897</v>
      </c>
    </row>
    <row r="1587" spans="1:21">
      <c r="A1587" s="136">
        <v>2</v>
      </c>
      <c r="B1587" s="246">
        <v>2012</v>
      </c>
      <c r="C1587" s="247" t="s">
        <v>25</v>
      </c>
      <c r="D1587" s="247" t="s">
        <v>1962</v>
      </c>
      <c r="E1587" s="248" t="s">
        <v>770</v>
      </c>
      <c r="F1587" s="235" t="s">
        <v>4272</v>
      </c>
      <c r="G1587" s="248" t="s">
        <v>2579</v>
      </c>
      <c r="H1587" s="249">
        <v>0.05</v>
      </c>
      <c r="I1587" s="249">
        <v>0.05</v>
      </c>
      <c r="J1587" s="246">
        <v>1</v>
      </c>
      <c r="K1587" s="250" t="s">
        <v>1183</v>
      </c>
      <c r="L1587" s="248"/>
      <c r="M1587" s="276" t="str">
        <f t="shared" si="45"/>
        <v>Photo</v>
      </c>
      <c r="N1587" s="279" t="s">
        <v>25</v>
      </c>
      <c r="O1587" t="str">
        <f t="shared" si="44"/>
        <v>2012-P Jefferson Nickel</v>
      </c>
      <c r="P1587" s="235" t="s">
        <v>3977</v>
      </c>
      <c r="Q1587">
        <f>MATCH(P1587,NickelMintage!A:A,)</f>
        <v>197</v>
      </c>
      <c r="S1587" t="str" cm="1">
        <f t="array" ref="S1587">_xlfn.REGEXEXTRACT(E1587, "[0-9]{1,5}")</f>
        <v>2012</v>
      </c>
      <c r="T1587" t="s">
        <v>4230</v>
      </c>
      <c r="U1587" t="s">
        <v>3897</v>
      </c>
    </row>
    <row r="1588" spans="1:21">
      <c r="A1588" s="136">
        <v>2</v>
      </c>
      <c r="B1588" s="246">
        <v>2012</v>
      </c>
      <c r="C1588" s="247" t="s">
        <v>25</v>
      </c>
      <c r="D1588" s="247" t="s">
        <v>1962</v>
      </c>
      <c r="E1588" s="248" t="s">
        <v>771</v>
      </c>
      <c r="F1588" s="235" t="s">
        <v>4272</v>
      </c>
      <c r="G1588" s="248" t="s">
        <v>2579</v>
      </c>
      <c r="H1588" s="249">
        <v>0.05</v>
      </c>
      <c r="I1588" s="249">
        <v>0.05</v>
      </c>
      <c r="J1588" s="246">
        <v>1</v>
      </c>
      <c r="K1588" s="250" t="s">
        <v>1183</v>
      </c>
      <c r="L1588" s="248"/>
      <c r="M1588" s="276" t="str">
        <f t="shared" si="45"/>
        <v>Photo</v>
      </c>
      <c r="N1588" s="279" t="s">
        <v>25</v>
      </c>
      <c r="O1588" t="str">
        <f t="shared" si="44"/>
        <v>2012-P Jefferson Nickel</v>
      </c>
      <c r="P1588" s="235" t="s">
        <v>2569</v>
      </c>
      <c r="Q1588">
        <f>MATCH(P1588,NickelMintage!A:A,)</f>
        <v>196</v>
      </c>
      <c r="S1588" t="str" cm="1">
        <f t="array" ref="S1588">_xlfn.REGEXEXTRACT(E1588, "[0-9]{1,5}")</f>
        <v>2012</v>
      </c>
      <c r="T1588" t="s">
        <v>4230</v>
      </c>
      <c r="U1588" t="s">
        <v>3897</v>
      </c>
    </row>
    <row r="1589" spans="1:21">
      <c r="A1589" s="136">
        <v>2</v>
      </c>
      <c r="B1589" s="246">
        <v>2012</v>
      </c>
      <c r="C1589" s="247" t="s">
        <v>13</v>
      </c>
      <c r="D1589" s="247" t="s">
        <v>1962</v>
      </c>
      <c r="E1589" s="248" t="s">
        <v>772</v>
      </c>
      <c r="F1589" s="235" t="s">
        <v>4272</v>
      </c>
      <c r="G1589" s="248" t="s">
        <v>2579</v>
      </c>
      <c r="H1589" s="249">
        <v>0.25</v>
      </c>
      <c r="I1589" s="249">
        <v>0.56999999999999995</v>
      </c>
      <c r="J1589" s="246">
        <v>1</v>
      </c>
      <c r="K1589" s="250" t="s">
        <v>1183</v>
      </c>
      <c r="L1589" s="248"/>
      <c r="M1589" s="276" t="str">
        <f t="shared" si="45"/>
        <v>Photo</v>
      </c>
      <c r="N1589" s="279" t="s">
        <v>25</v>
      </c>
      <c r="O1589" t="str">
        <f t="shared" si="44"/>
        <v>2012-D Jefferson Nickel</v>
      </c>
      <c r="P1589" s="235" t="s">
        <v>2571</v>
      </c>
      <c r="Q1589">
        <f>MATCH(P1589,NickelMintage!A:A,)</f>
        <v>198</v>
      </c>
      <c r="S1589" t="str" cm="1">
        <f t="array" ref="S1589">_xlfn.REGEXEXTRACT(E1589, "[0-9]{1,5}")</f>
        <v>2012</v>
      </c>
      <c r="T1589" t="s">
        <v>4228</v>
      </c>
      <c r="U1589" t="s">
        <v>3897</v>
      </c>
    </row>
    <row r="1590" spans="1:21">
      <c r="A1590" s="136">
        <v>2</v>
      </c>
      <c r="B1590" s="246">
        <v>2012</v>
      </c>
      <c r="C1590" s="247" t="s">
        <v>12</v>
      </c>
      <c r="D1590" s="247" t="s">
        <v>1962</v>
      </c>
      <c r="E1590" s="248" t="s">
        <v>773</v>
      </c>
      <c r="F1590" s="235" t="s">
        <v>5144</v>
      </c>
      <c r="G1590" s="248" t="s">
        <v>2579</v>
      </c>
      <c r="H1590" s="249">
        <v>2</v>
      </c>
      <c r="I1590" s="249">
        <v>5.84</v>
      </c>
      <c r="J1590" s="246">
        <v>1</v>
      </c>
      <c r="K1590" s="250" t="s">
        <v>3755</v>
      </c>
      <c r="L1590" s="248"/>
      <c r="M1590" s="276" t="str">
        <f t="shared" si="45"/>
        <v>Photo</v>
      </c>
      <c r="N1590" s="279" t="s">
        <v>25</v>
      </c>
      <c r="O1590" t="str">
        <f t="shared" si="44"/>
        <v>2012-S Jefferson Nickel Proof</v>
      </c>
      <c r="P1590" s="235" t="s">
        <v>2571</v>
      </c>
      <c r="Q1590">
        <f>MATCH(P1590,NickelMintage!A:A,)</f>
        <v>198</v>
      </c>
      <c r="S1590" t="str" cm="1">
        <f t="array" ref="S1590">_xlfn.REGEXEXTRACT(E1590, "[0-9]{1,5}")</f>
        <v>2012</v>
      </c>
      <c r="T1590" t="s">
        <v>4228</v>
      </c>
      <c r="U1590" t="s">
        <v>3897</v>
      </c>
    </row>
    <row r="1591" spans="1:21">
      <c r="A1591" s="136">
        <v>2</v>
      </c>
      <c r="B1591" s="233">
        <v>2012</v>
      </c>
      <c r="C1591" s="234" t="s">
        <v>13</v>
      </c>
      <c r="D1591" s="247" t="s">
        <v>1962</v>
      </c>
      <c r="E1591" s="235" t="s">
        <v>2218</v>
      </c>
      <c r="F1591" s="235" t="s">
        <v>4272</v>
      </c>
      <c r="G1591" s="235" t="s">
        <v>2579</v>
      </c>
      <c r="H1591" s="236">
        <v>0.3</v>
      </c>
      <c r="I1591" s="236">
        <v>0.3</v>
      </c>
      <c r="J1591" s="233">
        <v>1</v>
      </c>
      <c r="K1591" s="237" t="s">
        <v>1183</v>
      </c>
      <c r="L1591" s="235"/>
      <c r="M1591" s="276" t="str">
        <f t="shared" si="45"/>
        <v>Photo</v>
      </c>
      <c r="N1591" s="279" t="s">
        <v>25</v>
      </c>
      <c r="O1591" t="str">
        <f t="shared" si="44"/>
        <v>2012-D Jefferson Nickel</v>
      </c>
      <c r="P1591" s="235" t="s">
        <v>3978</v>
      </c>
      <c r="Q1591">
        <f>MATCH(P1591,NickelMintage!A:A,)</f>
        <v>200</v>
      </c>
      <c r="S1591" t="str" cm="1">
        <f t="array" ref="S1591">_xlfn.REGEXEXTRACT(E1591, "[0-9]{1,5}")</f>
        <v>2012</v>
      </c>
      <c r="T1591" t="s">
        <v>4228</v>
      </c>
      <c r="U1591" t="s">
        <v>3897</v>
      </c>
    </row>
    <row r="1592" spans="1:21">
      <c r="A1592" s="136">
        <v>2</v>
      </c>
      <c r="B1592" s="233">
        <v>2012</v>
      </c>
      <c r="C1592" s="234" t="s">
        <v>12</v>
      </c>
      <c r="D1592" s="247" t="s">
        <v>1962</v>
      </c>
      <c r="E1592" s="235" t="s">
        <v>2219</v>
      </c>
      <c r="F1592" s="235" t="s">
        <v>5144</v>
      </c>
      <c r="G1592" s="235" t="s">
        <v>2579</v>
      </c>
      <c r="H1592" s="236">
        <v>2</v>
      </c>
      <c r="I1592" s="236">
        <v>2</v>
      </c>
      <c r="J1592" s="233">
        <v>1</v>
      </c>
      <c r="K1592" s="237" t="s">
        <v>1183</v>
      </c>
      <c r="L1592" s="235"/>
      <c r="M1592" s="276" t="str">
        <f t="shared" si="45"/>
        <v>Photo</v>
      </c>
      <c r="N1592" s="279" t="s">
        <v>25</v>
      </c>
      <c r="O1592" t="str">
        <f t="shared" si="44"/>
        <v>2012-S Jefferson Nickel Proof</v>
      </c>
      <c r="S1592" t="str" cm="1">
        <f t="array" ref="S1592">_xlfn.REGEXEXTRACT(E1592, "[0-9]{1,5}")</f>
        <v>2012</v>
      </c>
      <c r="T1592" t="s">
        <v>2472</v>
      </c>
      <c r="U1592" t="s">
        <v>984</v>
      </c>
    </row>
    <row r="1593" spans="1:21">
      <c r="A1593" s="136">
        <v>2</v>
      </c>
      <c r="B1593" s="246">
        <v>2013</v>
      </c>
      <c r="C1593" s="247" t="s">
        <v>25</v>
      </c>
      <c r="D1593" s="247" t="s">
        <v>1962</v>
      </c>
      <c r="E1593" s="248" t="s">
        <v>774</v>
      </c>
      <c r="F1593" s="235" t="s">
        <v>4272</v>
      </c>
      <c r="G1593" s="248" t="s">
        <v>2579</v>
      </c>
      <c r="H1593" s="249">
        <v>0.05</v>
      </c>
      <c r="I1593" s="249">
        <v>0.05</v>
      </c>
      <c r="J1593" s="246">
        <v>1</v>
      </c>
      <c r="K1593" s="250" t="s">
        <v>1183</v>
      </c>
      <c r="L1593" s="248"/>
      <c r="M1593" s="276" t="str">
        <f t="shared" si="45"/>
        <v>Photo</v>
      </c>
      <c r="N1593" s="279" t="s">
        <v>25</v>
      </c>
      <c r="O1593" t="str">
        <f t="shared" si="44"/>
        <v>2013-P Jefferson Nickel</v>
      </c>
      <c r="S1593" t="str" cm="1">
        <f t="array" ref="S1593">_xlfn.REGEXEXTRACT(E1593, "[0-9]{1,5}")</f>
        <v>2013</v>
      </c>
      <c r="T1593" t="s">
        <v>2474</v>
      </c>
      <c r="U1593" t="s">
        <v>984</v>
      </c>
    </row>
    <row r="1594" spans="1:21">
      <c r="A1594" s="136">
        <v>2</v>
      </c>
      <c r="B1594" s="246">
        <v>2013</v>
      </c>
      <c r="C1594" s="247" t="s">
        <v>25</v>
      </c>
      <c r="D1594" s="247" t="s">
        <v>1962</v>
      </c>
      <c r="E1594" s="248" t="s">
        <v>776</v>
      </c>
      <c r="F1594" s="235" t="s">
        <v>4272</v>
      </c>
      <c r="G1594" s="248" t="s">
        <v>2579</v>
      </c>
      <c r="H1594" s="249">
        <v>0.05</v>
      </c>
      <c r="I1594" s="249">
        <v>0.05</v>
      </c>
      <c r="J1594" s="246">
        <v>1</v>
      </c>
      <c r="K1594" s="250" t="s">
        <v>1183</v>
      </c>
      <c r="L1594" s="248"/>
      <c r="M1594" s="276" t="str">
        <f t="shared" si="45"/>
        <v>Photo</v>
      </c>
      <c r="N1594" s="279" t="s">
        <v>25</v>
      </c>
      <c r="O1594" t="str">
        <f t="shared" si="44"/>
        <v>2013-P Jefferson Nickel</v>
      </c>
      <c r="S1594" t="str" cm="1">
        <f t="array" ref="S1594">_xlfn.REGEXEXTRACT(E1594, "[0-9]{1,5}")</f>
        <v>2013</v>
      </c>
      <c r="T1594" t="s">
        <v>2475</v>
      </c>
      <c r="U1594" t="s">
        <v>984</v>
      </c>
    </row>
    <row r="1595" spans="1:21">
      <c r="A1595" s="136">
        <v>2</v>
      </c>
      <c r="B1595" s="246">
        <v>2013</v>
      </c>
      <c r="C1595" s="247" t="s">
        <v>25</v>
      </c>
      <c r="D1595" s="247" t="s">
        <v>1962</v>
      </c>
      <c r="E1595" s="248" t="s">
        <v>777</v>
      </c>
      <c r="F1595" s="235" t="s">
        <v>4272</v>
      </c>
      <c r="G1595" s="248" t="s">
        <v>2579</v>
      </c>
      <c r="H1595" s="249">
        <v>0.05</v>
      </c>
      <c r="I1595" s="249">
        <v>0.05</v>
      </c>
      <c r="J1595" s="246">
        <v>1</v>
      </c>
      <c r="K1595" s="250" t="s">
        <v>1183</v>
      </c>
      <c r="L1595" s="248"/>
      <c r="M1595" s="276" t="str">
        <f t="shared" si="45"/>
        <v>Photo</v>
      </c>
      <c r="N1595" s="279" t="s">
        <v>25</v>
      </c>
      <c r="O1595" t="str">
        <f t="shared" si="44"/>
        <v>2013-P Jefferson Nickel</v>
      </c>
      <c r="S1595" t="str" cm="1">
        <f t="array" ref="S1595">_xlfn.REGEXEXTRACT(E1595, "[0-9]{1,5}")</f>
        <v>2013</v>
      </c>
      <c r="T1595" t="s">
        <v>992</v>
      </c>
      <c r="U1595" t="s">
        <v>984</v>
      </c>
    </row>
    <row r="1596" spans="1:21">
      <c r="A1596" s="136">
        <v>2</v>
      </c>
      <c r="B1596" s="246">
        <v>2013</v>
      </c>
      <c r="C1596" s="247" t="s">
        <v>13</v>
      </c>
      <c r="D1596" s="247" t="s">
        <v>1962</v>
      </c>
      <c r="E1596" s="248" t="s">
        <v>778</v>
      </c>
      <c r="F1596" s="235" t="s">
        <v>4272</v>
      </c>
      <c r="G1596" s="248" t="s">
        <v>2579</v>
      </c>
      <c r="H1596" s="249">
        <v>0.5</v>
      </c>
      <c r="I1596" s="249">
        <v>0.56999999999999995</v>
      </c>
      <c r="J1596" s="246">
        <v>1</v>
      </c>
      <c r="K1596" s="250" t="s">
        <v>1183</v>
      </c>
      <c r="L1596" s="248"/>
      <c r="M1596" s="276" t="str">
        <f t="shared" si="45"/>
        <v>Photo</v>
      </c>
      <c r="N1596" s="279" t="s">
        <v>25</v>
      </c>
      <c r="O1596" t="str">
        <f t="shared" si="44"/>
        <v>2013-D Jefferson Nickel</v>
      </c>
      <c r="S1596" t="str" cm="1">
        <f t="array" ref="S1596">_xlfn.REGEXEXTRACT(E1596, "[0-9]{1,5}")</f>
        <v>2013</v>
      </c>
      <c r="T1596" t="s">
        <v>992</v>
      </c>
      <c r="U1596" t="s">
        <v>984</v>
      </c>
    </row>
    <row r="1597" spans="1:21">
      <c r="A1597" s="136">
        <v>2</v>
      </c>
      <c r="B1597" s="246">
        <v>2013</v>
      </c>
      <c r="C1597" s="247" t="s">
        <v>12</v>
      </c>
      <c r="D1597" s="247" t="s">
        <v>1962</v>
      </c>
      <c r="E1597" s="248" t="s">
        <v>779</v>
      </c>
      <c r="F1597" s="235" t="s">
        <v>5144</v>
      </c>
      <c r="G1597" s="248" t="s">
        <v>2579</v>
      </c>
      <c r="H1597" s="249">
        <v>0.9</v>
      </c>
      <c r="I1597" s="249">
        <v>4.95</v>
      </c>
      <c r="J1597" s="246">
        <v>1</v>
      </c>
      <c r="K1597" s="250" t="s">
        <v>3755</v>
      </c>
      <c r="L1597" s="248"/>
      <c r="M1597" s="276" t="str">
        <f t="shared" si="45"/>
        <v>Photo</v>
      </c>
      <c r="N1597" s="279" t="s">
        <v>25</v>
      </c>
      <c r="O1597" t="str">
        <f t="shared" si="44"/>
        <v>2013-S Jefferson Nickel Proof</v>
      </c>
      <c r="S1597" t="str" cm="1">
        <f t="array" ref="S1597">_xlfn.REGEXEXTRACT(E1597, "[0-9]{1,5}")</f>
        <v>2013</v>
      </c>
      <c r="T1597" t="s">
        <v>2481</v>
      </c>
      <c r="U1597" t="s">
        <v>984</v>
      </c>
    </row>
    <row r="1598" spans="1:21">
      <c r="A1598" s="136">
        <v>2</v>
      </c>
      <c r="B1598" s="233">
        <v>2013</v>
      </c>
      <c r="C1598" s="234" t="s">
        <v>13</v>
      </c>
      <c r="D1598" s="247" t="s">
        <v>1962</v>
      </c>
      <c r="E1598" s="235" t="s">
        <v>2220</v>
      </c>
      <c r="F1598" s="235" t="s">
        <v>4272</v>
      </c>
      <c r="G1598" s="235" t="s">
        <v>2579</v>
      </c>
      <c r="H1598" s="236">
        <v>0.3</v>
      </c>
      <c r="I1598" s="236">
        <v>0.3</v>
      </c>
      <c r="J1598" s="233">
        <v>1</v>
      </c>
      <c r="K1598" s="237" t="s">
        <v>1183</v>
      </c>
      <c r="L1598" s="235"/>
      <c r="M1598" s="276" t="str">
        <f t="shared" si="45"/>
        <v>Photo</v>
      </c>
      <c r="N1598" s="279" t="s">
        <v>25</v>
      </c>
      <c r="O1598" t="str">
        <f t="shared" si="44"/>
        <v>2013-D Jefferson Nickel</v>
      </c>
      <c r="S1598" t="str" cm="1">
        <f t="array" ref="S1598">_xlfn.REGEXEXTRACT(E1598, "[0-9]{1,5}")</f>
        <v>2013</v>
      </c>
      <c r="T1598" t="s">
        <v>2484</v>
      </c>
      <c r="U1598" t="s">
        <v>984</v>
      </c>
    </row>
    <row r="1599" spans="1:21">
      <c r="A1599" s="136">
        <v>2</v>
      </c>
      <c r="B1599" s="233">
        <v>2013</v>
      </c>
      <c r="C1599" s="234" t="s">
        <v>12</v>
      </c>
      <c r="D1599" s="247" t="s">
        <v>1962</v>
      </c>
      <c r="E1599" s="235" t="s">
        <v>2221</v>
      </c>
      <c r="F1599" s="235" t="s">
        <v>5144</v>
      </c>
      <c r="G1599" s="235" t="s">
        <v>2579</v>
      </c>
      <c r="H1599" s="236">
        <v>1.5</v>
      </c>
      <c r="I1599" s="236">
        <v>1.5</v>
      </c>
      <c r="J1599" s="233">
        <v>1</v>
      </c>
      <c r="K1599" s="237" t="s">
        <v>1183</v>
      </c>
      <c r="L1599" s="235"/>
      <c r="M1599" s="276" t="str">
        <f t="shared" si="45"/>
        <v>Photo</v>
      </c>
      <c r="N1599" s="279" t="s">
        <v>25</v>
      </c>
      <c r="O1599" t="str">
        <f t="shared" si="44"/>
        <v>2013-S Jefferson Nickel Proof</v>
      </c>
      <c r="S1599" t="str" cm="1">
        <f t="array" ref="S1599">_xlfn.REGEXEXTRACT(E1599, "[0-9]{1,5}")</f>
        <v>2013</v>
      </c>
      <c r="T1599" t="s">
        <v>2487</v>
      </c>
      <c r="U1599" t="s">
        <v>984</v>
      </c>
    </row>
    <row r="1600" spans="1:21">
      <c r="A1600" s="136">
        <v>2</v>
      </c>
      <c r="B1600" s="246">
        <v>2014</v>
      </c>
      <c r="C1600" s="247" t="s">
        <v>25</v>
      </c>
      <c r="D1600" s="247" t="s">
        <v>1962</v>
      </c>
      <c r="E1600" s="248" t="s">
        <v>780</v>
      </c>
      <c r="F1600" s="235" t="s">
        <v>4272</v>
      </c>
      <c r="G1600" s="248" t="s">
        <v>2579</v>
      </c>
      <c r="H1600" s="249">
        <v>0.05</v>
      </c>
      <c r="I1600" s="249">
        <v>0.05</v>
      </c>
      <c r="J1600" s="246">
        <v>1</v>
      </c>
      <c r="K1600" s="250" t="s">
        <v>1183</v>
      </c>
      <c r="L1600" s="248"/>
      <c r="M1600" s="276" t="str">
        <f t="shared" si="45"/>
        <v>Photo</v>
      </c>
      <c r="N1600" s="279" t="s">
        <v>25</v>
      </c>
      <c r="O1600" t="str">
        <f t="shared" si="44"/>
        <v>2014-P Jefferson Nickel</v>
      </c>
      <c r="S1600" t="str" cm="1">
        <f t="array" ref="S1600">_xlfn.REGEXEXTRACT(E1600, "[0-9]{1,5}")</f>
        <v>2014</v>
      </c>
      <c r="T1600" t="s">
        <v>2490</v>
      </c>
      <c r="U1600" t="s">
        <v>984</v>
      </c>
    </row>
    <row r="1601" spans="1:21">
      <c r="A1601" s="136">
        <v>2</v>
      </c>
      <c r="B1601" s="246">
        <v>2014</v>
      </c>
      <c r="C1601" s="247" t="s">
        <v>12</v>
      </c>
      <c r="D1601" s="247" t="s">
        <v>1962</v>
      </c>
      <c r="E1601" s="248" t="s">
        <v>782</v>
      </c>
      <c r="F1601" s="235" t="s">
        <v>5144</v>
      </c>
      <c r="G1601" s="248" t="s">
        <v>2579</v>
      </c>
      <c r="H1601" s="249">
        <v>1.25</v>
      </c>
      <c r="I1601" s="249">
        <v>4.95</v>
      </c>
      <c r="J1601" s="246">
        <v>1</v>
      </c>
      <c r="K1601" s="250" t="s">
        <v>3755</v>
      </c>
      <c r="L1601" s="248"/>
      <c r="M1601" s="276" t="str">
        <f t="shared" si="45"/>
        <v>Photo</v>
      </c>
      <c r="N1601" s="279" t="s">
        <v>25</v>
      </c>
      <c r="O1601" t="str">
        <f t="shared" si="44"/>
        <v>2014-S Jefferson Nickel Proof</v>
      </c>
      <c r="S1601" t="str" cm="1">
        <f t="array" ref="S1601">_xlfn.REGEXEXTRACT(E1601, "[0-9]{1,5}")</f>
        <v>2014</v>
      </c>
      <c r="T1601" t="s">
        <v>2493</v>
      </c>
      <c r="U1601" t="s">
        <v>984</v>
      </c>
    </row>
    <row r="1602" spans="1:21">
      <c r="A1602" s="136">
        <v>2</v>
      </c>
      <c r="B1602" s="246">
        <v>2014</v>
      </c>
      <c r="C1602" s="247" t="s">
        <v>13</v>
      </c>
      <c r="D1602" s="247" t="s">
        <v>1962</v>
      </c>
      <c r="E1602" s="248" t="s">
        <v>783</v>
      </c>
      <c r="F1602" s="235" t="s">
        <v>4272</v>
      </c>
      <c r="G1602" s="248" t="s">
        <v>2579</v>
      </c>
      <c r="H1602" s="249">
        <v>0.4</v>
      </c>
      <c r="I1602" s="249">
        <v>0.56999999999999995</v>
      </c>
      <c r="J1602" s="246">
        <v>1</v>
      </c>
      <c r="K1602" s="250"/>
      <c r="L1602" s="248"/>
      <c r="M1602" s="276" t="str">
        <f t="shared" si="45"/>
        <v>Photo</v>
      </c>
      <c r="N1602" s="279" t="s">
        <v>25</v>
      </c>
      <c r="O1602" t="str">
        <f t="shared" si="44"/>
        <v>2014-D Jefferson Nickel</v>
      </c>
      <c r="S1602" t="str" cm="1">
        <f t="array" ref="S1602">_xlfn.REGEXEXTRACT(E1602, "[0-9]{1,5}")</f>
        <v>2014</v>
      </c>
      <c r="T1602" t="s">
        <v>2494</v>
      </c>
      <c r="U1602" t="s">
        <v>984</v>
      </c>
    </row>
    <row r="1603" spans="1:21">
      <c r="A1603" s="136">
        <v>2</v>
      </c>
      <c r="B1603" s="233">
        <v>2014</v>
      </c>
      <c r="C1603" s="234" t="s">
        <v>13</v>
      </c>
      <c r="D1603" s="247" t="s">
        <v>1962</v>
      </c>
      <c r="E1603" s="235" t="s">
        <v>2222</v>
      </c>
      <c r="F1603" s="235" t="s">
        <v>4272</v>
      </c>
      <c r="G1603" s="235" t="s">
        <v>2579</v>
      </c>
      <c r="H1603" s="236">
        <v>0.4</v>
      </c>
      <c r="I1603" s="236">
        <v>0.4</v>
      </c>
      <c r="J1603" s="233">
        <v>1</v>
      </c>
      <c r="K1603" s="237"/>
      <c r="L1603" s="235"/>
      <c r="M1603" s="276" t="str">
        <f t="shared" si="45"/>
        <v>Photo</v>
      </c>
      <c r="N1603" s="279" t="s">
        <v>25</v>
      </c>
      <c r="O1603" t="str">
        <f t="shared" si="44"/>
        <v>2014-D Jefferson Nickel</v>
      </c>
      <c r="S1603" t="str" cm="1">
        <f t="array" ref="S1603">_xlfn.REGEXEXTRACT(E1603, "[0-9]{1,5}")</f>
        <v>2014</v>
      </c>
      <c r="T1603" t="s">
        <v>2495</v>
      </c>
      <c r="U1603" t="s">
        <v>984</v>
      </c>
    </row>
    <row r="1604" spans="1:21">
      <c r="A1604" s="136">
        <v>2</v>
      </c>
      <c r="B1604" s="233">
        <v>2014</v>
      </c>
      <c r="C1604" s="234" t="s">
        <v>12</v>
      </c>
      <c r="D1604" s="247" t="s">
        <v>1962</v>
      </c>
      <c r="E1604" s="235" t="s">
        <v>2223</v>
      </c>
      <c r="F1604" s="235" t="s">
        <v>5144</v>
      </c>
      <c r="G1604" s="235" t="s">
        <v>2579</v>
      </c>
      <c r="H1604" s="236">
        <v>2.5</v>
      </c>
      <c r="I1604" s="236">
        <v>2.5</v>
      </c>
      <c r="J1604" s="233">
        <v>1</v>
      </c>
      <c r="K1604" s="237"/>
      <c r="L1604" s="235"/>
      <c r="M1604" s="276" t="str">
        <f t="shared" si="45"/>
        <v>Photo</v>
      </c>
      <c r="N1604" s="279" t="s">
        <v>25</v>
      </c>
      <c r="O1604" t="str">
        <f t="shared" ref="O1604:O1667" si="46">IF(C1604&lt;&gt;"",B1604&amp;"-"&amp;C1604&amp;" "&amp;F1604,B1604&amp;" "&amp;F1604)</f>
        <v>2014-S Jefferson Nickel Proof</v>
      </c>
      <c r="S1604" t="str" cm="1">
        <f t="array" ref="S1604">_xlfn.REGEXEXTRACT(E1604, "[0-9]{1,5}")</f>
        <v>2014</v>
      </c>
      <c r="T1604" t="s">
        <v>2495</v>
      </c>
      <c r="U1604" t="s">
        <v>984</v>
      </c>
    </row>
    <row r="1605" spans="1:21">
      <c r="A1605" s="136">
        <v>2</v>
      </c>
      <c r="B1605" s="270">
        <v>2014</v>
      </c>
      <c r="C1605" s="136" t="s">
        <v>13</v>
      </c>
      <c r="D1605" s="257" t="s">
        <v>1962</v>
      </c>
      <c r="E1605" s="235" t="s">
        <v>5900</v>
      </c>
      <c r="F1605" t="s">
        <v>4272</v>
      </c>
      <c r="G1605" s="3" t="s">
        <v>2580</v>
      </c>
      <c r="H1605" s="236">
        <v>0.5</v>
      </c>
      <c r="I1605" s="236">
        <v>0.5</v>
      </c>
      <c r="J1605" s="233">
        <v>1</v>
      </c>
      <c r="N1605" s="279"/>
      <c r="O1605" t="str">
        <f t="shared" si="46"/>
        <v>2014-D Jefferson Nickel</v>
      </c>
      <c r="S1605" t="str" cm="1">
        <f t="array" ref="S1605">_xlfn.REGEXEXTRACT(E1605, "[0-9]{1,5}")</f>
        <v>2014</v>
      </c>
      <c r="T1605" t="s">
        <v>2495</v>
      </c>
      <c r="U1605" t="s">
        <v>984</v>
      </c>
    </row>
    <row r="1606" spans="1:21">
      <c r="A1606" s="136">
        <v>2</v>
      </c>
      <c r="B1606" s="246">
        <v>2015</v>
      </c>
      <c r="C1606" s="247" t="s">
        <v>25</v>
      </c>
      <c r="D1606" s="247" t="s">
        <v>1962</v>
      </c>
      <c r="E1606" s="248" t="s">
        <v>784</v>
      </c>
      <c r="F1606" s="235" t="s">
        <v>4272</v>
      </c>
      <c r="G1606" s="248" t="s">
        <v>2579</v>
      </c>
      <c r="H1606" s="249">
        <v>0.05</v>
      </c>
      <c r="I1606" s="249">
        <v>0.05</v>
      </c>
      <c r="J1606" s="246">
        <v>1</v>
      </c>
      <c r="K1606" s="250"/>
      <c r="L1606" s="248"/>
      <c r="M1606" s="276" t="str">
        <f t="shared" ref="M1606:M1637" si="47">HYPERLINK($Y$2&amp;E1606&amp;$AA$2,"Photo")</f>
        <v>Photo</v>
      </c>
      <c r="N1606" s="279" t="s">
        <v>25</v>
      </c>
      <c r="O1606" t="str">
        <f t="shared" si="46"/>
        <v>2015-P Jefferson Nickel</v>
      </c>
      <c r="S1606" t="str" cm="1">
        <f t="array" ref="S1606">_xlfn.REGEXEXTRACT(E1606, "[0-9]{1,5}")</f>
        <v>2015</v>
      </c>
      <c r="T1606" t="s">
        <v>2496</v>
      </c>
      <c r="U1606" t="s">
        <v>984</v>
      </c>
    </row>
    <row r="1607" spans="1:21">
      <c r="A1607" s="136">
        <v>2</v>
      </c>
      <c r="B1607" s="246">
        <v>2015</v>
      </c>
      <c r="C1607" s="247" t="s">
        <v>25</v>
      </c>
      <c r="D1607" s="247" t="s">
        <v>1962</v>
      </c>
      <c r="E1607" s="248" t="s">
        <v>786</v>
      </c>
      <c r="F1607" s="235" t="s">
        <v>4272</v>
      </c>
      <c r="G1607" s="248" t="s">
        <v>2579</v>
      </c>
      <c r="H1607" s="249">
        <v>0.05</v>
      </c>
      <c r="I1607" s="249">
        <v>0.05</v>
      </c>
      <c r="J1607" s="246">
        <v>1</v>
      </c>
      <c r="K1607" s="250"/>
      <c r="L1607" s="248"/>
      <c r="M1607" s="276" t="str">
        <f t="shared" si="47"/>
        <v>Photo</v>
      </c>
      <c r="N1607" s="279" t="s">
        <v>25</v>
      </c>
      <c r="O1607" t="str">
        <f t="shared" si="46"/>
        <v>2015-P Jefferson Nickel</v>
      </c>
      <c r="S1607" t="str" cm="1">
        <f t="array" ref="S1607">_xlfn.REGEXEXTRACT(E1607, "[0-9]{1,5}")</f>
        <v>2015</v>
      </c>
      <c r="T1607" t="s">
        <v>2496</v>
      </c>
      <c r="U1607" t="s">
        <v>984</v>
      </c>
    </row>
    <row r="1608" spans="1:21">
      <c r="A1608" s="136">
        <v>2</v>
      </c>
      <c r="B1608" s="246">
        <v>2015</v>
      </c>
      <c r="C1608" s="247" t="s">
        <v>13</v>
      </c>
      <c r="D1608" s="247" t="s">
        <v>1962</v>
      </c>
      <c r="E1608" s="248" t="s">
        <v>787</v>
      </c>
      <c r="F1608" s="235" t="s">
        <v>4272</v>
      </c>
      <c r="G1608" s="248" t="s">
        <v>2579</v>
      </c>
      <c r="H1608" s="249">
        <v>0.05</v>
      </c>
      <c r="I1608" s="249">
        <v>0.05</v>
      </c>
      <c r="J1608" s="246">
        <v>1</v>
      </c>
      <c r="K1608" s="250"/>
      <c r="L1608" s="248"/>
      <c r="M1608" s="276" t="str">
        <f t="shared" si="47"/>
        <v>Photo</v>
      </c>
      <c r="N1608" s="279" t="s">
        <v>25</v>
      </c>
      <c r="O1608" t="str">
        <f t="shared" si="46"/>
        <v>2015-D Jefferson Nickel</v>
      </c>
      <c r="S1608" t="str" cm="1">
        <f t="array" ref="S1608">_xlfn.REGEXEXTRACT(E1608, "[0-9]{1,5}")</f>
        <v>2015</v>
      </c>
      <c r="T1608" t="s">
        <v>2497</v>
      </c>
      <c r="U1608" t="s">
        <v>984</v>
      </c>
    </row>
    <row r="1609" spans="1:21">
      <c r="A1609" s="136">
        <v>2</v>
      </c>
      <c r="B1609" s="246">
        <v>2015</v>
      </c>
      <c r="C1609" s="247" t="s">
        <v>25</v>
      </c>
      <c r="D1609" s="247" t="s">
        <v>1962</v>
      </c>
      <c r="E1609" s="248" t="s">
        <v>788</v>
      </c>
      <c r="F1609" s="235" t="s">
        <v>4272</v>
      </c>
      <c r="G1609" s="248" t="s">
        <v>2579</v>
      </c>
      <c r="H1609" s="249">
        <v>0.05</v>
      </c>
      <c r="I1609" s="249">
        <v>0.05</v>
      </c>
      <c r="J1609" s="246">
        <v>1</v>
      </c>
      <c r="K1609" s="250"/>
      <c r="L1609" s="248"/>
      <c r="M1609" s="276" t="str">
        <f t="shared" si="47"/>
        <v>Photo</v>
      </c>
      <c r="N1609" s="279" t="s">
        <v>25</v>
      </c>
      <c r="O1609" t="str">
        <f t="shared" si="46"/>
        <v>2015-P Jefferson Nickel</v>
      </c>
      <c r="S1609" t="str" cm="1">
        <f t="array" ref="S1609">_xlfn.REGEXEXTRACT(E1609, "[0-9]{1,5}")</f>
        <v>2015</v>
      </c>
      <c r="T1609" t="s">
        <v>2497</v>
      </c>
      <c r="U1609" t="s">
        <v>984</v>
      </c>
    </row>
    <row r="1610" spans="1:21">
      <c r="A1610" s="136">
        <v>2</v>
      </c>
      <c r="B1610" s="246">
        <v>2015</v>
      </c>
      <c r="C1610" s="247" t="s">
        <v>12</v>
      </c>
      <c r="D1610" s="247" t="s">
        <v>1962</v>
      </c>
      <c r="E1610" s="248" t="s">
        <v>789</v>
      </c>
      <c r="F1610" s="235" t="s">
        <v>5144</v>
      </c>
      <c r="G1610" s="248" t="s">
        <v>2579</v>
      </c>
      <c r="H1610" s="249">
        <v>2.25</v>
      </c>
      <c r="I1610" s="249">
        <v>4.95</v>
      </c>
      <c r="J1610" s="246">
        <v>1</v>
      </c>
      <c r="K1610" s="250" t="s">
        <v>3755</v>
      </c>
      <c r="L1610" s="248"/>
      <c r="M1610" s="276" t="str">
        <f t="shared" si="47"/>
        <v>Photo</v>
      </c>
      <c r="N1610" s="279" t="s">
        <v>25</v>
      </c>
      <c r="O1610" t="str">
        <f t="shared" si="46"/>
        <v>2015-S Jefferson Nickel Proof</v>
      </c>
      <c r="S1610" t="str" cm="1">
        <f t="array" ref="S1610">_xlfn.REGEXEXTRACT(E1610, "[0-9]{1,5}")</f>
        <v>2015</v>
      </c>
      <c r="T1610" t="s">
        <v>2497</v>
      </c>
      <c r="U1610" t="s">
        <v>984</v>
      </c>
    </row>
    <row r="1611" spans="1:21">
      <c r="A1611" s="136">
        <v>2</v>
      </c>
      <c r="B1611" s="233">
        <v>2015</v>
      </c>
      <c r="C1611" s="234" t="s">
        <v>12</v>
      </c>
      <c r="D1611" s="247" t="s">
        <v>1962</v>
      </c>
      <c r="E1611" s="235" t="s">
        <v>2224</v>
      </c>
      <c r="F1611" s="235" t="s">
        <v>5144</v>
      </c>
      <c r="G1611" s="235" t="s">
        <v>2579</v>
      </c>
      <c r="H1611" s="236">
        <v>2.25</v>
      </c>
      <c r="I1611" s="236">
        <v>2.25</v>
      </c>
      <c r="J1611" s="233">
        <v>1</v>
      </c>
      <c r="K1611" s="237" t="s">
        <v>1183</v>
      </c>
      <c r="L1611" s="235"/>
      <c r="M1611" s="276" t="str">
        <f t="shared" si="47"/>
        <v>Photo</v>
      </c>
      <c r="N1611" s="279" t="s">
        <v>25</v>
      </c>
      <c r="O1611" t="str">
        <f t="shared" si="46"/>
        <v>2015-S Jefferson Nickel Proof</v>
      </c>
      <c r="S1611" t="str" cm="1">
        <f t="array" ref="S1611">_xlfn.REGEXEXTRACT(E1611, "[0-9]{1,5}")</f>
        <v>2015</v>
      </c>
      <c r="T1611" t="s">
        <v>4185</v>
      </c>
      <c r="U1611" t="s">
        <v>984</v>
      </c>
    </row>
    <row r="1612" spans="1:21">
      <c r="A1612" s="136">
        <v>2</v>
      </c>
      <c r="B1612" s="246">
        <v>2016</v>
      </c>
      <c r="C1612" s="247" t="s">
        <v>25</v>
      </c>
      <c r="D1612" s="247" t="s">
        <v>1962</v>
      </c>
      <c r="E1612" s="248" t="s">
        <v>790</v>
      </c>
      <c r="F1612" s="235" t="s">
        <v>4272</v>
      </c>
      <c r="G1612" s="248" t="s">
        <v>2579</v>
      </c>
      <c r="H1612" s="249">
        <v>0.05</v>
      </c>
      <c r="I1612" s="249">
        <v>0.05</v>
      </c>
      <c r="J1612" s="246">
        <v>1</v>
      </c>
      <c r="K1612" s="250" t="s">
        <v>1183</v>
      </c>
      <c r="L1612" s="248"/>
      <c r="M1612" s="276" t="str">
        <f t="shared" si="47"/>
        <v>Photo</v>
      </c>
      <c r="N1612" s="279" t="s">
        <v>25</v>
      </c>
      <c r="O1612" t="str">
        <f t="shared" si="46"/>
        <v>2016-P Jefferson Nickel</v>
      </c>
      <c r="S1612" t="str" cm="1">
        <f t="array" ref="S1612">_xlfn.REGEXEXTRACT(E1612, "[0-9]{1,5}")</f>
        <v>2016</v>
      </c>
      <c r="T1612" t="s">
        <v>4185</v>
      </c>
      <c r="U1612" t="s">
        <v>984</v>
      </c>
    </row>
    <row r="1613" spans="1:21">
      <c r="A1613" s="136">
        <v>2</v>
      </c>
      <c r="B1613" s="246">
        <v>2016</v>
      </c>
      <c r="C1613" s="247" t="s">
        <v>25</v>
      </c>
      <c r="D1613" s="247" t="s">
        <v>1962</v>
      </c>
      <c r="E1613" s="248" t="s">
        <v>792</v>
      </c>
      <c r="F1613" s="235" t="s">
        <v>4272</v>
      </c>
      <c r="G1613" s="248" t="s">
        <v>2579</v>
      </c>
      <c r="H1613" s="249">
        <v>0.05</v>
      </c>
      <c r="I1613" s="249">
        <v>0.05</v>
      </c>
      <c r="J1613" s="246">
        <v>1</v>
      </c>
      <c r="K1613" s="250" t="s">
        <v>1183</v>
      </c>
      <c r="L1613" s="248"/>
      <c r="M1613" s="276" t="str">
        <f t="shared" si="47"/>
        <v>Photo</v>
      </c>
      <c r="N1613" s="279" t="s">
        <v>25</v>
      </c>
      <c r="O1613" t="str">
        <f t="shared" si="46"/>
        <v>2016-P Jefferson Nickel</v>
      </c>
      <c r="S1613" t="str" cm="1">
        <f t="array" ref="S1613">_xlfn.REGEXEXTRACT(E1613, "[0-9]{1,5}")</f>
        <v>2016</v>
      </c>
      <c r="T1613" t="s">
        <v>4186</v>
      </c>
      <c r="U1613" t="s">
        <v>984</v>
      </c>
    </row>
    <row r="1614" spans="1:21">
      <c r="A1614" s="136">
        <v>2</v>
      </c>
      <c r="B1614" s="246">
        <v>2016</v>
      </c>
      <c r="C1614" s="247" t="s">
        <v>25</v>
      </c>
      <c r="D1614" s="247" t="s">
        <v>1962</v>
      </c>
      <c r="E1614" s="248" t="s">
        <v>793</v>
      </c>
      <c r="F1614" s="235" t="s">
        <v>4272</v>
      </c>
      <c r="G1614" s="248" t="s">
        <v>2579</v>
      </c>
      <c r="H1614" s="249">
        <v>0.05</v>
      </c>
      <c r="I1614" s="249">
        <v>0.05</v>
      </c>
      <c r="J1614" s="246">
        <v>1</v>
      </c>
      <c r="K1614" s="250" t="s">
        <v>1183</v>
      </c>
      <c r="L1614" s="248"/>
      <c r="M1614" s="276" t="str">
        <f t="shared" si="47"/>
        <v>Photo</v>
      </c>
      <c r="N1614" s="279" t="s">
        <v>25</v>
      </c>
      <c r="O1614" t="str">
        <f t="shared" si="46"/>
        <v>2016-P Jefferson Nickel</v>
      </c>
      <c r="S1614" t="str" cm="1">
        <f t="array" ref="S1614">_xlfn.REGEXEXTRACT(E1614, "[0-9]{1,5}")</f>
        <v>2016</v>
      </c>
      <c r="T1614" t="s">
        <v>4186</v>
      </c>
      <c r="U1614" t="s">
        <v>984</v>
      </c>
    </row>
    <row r="1615" spans="1:21">
      <c r="A1615" s="136">
        <v>2</v>
      </c>
      <c r="B1615" s="246">
        <v>2016</v>
      </c>
      <c r="C1615" s="247" t="s">
        <v>25</v>
      </c>
      <c r="D1615" s="247" t="s">
        <v>1962</v>
      </c>
      <c r="E1615" s="248" t="s">
        <v>794</v>
      </c>
      <c r="F1615" s="235" t="s">
        <v>4272</v>
      </c>
      <c r="G1615" s="248" t="s">
        <v>2579</v>
      </c>
      <c r="H1615" s="249">
        <v>0.05</v>
      </c>
      <c r="I1615" s="249">
        <v>0.05</v>
      </c>
      <c r="J1615" s="246">
        <v>1</v>
      </c>
      <c r="K1615" s="250" t="s">
        <v>1183</v>
      </c>
      <c r="L1615" s="248"/>
      <c r="M1615" s="276" t="str">
        <f t="shared" si="47"/>
        <v>Photo</v>
      </c>
      <c r="N1615" s="279" t="s">
        <v>25</v>
      </c>
      <c r="O1615" t="str">
        <f t="shared" si="46"/>
        <v>2016-P Jefferson Nickel</v>
      </c>
      <c r="S1615" t="str" cm="1">
        <f t="array" ref="S1615">_xlfn.REGEXEXTRACT(E1615, "[0-9]{1,5}")</f>
        <v>2016</v>
      </c>
      <c r="T1615" t="s">
        <v>2504</v>
      </c>
      <c r="U1615" t="s">
        <v>984</v>
      </c>
    </row>
    <row r="1616" spans="1:21">
      <c r="A1616" s="136">
        <v>2</v>
      </c>
      <c r="B1616" s="246">
        <v>2016</v>
      </c>
      <c r="C1616" s="247" t="s">
        <v>25</v>
      </c>
      <c r="D1616" s="247" t="s">
        <v>1962</v>
      </c>
      <c r="E1616" s="248" t="s">
        <v>795</v>
      </c>
      <c r="F1616" s="235" t="s">
        <v>4272</v>
      </c>
      <c r="G1616" s="248" t="s">
        <v>2579</v>
      </c>
      <c r="H1616" s="249">
        <v>0.05</v>
      </c>
      <c r="I1616" s="249">
        <v>0.05</v>
      </c>
      <c r="J1616" s="246">
        <v>1</v>
      </c>
      <c r="K1616" s="250" t="s">
        <v>1183</v>
      </c>
      <c r="L1616" s="248"/>
      <c r="M1616" s="276" t="str">
        <f t="shared" si="47"/>
        <v>Photo</v>
      </c>
      <c r="N1616" s="279" t="s">
        <v>25</v>
      </c>
      <c r="O1616" t="str">
        <f t="shared" si="46"/>
        <v>2016-P Jefferson Nickel</v>
      </c>
      <c r="S1616" t="str" cm="1">
        <f t="array" ref="S1616">_xlfn.REGEXEXTRACT(E1616, "[0-9]{1,5}")</f>
        <v>2016</v>
      </c>
      <c r="T1616" t="s">
        <v>2506</v>
      </c>
      <c r="U1616" t="s">
        <v>984</v>
      </c>
    </row>
    <row r="1617" spans="1:21">
      <c r="A1617" s="136">
        <v>2</v>
      </c>
      <c r="B1617" s="246">
        <v>2016</v>
      </c>
      <c r="C1617" s="247" t="s">
        <v>13</v>
      </c>
      <c r="D1617" s="247" t="s">
        <v>1962</v>
      </c>
      <c r="E1617" s="248" t="s">
        <v>796</v>
      </c>
      <c r="F1617" s="235" t="s">
        <v>4272</v>
      </c>
      <c r="G1617" s="248" t="s">
        <v>2579</v>
      </c>
      <c r="H1617" s="249">
        <v>0.5</v>
      </c>
      <c r="I1617" s="249">
        <v>0.56999999999999995</v>
      </c>
      <c r="J1617" s="246">
        <v>1</v>
      </c>
      <c r="K1617" s="250" t="s">
        <v>1183</v>
      </c>
      <c r="L1617" s="248"/>
      <c r="M1617" s="276" t="str">
        <f t="shared" si="47"/>
        <v>Photo</v>
      </c>
      <c r="N1617" s="279" t="s">
        <v>25</v>
      </c>
      <c r="O1617" t="str">
        <f t="shared" si="46"/>
        <v>2016-D Jefferson Nickel</v>
      </c>
      <c r="S1617" t="str" cm="1">
        <f t="array" ref="S1617">_xlfn.REGEXEXTRACT(E1617, "[0-9]{1,5}")</f>
        <v>2016</v>
      </c>
      <c r="T1617" t="s">
        <v>2510</v>
      </c>
      <c r="U1617" t="s">
        <v>984</v>
      </c>
    </row>
    <row r="1618" spans="1:21">
      <c r="A1618" s="136">
        <v>2</v>
      </c>
      <c r="B1618" s="246">
        <v>2016</v>
      </c>
      <c r="C1618" s="247" t="s">
        <v>12</v>
      </c>
      <c r="D1618" s="247" t="s">
        <v>1962</v>
      </c>
      <c r="E1618" s="248" t="s">
        <v>797</v>
      </c>
      <c r="F1618" s="235" t="s">
        <v>5144</v>
      </c>
      <c r="G1618" s="248" t="s">
        <v>2579</v>
      </c>
      <c r="H1618" s="249">
        <v>2</v>
      </c>
      <c r="I1618" s="249">
        <v>4.95</v>
      </c>
      <c r="J1618" s="246">
        <v>1</v>
      </c>
      <c r="K1618" s="250" t="s">
        <v>3755</v>
      </c>
      <c r="L1618" s="248"/>
      <c r="M1618" s="276" t="str">
        <f t="shared" si="47"/>
        <v>Photo</v>
      </c>
      <c r="N1618" s="279" t="s">
        <v>25</v>
      </c>
      <c r="O1618" t="str">
        <f t="shared" si="46"/>
        <v>2016-S Jefferson Nickel Proof</v>
      </c>
      <c r="S1618" t="str" cm="1">
        <f t="array" ref="S1618">_xlfn.REGEXEXTRACT(E1618, "[0-9]{1,5}")</f>
        <v>2016</v>
      </c>
      <c r="T1618" t="s">
        <v>2510</v>
      </c>
      <c r="U1618" t="s">
        <v>984</v>
      </c>
    </row>
    <row r="1619" spans="1:21">
      <c r="A1619" s="136">
        <v>2</v>
      </c>
      <c r="B1619" s="233">
        <v>2016</v>
      </c>
      <c r="C1619" s="234" t="s">
        <v>13</v>
      </c>
      <c r="D1619" s="247" t="s">
        <v>1962</v>
      </c>
      <c r="E1619" s="235" t="s">
        <v>2225</v>
      </c>
      <c r="F1619" s="235" t="s">
        <v>4272</v>
      </c>
      <c r="G1619" s="235" t="s">
        <v>2579</v>
      </c>
      <c r="H1619" s="236">
        <v>0.5</v>
      </c>
      <c r="I1619" s="236">
        <v>0.5</v>
      </c>
      <c r="J1619" s="233">
        <v>1</v>
      </c>
      <c r="K1619" s="237" t="s">
        <v>1183</v>
      </c>
      <c r="L1619" s="235"/>
      <c r="M1619" s="276" t="str">
        <f t="shared" si="47"/>
        <v>Photo</v>
      </c>
      <c r="N1619" s="279" t="s">
        <v>25</v>
      </c>
      <c r="O1619" t="str">
        <f t="shared" si="46"/>
        <v>2016-D Jefferson Nickel</v>
      </c>
      <c r="S1619" t="str" cm="1">
        <f t="array" ref="S1619">_xlfn.REGEXEXTRACT(E1619, "[0-9]{1,5}")</f>
        <v>2016</v>
      </c>
      <c r="T1619" t="s">
        <v>2512</v>
      </c>
      <c r="U1619" t="s">
        <v>984</v>
      </c>
    </row>
    <row r="1620" spans="1:21">
      <c r="A1620" s="136">
        <v>2</v>
      </c>
      <c r="B1620" s="233">
        <v>2016</v>
      </c>
      <c r="C1620" s="234" t="s">
        <v>12</v>
      </c>
      <c r="D1620" s="247" t="s">
        <v>1962</v>
      </c>
      <c r="E1620" s="235" t="s">
        <v>2226</v>
      </c>
      <c r="F1620" s="235" t="s">
        <v>5144</v>
      </c>
      <c r="G1620" s="235" t="s">
        <v>2579</v>
      </c>
      <c r="H1620" s="236">
        <v>2.25</v>
      </c>
      <c r="I1620" s="236">
        <v>2.25</v>
      </c>
      <c r="J1620" s="233">
        <v>1</v>
      </c>
      <c r="K1620" s="237" t="s">
        <v>1183</v>
      </c>
      <c r="L1620" s="235"/>
      <c r="M1620" s="276" t="str">
        <f t="shared" si="47"/>
        <v>Photo</v>
      </c>
      <c r="N1620" s="279" t="s">
        <v>25</v>
      </c>
      <c r="O1620" t="str">
        <f t="shared" si="46"/>
        <v>2016-S Jefferson Nickel Proof</v>
      </c>
      <c r="S1620" t="str" cm="1">
        <f t="array" ref="S1620">_xlfn.REGEXEXTRACT(E1620, "[0-9]{1,5}")</f>
        <v>2016</v>
      </c>
      <c r="T1620" t="s">
        <v>1649</v>
      </c>
      <c r="U1620" t="s">
        <v>984</v>
      </c>
    </row>
    <row r="1621" spans="1:21">
      <c r="A1621" s="136">
        <v>2</v>
      </c>
      <c r="B1621" s="246">
        <v>2017</v>
      </c>
      <c r="C1621" s="247" t="s">
        <v>25</v>
      </c>
      <c r="D1621" s="247" t="s">
        <v>1962</v>
      </c>
      <c r="E1621" s="248" t="s">
        <v>798</v>
      </c>
      <c r="F1621" s="235" t="s">
        <v>4272</v>
      </c>
      <c r="G1621" s="248" t="s">
        <v>2579</v>
      </c>
      <c r="H1621" s="249">
        <v>0.05</v>
      </c>
      <c r="I1621" s="249">
        <v>0.05</v>
      </c>
      <c r="J1621" s="246">
        <v>1</v>
      </c>
      <c r="K1621" s="250" t="s">
        <v>1183</v>
      </c>
      <c r="L1621" s="248"/>
      <c r="M1621" s="276" t="str">
        <f t="shared" si="47"/>
        <v>Photo</v>
      </c>
      <c r="N1621" s="279" t="s">
        <v>25</v>
      </c>
      <c r="O1621" t="str">
        <f t="shared" si="46"/>
        <v>2017-P Jefferson Nickel</v>
      </c>
      <c r="S1621" t="str" cm="1">
        <f t="array" ref="S1621">_xlfn.REGEXEXTRACT(E1621, "[0-9]{1,5}")</f>
        <v>2017</v>
      </c>
      <c r="T1621" t="s">
        <v>4187</v>
      </c>
      <c r="U1621" t="s">
        <v>984</v>
      </c>
    </row>
    <row r="1622" spans="1:21">
      <c r="A1622" s="136">
        <v>2</v>
      </c>
      <c r="B1622" s="246">
        <v>2017</v>
      </c>
      <c r="C1622" s="247" t="s">
        <v>25</v>
      </c>
      <c r="D1622" s="247" t="s">
        <v>1962</v>
      </c>
      <c r="E1622" s="248" t="s">
        <v>800</v>
      </c>
      <c r="F1622" s="235" t="s">
        <v>4272</v>
      </c>
      <c r="G1622" s="248" t="s">
        <v>2579</v>
      </c>
      <c r="H1622" s="249">
        <v>0.05</v>
      </c>
      <c r="I1622" s="249">
        <v>0.05</v>
      </c>
      <c r="J1622" s="246">
        <v>1</v>
      </c>
      <c r="K1622" s="250" t="s">
        <v>1183</v>
      </c>
      <c r="L1622" s="248"/>
      <c r="M1622" s="276" t="str">
        <f t="shared" si="47"/>
        <v>Photo</v>
      </c>
      <c r="N1622" s="279" t="s">
        <v>25</v>
      </c>
      <c r="O1622" t="str">
        <f t="shared" si="46"/>
        <v>2017-P Jefferson Nickel</v>
      </c>
      <c r="S1622" t="str" cm="1">
        <f t="array" ref="S1622">_xlfn.REGEXEXTRACT(E1622, "[0-9]{1,5}")</f>
        <v>2017</v>
      </c>
      <c r="T1622" t="s">
        <v>4187</v>
      </c>
      <c r="U1622" t="s">
        <v>984</v>
      </c>
    </row>
    <row r="1623" spans="1:21">
      <c r="A1623" s="136">
        <v>2</v>
      </c>
      <c r="B1623" s="246">
        <v>2017</v>
      </c>
      <c r="C1623" s="247" t="s">
        <v>13</v>
      </c>
      <c r="D1623" s="247" t="s">
        <v>1962</v>
      </c>
      <c r="E1623" s="248" t="s">
        <v>801</v>
      </c>
      <c r="F1623" s="235" t="s">
        <v>4272</v>
      </c>
      <c r="G1623" s="248" t="s">
        <v>2579</v>
      </c>
      <c r="H1623" s="249">
        <v>0.25</v>
      </c>
      <c r="I1623" s="249">
        <v>0.56999999999999995</v>
      </c>
      <c r="J1623" s="246">
        <v>1</v>
      </c>
      <c r="K1623" s="250" t="s">
        <v>1183</v>
      </c>
      <c r="L1623" s="248"/>
      <c r="M1623" s="276" t="str">
        <f t="shared" si="47"/>
        <v>Photo</v>
      </c>
      <c r="N1623" s="279" t="s">
        <v>25</v>
      </c>
      <c r="O1623" t="str">
        <f t="shared" si="46"/>
        <v>2017-D Jefferson Nickel</v>
      </c>
      <c r="S1623" t="str" cm="1">
        <f t="array" ref="S1623">_xlfn.REGEXEXTRACT(E1623, "[0-9]{1,5}")</f>
        <v>2017</v>
      </c>
      <c r="T1623" t="s">
        <v>4187</v>
      </c>
      <c r="U1623" t="s">
        <v>984</v>
      </c>
    </row>
    <row r="1624" spans="1:21">
      <c r="A1624" s="136">
        <v>2</v>
      </c>
      <c r="B1624" s="246">
        <v>2017</v>
      </c>
      <c r="C1624" s="247" t="s">
        <v>12</v>
      </c>
      <c r="D1624" s="247" t="s">
        <v>1962</v>
      </c>
      <c r="E1624" s="248" t="s">
        <v>802</v>
      </c>
      <c r="F1624" s="235" t="s">
        <v>5144</v>
      </c>
      <c r="G1624" s="248" t="s">
        <v>2579</v>
      </c>
      <c r="H1624" s="249">
        <v>2.5</v>
      </c>
      <c r="I1624" s="249">
        <v>4.95</v>
      </c>
      <c r="J1624" s="246">
        <v>1</v>
      </c>
      <c r="K1624" s="250" t="s">
        <v>3755</v>
      </c>
      <c r="L1624" s="248"/>
      <c r="M1624" s="276" t="str">
        <f t="shared" si="47"/>
        <v>Photo</v>
      </c>
      <c r="N1624" s="279" t="s">
        <v>25</v>
      </c>
      <c r="O1624" t="str">
        <f t="shared" si="46"/>
        <v>2017-S Jefferson Nickel Proof</v>
      </c>
      <c r="S1624" t="str" cm="1">
        <f t="array" ref="S1624">_xlfn.REGEXEXTRACT(E1624, "[0-9]{1,5}")</f>
        <v>2017</v>
      </c>
      <c r="T1624" t="s">
        <v>4188</v>
      </c>
      <c r="U1624" t="s">
        <v>984</v>
      </c>
    </row>
    <row r="1625" spans="1:21">
      <c r="A1625" s="136">
        <v>2</v>
      </c>
      <c r="B1625" s="233">
        <v>2017</v>
      </c>
      <c r="C1625" s="234" t="s">
        <v>13</v>
      </c>
      <c r="D1625" s="247" t="s">
        <v>1962</v>
      </c>
      <c r="E1625" s="235" t="s">
        <v>2227</v>
      </c>
      <c r="F1625" s="235" t="s">
        <v>4272</v>
      </c>
      <c r="G1625" s="235" t="s">
        <v>2579</v>
      </c>
      <c r="H1625" s="236">
        <v>0.25</v>
      </c>
      <c r="I1625" s="236">
        <v>0.25</v>
      </c>
      <c r="J1625" s="233">
        <v>1</v>
      </c>
      <c r="K1625" s="237" t="s">
        <v>1183</v>
      </c>
      <c r="L1625" s="235"/>
      <c r="M1625" s="276" t="str">
        <f t="shared" si="47"/>
        <v>Photo</v>
      </c>
      <c r="N1625" s="279" t="s">
        <v>25</v>
      </c>
      <c r="O1625" t="str">
        <f t="shared" si="46"/>
        <v>2017-D Jefferson Nickel</v>
      </c>
      <c r="S1625" t="str" cm="1">
        <f t="array" ref="S1625">_xlfn.REGEXEXTRACT(E1625, "[0-9]{1,5}")</f>
        <v>2017</v>
      </c>
      <c r="T1625" t="s">
        <v>4189</v>
      </c>
      <c r="U1625" t="s">
        <v>984</v>
      </c>
    </row>
    <row r="1626" spans="1:21">
      <c r="A1626" s="136">
        <v>2</v>
      </c>
      <c r="B1626" s="233">
        <v>2017</v>
      </c>
      <c r="C1626" s="234" t="s">
        <v>12</v>
      </c>
      <c r="D1626" s="247" t="s">
        <v>1962</v>
      </c>
      <c r="E1626" s="235" t="s">
        <v>2228</v>
      </c>
      <c r="F1626" s="235" t="s">
        <v>5144</v>
      </c>
      <c r="G1626" s="235" t="s">
        <v>2579</v>
      </c>
      <c r="H1626" s="236">
        <v>2.75</v>
      </c>
      <c r="I1626" s="236">
        <v>2.75</v>
      </c>
      <c r="J1626" s="233">
        <v>1</v>
      </c>
      <c r="K1626" s="237" t="s">
        <v>1183</v>
      </c>
      <c r="L1626" s="235"/>
      <c r="M1626" s="276" t="str">
        <f t="shared" si="47"/>
        <v>Photo</v>
      </c>
      <c r="N1626" s="279" t="s">
        <v>25</v>
      </c>
      <c r="O1626" t="str">
        <f t="shared" si="46"/>
        <v>2017-S Jefferson Nickel Proof</v>
      </c>
      <c r="S1626" t="str" cm="1">
        <f t="array" ref="S1626">_xlfn.REGEXEXTRACT(E1626, "[0-9]{1,5}")</f>
        <v>2017</v>
      </c>
      <c r="T1626" t="s">
        <v>4189</v>
      </c>
      <c r="U1626" t="s">
        <v>984</v>
      </c>
    </row>
    <row r="1627" spans="1:21">
      <c r="A1627" s="136">
        <v>2</v>
      </c>
      <c r="B1627" s="246">
        <v>2018</v>
      </c>
      <c r="C1627" s="247" t="s">
        <v>25</v>
      </c>
      <c r="D1627" s="247" t="s">
        <v>1962</v>
      </c>
      <c r="E1627" s="248" t="s">
        <v>803</v>
      </c>
      <c r="F1627" s="235" t="s">
        <v>4272</v>
      </c>
      <c r="G1627" s="248" t="s">
        <v>2579</v>
      </c>
      <c r="H1627" s="249">
        <v>0.05</v>
      </c>
      <c r="I1627" s="249">
        <v>0.05</v>
      </c>
      <c r="J1627" s="246">
        <v>1</v>
      </c>
      <c r="K1627" s="250" t="s">
        <v>1183</v>
      </c>
      <c r="L1627" s="248"/>
      <c r="M1627" s="276" t="str">
        <f t="shared" si="47"/>
        <v>Photo</v>
      </c>
      <c r="N1627" s="279" t="s">
        <v>25</v>
      </c>
      <c r="O1627" t="str">
        <f t="shared" si="46"/>
        <v>2018-P Jefferson Nickel</v>
      </c>
      <c r="S1627" t="str" cm="1">
        <f t="array" ref="S1627">_xlfn.REGEXEXTRACT(E1627, "[0-9]{1,5}")</f>
        <v>2018</v>
      </c>
      <c r="T1627" t="s">
        <v>4189</v>
      </c>
      <c r="U1627" t="s">
        <v>984</v>
      </c>
    </row>
    <row r="1628" spans="1:21">
      <c r="A1628" s="136">
        <v>2</v>
      </c>
      <c r="B1628" s="246">
        <v>2018</v>
      </c>
      <c r="C1628" s="247" t="s">
        <v>25</v>
      </c>
      <c r="D1628" s="247" t="s">
        <v>1962</v>
      </c>
      <c r="E1628" s="248" t="s">
        <v>805</v>
      </c>
      <c r="F1628" s="235" t="s">
        <v>4272</v>
      </c>
      <c r="G1628" s="248" t="s">
        <v>2579</v>
      </c>
      <c r="H1628" s="249">
        <v>0.05</v>
      </c>
      <c r="I1628" s="249">
        <v>0.05</v>
      </c>
      <c r="J1628" s="246">
        <v>1</v>
      </c>
      <c r="K1628" s="250" t="s">
        <v>1183</v>
      </c>
      <c r="L1628" s="248"/>
      <c r="M1628" s="276" t="str">
        <f t="shared" si="47"/>
        <v>Photo</v>
      </c>
      <c r="N1628" s="279" t="s">
        <v>25</v>
      </c>
      <c r="O1628" t="str">
        <f t="shared" si="46"/>
        <v>2018-P Jefferson Nickel</v>
      </c>
      <c r="S1628" t="str" cm="1">
        <f t="array" ref="S1628">_xlfn.REGEXEXTRACT(E1628, "[0-9]{1,5}")</f>
        <v>2018</v>
      </c>
      <c r="T1628" t="s">
        <v>4190</v>
      </c>
      <c r="U1628" t="s">
        <v>984</v>
      </c>
    </row>
    <row r="1629" spans="1:21">
      <c r="A1629" s="136">
        <v>2</v>
      </c>
      <c r="B1629" s="246">
        <v>2018</v>
      </c>
      <c r="C1629" s="247" t="s">
        <v>25</v>
      </c>
      <c r="D1629" s="247" t="s">
        <v>1962</v>
      </c>
      <c r="E1629" s="248" t="s">
        <v>806</v>
      </c>
      <c r="F1629" s="235" t="s">
        <v>4272</v>
      </c>
      <c r="G1629" s="248" t="s">
        <v>2579</v>
      </c>
      <c r="H1629" s="249">
        <v>0.05</v>
      </c>
      <c r="I1629" s="249">
        <v>0.05</v>
      </c>
      <c r="J1629" s="246">
        <v>1</v>
      </c>
      <c r="K1629" s="250" t="s">
        <v>1183</v>
      </c>
      <c r="L1629" s="248"/>
      <c r="M1629" s="276" t="str">
        <f t="shared" si="47"/>
        <v>Photo</v>
      </c>
      <c r="N1629" s="279" t="s">
        <v>25</v>
      </c>
      <c r="O1629" t="str">
        <f t="shared" si="46"/>
        <v>2018-P Jefferson Nickel</v>
      </c>
      <c r="S1629" t="str" cm="1">
        <f t="array" ref="S1629">_xlfn.REGEXEXTRACT(E1629, "[0-9]{1,5}")</f>
        <v>2018</v>
      </c>
      <c r="T1629" t="s">
        <v>4191</v>
      </c>
      <c r="U1629" t="s">
        <v>984</v>
      </c>
    </row>
    <row r="1630" spans="1:21">
      <c r="A1630" s="136">
        <v>2</v>
      </c>
      <c r="B1630" s="246">
        <v>2018</v>
      </c>
      <c r="C1630" s="247" t="s">
        <v>13</v>
      </c>
      <c r="D1630" s="247" t="s">
        <v>1962</v>
      </c>
      <c r="E1630" s="248" t="s">
        <v>807</v>
      </c>
      <c r="F1630" s="235" t="s">
        <v>4272</v>
      </c>
      <c r="G1630" s="248" t="s">
        <v>2579</v>
      </c>
      <c r="H1630" s="249">
        <v>0.3</v>
      </c>
      <c r="I1630" s="249">
        <v>0.56999999999999995</v>
      </c>
      <c r="J1630" s="246">
        <v>1</v>
      </c>
      <c r="K1630" s="250" t="s">
        <v>1183</v>
      </c>
      <c r="L1630" s="248"/>
      <c r="M1630" s="276" t="str">
        <f t="shared" si="47"/>
        <v>Photo</v>
      </c>
      <c r="N1630" s="279" t="s">
        <v>25</v>
      </c>
      <c r="O1630" t="str">
        <f t="shared" si="46"/>
        <v>2018-D Jefferson Nickel</v>
      </c>
      <c r="S1630" t="str" cm="1">
        <f t="array" ref="S1630">_xlfn.REGEXEXTRACT(E1630, "[0-9]{1,5}")</f>
        <v>2018</v>
      </c>
      <c r="T1630" t="s">
        <v>4191</v>
      </c>
      <c r="U1630" t="s">
        <v>984</v>
      </c>
    </row>
    <row r="1631" spans="1:21">
      <c r="A1631" s="136">
        <v>2</v>
      </c>
      <c r="B1631" s="246">
        <v>2018</v>
      </c>
      <c r="C1631" s="247" t="s">
        <v>12</v>
      </c>
      <c r="D1631" s="247" t="s">
        <v>1962</v>
      </c>
      <c r="E1631" s="248" t="s">
        <v>808</v>
      </c>
      <c r="F1631" s="235" t="s">
        <v>5144</v>
      </c>
      <c r="G1631" s="248" t="s">
        <v>2579</v>
      </c>
      <c r="H1631" s="249">
        <v>2.5</v>
      </c>
      <c r="I1631" s="249">
        <v>4.95</v>
      </c>
      <c r="J1631" s="246">
        <v>1</v>
      </c>
      <c r="K1631" s="250" t="s">
        <v>3755</v>
      </c>
      <c r="L1631" s="248"/>
      <c r="M1631" s="276" t="str">
        <f t="shared" si="47"/>
        <v>Photo</v>
      </c>
      <c r="N1631" s="279" t="s">
        <v>25</v>
      </c>
      <c r="O1631" t="str">
        <f t="shared" si="46"/>
        <v>2018-S Jefferson Nickel Proof</v>
      </c>
      <c r="S1631" t="str" cm="1">
        <f t="array" ref="S1631">_xlfn.REGEXEXTRACT(E1631, "[0-9]{1,5}")</f>
        <v>2018</v>
      </c>
      <c r="T1631" t="s">
        <v>4191</v>
      </c>
      <c r="U1631" t="s">
        <v>984</v>
      </c>
    </row>
    <row r="1632" spans="1:21">
      <c r="A1632" s="136">
        <v>2</v>
      </c>
      <c r="B1632" s="233">
        <v>2018</v>
      </c>
      <c r="C1632" s="234" t="s">
        <v>12</v>
      </c>
      <c r="D1632" s="247" t="s">
        <v>1962</v>
      </c>
      <c r="E1632" s="235" t="s">
        <v>2229</v>
      </c>
      <c r="F1632" s="235" t="s">
        <v>5144</v>
      </c>
      <c r="G1632" s="235" t="s">
        <v>2579</v>
      </c>
      <c r="H1632" s="236">
        <v>2.5</v>
      </c>
      <c r="I1632" s="236">
        <v>2.5</v>
      </c>
      <c r="J1632" s="233">
        <v>1</v>
      </c>
      <c r="K1632" s="237" t="s">
        <v>1183</v>
      </c>
      <c r="L1632" s="235"/>
      <c r="M1632" s="276" t="str">
        <f t="shared" si="47"/>
        <v>Photo</v>
      </c>
      <c r="N1632" s="279" t="s">
        <v>25</v>
      </c>
      <c r="O1632" t="str">
        <f t="shared" si="46"/>
        <v>2018-S Jefferson Nickel Proof</v>
      </c>
      <c r="S1632" t="str" cm="1">
        <f t="array" ref="S1632">_xlfn.REGEXEXTRACT(E1632, "[0-9]{1,5}")</f>
        <v>2018</v>
      </c>
      <c r="T1632" t="s">
        <v>4191</v>
      </c>
      <c r="U1632" t="s">
        <v>984</v>
      </c>
    </row>
    <row r="1633" spans="1:21">
      <c r="A1633" s="136">
        <v>2</v>
      </c>
      <c r="B1633" s="233">
        <v>2018</v>
      </c>
      <c r="C1633" s="234" t="s">
        <v>13</v>
      </c>
      <c r="D1633" s="247" t="s">
        <v>1962</v>
      </c>
      <c r="E1633" s="235" t="s">
        <v>2230</v>
      </c>
      <c r="F1633" s="235" t="s">
        <v>4272</v>
      </c>
      <c r="G1633" s="235" t="s">
        <v>2579</v>
      </c>
      <c r="H1633" s="236">
        <v>0.3</v>
      </c>
      <c r="I1633" s="236">
        <v>0.3</v>
      </c>
      <c r="J1633" s="233">
        <v>1</v>
      </c>
      <c r="K1633" s="237" t="s">
        <v>1183</v>
      </c>
      <c r="L1633" s="235"/>
      <c r="M1633" s="276" t="str">
        <f t="shared" si="47"/>
        <v>Photo</v>
      </c>
      <c r="N1633" s="279" t="s">
        <v>25</v>
      </c>
      <c r="O1633" t="str">
        <f t="shared" si="46"/>
        <v>2018-D Jefferson Nickel</v>
      </c>
      <c r="S1633" t="str" cm="1">
        <f t="array" ref="S1633">_xlfn.REGEXEXTRACT(E1633, "[0-9]{1,5}")</f>
        <v>2018</v>
      </c>
      <c r="T1633" t="s">
        <v>4191</v>
      </c>
      <c r="U1633" t="s">
        <v>984</v>
      </c>
    </row>
    <row r="1634" spans="1:21">
      <c r="A1634" s="136">
        <v>2</v>
      </c>
      <c r="B1634" s="246">
        <v>2019</v>
      </c>
      <c r="C1634" s="247" t="s">
        <v>25</v>
      </c>
      <c r="D1634" s="247" t="s">
        <v>1962</v>
      </c>
      <c r="E1634" s="248" t="s">
        <v>809</v>
      </c>
      <c r="F1634" s="235" t="s">
        <v>4272</v>
      </c>
      <c r="G1634" s="248" t="s">
        <v>2579</v>
      </c>
      <c r="H1634" s="249">
        <v>0.05</v>
      </c>
      <c r="I1634" s="249">
        <v>0.06</v>
      </c>
      <c r="J1634" s="246">
        <v>1</v>
      </c>
      <c r="K1634" s="250" t="s">
        <v>1183</v>
      </c>
      <c r="L1634" s="248"/>
      <c r="M1634" s="276" t="str">
        <f t="shared" si="47"/>
        <v>Photo</v>
      </c>
      <c r="N1634" s="279" t="s">
        <v>25</v>
      </c>
      <c r="O1634" t="str">
        <f t="shared" si="46"/>
        <v>2019-P Jefferson Nickel</v>
      </c>
      <c r="S1634" t="str" cm="1">
        <f t="array" ref="S1634">_xlfn.REGEXEXTRACT(E1634, "[0-9]{1,5}")</f>
        <v>2019</v>
      </c>
      <c r="T1634" t="s">
        <v>4192</v>
      </c>
      <c r="U1634" t="s">
        <v>984</v>
      </c>
    </row>
    <row r="1635" spans="1:21">
      <c r="A1635" s="136">
        <v>2</v>
      </c>
      <c r="B1635" s="246">
        <v>2019</v>
      </c>
      <c r="C1635" s="247" t="s">
        <v>25</v>
      </c>
      <c r="D1635" s="247" t="s">
        <v>1962</v>
      </c>
      <c r="E1635" s="248" t="s">
        <v>811</v>
      </c>
      <c r="F1635" s="235" t="s">
        <v>4272</v>
      </c>
      <c r="G1635" s="248" t="s">
        <v>2579</v>
      </c>
      <c r="H1635" s="249">
        <v>0.05</v>
      </c>
      <c r="I1635" s="249">
        <v>0.05</v>
      </c>
      <c r="J1635" s="246">
        <v>1</v>
      </c>
      <c r="K1635" s="250" t="s">
        <v>1183</v>
      </c>
      <c r="L1635" s="248"/>
      <c r="M1635" s="276" t="str">
        <f t="shared" si="47"/>
        <v>Photo</v>
      </c>
      <c r="N1635" s="279" t="s">
        <v>25</v>
      </c>
      <c r="O1635" t="str">
        <f t="shared" si="46"/>
        <v>2019-P Jefferson Nickel</v>
      </c>
      <c r="S1635" t="str" cm="1">
        <f t="array" ref="S1635">_xlfn.REGEXEXTRACT(E1635, "[0-9]{1,5}")</f>
        <v>2019</v>
      </c>
      <c r="T1635" t="s">
        <v>4192</v>
      </c>
      <c r="U1635" t="s">
        <v>984</v>
      </c>
    </row>
    <row r="1636" spans="1:21">
      <c r="A1636" s="136">
        <v>2</v>
      </c>
      <c r="B1636" s="246">
        <v>2019</v>
      </c>
      <c r="C1636" s="247" t="s">
        <v>12</v>
      </c>
      <c r="D1636" s="247" t="s">
        <v>1962</v>
      </c>
      <c r="E1636" s="248" t="s">
        <v>812</v>
      </c>
      <c r="F1636" s="235" t="s">
        <v>5144</v>
      </c>
      <c r="G1636" s="248" t="s">
        <v>2579</v>
      </c>
      <c r="H1636" s="249">
        <v>2.5</v>
      </c>
      <c r="I1636" s="249">
        <v>4.95</v>
      </c>
      <c r="J1636" s="246">
        <v>1</v>
      </c>
      <c r="K1636" s="250" t="s">
        <v>3755</v>
      </c>
      <c r="L1636" s="248"/>
      <c r="M1636" s="276" t="str">
        <f t="shared" si="47"/>
        <v>Photo</v>
      </c>
      <c r="N1636" s="279" t="s">
        <v>25</v>
      </c>
      <c r="O1636" t="str">
        <f t="shared" si="46"/>
        <v>2019-S Jefferson Nickel Proof</v>
      </c>
      <c r="S1636" t="str" cm="1">
        <f t="array" ref="S1636">_xlfn.REGEXEXTRACT(E1636, "[0-9]{1,5}")</f>
        <v>2019</v>
      </c>
      <c r="T1636" t="s">
        <v>4192</v>
      </c>
      <c r="U1636" t="s">
        <v>984</v>
      </c>
    </row>
    <row r="1637" spans="1:21">
      <c r="A1637" s="136">
        <v>2</v>
      </c>
      <c r="B1637" s="246">
        <v>2019</v>
      </c>
      <c r="C1637" s="247" t="s">
        <v>13</v>
      </c>
      <c r="D1637" s="247" t="s">
        <v>1962</v>
      </c>
      <c r="E1637" s="248" t="s">
        <v>813</v>
      </c>
      <c r="F1637" s="235" t="s">
        <v>4272</v>
      </c>
      <c r="G1637" s="248" t="s">
        <v>2579</v>
      </c>
      <c r="H1637" s="249">
        <v>0.4</v>
      </c>
      <c r="I1637" s="249">
        <v>0.56999999999999995</v>
      </c>
      <c r="J1637" s="246">
        <v>1</v>
      </c>
      <c r="K1637" s="250" t="s">
        <v>1183</v>
      </c>
      <c r="L1637" s="248"/>
      <c r="M1637" s="276" t="str">
        <f t="shared" si="47"/>
        <v>Photo</v>
      </c>
      <c r="N1637" s="279" t="s">
        <v>25</v>
      </c>
      <c r="O1637" t="str">
        <f t="shared" si="46"/>
        <v>2019-D Jefferson Nickel</v>
      </c>
      <c r="S1637" t="str" cm="1">
        <f t="array" ref="S1637">_xlfn.REGEXEXTRACT(E1637, "[0-9]{1,5}")</f>
        <v>2019</v>
      </c>
      <c r="T1637" t="s">
        <v>4193</v>
      </c>
      <c r="U1637" t="s">
        <v>984</v>
      </c>
    </row>
    <row r="1638" spans="1:21">
      <c r="A1638" s="136">
        <v>2</v>
      </c>
      <c r="B1638" s="233">
        <v>2019</v>
      </c>
      <c r="C1638" s="234" t="s">
        <v>13</v>
      </c>
      <c r="D1638" s="247" t="s">
        <v>1962</v>
      </c>
      <c r="E1638" s="235" t="s">
        <v>2231</v>
      </c>
      <c r="F1638" s="235" t="s">
        <v>4272</v>
      </c>
      <c r="G1638" s="235" t="s">
        <v>2579</v>
      </c>
      <c r="H1638" s="236">
        <v>0.4</v>
      </c>
      <c r="I1638" s="236">
        <v>0.4</v>
      </c>
      <c r="J1638" s="233">
        <v>1</v>
      </c>
      <c r="K1638" s="237" t="s">
        <v>1183</v>
      </c>
      <c r="L1638" s="235"/>
      <c r="M1638" s="276" t="str">
        <f t="shared" ref="M1638:M1667" si="48">HYPERLINK($Y$2&amp;E1638&amp;$AA$2,"Photo")</f>
        <v>Photo</v>
      </c>
      <c r="N1638" s="279" t="s">
        <v>25</v>
      </c>
      <c r="O1638" t="str">
        <f t="shared" si="46"/>
        <v>2019-D Jefferson Nickel</v>
      </c>
      <c r="S1638" t="str" cm="1">
        <f t="array" ref="S1638">_xlfn.REGEXEXTRACT(E1638, "[0-9]{1,5}")</f>
        <v>2019</v>
      </c>
      <c r="T1638" t="s">
        <v>4194</v>
      </c>
      <c r="U1638" t="s">
        <v>984</v>
      </c>
    </row>
    <row r="1639" spans="1:21">
      <c r="A1639" s="136">
        <v>2</v>
      </c>
      <c r="B1639" s="233">
        <v>2019</v>
      </c>
      <c r="C1639" s="234" t="s">
        <v>12</v>
      </c>
      <c r="D1639" s="247" t="s">
        <v>1962</v>
      </c>
      <c r="E1639" s="235" t="s">
        <v>2232</v>
      </c>
      <c r="F1639" s="235" t="s">
        <v>4272</v>
      </c>
      <c r="G1639" s="235" t="s">
        <v>2579</v>
      </c>
      <c r="H1639" s="236">
        <v>2.75</v>
      </c>
      <c r="I1639" s="236">
        <v>2.75</v>
      </c>
      <c r="J1639" s="233">
        <v>1</v>
      </c>
      <c r="K1639" s="237" t="s">
        <v>1183</v>
      </c>
      <c r="L1639" s="235"/>
      <c r="M1639" s="276" t="str">
        <f t="shared" si="48"/>
        <v>Photo</v>
      </c>
      <c r="N1639" s="279" t="s">
        <v>25</v>
      </c>
      <c r="O1639" t="str">
        <f t="shared" si="46"/>
        <v>2019-S Jefferson Nickel</v>
      </c>
      <c r="S1639" t="str" cm="1">
        <f t="array" ref="S1639">_xlfn.REGEXEXTRACT(E1639, "[0-9]{1,5}")</f>
        <v>2019</v>
      </c>
      <c r="T1639" t="s">
        <v>4194</v>
      </c>
      <c r="U1639" t="s">
        <v>984</v>
      </c>
    </row>
    <row r="1640" spans="1:21">
      <c r="A1640" s="136">
        <v>2</v>
      </c>
      <c r="B1640" s="246">
        <v>2020</v>
      </c>
      <c r="C1640" s="247" t="s">
        <v>25</v>
      </c>
      <c r="D1640" s="247" t="s">
        <v>1962</v>
      </c>
      <c r="E1640" s="248" t="s">
        <v>814</v>
      </c>
      <c r="F1640" s="235" t="s">
        <v>4272</v>
      </c>
      <c r="G1640" s="248" t="s">
        <v>2579</v>
      </c>
      <c r="H1640" s="249">
        <v>0.05</v>
      </c>
      <c r="I1640" s="249">
        <v>0.05</v>
      </c>
      <c r="J1640" s="246">
        <v>1</v>
      </c>
      <c r="K1640" s="250" t="s">
        <v>1183</v>
      </c>
      <c r="L1640" s="248"/>
      <c r="M1640" s="276" t="str">
        <f t="shared" si="48"/>
        <v>Photo</v>
      </c>
      <c r="N1640" s="279" t="s">
        <v>25</v>
      </c>
      <c r="O1640" t="str">
        <f t="shared" si="46"/>
        <v>2020-P Jefferson Nickel</v>
      </c>
      <c r="S1640" t="str" cm="1">
        <f t="array" ref="S1640">_xlfn.REGEXEXTRACT(E1640, "[0-9]{1,5}")</f>
        <v>2020</v>
      </c>
      <c r="T1640" t="s">
        <v>4194</v>
      </c>
      <c r="U1640" t="s">
        <v>984</v>
      </c>
    </row>
    <row r="1641" spans="1:21">
      <c r="A1641" s="136">
        <v>2</v>
      </c>
      <c r="B1641" s="246">
        <v>2020</v>
      </c>
      <c r="C1641" s="247" t="s">
        <v>12</v>
      </c>
      <c r="D1641" s="247" t="s">
        <v>1962</v>
      </c>
      <c r="E1641" s="248" t="s">
        <v>816</v>
      </c>
      <c r="F1641" s="235" t="s">
        <v>5144</v>
      </c>
      <c r="G1641" s="248" t="s">
        <v>2579</v>
      </c>
      <c r="H1641" s="249">
        <v>3.5</v>
      </c>
      <c r="I1641" s="249">
        <v>4.95</v>
      </c>
      <c r="J1641" s="246">
        <v>1</v>
      </c>
      <c r="K1641" s="250" t="s">
        <v>3755</v>
      </c>
      <c r="L1641" s="248"/>
      <c r="M1641" s="276" t="str">
        <f t="shared" si="48"/>
        <v>Photo</v>
      </c>
      <c r="N1641" s="279" t="s">
        <v>25</v>
      </c>
      <c r="O1641" t="str">
        <f t="shared" si="46"/>
        <v>2020-S Jefferson Nickel Proof</v>
      </c>
      <c r="S1641" t="str" cm="1">
        <f t="array" ref="S1641">_xlfn.REGEXEXTRACT(E1641, "[0-9]{1,5}")</f>
        <v>2020</v>
      </c>
      <c r="T1641" t="s">
        <v>4195</v>
      </c>
      <c r="U1641" t="s">
        <v>984</v>
      </c>
    </row>
    <row r="1642" spans="1:21">
      <c r="A1642" s="136">
        <v>2</v>
      </c>
      <c r="B1642" s="246">
        <v>2020</v>
      </c>
      <c r="C1642" s="247" t="s">
        <v>13</v>
      </c>
      <c r="D1642" s="247" t="s">
        <v>1962</v>
      </c>
      <c r="E1642" s="248" t="s">
        <v>817</v>
      </c>
      <c r="F1642" s="235" t="s">
        <v>4272</v>
      </c>
      <c r="G1642" s="248" t="s">
        <v>2579</v>
      </c>
      <c r="H1642" s="249">
        <v>0.3</v>
      </c>
      <c r="I1642" s="249">
        <v>0.85</v>
      </c>
      <c r="J1642" s="246">
        <v>1</v>
      </c>
      <c r="K1642" s="250"/>
      <c r="L1642" s="248"/>
      <c r="M1642" s="276" t="str">
        <f t="shared" si="48"/>
        <v>Photo</v>
      </c>
      <c r="N1642" s="279" t="s">
        <v>25</v>
      </c>
      <c r="O1642" t="str">
        <f t="shared" si="46"/>
        <v>2020-D Jefferson Nickel</v>
      </c>
      <c r="S1642" t="str" cm="1">
        <f t="array" ref="S1642">_xlfn.REGEXEXTRACT(E1642, "[0-9]{1,5}")</f>
        <v>2020</v>
      </c>
      <c r="T1642" t="s">
        <v>4195</v>
      </c>
      <c r="U1642" t="s">
        <v>984</v>
      </c>
    </row>
    <row r="1643" spans="1:21">
      <c r="A1643" s="136">
        <v>2</v>
      </c>
      <c r="B1643" s="233">
        <v>2020</v>
      </c>
      <c r="C1643" s="234" t="s">
        <v>12</v>
      </c>
      <c r="D1643" s="247" t="s">
        <v>1962</v>
      </c>
      <c r="E1643" s="235" t="s">
        <v>2203</v>
      </c>
      <c r="F1643" s="235" t="s">
        <v>5144</v>
      </c>
      <c r="G1643" s="235" t="s">
        <v>2579</v>
      </c>
      <c r="H1643" s="236">
        <v>3.5</v>
      </c>
      <c r="I1643" s="236">
        <v>3.5</v>
      </c>
      <c r="J1643" s="233">
        <v>1</v>
      </c>
      <c r="K1643" s="237"/>
      <c r="L1643" s="235"/>
      <c r="M1643" s="276" t="str">
        <f t="shared" si="48"/>
        <v>Photo</v>
      </c>
      <c r="N1643" s="279"/>
      <c r="O1643" t="str">
        <f t="shared" si="46"/>
        <v>2020-S Jefferson Nickel Proof</v>
      </c>
      <c r="S1643" t="str" cm="1">
        <f t="array" ref="S1643">_xlfn.REGEXEXTRACT(E1643, "[0-9]{1,5}")</f>
        <v>2020</v>
      </c>
      <c r="T1643" t="s">
        <v>4196</v>
      </c>
      <c r="U1643" t="s">
        <v>984</v>
      </c>
    </row>
    <row r="1644" spans="1:21">
      <c r="A1644" s="136">
        <v>2</v>
      </c>
      <c r="B1644" s="233">
        <v>2020</v>
      </c>
      <c r="C1644" s="234" t="s">
        <v>13</v>
      </c>
      <c r="D1644" s="247" t="s">
        <v>1962</v>
      </c>
      <c r="E1644" s="235" t="s">
        <v>2204</v>
      </c>
      <c r="F1644" s="235" t="s">
        <v>4272</v>
      </c>
      <c r="G1644" s="235" t="s">
        <v>2579</v>
      </c>
      <c r="H1644" s="236">
        <v>0.35</v>
      </c>
      <c r="I1644" s="236">
        <v>0.35</v>
      </c>
      <c r="J1644" s="233">
        <v>1</v>
      </c>
      <c r="K1644" s="237"/>
      <c r="L1644" s="235"/>
      <c r="M1644" s="276" t="str">
        <f t="shared" si="48"/>
        <v>Photo</v>
      </c>
      <c r="N1644" s="279" t="s">
        <v>25</v>
      </c>
      <c r="O1644" t="str">
        <f t="shared" si="46"/>
        <v>2020-D Jefferson Nickel</v>
      </c>
      <c r="S1644" t="str" cm="1">
        <f t="array" ref="S1644">_xlfn.REGEXEXTRACT(E1644, "[0-9]{1,5}")</f>
        <v>2020</v>
      </c>
      <c r="T1644" t="s">
        <v>4196</v>
      </c>
      <c r="U1644" t="s">
        <v>984</v>
      </c>
    </row>
    <row r="1645" spans="1:21">
      <c r="A1645" s="136">
        <v>2</v>
      </c>
      <c r="B1645" s="233">
        <v>2020</v>
      </c>
      <c r="C1645" s="234" t="s">
        <v>25</v>
      </c>
      <c r="D1645" s="234" t="s">
        <v>1962</v>
      </c>
      <c r="E1645" s="235" t="s">
        <v>2242</v>
      </c>
      <c r="F1645" s="235" t="s">
        <v>4272</v>
      </c>
      <c r="G1645" s="235" t="s">
        <v>2579</v>
      </c>
      <c r="H1645" s="236"/>
      <c r="I1645" s="236"/>
      <c r="J1645" s="233"/>
      <c r="K1645" s="237"/>
      <c r="L1645" s="235"/>
      <c r="M1645" s="276" t="str">
        <f t="shared" si="48"/>
        <v>Photo</v>
      </c>
      <c r="N1645" s="279"/>
      <c r="O1645" t="str">
        <f t="shared" si="46"/>
        <v>2020-P Jefferson Nickel</v>
      </c>
      <c r="S1645" t="str" cm="1">
        <f t="array" ref="S1645">_xlfn.REGEXEXTRACT(E1645, "[0-9]{1,5}")</f>
        <v>2020</v>
      </c>
    </row>
    <row r="1646" spans="1:21">
      <c r="A1646" s="136">
        <v>2</v>
      </c>
      <c r="B1646" s="246">
        <v>2021</v>
      </c>
      <c r="C1646" s="247" t="s">
        <v>25</v>
      </c>
      <c r="D1646" s="247" t="s">
        <v>1962</v>
      </c>
      <c r="E1646" s="248" t="s">
        <v>818</v>
      </c>
      <c r="F1646" s="235" t="s">
        <v>4272</v>
      </c>
      <c r="G1646" s="248" t="s">
        <v>2579</v>
      </c>
      <c r="H1646" s="249">
        <v>0.05</v>
      </c>
      <c r="I1646" s="249">
        <v>0.05</v>
      </c>
      <c r="J1646" s="246">
        <v>1</v>
      </c>
      <c r="K1646" s="250"/>
      <c r="L1646" s="248"/>
      <c r="M1646" s="276" t="str">
        <f t="shared" si="48"/>
        <v>Photo</v>
      </c>
      <c r="N1646" s="279" t="s">
        <v>25</v>
      </c>
      <c r="O1646" t="str">
        <f t="shared" si="46"/>
        <v>2021-P Jefferson Nickel</v>
      </c>
      <c r="S1646" t="str" cm="1">
        <f t="array" ref="S1646">_xlfn.REGEXEXTRACT(E1646, "[0-9]{1,5}")</f>
        <v>2021</v>
      </c>
      <c r="T1646" t="s">
        <v>4197</v>
      </c>
      <c r="U1646" t="s">
        <v>984</v>
      </c>
    </row>
    <row r="1647" spans="1:21">
      <c r="A1647" s="136">
        <v>2</v>
      </c>
      <c r="B1647" s="246">
        <v>2021</v>
      </c>
      <c r="C1647" s="247" t="s">
        <v>13</v>
      </c>
      <c r="D1647" s="247" t="s">
        <v>1962</v>
      </c>
      <c r="E1647" s="248" t="s">
        <v>820</v>
      </c>
      <c r="F1647" s="235" t="s">
        <v>4272</v>
      </c>
      <c r="G1647" s="248" t="s">
        <v>2579</v>
      </c>
      <c r="H1647" s="249">
        <v>0.3</v>
      </c>
      <c r="I1647" s="249">
        <v>0.35</v>
      </c>
      <c r="J1647" s="246">
        <v>1</v>
      </c>
      <c r="K1647" s="250"/>
      <c r="L1647" s="248"/>
      <c r="M1647" s="276" t="str">
        <f t="shared" si="48"/>
        <v>Photo</v>
      </c>
      <c r="N1647" s="279" t="s">
        <v>25</v>
      </c>
      <c r="O1647" t="str">
        <f t="shared" si="46"/>
        <v>2021-D Jefferson Nickel</v>
      </c>
      <c r="S1647" t="str" cm="1">
        <f t="array" ref="S1647">_xlfn.REGEXEXTRACT(E1647, "[0-9]{1,5}")</f>
        <v>2021</v>
      </c>
      <c r="T1647" t="s">
        <v>4198</v>
      </c>
      <c r="U1647" t="s">
        <v>984</v>
      </c>
    </row>
    <row r="1648" spans="1:21">
      <c r="A1648" s="136">
        <v>2</v>
      </c>
      <c r="B1648" s="246">
        <v>2021</v>
      </c>
      <c r="C1648" s="247" t="s">
        <v>12</v>
      </c>
      <c r="D1648" s="247" t="s">
        <v>1962</v>
      </c>
      <c r="E1648" s="248" t="s">
        <v>821</v>
      </c>
      <c r="F1648" s="235" t="s">
        <v>5144</v>
      </c>
      <c r="G1648" s="248" t="s">
        <v>2579</v>
      </c>
      <c r="H1648" s="249">
        <v>3</v>
      </c>
      <c r="I1648" s="249">
        <v>4.95</v>
      </c>
      <c r="J1648" s="246">
        <v>1</v>
      </c>
      <c r="K1648" s="250" t="s">
        <v>3755</v>
      </c>
      <c r="L1648" s="248"/>
      <c r="M1648" s="276" t="str">
        <f t="shared" si="48"/>
        <v>Photo</v>
      </c>
      <c r="N1648" s="279" t="s">
        <v>25</v>
      </c>
      <c r="O1648" t="str">
        <f t="shared" si="46"/>
        <v>2021-S Jefferson Nickel Proof</v>
      </c>
      <c r="S1648" t="str" cm="1">
        <f t="array" ref="S1648">_xlfn.REGEXEXTRACT(E1648, "[0-9]{1,5}")</f>
        <v>2021</v>
      </c>
      <c r="T1648" t="s">
        <v>4198</v>
      </c>
      <c r="U1648" t="s">
        <v>984</v>
      </c>
    </row>
    <row r="1649" spans="1:21">
      <c r="A1649" s="136">
        <v>2</v>
      </c>
      <c r="B1649" s="246">
        <v>2021</v>
      </c>
      <c r="C1649" s="247" t="s">
        <v>25</v>
      </c>
      <c r="D1649" s="247" t="s">
        <v>1962</v>
      </c>
      <c r="E1649" s="248" t="s">
        <v>822</v>
      </c>
      <c r="F1649" s="235" t="s">
        <v>4272</v>
      </c>
      <c r="G1649" s="248" t="s">
        <v>2579</v>
      </c>
      <c r="H1649" s="249">
        <v>0.05</v>
      </c>
      <c r="I1649" s="249">
        <v>0.05</v>
      </c>
      <c r="J1649" s="246">
        <v>1</v>
      </c>
      <c r="K1649" s="250" t="s">
        <v>1183</v>
      </c>
      <c r="L1649" s="248"/>
      <c r="M1649" s="276" t="str">
        <f t="shared" si="48"/>
        <v>Photo</v>
      </c>
      <c r="N1649" s="279" t="s">
        <v>25</v>
      </c>
      <c r="O1649" t="str">
        <f t="shared" si="46"/>
        <v>2021-P Jefferson Nickel</v>
      </c>
      <c r="S1649" t="str" cm="1">
        <f t="array" ref="S1649">_xlfn.REGEXEXTRACT(E1649, "[0-9]{1,5}")</f>
        <v>2021</v>
      </c>
      <c r="T1649" t="s">
        <v>4198</v>
      </c>
      <c r="U1649" t="s">
        <v>984</v>
      </c>
    </row>
    <row r="1650" spans="1:21">
      <c r="A1650" s="136">
        <v>2</v>
      </c>
      <c r="B1650" s="233">
        <v>2021</v>
      </c>
      <c r="C1650" s="234" t="s">
        <v>25</v>
      </c>
      <c r="D1650" s="247" t="s">
        <v>1962</v>
      </c>
      <c r="E1650" s="235" t="s">
        <v>2205</v>
      </c>
      <c r="F1650" s="235" t="s">
        <v>4272</v>
      </c>
      <c r="G1650" s="235" t="s">
        <v>2579</v>
      </c>
      <c r="H1650" s="236">
        <v>0.3</v>
      </c>
      <c r="I1650" s="236">
        <v>0.3</v>
      </c>
      <c r="J1650" s="233">
        <v>1</v>
      </c>
      <c r="K1650" s="237" t="s">
        <v>1183</v>
      </c>
      <c r="L1650" s="235"/>
      <c r="M1650" s="276" t="str">
        <f t="shared" si="48"/>
        <v>Photo</v>
      </c>
      <c r="N1650" s="279" t="s">
        <v>25</v>
      </c>
      <c r="O1650" t="str">
        <f t="shared" si="46"/>
        <v>2021-P Jefferson Nickel</v>
      </c>
      <c r="S1650" t="str" cm="1">
        <f t="array" ref="S1650">_xlfn.REGEXEXTRACT(E1650, "[0-9]{1,5}")</f>
        <v>2021</v>
      </c>
      <c r="T1650" t="s">
        <v>4199</v>
      </c>
      <c r="U1650" t="s">
        <v>984</v>
      </c>
    </row>
    <row r="1651" spans="1:21">
      <c r="A1651" s="136">
        <v>2</v>
      </c>
      <c r="B1651" s="233">
        <v>2021</v>
      </c>
      <c r="C1651" s="234" t="s">
        <v>13</v>
      </c>
      <c r="D1651" s="247" t="s">
        <v>1962</v>
      </c>
      <c r="E1651" s="235" t="s">
        <v>2206</v>
      </c>
      <c r="F1651" s="235" t="s">
        <v>4272</v>
      </c>
      <c r="G1651" s="235" t="s">
        <v>2579</v>
      </c>
      <c r="H1651" s="236">
        <v>0.3</v>
      </c>
      <c r="I1651" s="236">
        <v>0.3</v>
      </c>
      <c r="J1651" s="233">
        <v>1</v>
      </c>
      <c r="K1651" s="237" t="s">
        <v>1183</v>
      </c>
      <c r="L1651" s="235"/>
      <c r="M1651" s="276" t="str">
        <f t="shared" si="48"/>
        <v>Photo</v>
      </c>
      <c r="N1651" s="279" t="s">
        <v>25</v>
      </c>
      <c r="O1651" t="str">
        <f t="shared" si="46"/>
        <v>2021-D Jefferson Nickel</v>
      </c>
      <c r="S1651" t="str" cm="1">
        <f t="array" ref="S1651">_xlfn.REGEXEXTRACT(E1651, "[0-9]{1,5}")</f>
        <v>2021</v>
      </c>
      <c r="T1651" t="s">
        <v>4199</v>
      </c>
      <c r="U1651" t="s">
        <v>984</v>
      </c>
    </row>
    <row r="1652" spans="1:21">
      <c r="A1652" s="136">
        <v>2</v>
      </c>
      <c r="B1652" s="233">
        <v>2021</v>
      </c>
      <c r="C1652" s="234" t="s">
        <v>12</v>
      </c>
      <c r="D1652" s="247" t="s">
        <v>1962</v>
      </c>
      <c r="E1652" s="235" t="s">
        <v>2207</v>
      </c>
      <c r="F1652" s="235" t="s">
        <v>5144</v>
      </c>
      <c r="G1652" s="235" t="s">
        <v>2579</v>
      </c>
      <c r="H1652" s="236">
        <v>3</v>
      </c>
      <c r="I1652" s="236">
        <v>3</v>
      </c>
      <c r="J1652" s="233">
        <v>1</v>
      </c>
      <c r="K1652" s="237" t="s">
        <v>1183</v>
      </c>
      <c r="L1652" s="235"/>
      <c r="M1652" s="276" t="str">
        <f t="shared" si="48"/>
        <v>Photo</v>
      </c>
      <c r="N1652" s="279" t="s">
        <v>25</v>
      </c>
      <c r="O1652" t="str">
        <f t="shared" si="46"/>
        <v>2021-S Jefferson Nickel Proof</v>
      </c>
      <c r="S1652" t="str" cm="1">
        <f t="array" ref="S1652">_xlfn.REGEXEXTRACT(E1652, "[0-9]{1,5}")</f>
        <v>2021</v>
      </c>
      <c r="T1652" t="s">
        <v>4199</v>
      </c>
      <c r="U1652" t="s">
        <v>984</v>
      </c>
    </row>
    <row r="1653" spans="1:21">
      <c r="A1653" s="136">
        <v>2</v>
      </c>
      <c r="B1653" s="246">
        <v>2022</v>
      </c>
      <c r="C1653" s="247" t="s">
        <v>25</v>
      </c>
      <c r="D1653" s="247" t="s">
        <v>1962</v>
      </c>
      <c r="E1653" s="248" t="s">
        <v>823</v>
      </c>
      <c r="F1653" s="235" t="s">
        <v>4272</v>
      </c>
      <c r="G1653" s="248" t="s">
        <v>2579</v>
      </c>
      <c r="H1653" s="249">
        <v>0.3</v>
      </c>
      <c r="I1653" s="249">
        <v>2.95</v>
      </c>
      <c r="J1653" s="246">
        <v>1</v>
      </c>
      <c r="K1653" s="250" t="s">
        <v>1183</v>
      </c>
      <c r="L1653" s="248"/>
      <c r="M1653" s="276" t="str">
        <f t="shared" si="48"/>
        <v>Photo</v>
      </c>
      <c r="N1653" s="279" t="s">
        <v>25</v>
      </c>
      <c r="O1653" t="str">
        <f t="shared" si="46"/>
        <v>2022-P Jefferson Nickel</v>
      </c>
      <c r="S1653" t="str" cm="1">
        <f t="array" ref="S1653">_xlfn.REGEXEXTRACT(E1653, "[0-9]{1,5}")</f>
        <v>2022</v>
      </c>
      <c r="T1653" t="s">
        <v>4199</v>
      </c>
      <c r="U1653" t="s">
        <v>984</v>
      </c>
    </row>
    <row r="1654" spans="1:21">
      <c r="A1654" s="136">
        <v>2</v>
      </c>
      <c r="B1654" s="246">
        <v>2022</v>
      </c>
      <c r="C1654" s="247" t="s">
        <v>13</v>
      </c>
      <c r="D1654" s="247" t="s">
        <v>1962</v>
      </c>
      <c r="E1654" s="248" t="s">
        <v>824</v>
      </c>
      <c r="F1654" s="235" t="s">
        <v>4272</v>
      </c>
      <c r="G1654" s="248" t="s">
        <v>2579</v>
      </c>
      <c r="H1654" s="249">
        <v>0.3</v>
      </c>
      <c r="I1654" s="249">
        <v>0.56999999999999995</v>
      </c>
      <c r="J1654" s="246">
        <v>1</v>
      </c>
      <c r="K1654" s="250" t="s">
        <v>1183</v>
      </c>
      <c r="L1654" s="248"/>
      <c r="M1654" s="276" t="str">
        <f t="shared" si="48"/>
        <v>Photo</v>
      </c>
      <c r="N1654" s="279" t="s">
        <v>25</v>
      </c>
      <c r="O1654" t="str">
        <f t="shared" si="46"/>
        <v>2022-D Jefferson Nickel</v>
      </c>
      <c r="S1654" t="str" cm="1">
        <f t="array" ref="S1654">_xlfn.REGEXEXTRACT(E1654, "[0-9]{1,5}")</f>
        <v>2022</v>
      </c>
      <c r="T1654" t="s">
        <v>4200</v>
      </c>
      <c r="U1654" t="s">
        <v>984</v>
      </c>
    </row>
    <row r="1655" spans="1:21">
      <c r="A1655" s="136">
        <v>2</v>
      </c>
      <c r="B1655" s="246">
        <v>2022</v>
      </c>
      <c r="C1655" s="247" t="s">
        <v>12</v>
      </c>
      <c r="D1655" s="247" t="s">
        <v>1962</v>
      </c>
      <c r="E1655" s="248" t="s">
        <v>825</v>
      </c>
      <c r="F1655" s="235" t="s">
        <v>5144</v>
      </c>
      <c r="G1655" s="248" t="s">
        <v>2579</v>
      </c>
      <c r="H1655" s="249">
        <v>3</v>
      </c>
      <c r="I1655" s="249">
        <v>4.95</v>
      </c>
      <c r="J1655" s="246">
        <v>1</v>
      </c>
      <c r="K1655" s="250" t="s">
        <v>3755</v>
      </c>
      <c r="L1655" s="248"/>
      <c r="M1655" s="276" t="str">
        <f t="shared" si="48"/>
        <v>Photo</v>
      </c>
      <c r="N1655" s="279" t="s">
        <v>25</v>
      </c>
      <c r="O1655" t="str">
        <f t="shared" si="46"/>
        <v>2022-S Jefferson Nickel Proof</v>
      </c>
      <c r="S1655" t="str" cm="1">
        <f t="array" ref="S1655">_xlfn.REGEXEXTRACT(E1655, "[0-9]{1,5}")</f>
        <v>2022</v>
      </c>
      <c r="T1655" t="s">
        <v>4200</v>
      </c>
      <c r="U1655" t="s">
        <v>984</v>
      </c>
    </row>
    <row r="1656" spans="1:21">
      <c r="A1656" s="136">
        <v>2</v>
      </c>
      <c r="B1656" s="233">
        <v>2022</v>
      </c>
      <c r="C1656" s="234" t="s">
        <v>25</v>
      </c>
      <c r="D1656" s="247" t="s">
        <v>1962</v>
      </c>
      <c r="E1656" s="235" t="s">
        <v>2208</v>
      </c>
      <c r="F1656" s="235" t="s">
        <v>4272</v>
      </c>
      <c r="G1656" s="235" t="s">
        <v>2579</v>
      </c>
      <c r="H1656" s="236">
        <v>0.35</v>
      </c>
      <c r="I1656" s="236">
        <v>0.35</v>
      </c>
      <c r="J1656" s="233">
        <v>1</v>
      </c>
      <c r="K1656" s="237" t="s">
        <v>1183</v>
      </c>
      <c r="L1656" s="235"/>
      <c r="M1656" s="276" t="str">
        <f t="shared" si="48"/>
        <v>Photo</v>
      </c>
      <c r="N1656" s="279" t="s">
        <v>25</v>
      </c>
      <c r="O1656" t="str">
        <f t="shared" si="46"/>
        <v>2022-P Jefferson Nickel</v>
      </c>
      <c r="S1656" t="str" cm="1">
        <f t="array" ref="S1656">_xlfn.REGEXEXTRACT(E1656, "[0-9]{1,5}")</f>
        <v>2022</v>
      </c>
      <c r="T1656" t="s">
        <v>4200</v>
      </c>
      <c r="U1656" t="s">
        <v>984</v>
      </c>
    </row>
    <row r="1657" spans="1:21">
      <c r="A1657" s="136">
        <v>2</v>
      </c>
      <c r="B1657" s="233">
        <v>2022</v>
      </c>
      <c r="C1657" s="234" t="s">
        <v>13</v>
      </c>
      <c r="D1657" s="247" t="s">
        <v>1962</v>
      </c>
      <c r="E1657" s="235" t="s">
        <v>2209</v>
      </c>
      <c r="F1657" s="235" t="s">
        <v>4272</v>
      </c>
      <c r="G1657" s="235" t="s">
        <v>2579</v>
      </c>
      <c r="H1657" s="236">
        <v>0.3</v>
      </c>
      <c r="I1657" s="236">
        <v>0.3</v>
      </c>
      <c r="J1657" s="233">
        <v>1</v>
      </c>
      <c r="K1657" s="237" t="s">
        <v>1183</v>
      </c>
      <c r="L1657" s="235"/>
      <c r="M1657" s="276" t="str">
        <f t="shared" si="48"/>
        <v>Photo</v>
      </c>
      <c r="N1657" s="279" t="s">
        <v>25</v>
      </c>
      <c r="O1657" t="str">
        <f t="shared" si="46"/>
        <v>2022-D Jefferson Nickel</v>
      </c>
      <c r="S1657" t="str" cm="1">
        <f t="array" ref="S1657">_xlfn.REGEXEXTRACT(E1657, "[0-9]{1,5}")</f>
        <v>2022</v>
      </c>
      <c r="T1657" t="s">
        <v>4200</v>
      </c>
      <c r="U1657" t="s">
        <v>984</v>
      </c>
    </row>
    <row r="1658" spans="1:21">
      <c r="A1658" s="136">
        <v>2</v>
      </c>
      <c r="B1658" s="233">
        <v>2022</v>
      </c>
      <c r="C1658" s="234" t="s">
        <v>12</v>
      </c>
      <c r="D1658" s="247" t="s">
        <v>1962</v>
      </c>
      <c r="E1658" s="235" t="s">
        <v>2210</v>
      </c>
      <c r="F1658" s="235" t="s">
        <v>5144</v>
      </c>
      <c r="G1658" s="235" t="s">
        <v>2579</v>
      </c>
      <c r="H1658" s="236">
        <v>3.5</v>
      </c>
      <c r="I1658" s="236">
        <v>3.5</v>
      </c>
      <c r="J1658" s="233">
        <v>1</v>
      </c>
      <c r="K1658" s="237" t="s">
        <v>1183</v>
      </c>
      <c r="L1658" s="235"/>
      <c r="M1658" s="276" t="str">
        <f t="shared" si="48"/>
        <v>Photo</v>
      </c>
      <c r="N1658" s="279" t="s">
        <v>25</v>
      </c>
      <c r="O1658" t="str">
        <f t="shared" si="46"/>
        <v>2022-S Jefferson Nickel Proof</v>
      </c>
      <c r="S1658" t="str" cm="1">
        <f t="array" ref="S1658">_xlfn.REGEXEXTRACT(E1658, "[0-9]{1,5}")</f>
        <v>2022</v>
      </c>
      <c r="T1658" t="s">
        <v>4200</v>
      </c>
      <c r="U1658" t="s">
        <v>984</v>
      </c>
    </row>
    <row r="1659" spans="1:21">
      <c r="A1659" s="136">
        <v>2</v>
      </c>
      <c r="B1659" s="233">
        <v>2022</v>
      </c>
      <c r="C1659" s="234" t="s">
        <v>25</v>
      </c>
      <c r="D1659" s="234" t="s">
        <v>1962</v>
      </c>
      <c r="E1659" s="235" t="s">
        <v>2243</v>
      </c>
      <c r="F1659" s="235" t="s">
        <v>4272</v>
      </c>
      <c r="G1659" s="235" t="s">
        <v>2579</v>
      </c>
      <c r="H1659" s="236">
        <v>0.05</v>
      </c>
      <c r="I1659" s="236">
        <v>0.05</v>
      </c>
      <c r="J1659" s="233">
        <v>1</v>
      </c>
      <c r="K1659" s="237" t="s">
        <v>1183</v>
      </c>
      <c r="L1659" s="235"/>
      <c r="M1659" s="276" t="str">
        <f t="shared" si="48"/>
        <v>Photo</v>
      </c>
      <c r="N1659" s="279" t="s">
        <v>25</v>
      </c>
      <c r="O1659" t="str">
        <f t="shared" si="46"/>
        <v>2022-P Jefferson Nickel</v>
      </c>
      <c r="S1659" t="str" cm="1">
        <f t="array" ref="S1659">_xlfn.REGEXEXTRACT(E1659, "[0-9]{1,5}")</f>
        <v>2022</v>
      </c>
      <c r="T1659" t="s">
        <v>4201</v>
      </c>
      <c r="U1659" t="s">
        <v>984</v>
      </c>
    </row>
    <row r="1660" spans="1:21">
      <c r="A1660" s="136">
        <v>2</v>
      </c>
      <c r="B1660" s="246">
        <v>2023</v>
      </c>
      <c r="C1660" s="247" t="s">
        <v>25</v>
      </c>
      <c r="D1660" s="247" t="s">
        <v>1962</v>
      </c>
      <c r="E1660" s="248" t="s">
        <v>826</v>
      </c>
      <c r="F1660" s="235" t="s">
        <v>4272</v>
      </c>
      <c r="G1660" s="248" t="s">
        <v>2579</v>
      </c>
      <c r="H1660" s="249">
        <v>0.3</v>
      </c>
      <c r="I1660" s="249">
        <v>0.56999999999999995</v>
      </c>
      <c r="J1660" s="246">
        <v>1</v>
      </c>
      <c r="K1660" s="250" t="s">
        <v>1183</v>
      </c>
      <c r="L1660" s="248"/>
      <c r="M1660" s="276" t="str">
        <f t="shared" si="48"/>
        <v>Photo</v>
      </c>
      <c r="N1660" s="279" t="s">
        <v>25</v>
      </c>
      <c r="O1660" t="str">
        <f t="shared" si="46"/>
        <v>2023-P Jefferson Nickel</v>
      </c>
      <c r="S1660" t="str" cm="1">
        <f t="array" ref="S1660">_xlfn.REGEXEXTRACT(E1660, "[0-9]{1,5}")</f>
        <v>2023</v>
      </c>
      <c r="T1660" t="s">
        <v>4201</v>
      </c>
      <c r="U1660" t="s">
        <v>984</v>
      </c>
    </row>
    <row r="1661" spans="1:21">
      <c r="A1661" s="136">
        <v>2</v>
      </c>
      <c r="B1661" s="246">
        <v>2023</v>
      </c>
      <c r="C1661" s="247" t="s">
        <v>12</v>
      </c>
      <c r="D1661" s="247" t="s">
        <v>1962</v>
      </c>
      <c r="E1661" s="248" t="s">
        <v>827</v>
      </c>
      <c r="F1661" s="235" t="s">
        <v>5144</v>
      </c>
      <c r="G1661" s="248" t="s">
        <v>2579</v>
      </c>
      <c r="H1661" s="249">
        <v>3.25</v>
      </c>
      <c r="I1661" s="249">
        <v>0.56999999999999995</v>
      </c>
      <c r="J1661" s="246">
        <v>1</v>
      </c>
      <c r="K1661" s="250" t="s">
        <v>3755</v>
      </c>
      <c r="L1661" s="248"/>
      <c r="M1661" s="276" t="str">
        <f t="shared" si="48"/>
        <v>Photo</v>
      </c>
      <c r="N1661" s="279" t="s">
        <v>25</v>
      </c>
      <c r="O1661" t="str">
        <f t="shared" si="46"/>
        <v>2023-S Jefferson Nickel Proof</v>
      </c>
      <c r="S1661" t="str" cm="1">
        <f t="array" ref="S1661">_xlfn.REGEXEXTRACT(E1661, "[0-9]{1,5}")</f>
        <v>2023</v>
      </c>
      <c r="T1661" t="s">
        <v>4202</v>
      </c>
      <c r="U1661" t="s">
        <v>984</v>
      </c>
    </row>
    <row r="1662" spans="1:21">
      <c r="A1662" s="136">
        <v>2</v>
      </c>
      <c r="B1662" s="246">
        <v>2023</v>
      </c>
      <c r="C1662" s="247" t="s">
        <v>25</v>
      </c>
      <c r="D1662" s="247" t="s">
        <v>1962</v>
      </c>
      <c r="E1662" s="248" t="s">
        <v>828</v>
      </c>
      <c r="F1662" s="235" t="s">
        <v>4272</v>
      </c>
      <c r="G1662" s="248" t="s">
        <v>2579</v>
      </c>
      <c r="H1662" s="249">
        <v>0.05</v>
      </c>
      <c r="I1662" s="249">
        <v>0.05</v>
      </c>
      <c r="J1662" s="246">
        <v>1</v>
      </c>
      <c r="K1662" s="250"/>
      <c r="L1662" s="248"/>
      <c r="M1662" s="276" t="str">
        <f t="shared" si="48"/>
        <v>Photo</v>
      </c>
      <c r="N1662" s="279" t="s">
        <v>25</v>
      </c>
      <c r="O1662" t="str">
        <f t="shared" si="46"/>
        <v>2023-P Jefferson Nickel</v>
      </c>
      <c r="S1662" t="str" cm="1">
        <f t="array" ref="S1662">_xlfn.REGEXEXTRACT(E1662, "[0-9]{1,5}")</f>
        <v>2023</v>
      </c>
      <c r="T1662" t="s">
        <v>4202</v>
      </c>
      <c r="U1662" t="s">
        <v>984</v>
      </c>
    </row>
    <row r="1663" spans="1:21">
      <c r="A1663" s="136">
        <v>2</v>
      </c>
      <c r="B1663" s="233">
        <v>2023</v>
      </c>
      <c r="C1663" s="234" t="s">
        <v>12</v>
      </c>
      <c r="D1663" s="247" t="s">
        <v>1962</v>
      </c>
      <c r="E1663" s="235" t="s">
        <v>2211</v>
      </c>
      <c r="F1663" s="235" t="s">
        <v>5144</v>
      </c>
      <c r="G1663" s="235" t="s">
        <v>2579</v>
      </c>
      <c r="H1663" s="236">
        <v>3.25</v>
      </c>
      <c r="I1663" s="236">
        <v>3.25</v>
      </c>
      <c r="J1663" s="233">
        <v>1</v>
      </c>
      <c r="K1663" s="237"/>
      <c r="L1663" s="235"/>
      <c r="M1663" s="276" t="str">
        <f t="shared" si="48"/>
        <v>Photo</v>
      </c>
      <c r="N1663" s="279" t="s">
        <v>25</v>
      </c>
      <c r="O1663" t="str">
        <f t="shared" si="46"/>
        <v>2023-S Jefferson Nickel Proof</v>
      </c>
      <c r="S1663" t="str" cm="1">
        <f t="array" ref="S1663">_xlfn.REGEXEXTRACT(E1663, "[0-9]{1,5}")</f>
        <v>2023</v>
      </c>
      <c r="T1663" t="s">
        <v>4202</v>
      </c>
      <c r="U1663" t="s">
        <v>984</v>
      </c>
    </row>
    <row r="1664" spans="1:21">
      <c r="A1664" s="136">
        <v>2</v>
      </c>
      <c r="B1664" s="233">
        <v>2023</v>
      </c>
      <c r="C1664" s="234" t="s">
        <v>13</v>
      </c>
      <c r="D1664" s="247" t="s">
        <v>1962</v>
      </c>
      <c r="E1664" s="235" t="s">
        <v>2212</v>
      </c>
      <c r="F1664" s="235" t="s">
        <v>4272</v>
      </c>
      <c r="G1664" s="235" t="s">
        <v>2579</v>
      </c>
      <c r="H1664" s="236">
        <v>0.35</v>
      </c>
      <c r="I1664" s="236">
        <v>0.35</v>
      </c>
      <c r="J1664" s="233">
        <v>1</v>
      </c>
      <c r="K1664" s="237"/>
      <c r="L1664" s="235"/>
      <c r="M1664" s="276" t="str">
        <f t="shared" si="48"/>
        <v>Photo</v>
      </c>
      <c r="N1664" s="279" t="s">
        <v>25</v>
      </c>
      <c r="O1664" t="str">
        <f t="shared" si="46"/>
        <v>2023-D Jefferson Nickel</v>
      </c>
      <c r="S1664" t="str" cm="1">
        <f t="array" ref="S1664">_xlfn.REGEXEXTRACT(E1664, "[0-9]{1,5}")</f>
        <v>2023</v>
      </c>
      <c r="T1664" t="s">
        <v>4202</v>
      </c>
      <c r="U1664" t="s">
        <v>984</v>
      </c>
    </row>
    <row r="1665" spans="1:21">
      <c r="A1665" s="136">
        <v>2</v>
      </c>
      <c r="B1665" s="246">
        <v>2024</v>
      </c>
      <c r="C1665" s="247" t="s">
        <v>25</v>
      </c>
      <c r="D1665" s="247" t="s">
        <v>1962</v>
      </c>
      <c r="E1665" s="248" t="s">
        <v>829</v>
      </c>
      <c r="F1665" s="235" t="s">
        <v>4272</v>
      </c>
      <c r="G1665" s="248" t="s">
        <v>2579</v>
      </c>
      <c r="H1665" s="249">
        <v>0.3</v>
      </c>
      <c r="I1665" s="249">
        <v>0.56999999999999995</v>
      </c>
      <c r="J1665" s="246">
        <v>1</v>
      </c>
      <c r="K1665" s="250"/>
      <c r="L1665" s="248"/>
      <c r="M1665" s="276" t="str">
        <f t="shared" si="48"/>
        <v>Photo</v>
      </c>
      <c r="N1665" s="279" t="s">
        <v>25</v>
      </c>
      <c r="O1665" t="str">
        <f t="shared" si="46"/>
        <v>2024-P Jefferson Nickel</v>
      </c>
      <c r="S1665" t="str" cm="1">
        <f t="array" ref="S1665">_xlfn.REGEXEXTRACT(E1665, "[0-9]{1,5}")</f>
        <v>2024</v>
      </c>
      <c r="T1665" t="s">
        <v>4202</v>
      </c>
      <c r="U1665" t="s">
        <v>984</v>
      </c>
    </row>
    <row r="1666" spans="1:21">
      <c r="A1666" s="136">
        <v>2</v>
      </c>
      <c r="B1666" s="233">
        <v>2024</v>
      </c>
      <c r="C1666" s="234" t="s">
        <v>25</v>
      </c>
      <c r="D1666" s="247" t="s">
        <v>1962</v>
      </c>
      <c r="E1666" s="235" t="s">
        <v>2213</v>
      </c>
      <c r="F1666" s="235" t="s">
        <v>4272</v>
      </c>
      <c r="G1666" s="235" t="s">
        <v>2579</v>
      </c>
      <c r="H1666" s="236">
        <v>0.3</v>
      </c>
      <c r="I1666" s="236">
        <v>0.3</v>
      </c>
      <c r="J1666" s="233">
        <v>1</v>
      </c>
      <c r="K1666" s="237"/>
      <c r="L1666" s="235"/>
      <c r="M1666" s="276" t="str">
        <f t="shared" si="48"/>
        <v>Photo</v>
      </c>
      <c r="N1666" s="279" t="s">
        <v>25</v>
      </c>
      <c r="O1666" t="str">
        <f t="shared" si="46"/>
        <v>2024-P Jefferson Nickel</v>
      </c>
      <c r="S1666" t="str" cm="1">
        <f t="array" ref="S1666">_xlfn.REGEXEXTRACT(E1666, "[0-9]{1,5}")</f>
        <v>2024</v>
      </c>
      <c r="T1666" t="s">
        <v>4202</v>
      </c>
      <c r="U1666" t="s">
        <v>984</v>
      </c>
    </row>
    <row r="1667" spans="1:21">
      <c r="A1667" s="136">
        <v>2</v>
      </c>
      <c r="B1667" s="233">
        <v>2024</v>
      </c>
      <c r="C1667" s="234" t="s">
        <v>12</v>
      </c>
      <c r="D1667" s="247" t="s">
        <v>1962</v>
      </c>
      <c r="E1667" s="235" t="s">
        <v>2214</v>
      </c>
      <c r="F1667" s="235" t="s">
        <v>5144</v>
      </c>
      <c r="G1667" s="235" t="s">
        <v>2579</v>
      </c>
      <c r="H1667" s="236">
        <v>3.25</v>
      </c>
      <c r="I1667" s="236">
        <v>3.25</v>
      </c>
      <c r="J1667" s="233">
        <v>1</v>
      </c>
      <c r="K1667" s="237"/>
      <c r="L1667" s="235"/>
      <c r="M1667" s="276" t="str">
        <f t="shared" si="48"/>
        <v>Photo</v>
      </c>
      <c r="N1667" s="279" t="s">
        <v>25</v>
      </c>
      <c r="O1667" t="str">
        <f t="shared" si="46"/>
        <v>2024-S Jefferson Nickel Proof</v>
      </c>
      <c r="S1667" t="str" cm="1">
        <f t="array" ref="S1667">_xlfn.REGEXEXTRACT(E1667, "[0-9]{1,5}")</f>
        <v>2024</v>
      </c>
      <c r="T1667" t="s">
        <v>4203</v>
      </c>
      <c r="U1667" t="s">
        <v>984</v>
      </c>
    </row>
    <row r="1668" spans="1:21">
      <c r="A1668" s="136">
        <v>2</v>
      </c>
      <c r="B1668" s="270">
        <v>2026</v>
      </c>
      <c r="C1668" s="136" t="s">
        <v>25</v>
      </c>
      <c r="D1668" s="257" t="s">
        <v>1962</v>
      </c>
      <c r="E1668" s="235" t="s">
        <v>5670</v>
      </c>
      <c r="F1668" s="235" t="s">
        <v>4272</v>
      </c>
      <c r="G1668" s="3" t="s">
        <v>5617</v>
      </c>
      <c r="H1668" s="236">
        <v>1.5</v>
      </c>
      <c r="I1668" s="236">
        <v>1.5</v>
      </c>
      <c r="J1668" s="233">
        <v>1</v>
      </c>
      <c r="K1668" s="237" t="s">
        <v>5672</v>
      </c>
      <c r="N1668" s="279"/>
      <c r="O1668" t="str">
        <f t="shared" ref="O1668:O1731" si="49">IF(C1668&lt;&gt;"",B1668&amp;"-"&amp;C1668&amp;" "&amp;F1668,B1668&amp;" "&amp;F1668)</f>
        <v>2026-P Jefferson Nickel</v>
      </c>
      <c r="S1668" t="str" cm="1">
        <f t="array" ref="S1668">_xlfn.REGEXEXTRACT(E1668, "[0-9]{1,5}")</f>
        <v>2026</v>
      </c>
      <c r="T1668" t="s">
        <v>4203</v>
      </c>
      <c r="U1668" t="s">
        <v>984</v>
      </c>
    </row>
    <row r="1669" spans="1:21">
      <c r="A1669" s="136">
        <v>2</v>
      </c>
      <c r="B1669" s="270">
        <v>2026</v>
      </c>
      <c r="C1669" s="136" t="s">
        <v>13</v>
      </c>
      <c r="D1669" s="257" t="s">
        <v>1962</v>
      </c>
      <c r="E1669" s="235" t="s">
        <v>5671</v>
      </c>
      <c r="F1669" s="235" t="s">
        <v>4272</v>
      </c>
      <c r="G1669" s="3" t="s">
        <v>5617</v>
      </c>
      <c r="H1669" s="236">
        <v>1.5</v>
      </c>
      <c r="I1669" s="236">
        <v>1.5</v>
      </c>
      <c r="J1669" s="233">
        <v>1</v>
      </c>
      <c r="K1669" s="237" t="s">
        <v>5673</v>
      </c>
      <c r="N1669" s="279"/>
      <c r="O1669" t="str">
        <f t="shared" si="49"/>
        <v>2026-D Jefferson Nickel</v>
      </c>
      <c r="S1669" t="str" cm="1">
        <f t="array" ref="S1669">_xlfn.REGEXEXTRACT(E1669, "[0-9]{1,5}")</f>
        <v>2026</v>
      </c>
      <c r="T1669" t="s">
        <v>4203</v>
      </c>
      <c r="U1669" t="s">
        <v>984</v>
      </c>
    </row>
    <row r="1670" spans="1:21">
      <c r="A1670" s="136">
        <v>3</v>
      </c>
      <c r="B1670" s="251">
        <v>1939</v>
      </c>
      <c r="C1670" s="252"/>
      <c r="D1670" s="252" t="s">
        <v>1963</v>
      </c>
      <c r="E1670" s="253" t="s">
        <v>985</v>
      </c>
      <c r="F1670" s="253" t="s">
        <v>2605</v>
      </c>
      <c r="G1670" s="253" t="s">
        <v>2579</v>
      </c>
      <c r="H1670" s="254">
        <v>0.1</v>
      </c>
      <c r="I1670" s="254">
        <v>0.1</v>
      </c>
      <c r="J1670" s="251">
        <v>1</v>
      </c>
      <c r="K1670" s="255"/>
      <c r="L1670" s="253"/>
      <c r="M1670" s="276" t="str">
        <f t="shared" ref="M1670:M1701" si="50">HYPERLINK($Y$2&amp;E1670&amp;$AA$2,"Photo")</f>
        <v>Photo</v>
      </c>
      <c r="N1670" s="279" t="s">
        <v>25</v>
      </c>
      <c r="O1670" t="str">
        <f t="shared" si="49"/>
        <v>1939 Murcury Dime</v>
      </c>
      <c r="S1670" t="str" cm="1">
        <f t="array" ref="S1670">_xlfn.REGEXEXTRACT(E1670, "[0-9]{1,5}")</f>
        <v>1939</v>
      </c>
      <c r="T1670" t="s">
        <v>4203</v>
      </c>
      <c r="U1670" t="s">
        <v>984</v>
      </c>
    </row>
    <row r="1671" spans="1:21">
      <c r="A1671" s="136">
        <v>3</v>
      </c>
      <c r="B1671" s="251">
        <v>1941</v>
      </c>
      <c r="C1671" s="252"/>
      <c r="D1671" s="252" t="s">
        <v>1963</v>
      </c>
      <c r="E1671" s="253" t="s">
        <v>987</v>
      </c>
      <c r="F1671" s="253" t="s">
        <v>2605</v>
      </c>
      <c r="G1671" s="253" t="s">
        <v>2579</v>
      </c>
      <c r="H1671" s="254">
        <v>0.1</v>
      </c>
      <c r="I1671" s="254">
        <v>0.1</v>
      </c>
      <c r="J1671" s="251">
        <v>1</v>
      </c>
      <c r="K1671" s="255"/>
      <c r="L1671" s="253"/>
      <c r="M1671" s="276" t="str">
        <f t="shared" si="50"/>
        <v>Photo</v>
      </c>
      <c r="N1671" s="279" t="s">
        <v>25</v>
      </c>
      <c r="O1671" t="str">
        <f t="shared" si="49"/>
        <v>1941 Murcury Dime</v>
      </c>
      <c r="S1671" t="str" cm="1">
        <f t="array" ref="S1671">_xlfn.REGEXEXTRACT(E1671, "[0-9]{1,5}")</f>
        <v>1941</v>
      </c>
      <c r="T1671" t="s">
        <v>4204</v>
      </c>
      <c r="U1671" t="s">
        <v>984</v>
      </c>
    </row>
    <row r="1672" spans="1:21">
      <c r="A1672" s="136">
        <v>3</v>
      </c>
      <c r="B1672" s="251">
        <v>1942</v>
      </c>
      <c r="C1672" s="252"/>
      <c r="D1672" s="252" t="s">
        <v>1963</v>
      </c>
      <c r="E1672" s="253" t="s">
        <v>988</v>
      </c>
      <c r="F1672" s="253" t="s">
        <v>2605</v>
      </c>
      <c r="G1672" s="253" t="s">
        <v>2579</v>
      </c>
      <c r="H1672" s="254">
        <v>0.1</v>
      </c>
      <c r="I1672" s="254">
        <v>0.1</v>
      </c>
      <c r="J1672" s="251">
        <v>1</v>
      </c>
      <c r="K1672" s="255"/>
      <c r="L1672" s="253"/>
      <c r="M1672" s="276" t="str">
        <f t="shared" si="50"/>
        <v>Photo</v>
      </c>
      <c r="N1672" s="279" t="s">
        <v>25</v>
      </c>
      <c r="O1672" t="str">
        <f t="shared" si="49"/>
        <v>1942 Murcury Dime</v>
      </c>
      <c r="S1672" t="str" cm="1">
        <f t="array" ref="S1672">_xlfn.REGEXEXTRACT(E1672, "[0-9]{1,5}")</f>
        <v>1942</v>
      </c>
      <c r="T1672" t="s">
        <v>4204</v>
      </c>
      <c r="U1672" t="s">
        <v>984</v>
      </c>
    </row>
    <row r="1673" spans="1:21">
      <c r="A1673" s="136">
        <v>3</v>
      </c>
      <c r="B1673" s="251">
        <v>1946</v>
      </c>
      <c r="C1673" s="252" t="s">
        <v>13</v>
      </c>
      <c r="D1673" s="252" t="s">
        <v>1963</v>
      </c>
      <c r="E1673" s="253" t="s">
        <v>989</v>
      </c>
      <c r="F1673" s="253" t="s">
        <v>2236</v>
      </c>
      <c r="G1673" s="253" t="s">
        <v>2579</v>
      </c>
      <c r="H1673" s="254">
        <v>0.1</v>
      </c>
      <c r="I1673" s="254">
        <v>1.22</v>
      </c>
      <c r="J1673" s="251">
        <v>1</v>
      </c>
      <c r="K1673" s="255"/>
      <c r="L1673" s="253"/>
      <c r="M1673" s="276" t="str">
        <f t="shared" si="50"/>
        <v>Photo</v>
      </c>
      <c r="N1673" s="279" t="s">
        <v>25</v>
      </c>
      <c r="O1673" t="str">
        <f t="shared" si="49"/>
        <v>1946-D Roosevelt Dime</v>
      </c>
      <c r="S1673" t="str" cm="1">
        <f t="array" ref="S1673">_xlfn.REGEXEXTRACT(E1673, "[0-9]{1,5}")</f>
        <v>1946</v>
      </c>
      <c r="T1673" t="s">
        <v>4204</v>
      </c>
      <c r="U1673" t="s">
        <v>984</v>
      </c>
    </row>
    <row r="1674" spans="1:21">
      <c r="A1674" s="136">
        <v>3</v>
      </c>
      <c r="B1674" s="251">
        <v>1946</v>
      </c>
      <c r="C1674" s="252"/>
      <c r="D1674" s="252" t="s">
        <v>1963</v>
      </c>
      <c r="E1674" s="253" t="s">
        <v>991</v>
      </c>
      <c r="F1674" s="253" t="s">
        <v>2236</v>
      </c>
      <c r="G1674" s="253" t="s">
        <v>2579</v>
      </c>
      <c r="H1674" s="254">
        <v>0.1</v>
      </c>
      <c r="I1674" s="254">
        <v>0.1</v>
      </c>
      <c r="J1674" s="251">
        <v>1</v>
      </c>
      <c r="K1674" s="255"/>
      <c r="L1674" s="253"/>
      <c r="M1674" s="276" t="str">
        <f t="shared" si="50"/>
        <v>Photo</v>
      </c>
      <c r="N1674" s="279" t="s">
        <v>25</v>
      </c>
      <c r="O1674" t="str">
        <f t="shared" si="49"/>
        <v>1946 Roosevelt Dime</v>
      </c>
      <c r="S1674" t="str" cm="1">
        <f t="array" ref="S1674">_xlfn.REGEXEXTRACT(E1674, "[0-9]{1,5}")</f>
        <v>1946</v>
      </c>
      <c r="T1674" t="s">
        <v>4204</v>
      </c>
      <c r="U1674" t="s">
        <v>984</v>
      </c>
    </row>
    <row r="1675" spans="1:21">
      <c r="A1675" s="136">
        <v>3</v>
      </c>
      <c r="B1675" s="251">
        <v>1951</v>
      </c>
      <c r="C1675" s="252"/>
      <c r="D1675" s="252" t="s">
        <v>1963</v>
      </c>
      <c r="E1675" s="253" t="s">
        <v>993</v>
      </c>
      <c r="F1675" s="253" t="s">
        <v>2236</v>
      </c>
      <c r="G1675" s="253" t="s">
        <v>2579</v>
      </c>
      <c r="H1675" s="254">
        <v>0.1</v>
      </c>
      <c r="I1675" s="254">
        <v>0.1</v>
      </c>
      <c r="J1675" s="251">
        <v>1</v>
      </c>
      <c r="K1675" s="255"/>
      <c r="L1675" s="253"/>
      <c r="M1675" s="276" t="str">
        <f t="shared" si="50"/>
        <v>Photo</v>
      </c>
      <c r="N1675" s="279" t="s">
        <v>25</v>
      </c>
      <c r="O1675" t="str">
        <f t="shared" si="49"/>
        <v>1951 Roosevelt Dime</v>
      </c>
      <c r="S1675" t="str" cm="1">
        <f t="array" ref="S1675">_xlfn.REGEXEXTRACT(E1675, "[0-9]{1,5}")</f>
        <v>1951</v>
      </c>
      <c r="T1675" t="s">
        <v>4205</v>
      </c>
      <c r="U1675" t="s">
        <v>984</v>
      </c>
    </row>
    <row r="1676" spans="1:21">
      <c r="A1676" s="136">
        <v>3</v>
      </c>
      <c r="B1676" s="251">
        <v>1954</v>
      </c>
      <c r="C1676" s="252"/>
      <c r="D1676" s="252" t="s">
        <v>1963</v>
      </c>
      <c r="E1676" s="253" t="s">
        <v>995</v>
      </c>
      <c r="F1676" s="253" t="s">
        <v>2236</v>
      </c>
      <c r="G1676" s="253" t="s">
        <v>2579</v>
      </c>
      <c r="H1676" s="254">
        <v>0.1</v>
      </c>
      <c r="I1676" s="254">
        <v>1.22</v>
      </c>
      <c r="J1676" s="251">
        <v>1</v>
      </c>
      <c r="K1676" s="255"/>
      <c r="L1676" s="253"/>
      <c r="M1676" s="276" t="str">
        <f t="shared" si="50"/>
        <v>Photo</v>
      </c>
      <c r="N1676" s="279" t="s">
        <v>25</v>
      </c>
      <c r="O1676" t="str">
        <f t="shared" si="49"/>
        <v>1954 Roosevelt Dime</v>
      </c>
      <c r="S1676" t="str" cm="1">
        <f t="array" ref="S1676">_xlfn.REGEXEXTRACT(E1676, "[0-9]{1,5}")</f>
        <v>1954</v>
      </c>
      <c r="T1676" t="s">
        <v>4205</v>
      </c>
      <c r="U1676" t="s">
        <v>984</v>
      </c>
    </row>
    <row r="1677" spans="1:21">
      <c r="A1677" s="136">
        <v>3</v>
      </c>
      <c r="B1677" s="251">
        <v>1957</v>
      </c>
      <c r="C1677" s="252"/>
      <c r="D1677" s="252" t="s">
        <v>1963</v>
      </c>
      <c r="E1677" s="253" t="s">
        <v>998</v>
      </c>
      <c r="F1677" s="253" t="s">
        <v>2236</v>
      </c>
      <c r="G1677" s="253" t="s">
        <v>2579</v>
      </c>
      <c r="H1677" s="254">
        <v>0.1</v>
      </c>
      <c r="I1677" s="254">
        <v>0.1</v>
      </c>
      <c r="J1677" s="251">
        <v>1</v>
      </c>
      <c r="K1677" s="255"/>
      <c r="L1677" s="253"/>
      <c r="M1677" s="276" t="str">
        <f t="shared" si="50"/>
        <v>Photo</v>
      </c>
      <c r="N1677" s="279" t="s">
        <v>25</v>
      </c>
      <c r="O1677" t="str">
        <f t="shared" si="49"/>
        <v>1957 Roosevelt Dime</v>
      </c>
      <c r="S1677" t="str" cm="1">
        <f t="array" ref="S1677">_xlfn.REGEXEXTRACT(E1677, "[0-9]{1,5}")</f>
        <v>1957</v>
      </c>
      <c r="T1677" t="s">
        <v>4205</v>
      </c>
      <c r="U1677" t="s">
        <v>984</v>
      </c>
    </row>
    <row r="1678" spans="1:21">
      <c r="A1678" s="136">
        <v>3</v>
      </c>
      <c r="B1678" s="251">
        <v>1960</v>
      </c>
      <c r="C1678" s="252"/>
      <c r="D1678" s="252" t="s">
        <v>1963</v>
      </c>
      <c r="E1678" s="253" t="s">
        <v>999</v>
      </c>
      <c r="F1678" s="253" t="s">
        <v>2236</v>
      </c>
      <c r="G1678" s="253" t="s">
        <v>2579</v>
      </c>
      <c r="H1678" s="254">
        <v>0.1</v>
      </c>
      <c r="I1678" s="254">
        <v>0.1</v>
      </c>
      <c r="J1678" s="251">
        <v>1</v>
      </c>
      <c r="K1678" s="255"/>
      <c r="L1678" s="253"/>
      <c r="M1678" s="276" t="str">
        <f t="shared" si="50"/>
        <v>Photo</v>
      </c>
      <c r="N1678" s="279" t="s">
        <v>25</v>
      </c>
      <c r="O1678" t="str">
        <f t="shared" si="49"/>
        <v>1960 Roosevelt Dime</v>
      </c>
      <c r="S1678" t="str" cm="1">
        <f t="array" ref="S1678">_xlfn.REGEXEXTRACT(E1678, "[0-9]{1,5}")</f>
        <v>1960</v>
      </c>
      <c r="T1678" t="s">
        <v>4205</v>
      </c>
      <c r="U1678" t="s">
        <v>984</v>
      </c>
    </row>
    <row r="1679" spans="1:21">
      <c r="A1679" s="136">
        <v>3</v>
      </c>
      <c r="B1679" s="251">
        <v>1963</v>
      </c>
      <c r="C1679" s="252"/>
      <c r="D1679" s="252" t="s">
        <v>1963</v>
      </c>
      <c r="E1679" s="253" t="s">
        <v>1001</v>
      </c>
      <c r="F1679" s="253" t="s">
        <v>2236</v>
      </c>
      <c r="G1679" s="253" t="s">
        <v>2579</v>
      </c>
      <c r="H1679" s="254">
        <v>0.1</v>
      </c>
      <c r="I1679" s="254">
        <v>0.1</v>
      </c>
      <c r="J1679" s="251">
        <v>1</v>
      </c>
      <c r="K1679" s="255"/>
      <c r="L1679" s="253"/>
      <c r="M1679" s="276" t="str">
        <f t="shared" si="50"/>
        <v>Photo</v>
      </c>
      <c r="N1679" s="279" t="s">
        <v>25</v>
      </c>
      <c r="O1679" t="str">
        <f t="shared" si="49"/>
        <v>1963 Roosevelt Dime</v>
      </c>
      <c r="S1679" t="str" cm="1">
        <f t="array" ref="S1679">_xlfn.REGEXEXTRACT(E1679, "[0-9]{1,5}")</f>
        <v>1963</v>
      </c>
      <c r="T1679" t="s">
        <v>4206</v>
      </c>
      <c r="U1679" t="s">
        <v>984</v>
      </c>
    </row>
    <row r="1680" spans="1:21">
      <c r="A1680" s="136">
        <v>3</v>
      </c>
      <c r="B1680" s="251">
        <v>1964</v>
      </c>
      <c r="C1680" s="252" t="s">
        <v>13</v>
      </c>
      <c r="D1680" s="252" t="s">
        <v>1963</v>
      </c>
      <c r="E1680" s="253" t="s">
        <v>1003</v>
      </c>
      <c r="F1680" s="253" t="s">
        <v>2236</v>
      </c>
      <c r="G1680" s="253" t="s">
        <v>2579</v>
      </c>
      <c r="H1680" s="254">
        <v>0.1</v>
      </c>
      <c r="I1680" s="254">
        <v>1.22</v>
      </c>
      <c r="J1680" s="251">
        <v>1</v>
      </c>
      <c r="K1680" s="255"/>
      <c r="L1680" s="253"/>
      <c r="M1680" s="276" t="str">
        <f t="shared" si="50"/>
        <v>Photo</v>
      </c>
      <c r="N1680" s="279" t="s">
        <v>25</v>
      </c>
      <c r="O1680" t="str">
        <f t="shared" si="49"/>
        <v>1964-D Roosevelt Dime</v>
      </c>
      <c r="S1680" t="str" cm="1">
        <f t="array" ref="S1680">_xlfn.REGEXEXTRACT(E1680, "[0-9]{1,5}")</f>
        <v>1964</v>
      </c>
      <c r="T1680" t="s">
        <v>4206</v>
      </c>
      <c r="U1680" t="s">
        <v>984</v>
      </c>
    </row>
    <row r="1681" spans="1:21">
      <c r="A1681" s="136">
        <v>3</v>
      </c>
      <c r="B1681" s="251">
        <v>1965</v>
      </c>
      <c r="C1681" s="252"/>
      <c r="D1681" s="252" t="s">
        <v>1963</v>
      </c>
      <c r="E1681" s="253" t="s">
        <v>1004</v>
      </c>
      <c r="F1681" s="253" t="s">
        <v>2236</v>
      </c>
      <c r="G1681" s="253" t="s">
        <v>2579</v>
      </c>
      <c r="H1681" s="254">
        <v>0.1</v>
      </c>
      <c r="I1681" s="254">
        <v>0.1</v>
      </c>
      <c r="J1681" s="251">
        <v>1</v>
      </c>
      <c r="K1681" s="255"/>
      <c r="L1681" s="253"/>
      <c r="M1681" s="276" t="str">
        <f t="shared" si="50"/>
        <v>Photo</v>
      </c>
      <c r="N1681" s="279" t="s">
        <v>25</v>
      </c>
      <c r="O1681" t="str">
        <f t="shared" si="49"/>
        <v>1965 Roosevelt Dime</v>
      </c>
      <c r="S1681" t="str" cm="1">
        <f t="array" ref="S1681">_xlfn.REGEXEXTRACT(E1681, "[0-9]{1,5}")</f>
        <v>1965</v>
      </c>
      <c r="T1681" t="s">
        <v>4207</v>
      </c>
      <c r="U1681" t="s">
        <v>984</v>
      </c>
    </row>
    <row r="1682" spans="1:21">
      <c r="A1682" s="136">
        <v>3</v>
      </c>
      <c r="B1682" s="251">
        <v>1965</v>
      </c>
      <c r="C1682" s="252"/>
      <c r="D1682" s="252" t="s">
        <v>1963</v>
      </c>
      <c r="E1682" s="253" t="s">
        <v>1005</v>
      </c>
      <c r="F1682" s="253" t="s">
        <v>2236</v>
      </c>
      <c r="G1682" s="253" t="s">
        <v>2579</v>
      </c>
      <c r="H1682" s="254">
        <v>0.1</v>
      </c>
      <c r="I1682" s="254">
        <v>0.1</v>
      </c>
      <c r="J1682" s="251">
        <v>1</v>
      </c>
      <c r="K1682" s="255"/>
      <c r="L1682" s="253"/>
      <c r="M1682" s="276" t="str">
        <f t="shared" si="50"/>
        <v>Photo</v>
      </c>
      <c r="N1682" s="279" t="s">
        <v>25</v>
      </c>
      <c r="O1682" t="str">
        <f t="shared" si="49"/>
        <v>1965 Roosevelt Dime</v>
      </c>
      <c r="S1682" t="str" cm="1">
        <f t="array" ref="S1682">_xlfn.REGEXEXTRACT(E1682, "[0-9]{1,5}")</f>
        <v>1965</v>
      </c>
      <c r="T1682" t="s">
        <v>4207</v>
      </c>
      <c r="U1682" t="s">
        <v>984</v>
      </c>
    </row>
    <row r="1683" spans="1:21">
      <c r="A1683" s="136">
        <v>3</v>
      </c>
      <c r="B1683" s="251">
        <v>1965</v>
      </c>
      <c r="C1683" s="252"/>
      <c r="D1683" s="252" t="s">
        <v>1963</v>
      </c>
      <c r="E1683" s="253" t="s">
        <v>3938</v>
      </c>
      <c r="F1683" s="253" t="s">
        <v>2236</v>
      </c>
      <c r="G1683" s="253" t="s">
        <v>2579</v>
      </c>
      <c r="H1683" s="254">
        <v>0.1</v>
      </c>
      <c r="I1683" s="254">
        <v>0.1</v>
      </c>
      <c r="J1683" s="251">
        <v>1</v>
      </c>
      <c r="K1683" s="255"/>
      <c r="L1683" s="253"/>
      <c r="M1683" s="276" t="str">
        <f t="shared" si="50"/>
        <v>Photo</v>
      </c>
      <c r="N1683" s="279" t="s">
        <v>25</v>
      </c>
      <c r="O1683" t="str">
        <f t="shared" si="49"/>
        <v>1965 Roosevelt Dime</v>
      </c>
      <c r="S1683" t="str" cm="1">
        <f t="array" ref="S1683">_xlfn.REGEXEXTRACT(E1683, "[0-9]{1,5}")</f>
        <v>1965</v>
      </c>
      <c r="T1683" t="s">
        <v>4207</v>
      </c>
      <c r="U1683" t="s">
        <v>984</v>
      </c>
    </row>
    <row r="1684" spans="1:21">
      <c r="A1684" s="136">
        <v>3</v>
      </c>
      <c r="B1684" s="251">
        <v>1966</v>
      </c>
      <c r="C1684" s="252"/>
      <c r="D1684" s="252" t="s">
        <v>1963</v>
      </c>
      <c r="E1684" s="253" t="s">
        <v>1006</v>
      </c>
      <c r="F1684" s="253" t="s">
        <v>2236</v>
      </c>
      <c r="G1684" s="253" t="s">
        <v>2579</v>
      </c>
      <c r="H1684" s="254">
        <v>0.1</v>
      </c>
      <c r="I1684" s="254">
        <v>0.1</v>
      </c>
      <c r="J1684" s="251">
        <v>1</v>
      </c>
      <c r="K1684" s="255"/>
      <c r="L1684" s="253"/>
      <c r="M1684" s="276" t="str">
        <f t="shared" si="50"/>
        <v>Photo</v>
      </c>
      <c r="N1684" s="279" t="s">
        <v>25</v>
      </c>
      <c r="O1684" t="str">
        <f t="shared" si="49"/>
        <v>1966 Roosevelt Dime</v>
      </c>
      <c r="S1684" t="str" cm="1">
        <f t="array" ref="S1684">_xlfn.REGEXEXTRACT(E1684, "[0-9]{1,5}")</f>
        <v>1966</v>
      </c>
      <c r="T1684" t="s">
        <v>4208</v>
      </c>
      <c r="U1684" t="s">
        <v>984</v>
      </c>
    </row>
    <row r="1685" spans="1:21">
      <c r="A1685" s="136">
        <v>3</v>
      </c>
      <c r="B1685" s="251">
        <v>1966</v>
      </c>
      <c r="C1685" s="252"/>
      <c r="D1685" s="252" t="s">
        <v>1963</v>
      </c>
      <c r="E1685" s="253" t="s">
        <v>1007</v>
      </c>
      <c r="F1685" s="253" t="s">
        <v>2236</v>
      </c>
      <c r="G1685" s="253" t="s">
        <v>2579</v>
      </c>
      <c r="H1685" s="254">
        <v>0.1</v>
      </c>
      <c r="I1685" s="254">
        <v>0.1</v>
      </c>
      <c r="J1685" s="251">
        <v>1</v>
      </c>
      <c r="K1685" s="255"/>
      <c r="L1685" s="253"/>
      <c r="M1685" s="276" t="str">
        <f t="shared" si="50"/>
        <v>Photo</v>
      </c>
      <c r="N1685" s="279" t="s">
        <v>25</v>
      </c>
      <c r="O1685" t="str">
        <f t="shared" si="49"/>
        <v>1966 Roosevelt Dime</v>
      </c>
      <c r="S1685" t="str" cm="1">
        <f t="array" ref="S1685">_xlfn.REGEXEXTRACT(E1685, "[0-9]{1,5}")</f>
        <v>1966</v>
      </c>
      <c r="T1685" t="s">
        <v>4208</v>
      </c>
      <c r="U1685" t="s">
        <v>984</v>
      </c>
    </row>
    <row r="1686" spans="1:21">
      <c r="A1686" s="136">
        <v>3</v>
      </c>
      <c r="B1686" s="251">
        <v>1967</v>
      </c>
      <c r="C1686" s="252"/>
      <c r="D1686" s="252" t="s">
        <v>1963</v>
      </c>
      <c r="E1686" s="253" t="s">
        <v>1008</v>
      </c>
      <c r="F1686" s="253" t="s">
        <v>2236</v>
      </c>
      <c r="G1686" s="253" t="s">
        <v>2579</v>
      </c>
      <c r="H1686" s="254">
        <v>0.1</v>
      </c>
      <c r="I1686" s="254">
        <v>0.1</v>
      </c>
      <c r="J1686" s="251">
        <v>1</v>
      </c>
      <c r="K1686" s="255"/>
      <c r="L1686" s="253"/>
      <c r="M1686" s="276" t="str">
        <f t="shared" si="50"/>
        <v>Photo</v>
      </c>
      <c r="N1686" s="279" t="s">
        <v>25</v>
      </c>
      <c r="O1686" t="str">
        <f t="shared" si="49"/>
        <v>1967 Roosevelt Dime</v>
      </c>
      <c r="S1686" t="str" cm="1">
        <f t="array" ref="S1686">_xlfn.REGEXEXTRACT(E1686, "[0-9]{1,5}")</f>
        <v>1967</v>
      </c>
      <c r="T1686" t="s">
        <v>4208</v>
      </c>
      <c r="U1686" t="s">
        <v>984</v>
      </c>
    </row>
    <row r="1687" spans="1:21">
      <c r="A1687" s="136">
        <v>3</v>
      </c>
      <c r="B1687" s="251">
        <v>1967</v>
      </c>
      <c r="C1687" s="252"/>
      <c r="D1687" s="252" t="s">
        <v>1963</v>
      </c>
      <c r="E1687" s="253" t="s">
        <v>1009</v>
      </c>
      <c r="F1687" s="253" t="s">
        <v>2236</v>
      </c>
      <c r="G1687" s="253" t="s">
        <v>2579</v>
      </c>
      <c r="H1687" s="254">
        <v>0.1</v>
      </c>
      <c r="I1687" s="254">
        <v>0.1</v>
      </c>
      <c r="J1687" s="251">
        <v>1</v>
      </c>
      <c r="K1687" s="255"/>
      <c r="L1687" s="253"/>
      <c r="M1687" s="276" t="str">
        <f t="shared" si="50"/>
        <v>Photo</v>
      </c>
      <c r="N1687" s="279" t="s">
        <v>25</v>
      </c>
      <c r="O1687" t="str">
        <f t="shared" si="49"/>
        <v>1967 Roosevelt Dime</v>
      </c>
      <c r="S1687" t="str" cm="1">
        <f t="array" ref="S1687">_xlfn.REGEXEXTRACT(E1687, "[0-9]{1,5}")</f>
        <v>1967</v>
      </c>
      <c r="T1687" t="s">
        <v>4209</v>
      </c>
      <c r="U1687" t="s">
        <v>984</v>
      </c>
    </row>
    <row r="1688" spans="1:21">
      <c r="A1688" s="136">
        <v>3</v>
      </c>
      <c r="B1688" s="251">
        <v>1967</v>
      </c>
      <c r="C1688" s="252"/>
      <c r="D1688" s="252" t="s">
        <v>1963</v>
      </c>
      <c r="E1688" s="253" t="s">
        <v>1010</v>
      </c>
      <c r="F1688" s="253" t="s">
        <v>2236</v>
      </c>
      <c r="G1688" s="253" t="s">
        <v>2579</v>
      </c>
      <c r="H1688" s="254">
        <v>0.1</v>
      </c>
      <c r="I1688" s="254">
        <v>0.1</v>
      </c>
      <c r="J1688" s="251">
        <v>1</v>
      </c>
      <c r="K1688" s="255"/>
      <c r="L1688" s="253"/>
      <c r="M1688" s="276" t="str">
        <f t="shared" si="50"/>
        <v>Photo</v>
      </c>
      <c r="N1688" s="279" t="s">
        <v>25</v>
      </c>
      <c r="O1688" t="str">
        <f t="shared" si="49"/>
        <v>1967 Roosevelt Dime</v>
      </c>
      <c r="S1688" t="str" cm="1">
        <f t="array" ref="S1688">_xlfn.REGEXEXTRACT(E1688, "[0-9]{1,5}")</f>
        <v>1967</v>
      </c>
      <c r="T1688" t="s">
        <v>4209</v>
      </c>
      <c r="U1688" t="s">
        <v>984</v>
      </c>
    </row>
    <row r="1689" spans="1:21">
      <c r="A1689" s="136">
        <v>3</v>
      </c>
      <c r="B1689" s="251">
        <v>1969</v>
      </c>
      <c r="C1689" s="252"/>
      <c r="D1689" s="252" t="s">
        <v>1963</v>
      </c>
      <c r="E1689" s="253" t="s">
        <v>1011</v>
      </c>
      <c r="F1689" s="253" t="s">
        <v>2236</v>
      </c>
      <c r="G1689" s="253" t="s">
        <v>2579</v>
      </c>
      <c r="H1689" s="254">
        <v>0.1</v>
      </c>
      <c r="I1689" s="254">
        <v>0.1</v>
      </c>
      <c r="J1689" s="251">
        <v>1</v>
      </c>
      <c r="K1689" s="255"/>
      <c r="L1689" s="253"/>
      <c r="M1689" s="276" t="str">
        <f t="shared" si="50"/>
        <v>Photo</v>
      </c>
      <c r="N1689" s="279" t="s">
        <v>25</v>
      </c>
      <c r="O1689" t="str">
        <f t="shared" si="49"/>
        <v>1969 Roosevelt Dime</v>
      </c>
      <c r="S1689" t="str" cm="1">
        <f t="array" ref="S1689">_xlfn.REGEXEXTRACT(E1689, "[0-9]{1,5}")</f>
        <v>1969</v>
      </c>
      <c r="T1689" t="s">
        <v>4209</v>
      </c>
      <c r="U1689" t="s">
        <v>984</v>
      </c>
    </row>
    <row r="1690" spans="1:21">
      <c r="A1690" s="136">
        <v>3</v>
      </c>
      <c r="B1690" s="251">
        <v>1969</v>
      </c>
      <c r="C1690" s="252" t="s">
        <v>13</v>
      </c>
      <c r="D1690" s="252" t="s">
        <v>1963</v>
      </c>
      <c r="E1690" s="253" t="s">
        <v>1012</v>
      </c>
      <c r="F1690" s="253" t="s">
        <v>2236</v>
      </c>
      <c r="G1690" s="253" t="s">
        <v>2579</v>
      </c>
      <c r="H1690" s="254">
        <v>0.1</v>
      </c>
      <c r="I1690" s="254">
        <v>0.1</v>
      </c>
      <c r="J1690" s="251">
        <v>1</v>
      </c>
      <c r="K1690" s="255"/>
      <c r="L1690" s="253"/>
      <c r="M1690" s="276" t="str">
        <f t="shared" si="50"/>
        <v>Photo</v>
      </c>
      <c r="N1690" s="279" t="s">
        <v>25</v>
      </c>
      <c r="O1690" t="str">
        <f t="shared" si="49"/>
        <v>1969-D Roosevelt Dime</v>
      </c>
      <c r="S1690" t="str" cm="1">
        <f t="array" ref="S1690">_xlfn.REGEXEXTRACT(E1690, "[0-9]{1,5}")</f>
        <v>1969</v>
      </c>
      <c r="T1690" t="s">
        <v>4209</v>
      </c>
      <c r="U1690" t="s">
        <v>984</v>
      </c>
    </row>
    <row r="1691" spans="1:21">
      <c r="A1691" s="136">
        <v>3</v>
      </c>
      <c r="B1691" s="251">
        <v>1970</v>
      </c>
      <c r="C1691" s="252"/>
      <c r="D1691" s="252" t="s">
        <v>1963</v>
      </c>
      <c r="E1691" s="253" t="s">
        <v>1013</v>
      </c>
      <c r="F1691" s="253" t="s">
        <v>2236</v>
      </c>
      <c r="G1691" s="253" t="s">
        <v>2579</v>
      </c>
      <c r="H1691" s="254">
        <v>0.1</v>
      </c>
      <c r="I1691" s="254">
        <v>0.1</v>
      </c>
      <c r="J1691" s="251">
        <v>1</v>
      </c>
      <c r="K1691" s="255"/>
      <c r="L1691" s="253"/>
      <c r="M1691" s="276" t="str">
        <f t="shared" si="50"/>
        <v>Photo</v>
      </c>
      <c r="N1691" s="279" t="s">
        <v>25</v>
      </c>
      <c r="O1691" t="str">
        <f t="shared" si="49"/>
        <v>1970 Roosevelt Dime</v>
      </c>
      <c r="S1691" t="str" cm="1">
        <f t="array" ref="S1691">_xlfn.REGEXEXTRACT(E1691, "[0-9]{1,5}")</f>
        <v>1970</v>
      </c>
      <c r="T1691" t="s">
        <v>4210</v>
      </c>
      <c r="U1691" t="s">
        <v>984</v>
      </c>
    </row>
    <row r="1692" spans="1:21">
      <c r="A1692" s="136">
        <v>3</v>
      </c>
      <c r="B1692" s="251">
        <v>1970</v>
      </c>
      <c r="C1692" s="252" t="s">
        <v>13</v>
      </c>
      <c r="D1692" s="252" t="s">
        <v>1963</v>
      </c>
      <c r="E1692" s="253" t="s">
        <v>1014</v>
      </c>
      <c r="F1692" s="253" t="s">
        <v>2236</v>
      </c>
      <c r="G1692" s="253" t="s">
        <v>2579</v>
      </c>
      <c r="H1692" s="254">
        <v>0.1</v>
      </c>
      <c r="I1692" s="254">
        <v>0.1</v>
      </c>
      <c r="J1692" s="251">
        <v>1</v>
      </c>
      <c r="K1692" s="255"/>
      <c r="L1692" s="253"/>
      <c r="M1692" s="276" t="str">
        <f t="shared" si="50"/>
        <v>Photo</v>
      </c>
      <c r="N1692" s="279" t="s">
        <v>25</v>
      </c>
      <c r="O1692" t="str">
        <f t="shared" si="49"/>
        <v>1970-D Roosevelt Dime</v>
      </c>
      <c r="S1692" t="str" cm="1">
        <f t="array" ref="S1692">_xlfn.REGEXEXTRACT(E1692, "[0-9]{1,5}")</f>
        <v>1970</v>
      </c>
      <c r="T1692" t="s">
        <v>4210</v>
      </c>
      <c r="U1692" t="s">
        <v>984</v>
      </c>
    </row>
    <row r="1693" spans="1:21">
      <c r="A1693" s="136">
        <v>3</v>
      </c>
      <c r="B1693" s="251">
        <v>1974</v>
      </c>
      <c r="C1693" s="252"/>
      <c r="D1693" s="252" t="s">
        <v>1963</v>
      </c>
      <c r="E1693" s="253" t="s">
        <v>1015</v>
      </c>
      <c r="F1693" s="253" t="s">
        <v>2236</v>
      </c>
      <c r="G1693" s="253" t="s">
        <v>2579</v>
      </c>
      <c r="H1693" s="254">
        <v>0.1</v>
      </c>
      <c r="I1693" s="254">
        <v>0.1</v>
      </c>
      <c r="J1693" s="251">
        <v>1</v>
      </c>
      <c r="K1693" s="255"/>
      <c r="L1693" s="253"/>
      <c r="M1693" s="276" t="str">
        <f t="shared" si="50"/>
        <v>Photo</v>
      </c>
      <c r="N1693" s="279" t="s">
        <v>25</v>
      </c>
      <c r="O1693" t="str">
        <f t="shared" si="49"/>
        <v>1974 Roosevelt Dime</v>
      </c>
      <c r="S1693" t="str" cm="1">
        <f t="array" ref="S1693">_xlfn.REGEXEXTRACT(E1693, "[0-9]{1,5}")</f>
        <v>1974</v>
      </c>
      <c r="T1693" t="s">
        <v>4210</v>
      </c>
      <c r="U1693" t="s">
        <v>984</v>
      </c>
    </row>
    <row r="1694" spans="1:21">
      <c r="A1694" s="136">
        <v>3</v>
      </c>
      <c r="B1694" s="251">
        <v>1975</v>
      </c>
      <c r="C1694" s="252"/>
      <c r="D1694" s="252" t="s">
        <v>1963</v>
      </c>
      <c r="E1694" s="253" t="s">
        <v>1016</v>
      </c>
      <c r="F1694" s="253" t="s">
        <v>2236</v>
      </c>
      <c r="G1694" s="253" t="s">
        <v>2579</v>
      </c>
      <c r="H1694" s="254">
        <v>0.1</v>
      </c>
      <c r="I1694" s="254">
        <v>0.1</v>
      </c>
      <c r="J1694" s="251">
        <v>1</v>
      </c>
      <c r="K1694" s="255"/>
      <c r="L1694" s="253"/>
      <c r="M1694" s="276" t="str">
        <f t="shared" si="50"/>
        <v>Photo</v>
      </c>
      <c r="N1694" s="279" t="s">
        <v>25</v>
      </c>
      <c r="O1694" t="str">
        <f t="shared" si="49"/>
        <v>1975 Roosevelt Dime</v>
      </c>
      <c r="S1694" t="str" cm="1">
        <f t="array" ref="S1694">_xlfn.REGEXEXTRACT(E1694, "[0-9]{1,5}")</f>
        <v>1975</v>
      </c>
      <c r="T1694" t="s">
        <v>4211</v>
      </c>
      <c r="U1694" t="s">
        <v>984</v>
      </c>
    </row>
    <row r="1695" spans="1:21">
      <c r="A1695" s="136">
        <v>3</v>
      </c>
      <c r="B1695" s="251">
        <v>1977</v>
      </c>
      <c r="C1695" s="252" t="s">
        <v>13</v>
      </c>
      <c r="D1695" s="252" t="s">
        <v>1963</v>
      </c>
      <c r="E1695" s="253" t="s">
        <v>1017</v>
      </c>
      <c r="F1695" s="253" t="s">
        <v>2236</v>
      </c>
      <c r="G1695" s="253" t="s">
        <v>2579</v>
      </c>
      <c r="H1695" s="254">
        <v>0.1</v>
      </c>
      <c r="I1695" s="254">
        <v>0.1</v>
      </c>
      <c r="J1695" s="251">
        <v>1</v>
      </c>
      <c r="K1695" s="255"/>
      <c r="L1695" s="253"/>
      <c r="M1695" s="276" t="str">
        <f t="shared" si="50"/>
        <v>Photo</v>
      </c>
      <c r="N1695" s="279" t="s">
        <v>25</v>
      </c>
      <c r="O1695" t="str">
        <f t="shared" si="49"/>
        <v>1977-D Roosevelt Dime</v>
      </c>
      <c r="S1695" t="str" cm="1">
        <f t="array" ref="S1695">_xlfn.REGEXEXTRACT(E1695, "[0-9]{1,5}")</f>
        <v>1977</v>
      </c>
      <c r="T1695" t="s">
        <v>4211</v>
      </c>
      <c r="U1695" t="s">
        <v>984</v>
      </c>
    </row>
    <row r="1696" spans="1:21">
      <c r="A1696" s="136">
        <v>3</v>
      </c>
      <c r="B1696" s="251">
        <v>1977</v>
      </c>
      <c r="C1696" s="252"/>
      <c r="D1696" s="252" t="s">
        <v>1963</v>
      </c>
      <c r="E1696" s="253" t="s">
        <v>1018</v>
      </c>
      <c r="F1696" s="253" t="s">
        <v>2236</v>
      </c>
      <c r="G1696" s="253" t="s">
        <v>2579</v>
      </c>
      <c r="H1696" s="254">
        <v>0.1</v>
      </c>
      <c r="I1696" s="254">
        <v>0.1</v>
      </c>
      <c r="J1696" s="251">
        <v>1</v>
      </c>
      <c r="K1696" s="255"/>
      <c r="L1696" s="253"/>
      <c r="M1696" s="276" t="str">
        <f t="shared" si="50"/>
        <v>Photo</v>
      </c>
      <c r="N1696" s="279" t="s">
        <v>25</v>
      </c>
      <c r="O1696" t="str">
        <f t="shared" si="49"/>
        <v>1977 Roosevelt Dime</v>
      </c>
      <c r="S1696" t="str" cm="1">
        <f t="array" ref="S1696">_xlfn.REGEXEXTRACT(E1696, "[0-9]{1,5}")</f>
        <v>1977</v>
      </c>
      <c r="T1696" t="s">
        <v>4211</v>
      </c>
      <c r="U1696" t="s">
        <v>984</v>
      </c>
    </row>
    <row r="1697" spans="1:21">
      <c r="A1697" s="136">
        <v>3</v>
      </c>
      <c r="B1697" s="251">
        <v>1978</v>
      </c>
      <c r="C1697" s="252"/>
      <c r="D1697" s="252" t="s">
        <v>1963</v>
      </c>
      <c r="E1697" s="253" t="s">
        <v>3937</v>
      </c>
      <c r="F1697" s="253" t="s">
        <v>2236</v>
      </c>
      <c r="G1697" s="253" t="s">
        <v>2579</v>
      </c>
      <c r="H1697" s="254">
        <v>0.1</v>
      </c>
      <c r="I1697" s="254">
        <v>0.1</v>
      </c>
      <c r="J1697" s="251">
        <v>1</v>
      </c>
      <c r="K1697" s="255"/>
      <c r="L1697" s="253"/>
      <c r="M1697" s="276" t="str">
        <f t="shared" si="50"/>
        <v>Photo</v>
      </c>
      <c r="N1697" s="279" t="s">
        <v>25</v>
      </c>
      <c r="O1697" t="str">
        <f t="shared" si="49"/>
        <v>1978 Roosevelt Dime</v>
      </c>
      <c r="S1697" t="str" cm="1">
        <f t="array" ref="S1697">_xlfn.REGEXEXTRACT(E1697, "[0-9]{1,5}")</f>
        <v>1978</v>
      </c>
      <c r="T1697" t="s">
        <v>4212</v>
      </c>
      <c r="U1697" t="s">
        <v>984</v>
      </c>
    </row>
    <row r="1698" spans="1:21">
      <c r="A1698" s="136">
        <v>3</v>
      </c>
      <c r="B1698" s="233">
        <v>1980</v>
      </c>
      <c r="C1698" s="234" t="s">
        <v>25</v>
      </c>
      <c r="D1698" s="234" t="s">
        <v>1963</v>
      </c>
      <c r="E1698" s="235" t="s">
        <v>2301</v>
      </c>
      <c r="F1698" s="235" t="s">
        <v>2236</v>
      </c>
      <c r="G1698" s="235" t="s">
        <v>2579</v>
      </c>
      <c r="H1698" s="236">
        <v>0.1</v>
      </c>
      <c r="I1698" s="236">
        <v>0.1</v>
      </c>
      <c r="J1698" s="233">
        <v>1</v>
      </c>
      <c r="K1698" s="237"/>
      <c r="L1698" s="235"/>
      <c r="M1698" s="276" t="str">
        <f t="shared" si="50"/>
        <v>Photo</v>
      </c>
      <c r="N1698" s="279" t="s">
        <v>25</v>
      </c>
      <c r="O1698" t="str">
        <f t="shared" si="49"/>
        <v>1980-P Roosevelt Dime</v>
      </c>
      <c r="S1698" t="str" cm="1">
        <f t="array" ref="S1698">_xlfn.REGEXEXTRACT(E1698, "[0-9]{1,5}")</f>
        <v>1980</v>
      </c>
      <c r="T1698" t="s">
        <v>4213</v>
      </c>
      <c r="U1698" t="s">
        <v>984</v>
      </c>
    </row>
    <row r="1699" spans="1:21">
      <c r="A1699" s="136">
        <v>3</v>
      </c>
      <c r="B1699" s="251">
        <v>1981</v>
      </c>
      <c r="C1699" s="252" t="s">
        <v>25</v>
      </c>
      <c r="D1699" s="252" t="s">
        <v>1963</v>
      </c>
      <c r="E1699" s="253" t="s">
        <v>1020</v>
      </c>
      <c r="F1699" s="253" t="s">
        <v>2236</v>
      </c>
      <c r="G1699" s="253" t="s">
        <v>2579</v>
      </c>
      <c r="H1699" s="254">
        <v>0.1</v>
      </c>
      <c r="I1699" s="254">
        <v>0.1</v>
      </c>
      <c r="J1699" s="251">
        <v>1</v>
      </c>
      <c r="K1699" s="255"/>
      <c r="L1699" s="253"/>
      <c r="M1699" s="276" t="str">
        <f t="shared" si="50"/>
        <v>Photo</v>
      </c>
      <c r="N1699" s="279" t="s">
        <v>25</v>
      </c>
      <c r="O1699" t="str">
        <f t="shared" si="49"/>
        <v>1981-P Roosevelt Dime</v>
      </c>
      <c r="S1699" t="str" cm="1">
        <f t="array" ref="S1699">_xlfn.REGEXEXTRACT(E1699, "[0-9]{1,5}")</f>
        <v>1981</v>
      </c>
      <c r="T1699" t="s">
        <v>4213</v>
      </c>
      <c r="U1699" t="s">
        <v>984</v>
      </c>
    </row>
    <row r="1700" spans="1:21">
      <c r="A1700" s="136">
        <v>3</v>
      </c>
      <c r="B1700" s="251">
        <v>1981</v>
      </c>
      <c r="C1700" s="252" t="s">
        <v>13</v>
      </c>
      <c r="D1700" s="252" t="s">
        <v>1963</v>
      </c>
      <c r="E1700" s="253" t="s">
        <v>1021</v>
      </c>
      <c r="F1700" s="253" t="s">
        <v>2236</v>
      </c>
      <c r="G1700" s="253" t="s">
        <v>2579</v>
      </c>
      <c r="H1700" s="254">
        <v>0.1</v>
      </c>
      <c r="I1700" s="254">
        <v>0.1</v>
      </c>
      <c r="J1700" s="251">
        <v>1</v>
      </c>
      <c r="K1700" s="255"/>
      <c r="L1700" s="253"/>
      <c r="M1700" s="276" t="str">
        <f t="shared" si="50"/>
        <v>Photo</v>
      </c>
      <c r="N1700" s="279" t="s">
        <v>25</v>
      </c>
      <c r="O1700" t="str">
        <f t="shared" si="49"/>
        <v>1981-D Roosevelt Dime</v>
      </c>
      <c r="S1700" t="str" cm="1">
        <f t="array" ref="S1700">_xlfn.REGEXEXTRACT(E1700, "[0-9]{1,5}")</f>
        <v>1981</v>
      </c>
      <c r="T1700" t="s">
        <v>4213</v>
      </c>
      <c r="U1700" t="s">
        <v>984</v>
      </c>
    </row>
    <row r="1701" spans="1:21">
      <c r="A1701" s="136">
        <v>3</v>
      </c>
      <c r="B1701" s="251">
        <v>1981</v>
      </c>
      <c r="C1701" s="252" t="s">
        <v>25</v>
      </c>
      <c r="D1701" s="252" t="s">
        <v>1963</v>
      </c>
      <c r="E1701" s="253" t="s">
        <v>1022</v>
      </c>
      <c r="F1701" s="253" t="s">
        <v>2236</v>
      </c>
      <c r="G1701" s="253" t="s">
        <v>2579</v>
      </c>
      <c r="H1701" s="254">
        <v>0.1</v>
      </c>
      <c r="I1701" s="254">
        <v>0.1</v>
      </c>
      <c r="J1701" s="251">
        <v>1</v>
      </c>
      <c r="K1701" s="255"/>
      <c r="L1701" s="253"/>
      <c r="M1701" s="276" t="str">
        <f t="shared" si="50"/>
        <v>Photo</v>
      </c>
      <c r="N1701" s="279" t="s">
        <v>25</v>
      </c>
      <c r="O1701" t="str">
        <f t="shared" si="49"/>
        <v>1981-P Roosevelt Dime</v>
      </c>
      <c r="S1701" t="str" cm="1">
        <f t="array" ref="S1701">_xlfn.REGEXEXTRACT(E1701, "[0-9]{1,5}")</f>
        <v>1981</v>
      </c>
      <c r="T1701" t="s">
        <v>4213</v>
      </c>
      <c r="U1701" t="s">
        <v>984</v>
      </c>
    </row>
    <row r="1702" spans="1:21">
      <c r="A1702" s="136">
        <v>3</v>
      </c>
      <c r="B1702" s="251">
        <v>1982</v>
      </c>
      <c r="C1702" s="252" t="s">
        <v>25</v>
      </c>
      <c r="D1702" s="252" t="s">
        <v>1963</v>
      </c>
      <c r="E1702" s="253" t="s">
        <v>1023</v>
      </c>
      <c r="F1702" s="253" t="s">
        <v>2236</v>
      </c>
      <c r="G1702" s="253" t="s">
        <v>2579</v>
      </c>
      <c r="H1702" s="254">
        <v>0.1</v>
      </c>
      <c r="I1702" s="254">
        <v>0.1</v>
      </c>
      <c r="J1702" s="251">
        <v>1</v>
      </c>
      <c r="K1702" s="255"/>
      <c r="L1702" s="253"/>
      <c r="M1702" s="276" t="str">
        <f t="shared" ref="M1702:M1733" si="51">HYPERLINK($Y$2&amp;E1702&amp;$AA$2,"Photo")</f>
        <v>Photo</v>
      </c>
      <c r="N1702" s="279" t="s">
        <v>25</v>
      </c>
      <c r="O1702" t="str">
        <f t="shared" si="49"/>
        <v>1982-P Roosevelt Dime</v>
      </c>
      <c r="S1702" t="str" cm="1">
        <f t="array" ref="S1702">_xlfn.REGEXEXTRACT(E1702, "[0-9]{1,5}")</f>
        <v>1982</v>
      </c>
      <c r="T1702" t="s">
        <v>4214</v>
      </c>
      <c r="U1702" t="s">
        <v>984</v>
      </c>
    </row>
    <row r="1703" spans="1:21">
      <c r="A1703" s="136">
        <v>3</v>
      </c>
      <c r="B1703" s="251">
        <v>1983</v>
      </c>
      <c r="C1703" s="252" t="s">
        <v>13</v>
      </c>
      <c r="D1703" s="252" t="s">
        <v>1963</v>
      </c>
      <c r="E1703" s="253" t="s">
        <v>1024</v>
      </c>
      <c r="F1703" s="253" t="s">
        <v>2236</v>
      </c>
      <c r="G1703" s="253" t="s">
        <v>2579</v>
      </c>
      <c r="H1703" s="254">
        <v>0.1</v>
      </c>
      <c r="I1703" s="254">
        <v>0.1</v>
      </c>
      <c r="J1703" s="251">
        <v>1</v>
      </c>
      <c r="K1703" s="255"/>
      <c r="L1703" s="253"/>
      <c r="M1703" s="276" t="str">
        <f t="shared" si="51"/>
        <v>Photo</v>
      </c>
      <c r="N1703" s="279" t="s">
        <v>25</v>
      </c>
      <c r="O1703" t="str">
        <f t="shared" si="49"/>
        <v>1983-D Roosevelt Dime</v>
      </c>
      <c r="S1703" t="str" cm="1">
        <f t="array" ref="S1703">_xlfn.REGEXEXTRACT(E1703, "[0-9]{1,5}")</f>
        <v>1983</v>
      </c>
      <c r="T1703" t="s">
        <v>4214</v>
      </c>
      <c r="U1703" t="s">
        <v>984</v>
      </c>
    </row>
    <row r="1704" spans="1:21">
      <c r="A1704" s="136">
        <v>3</v>
      </c>
      <c r="B1704" s="251">
        <v>1983</v>
      </c>
      <c r="C1704" s="252" t="s">
        <v>13</v>
      </c>
      <c r="D1704" s="252" t="s">
        <v>1963</v>
      </c>
      <c r="E1704" s="253" t="s">
        <v>3852</v>
      </c>
      <c r="F1704" s="253" t="s">
        <v>2236</v>
      </c>
      <c r="G1704" s="253" t="s">
        <v>2579</v>
      </c>
      <c r="H1704" s="254">
        <v>0.1</v>
      </c>
      <c r="I1704" s="254">
        <v>0.1</v>
      </c>
      <c r="J1704" s="251">
        <v>1</v>
      </c>
      <c r="K1704" s="255"/>
      <c r="L1704" s="253"/>
      <c r="M1704" s="276" t="str">
        <f t="shared" si="51"/>
        <v>Photo</v>
      </c>
      <c r="N1704" s="279" t="s">
        <v>25</v>
      </c>
      <c r="O1704" t="str">
        <f t="shared" si="49"/>
        <v>1983-D Roosevelt Dime</v>
      </c>
      <c r="S1704" t="str" cm="1">
        <f t="array" ref="S1704">_xlfn.REGEXEXTRACT(E1704, "[0-9]{1,5}")</f>
        <v>1983</v>
      </c>
      <c r="T1704" t="s">
        <v>4216</v>
      </c>
      <c r="U1704" t="s">
        <v>984</v>
      </c>
    </row>
    <row r="1705" spans="1:21">
      <c r="A1705" s="136">
        <v>3</v>
      </c>
      <c r="B1705" s="251">
        <v>1983</v>
      </c>
      <c r="C1705" s="252" t="s">
        <v>13</v>
      </c>
      <c r="D1705" s="252" t="s">
        <v>1963</v>
      </c>
      <c r="E1705" s="253" t="s">
        <v>3943</v>
      </c>
      <c r="F1705" s="253" t="s">
        <v>2236</v>
      </c>
      <c r="G1705" s="253" t="s">
        <v>2579</v>
      </c>
      <c r="H1705" s="254">
        <v>0.1</v>
      </c>
      <c r="I1705" s="254">
        <v>0.1</v>
      </c>
      <c r="J1705" s="251">
        <v>1</v>
      </c>
      <c r="K1705" s="255"/>
      <c r="L1705" s="253"/>
      <c r="M1705" s="276" t="str">
        <f t="shared" si="51"/>
        <v>Photo</v>
      </c>
      <c r="N1705" s="279" t="s">
        <v>25</v>
      </c>
      <c r="O1705" t="str">
        <f t="shared" si="49"/>
        <v>1983-D Roosevelt Dime</v>
      </c>
      <c r="S1705" t="str" cm="1">
        <f t="array" ref="S1705">_xlfn.REGEXEXTRACT(E1705, "[0-9]{1,5}")</f>
        <v>1983</v>
      </c>
      <c r="T1705" t="s">
        <v>4216</v>
      </c>
      <c r="U1705" t="s">
        <v>984</v>
      </c>
    </row>
    <row r="1706" spans="1:21">
      <c r="A1706" s="136">
        <v>3</v>
      </c>
      <c r="B1706" s="251">
        <v>1984</v>
      </c>
      <c r="C1706" s="252" t="s">
        <v>25</v>
      </c>
      <c r="D1706" s="252" t="s">
        <v>1963</v>
      </c>
      <c r="E1706" s="253" t="s">
        <v>3829</v>
      </c>
      <c r="F1706" s="253" t="s">
        <v>2236</v>
      </c>
      <c r="G1706" s="253" t="s">
        <v>2579</v>
      </c>
      <c r="H1706" s="254">
        <v>0.1</v>
      </c>
      <c r="I1706" s="254">
        <v>0.1</v>
      </c>
      <c r="J1706" s="251">
        <v>1</v>
      </c>
      <c r="K1706" s="255"/>
      <c r="L1706" s="253"/>
      <c r="M1706" s="276" t="str">
        <f t="shared" si="51"/>
        <v>Photo</v>
      </c>
      <c r="N1706" s="279" t="s">
        <v>25</v>
      </c>
      <c r="O1706" t="str">
        <f t="shared" si="49"/>
        <v>1984-P Roosevelt Dime</v>
      </c>
      <c r="S1706" t="str" cm="1">
        <f t="array" ref="S1706">_xlfn.REGEXEXTRACT(E1706, "[0-9]{1,5}")</f>
        <v>1984</v>
      </c>
      <c r="T1706" t="s">
        <v>4216</v>
      </c>
      <c r="U1706" t="s">
        <v>984</v>
      </c>
    </row>
    <row r="1707" spans="1:21">
      <c r="A1707" s="136">
        <v>3</v>
      </c>
      <c r="B1707" s="251">
        <v>1985</v>
      </c>
      <c r="C1707" s="252" t="s">
        <v>25</v>
      </c>
      <c r="D1707" s="252" t="s">
        <v>1963</v>
      </c>
      <c r="E1707" s="253" t="s">
        <v>1025</v>
      </c>
      <c r="F1707" s="253" t="s">
        <v>2236</v>
      </c>
      <c r="G1707" s="253" t="s">
        <v>2579</v>
      </c>
      <c r="H1707" s="254">
        <v>0.1</v>
      </c>
      <c r="I1707" s="254">
        <v>0.1</v>
      </c>
      <c r="J1707" s="251">
        <v>1</v>
      </c>
      <c r="K1707" s="255"/>
      <c r="L1707" s="253"/>
      <c r="M1707" s="276" t="str">
        <f t="shared" si="51"/>
        <v>Photo</v>
      </c>
      <c r="N1707" s="279" t="s">
        <v>25</v>
      </c>
      <c r="O1707" t="str">
        <f t="shared" si="49"/>
        <v>1985-P Roosevelt Dime</v>
      </c>
      <c r="S1707" t="str" cm="1">
        <f t="array" ref="S1707">_xlfn.REGEXEXTRACT(E1707, "[0-9]{1,5}")</f>
        <v>1985</v>
      </c>
      <c r="T1707" t="s">
        <v>4216</v>
      </c>
      <c r="U1707" t="s">
        <v>984</v>
      </c>
    </row>
    <row r="1708" spans="1:21">
      <c r="A1708" s="136">
        <v>3</v>
      </c>
      <c r="B1708" s="251">
        <v>1985</v>
      </c>
      <c r="C1708" s="252" t="s">
        <v>13</v>
      </c>
      <c r="D1708" s="252" t="s">
        <v>1963</v>
      </c>
      <c r="E1708" s="253" t="s">
        <v>1026</v>
      </c>
      <c r="F1708" s="253" t="s">
        <v>2236</v>
      </c>
      <c r="G1708" s="253" t="s">
        <v>2579</v>
      </c>
      <c r="H1708" s="254">
        <v>0.1</v>
      </c>
      <c r="I1708" s="254">
        <v>0.1</v>
      </c>
      <c r="J1708" s="251">
        <v>1</v>
      </c>
      <c r="K1708" s="255"/>
      <c r="L1708" s="253"/>
      <c r="M1708" s="276" t="str">
        <f t="shared" si="51"/>
        <v>Photo</v>
      </c>
      <c r="N1708" s="279" t="s">
        <v>25</v>
      </c>
      <c r="O1708" t="str">
        <f t="shared" si="49"/>
        <v>1985-D Roosevelt Dime</v>
      </c>
      <c r="S1708" t="str" cm="1">
        <f t="array" ref="S1708">_xlfn.REGEXEXTRACT(E1708, "[0-9]{1,5}")</f>
        <v>1985</v>
      </c>
      <c r="T1708" t="s">
        <v>4217</v>
      </c>
      <c r="U1708" t="s">
        <v>984</v>
      </c>
    </row>
    <row r="1709" spans="1:21">
      <c r="A1709" s="136">
        <v>3</v>
      </c>
      <c r="B1709" s="251">
        <v>1985</v>
      </c>
      <c r="C1709" s="252" t="s">
        <v>25</v>
      </c>
      <c r="D1709" s="252" t="s">
        <v>1963</v>
      </c>
      <c r="E1709" s="253" t="s">
        <v>1027</v>
      </c>
      <c r="F1709" s="253" t="s">
        <v>2236</v>
      </c>
      <c r="G1709" s="253" t="s">
        <v>2579</v>
      </c>
      <c r="H1709" s="254">
        <v>0.1</v>
      </c>
      <c r="I1709" s="254">
        <v>0.1</v>
      </c>
      <c r="J1709" s="251">
        <v>1</v>
      </c>
      <c r="K1709" s="255"/>
      <c r="L1709" s="253"/>
      <c r="M1709" s="276" t="str">
        <f t="shared" si="51"/>
        <v>Photo</v>
      </c>
      <c r="N1709" s="279" t="s">
        <v>25</v>
      </c>
      <c r="O1709" t="str">
        <f t="shared" si="49"/>
        <v>1985-P Roosevelt Dime</v>
      </c>
      <c r="S1709" t="str" cm="1">
        <f t="array" ref="S1709">_xlfn.REGEXEXTRACT(E1709, "[0-9]{1,5}")</f>
        <v>1985</v>
      </c>
      <c r="T1709" t="s">
        <v>4217</v>
      </c>
      <c r="U1709" t="s">
        <v>984</v>
      </c>
    </row>
    <row r="1710" spans="1:21">
      <c r="A1710" s="136">
        <v>3</v>
      </c>
      <c r="B1710" s="251">
        <v>1985</v>
      </c>
      <c r="C1710" s="252" t="s">
        <v>25</v>
      </c>
      <c r="D1710" s="252" t="s">
        <v>1963</v>
      </c>
      <c r="E1710" s="253" t="s">
        <v>1028</v>
      </c>
      <c r="F1710" s="253" t="s">
        <v>2236</v>
      </c>
      <c r="G1710" s="253" t="s">
        <v>2579</v>
      </c>
      <c r="H1710" s="254">
        <v>0.1</v>
      </c>
      <c r="I1710" s="254">
        <v>0.1</v>
      </c>
      <c r="J1710" s="251">
        <v>1</v>
      </c>
      <c r="K1710" s="255"/>
      <c r="L1710" s="253"/>
      <c r="M1710" s="276" t="str">
        <f t="shared" si="51"/>
        <v>Photo</v>
      </c>
      <c r="N1710" s="279" t="s">
        <v>25</v>
      </c>
      <c r="O1710" t="str">
        <f t="shared" si="49"/>
        <v>1985-P Roosevelt Dime</v>
      </c>
      <c r="S1710" t="str" cm="1">
        <f t="array" ref="S1710">_xlfn.REGEXEXTRACT(E1710, "[0-9]{1,5}")</f>
        <v>1985</v>
      </c>
      <c r="T1710" t="s">
        <v>4217</v>
      </c>
      <c r="U1710" t="s">
        <v>984</v>
      </c>
    </row>
    <row r="1711" spans="1:21">
      <c r="A1711" s="136">
        <v>3</v>
      </c>
      <c r="B1711" s="233">
        <v>1985</v>
      </c>
      <c r="C1711" s="234" t="s">
        <v>25</v>
      </c>
      <c r="D1711" s="234" t="s">
        <v>1963</v>
      </c>
      <c r="E1711" s="235" t="s">
        <v>2239</v>
      </c>
      <c r="F1711" s="235" t="s">
        <v>2236</v>
      </c>
      <c r="G1711" s="235" t="s">
        <v>2579</v>
      </c>
      <c r="H1711" s="236">
        <v>0.1</v>
      </c>
      <c r="I1711" s="236">
        <v>0.1</v>
      </c>
      <c r="J1711" s="233">
        <v>1</v>
      </c>
      <c r="K1711" s="237"/>
      <c r="L1711" s="235"/>
      <c r="M1711" s="276" t="str">
        <f t="shared" si="51"/>
        <v>Photo</v>
      </c>
      <c r="N1711" s="279" t="s">
        <v>25</v>
      </c>
      <c r="O1711" t="str">
        <f t="shared" si="49"/>
        <v>1985-P Roosevelt Dime</v>
      </c>
      <c r="S1711" t="str" cm="1">
        <f t="array" ref="S1711">_xlfn.REGEXEXTRACT(E1711, "[0-9]{1,5}")</f>
        <v>1985</v>
      </c>
      <c r="T1711" t="s">
        <v>4217</v>
      </c>
      <c r="U1711" t="s">
        <v>984</v>
      </c>
    </row>
    <row r="1712" spans="1:21">
      <c r="A1712" s="136">
        <v>3</v>
      </c>
      <c r="B1712" s="251">
        <v>1986</v>
      </c>
      <c r="C1712" s="252" t="s">
        <v>25</v>
      </c>
      <c r="D1712" s="252" t="s">
        <v>1963</v>
      </c>
      <c r="E1712" s="253" t="s">
        <v>1029</v>
      </c>
      <c r="F1712" s="253" t="s">
        <v>2236</v>
      </c>
      <c r="G1712" s="253" t="s">
        <v>2579</v>
      </c>
      <c r="H1712" s="254">
        <v>0.1</v>
      </c>
      <c r="I1712" s="254">
        <v>0.1</v>
      </c>
      <c r="J1712" s="251">
        <v>1</v>
      </c>
      <c r="K1712" s="255"/>
      <c r="L1712" s="253"/>
      <c r="M1712" s="276" t="str">
        <f t="shared" si="51"/>
        <v>Photo</v>
      </c>
      <c r="N1712" s="279" t="s">
        <v>25</v>
      </c>
      <c r="O1712" t="str">
        <f t="shared" si="49"/>
        <v>1986-P Roosevelt Dime</v>
      </c>
      <c r="S1712" t="str" cm="1">
        <f t="array" ref="S1712">_xlfn.REGEXEXTRACT(E1712, "[0-9]{1,5}")</f>
        <v>1986</v>
      </c>
      <c r="T1712" t="s">
        <v>4217</v>
      </c>
      <c r="U1712" t="s">
        <v>984</v>
      </c>
    </row>
    <row r="1713" spans="1:21">
      <c r="A1713" s="136">
        <v>3</v>
      </c>
      <c r="B1713" s="251">
        <v>1986</v>
      </c>
      <c r="C1713" s="252" t="s">
        <v>25</v>
      </c>
      <c r="D1713" s="252" t="s">
        <v>1963</v>
      </c>
      <c r="E1713" s="253" t="s">
        <v>1030</v>
      </c>
      <c r="F1713" s="253" t="s">
        <v>2236</v>
      </c>
      <c r="G1713" s="253" t="s">
        <v>2579</v>
      </c>
      <c r="H1713" s="254"/>
      <c r="I1713" s="254"/>
      <c r="J1713" s="251"/>
      <c r="K1713" s="255"/>
      <c r="L1713" s="253"/>
      <c r="M1713" s="276" t="str">
        <f t="shared" si="51"/>
        <v>Photo</v>
      </c>
      <c r="N1713" s="279"/>
      <c r="O1713" t="str">
        <f t="shared" si="49"/>
        <v>1986-P Roosevelt Dime</v>
      </c>
      <c r="S1713" t="str" cm="1">
        <f t="array" ref="S1713">_xlfn.REGEXEXTRACT(E1713, "[0-9]{1,5}")</f>
        <v>1986</v>
      </c>
      <c r="T1713" t="s">
        <v>4217</v>
      </c>
      <c r="U1713" t="s">
        <v>984</v>
      </c>
    </row>
    <row r="1714" spans="1:21">
      <c r="A1714" s="136">
        <v>3</v>
      </c>
      <c r="B1714" s="251">
        <v>1986</v>
      </c>
      <c r="C1714" s="252" t="s">
        <v>25</v>
      </c>
      <c r="D1714" s="252" t="s">
        <v>1963</v>
      </c>
      <c r="E1714" s="253" t="s">
        <v>1031</v>
      </c>
      <c r="F1714" s="253" t="s">
        <v>2236</v>
      </c>
      <c r="G1714" s="253" t="s">
        <v>2579</v>
      </c>
      <c r="H1714" s="254">
        <v>0.1</v>
      </c>
      <c r="I1714" s="254">
        <v>1.5</v>
      </c>
      <c r="J1714" s="251">
        <v>1</v>
      </c>
      <c r="K1714" s="255"/>
      <c r="L1714" s="253"/>
      <c r="M1714" s="276" t="str">
        <f t="shared" si="51"/>
        <v>Photo</v>
      </c>
      <c r="N1714" s="279" t="s">
        <v>25</v>
      </c>
      <c r="O1714" t="str">
        <f t="shared" si="49"/>
        <v>1986-P Roosevelt Dime</v>
      </c>
      <c r="S1714" t="str" cm="1">
        <f t="array" ref="S1714">_xlfn.REGEXEXTRACT(E1714, "[0-9]{1,5}")</f>
        <v>1986</v>
      </c>
      <c r="T1714" t="s">
        <v>4218</v>
      </c>
      <c r="U1714" t="s">
        <v>984</v>
      </c>
    </row>
    <row r="1715" spans="1:21">
      <c r="A1715" s="136">
        <v>3</v>
      </c>
      <c r="B1715" s="251">
        <v>1987</v>
      </c>
      <c r="C1715" s="252" t="s">
        <v>13</v>
      </c>
      <c r="D1715" s="252" t="s">
        <v>1963</v>
      </c>
      <c r="E1715" s="253" t="s">
        <v>1032</v>
      </c>
      <c r="F1715" s="253" t="s">
        <v>2236</v>
      </c>
      <c r="G1715" s="253" t="s">
        <v>2579</v>
      </c>
      <c r="H1715" s="254">
        <v>0.1</v>
      </c>
      <c r="I1715" s="254">
        <v>0.1</v>
      </c>
      <c r="J1715" s="251">
        <v>1</v>
      </c>
      <c r="K1715" s="255"/>
      <c r="L1715" s="253"/>
      <c r="M1715" s="276" t="str">
        <f t="shared" si="51"/>
        <v>Photo</v>
      </c>
      <c r="N1715" s="279" t="s">
        <v>25</v>
      </c>
      <c r="O1715" t="str">
        <f t="shared" si="49"/>
        <v>1987-D Roosevelt Dime</v>
      </c>
      <c r="S1715" t="str" cm="1">
        <f t="array" ref="S1715">_xlfn.REGEXEXTRACT(E1715, "[0-9]{1,5}")</f>
        <v>1987</v>
      </c>
      <c r="T1715" t="s">
        <v>4218</v>
      </c>
      <c r="U1715" t="s">
        <v>984</v>
      </c>
    </row>
    <row r="1716" spans="1:21">
      <c r="A1716" s="136">
        <v>3</v>
      </c>
      <c r="B1716" s="251">
        <v>1988</v>
      </c>
      <c r="C1716" s="252" t="s">
        <v>13</v>
      </c>
      <c r="D1716" s="252" t="s">
        <v>1963</v>
      </c>
      <c r="E1716" s="253" t="s">
        <v>1033</v>
      </c>
      <c r="F1716" s="253" t="s">
        <v>2236</v>
      </c>
      <c r="G1716" s="253" t="s">
        <v>2579</v>
      </c>
      <c r="H1716" s="254">
        <v>0.1</v>
      </c>
      <c r="I1716" s="254">
        <v>0.1</v>
      </c>
      <c r="J1716" s="251">
        <v>1</v>
      </c>
      <c r="K1716" s="255"/>
      <c r="L1716" s="253"/>
      <c r="M1716" s="276" t="str">
        <f t="shared" si="51"/>
        <v>Photo</v>
      </c>
      <c r="N1716" s="279" t="s">
        <v>25</v>
      </c>
      <c r="O1716" t="str">
        <f t="shared" si="49"/>
        <v>1988-D Roosevelt Dime</v>
      </c>
      <c r="S1716" t="str" cm="1">
        <f t="array" ref="S1716">_xlfn.REGEXEXTRACT(E1716, "[0-9]{1,5}")</f>
        <v>1988</v>
      </c>
      <c r="T1716" t="s">
        <v>4218</v>
      </c>
      <c r="U1716" t="s">
        <v>984</v>
      </c>
    </row>
    <row r="1717" spans="1:21">
      <c r="A1717" s="136">
        <v>3</v>
      </c>
      <c r="B1717" s="251">
        <v>1988</v>
      </c>
      <c r="C1717" s="252" t="s">
        <v>13</v>
      </c>
      <c r="D1717" s="252" t="s">
        <v>1963</v>
      </c>
      <c r="E1717" s="253" t="s">
        <v>1034</v>
      </c>
      <c r="F1717" s="253" t="s">
        <v>2236</v>
      </c>
      <c r="G1717" s="253" t="s">
        <v>2579</v>
      </c>
      <c r="H1717" s="254">
        <v>0.1</v>
      </c>
      <c r="I1717" s="254">
        <v>0.1</v>
      </c>
      <c r="J1717" s="251">
        <v>1</v>
      </c>
      <c r="K1717" s="255"/>
      <c r="L1717" s="253"/>
      <c r="M1717" s="276" t="str">
        <f t="shared" si="51"/>
        <v>Photo</v>
      </c>
      <c r="N1717" s="279" t="s">
        <v>25</v>
      </c>
      <c r="O1717" t="str">
        <f t="shared" si="49"/>
        <v>1988-D Roosevelt Dime</v>
      </c>
      <c r="S1717" t="str" cm="1">
        <f t="array" ref="S1717">_xlfn.REGEXEXTRACT(E1717, "[0-9]{1,5}")</f>
        <v>1988</v>
      </c>
      <c r="T1717" t="s">
        <v>4218</v>
      </c>
      <c r="U1717" t="s">
        <v>984</v>
      </c>
    </row>
    <row r="1718" spans="1:21">
      <c r="A1718" s="136">
        <v>3</v>
      </c>
      <c r="B1718" s="251">
        <v>1988</v>
      </c>
      <c r="C1718" s="252" t="s">
        <v>13</v>
      </c>
      <c r="D1718" s="252" t="s">
        <v>1963</v>
      </c>
      <c r="E1718" s="253" t="s">
        <v>3941</v>
      </c>
      <c r="F1718" s="253" t="s">
        <v>2236</v>
      </c>
      <c r="G1718" s="253" t="s">
        <v>2579</v>
      </c>
      <c r="H1718" s="254">
        <v>0.1</v>
      </c>
      <c r="I1718" s="254">
        <v>0.1</v>
      </c>
      <c r="J1718" s="251">
        <v>1</v>
      </c>
      <c r="K1718" s="255"/>
      <c r="L1718" s="253"/>
      <c r="M1718" s="276" t="str">
        <f t="shared" si="51"/>
        <v>Photo</v>
      </c>
      <c r="N1718" s="279" t="s">
        <v>25</v>
      </c>
      <c r="O1718" t="str">
        <f t="shared" si="49"/>
        <v>1988-D Roosevelt Dime</v>
      </c>
      <c r="S1718" t="str" cm="1">
        <f t="array" ref="S1718">_xlfn.REGEXEXTRACT(E1718, "[0-9]{1,5}")</f>
        <v>1988</v>
      </c>
      <c r="T1718" t="s">
        <v>4219</v>
      </c>
      <c r="U1718" t="s">
        <v>984</v>
      </c>
    </row>
    <row r="1719" spans="1:21">
      <c r="A1719" s="136">
        <v>3</v>
      </c>
      <c r="B1719" s="251">
        <v>1989</v>
      </c>
      <c r="C1719" s="252" t="s">
        <v>25</v>
      </c>
      <c r="D1719" s="252" t="s">
        <v>1963</v>
      </c>
      <c r="E1719" s="253" t="s">
        <v>1035</v>
      </c>
      <c r="F1719" s="253" t="s">
        <v>2236</v>
      </c>
      <c r="G1719" s="253" t="s">
        <v>2579</v>
      </c>
      <c r="H1719" s="254">
        <v>0.1</v>
      </c>
      <c r="I1719" s="254">
        <v>0.1</v>
      </c>
      <c r="J1719" s="251">
        <v>1</v>
      </c>
      <c r="K1719" s="255"/>
      <c r="L1719" s="253"/>
      <c r="M1719" s="276" t="str">
        <f t="shared" si="51"/>
        <v>Photo</v>
      </c>
      <c r="N1719" s="279" t="s">
        <v>25</v>
      </c>
      <c r="O1719" t="str">
        <f t="shared" si="49"/>
        <v>1989-P Roosevelt Dime</v>
      </c>
      <c r="S1719" t="str" cm="1">
        <f t="array" ref="S1719">_xlfn.REGEXEXTRACT(E1719, "[0-9]{1,5}")</f>
        <v>1989</v>
      </c>
      <c r="T1719" t="s">
        <v>4219</v>
      </c>
      <c r="U1719" t="s">
        <v>984</v>
      </c>
    </row>
    <row r="1720" spans="1:21">
      <c r="A1720" s="136">
        <v>3</v>
      </c>
      <c r="B1720" s="251">
        <v>1989</v>
      </c>
      <c r="C1720" s="252" t="s">
        <v>25</v>
      </c>
      <c r="D1720" s="252" t="s">
        <v>1963</v>
      </c>
      <c r="E1720" s="253" t="s">
        <v>1037</v>
      </c>
      <c r="F1720" s="253" t="s">
        <v>2236</v>
      </c>
      <c r="G1720" s="253" t="s">
        <v>2579</v>
      </c>
      <c r="H1720" s="254">
        <v>0.1</v>
      </c>
      <c r="I1720" s="254">
        <v>0.1</v>
      </c>
      <c r="J1720" s="251">
        <v>1</v>
      </c>
      <c r="K1720" s="255"/>
      <c r="L1720" s="253"/>
      <c r="M1720" s="276" t="str">
        <f t="shared" si="51"/>
        <v>Photo</v>
      </c>
      <c r="N1720" s="279" t="s">
        <v>25</v>
      </c>
      <c r="O1720" t="str">
        <f t="shared" si="49"/>
        <v>1989-P Roosevelt Dime</v>
      </c>
      <c r="S1720" t="str" cm="1">
        <f t="array" ref="S1720">_xlfn.REGEXEXTRACT(E1720, "[0-9]{1,5}")</f>
        <v>1989</v>
      </c>
      <c r="T1720" t="s">
        <v>4220</v>
      </c>
      <c r="U1720" t="s">
        <v>984</v>
      </c>
    </row>
    <row r="1721" spans="1:21">
      <c r="A1721" s="136">
        <v>3</v>
      </c>
      <c r="B1721" s="251">
        <v>1990</v>
      </c>
      <c r="C1721" s="252" t="s">
        <v>25</v>
      </c>
      <c r="D1721" s="252" t="s">
        <v>1963</v>
      </c>
      <c r="E1721" s="253" t="s">
        <v>1036</v>
      </c>
      <c r="F1721" s="253" t="s">
        <v>2236</v>
      </c>
      <c r="G1721" s="253" t="s">
        <v>2579</v>
      </c>
      <c r="H1721" s="254">
        <v>0.1</v>
      </c>
      <c r="I1721" s="254">
        <v>0.1</v>
      </c>
      <c r="J1721" s="251">
        <v>1</v>
      </c>
      <c r="K1721" s="255"/>
      <c r="L1721" s="253"/>
      <c r="M1721" s="276" t="str">
        <f t="shared" si="51"/>
        <v>Photo</v>
      </c>
      <c r="N1721" s="279" t="s">
        <v>25</v>
      </c>
      <c r="O1721" t="str">
        <f t="shared" si="49"/>
        <v>1990-P Roosevelt Dime</v>
      </c>
      <c r="S1721" t="str" cm="1">
        <f t="array" ref="S1721">_xlfn.REGEXEXTRACT(E1721, "[0-9]{1,5}")</f>
        <v>1990</v>
      </c>
      <c r="T1721" t="s">
        <v>4220</v>
      </c>
      <c r="U1721" t="s">
        <v>984</v>
      </c>
    </row>
    <row r="1722" spans="1:21">
      <c r="A1722" s="136">
        <v>3</v>
      </c>
      <c r="B1722" s="251">
        <v>1990</v>
      </c>
      <c r="C1722" s="252" t="s">
        <v>25</v>
      </c>
      <c r="D1722" s="252" t="s">
        <v>1963</v>
      </c>
      <c r="E1722" s="253" t="s">
        <v>4635</v>
      </c>
      <c r="F1722" s="253" t="s">
        <v>2236</v>
      </c>
      <c r="G1722" s="253" t="s">
        <v>2579</v>
      </c>
      <c r="H1722" s="254">
        <v>0.1</v>
      </c>
      <c r="I1722" s="254">
        <v>0.1</v>
      </c>
      <c r="J1722" s="251">
        <v>1</v>
      </c>
      <c r="K1722" s="255"/>
      <c r="L1722" s="253"/>
      <c r="M1722" s="276" t="str">
        <f t="shared" si="51"/>
        <v>Photo</v>
      </c>
      <c r="N1722" s="279" t="s">
        <v>25</v>
      </c>
      <c r="O1722" t="str">
        <f t="shared" si="49"/>
        <v>1990-P Roosevelt Dime</v>
      </c>
      <c r="S1722" t="str" cm="1">
        <f t="array" ref="S1722">_xlfn.REGEXEXTRACT(E1722, "[0-9]{1,5}")</f>
        <v>1990</v>
      </c>
      <c r="T1722" t="s">
        <v>4220</v>
      </c>
      <c r="U1722" t="s">
        <v>984</v>
      </c>
    </row>
    <row r="1723" spans="1:21">
      <c r="A1723" s="136">
        <v>3</v>
      </c>
      <c r="B1723" s="251">
        <v>1990</v>
      </c>
      <c r="C1723" s="252" t="s">
        <v>25</v>
      </c>
      <c r="D1723" s="252" t="s">
        <v>1963</v>
      </c>
      <c r="E1723" s="253" t="s">
        <v>4636</v>
      </c>
      <c r="F1723" s="253" t="s">
        <v>2236</v>
      </c>
      <c r="G1723" s="253" t="s">
        <v>2579</v>
      </c>
      <c r="H1723" s="254">
        <v>0.1</v>
      </c>
      <c r="I1723" s="254">
        <v>0.1</v>
      </c>
      <c r="J1723" s="251">
        <v>1</v>
      </c>
      <c r="K1723" s="255"/>
      <c r="L1723" s="253"/>
      <c r="M1723" s="276" t="str">
        <f t="shared" si="51"/>
        <v>Photo</v>
      </c>
      <c r="N1723" s="279" t="s">
        <v>25</v>
      </c>
      <c r="O1723" t="str">
        <f t="shared" si="49"/>
        <v>1990-P Roosevelt Dime</v>
      </c>
      <c r="S1723" t="str" cm="1">
        <f t="array" ref="S1723">_xlfn.REGEXEXTRACT(E1723, "[0-9]{1,5}")</f>
        <v>1990</v>
      </c>
      <c r="T1723" t="s">
        <v>4220</v>
      </c>
      <c r="U1723" t="s">
        <v>984</v>
      </c>
    </row>
    <row r="1724" spans="1:21">
      <c r="A1724" s="136">
        <v>3</v>
      </c>
      <c r="B1724" s="251">
        <v>1991</v>
      </c>
      <c r="C1724" s="252" t="s">
        <v>25</v>
      </c>
      <c r="D1724" s="252" t="s">
        <v>1963</v>
      </c>
      <c r="E1724" s="253" t="s">
        <v>1038</v>
      </c>
      <c r="F1724" s="253" t="s">
        <v>2236</v>
      </c>
      <c r="G1724" s="253" t="s">
        <v>2579</v>
      </c>
      <c r="H1724" s="254">
        <v>0.1</v>
      </c>
      <c r="I1724" s="254">
        <v>0.1</v>
      </c>
      <c r="J1724" s="251">
        <v>1</v>
      </c>
      <c r="K1724" s="255"/>
      <c r="L1724" s="253"/>
      <c r="M1724" s="276" t="str">
        <f t="shared" si="51"/>
        <v>Photo</v>
      </c>
      <c r="N1724" s="279" t="s">
        <v>25</v>
      </c>
      <c r="O1724" t="str">
        <f t="shared" si="49"/>
        <v>1991-P Roosevelt Dime</v>
      </c>
      <c r="S1724" t="str" cm="1">
        <f t="array" ref="S1724">_xlfn.REGEXEXTRACT(E1724, "[0-9]{1,5}")</f>
        <v>1991</v>
      </c>
      <c r="T1724" t="s">
        <v>4220</v>
      </c>
      <c r="U1724" t="s">
        <v>984</v>
      </c>
    </row>
    <row r="1725" spans="1:21">
      <c r="A1725" s="136">
        <v>3</v>
      </c>
      <c r="B1725" s="233">
        <v>1992</v>
      </c>
      <c r="C1725" s="234" t="s">
        <v>13</v>
      </c>
      <c r="D1725" s="234" t="s">
        <v>1963</v>
      </c>
      <c r="E1725" s="235" t="s">
        <v>2240</v>
      </c>
      <c r="F1725" s="235" t="s">
        <v>2236</v>
      </c>
      <c r="G1725" s="235" t="s">
        <v>2579</v>
      </c>
      <c r="H1725" s="236">
        <v>0.1</v>
      </c>
      <c r="I1725" s="236">
        <v>0.1</v>
      </c>
      <c r="J1725" s="233">
        <v>1</v>
      </c>
      <c r="K1725" s="237"/>
      <c r="L1725" s="235"/>
      <c r="M1725" s="276" t="str">
        <f t="shared" si="51"/>
        <v>Photo</v>
      </c>
      <c r="N1725" s="279" t="s">
        <v>25</v>
      </c>
      <c r="O1725" t="str">
        <f t="shared" si="49"/>
        <v>1992-D Roosevelt Dime</v>
      </c>
      <c r="S1725" t="str" cm="1">
        <f t="array" ref="S1725">_xlfn.REGEXEXTRACT(E1725, "[0-9]{1,5}")</f>
        <v>1992</v>
      </c>
      <c r="T1725" t="s">
        <v>4220</v>
      </c>
      <c r="U1725" t="s">
        <v>984</v>
      </c>
    </row>
    <row r="1726" spans="1:21">
      <c r="A1726" s="136">
        <v>3</v>
      </c>
      <c r="B1726" s="251">
        <v>1992</v>
      </c>
      <c r="C1726" s="252" t="s">
        <v>25</v>
      </c>
      <c r="D1726" s="252" t="s">
        <v>1963</v>
      </c>
      <c r="E1726" s="253" t="s">
        <v>1039</v>
      </c>
      <c r="F1726" s="253" t="s">
        <v>2236</v>
      </c>
      <c r="G1726" s="253" t="s">
        <v>2579</v>
      </c>
      <c r="H1726" s="254">
        <v>0.1</v>
      </c>
      <c r="I1726" s="254">
        <v>0.1</v>
      </c>
      <c r="J1726" s="251">
        <v>1</v>
      </c>
      <c r="K1726" s="255"/>
      <c r="L1726" s="253"/>
      <c r="M1726" s="276" t="str">
        <f t="shared" si="51"/>
        <v>Photo</v>
      </c>
      <c r="N1726" s="279" t="s">
        <v>25</v>
      </c>
      <c r="O1726" t="str">
        <f t="shared" si="49"/>
        <v>1992-P Roosevelt Dime</v>
      </c>
      <c r="S1726" t="str" cm="1">
        <f t="array" ref="S1726">_xlfn.REGEXEXTRACT(E1726, "[0-9]{1,5}")</f>
        <v>1992</v>
      </c>
      <c r="T1726" t="s">
        <v>4220</v>
      </c>
      <c r="U1726" t="s">
        <v>984</v>
      </c>
    </row>
    <row r="1727" spans="1:21">
      <c r="A1727" s="136">
        <v>3</v>
      </c>
      <c r="B1727" s="251">
        <v>1992</v>
      </c>
      <c r="C1727" s="252" t="s">
        <v>13</v>
      </c>
      <c r="D1727" s="252" t="s">
        <v>1963</v>
      </c>
      <c r="E1727" s="253" t="s">
        <v>1041</v>
      </c>
      <c r="F1727" s="253" t="s">
        <v>2236</v>
      </c>
      <c r="G1727" s="253" t="s">
        <v>2579</v>
      </c>
      <c r="H1727" s="254">
        <v>0.1</v>
      </c>
      <c r="I1727" s="254">
        <v>0.1</v>
      </c>
      <c r="J1727" s="251">
        <v>1</v>
      </c>
      <c r="K1727" s="255"/>
      <c r="L1727" s="253"/>
      <c r="M1727" s="276" t="str">
        <f t="shared" si="51"/>
        <v>Photo</v>
      </c>
      <c r="N1727" s="279" t="s">
        <v>25</v>
      </c>
      <c r="O1727" t="str">
        <f t="shared" si="49"/>
        <v>1992-D Roosevelt Dime</v>
      </c>
      <c r="S1727" t="str" cm="1">
        <f t="array" ref="S1727">_xlfn.REGEXEXTRACT(E1727, "[0-9]{1,5}")</f>
        <v>1992</v>
      </c>
      <c r="T1727" t="s">
        <v>4221</v>
      </c>
      <c r="U1727" t="s">
        <v>984</v>
      </c>
    </row>
    <row r="1728" spans="1:21">
      <c r="A1728" s="136">
        <v>3</v>
      </c>
      <c r="B1728" s="251">
        <v>1993</v>
      </c>
      <c r="C1728" s="252" t="s">
        <v>25</v>
      </c>
      <c r="D1728" s="252" t="s">
        <v>1963</v>
      </c>
      <c r="E1728" s="253" t="s">
        <v>1040</v>
      </c>
      <c r="F1728" s="253" t="s">
        <v>2236</v>
      </c>
      <c r="G1728" s="253" t="s">
        <v>2579</v>
      </c>
      <c r="H1728" s="254">
        <v>0.1</v>
      </c>
      <c r="I1728" s="254">
        <v>0.1</v>
      </c>
      <c r="J1728" s="251">
        <v>1</v>
      </c>
      <c r="K1728" s="255"/>
      <c r="L1728" s="253"/>
      <c r="M1728" s="276" t="str">
        <f t="shared" si="51"/>
        <v>Photo</v>
      </c>
      <c r="N1728" s="279" t="s">
        <v>25</v>
      </c>
      <c r="O1728" t="str">
        <f t="shared" si="49"/>
        <v>1993-P Roosevelt Dime</v>
      </c>
      <c r="S1728" t="str" cm="1">
        <f t="array" ref="S1728">_xlfn.REGEXEXTRACT(E1728, "[0-9]{1,5}")</f>
        <v>1993</v>
      </c>
      <c r="T1728" t="s">
        <v>4221</v>
      </c>
      <c r="U1728" t="s">
        <v>984</v>
      </c>
    </row>
    <row r="1729" spans="1:21">
      <c r="A1729" s="136">
        <v>3</v>
      </c>
      <c r="B1729" s="251">
        <v>1993</v>
      </c>
      <c r="C1729" s="252" t="s">
        <v>25</v>
      </c>
      <c r="D1729" s="252" t="s">
        <v>1963</v>
      </c>
      <c r="E1729" s="253" t="s">
        <v>1042</v>
      </c>
      <c r="F1729" s="253" t="s">
        <v>2236</v>
      </c>
      <c r="G1729" s="253" t="s">
        <v>2579</v>
      </c>
      <c r="H1729" s="254">
        <v>0.1</v>
      </c>
      <c r="I1729" s="254">
        <v>0.1</v>
      </c>
      <c r="J1729" s="251">
        <v>1</v>
      </c>
      <c r="K1729" s="255"/>
      <c r="L1729" s="253"/>
      <c r="M1729" s="276" t="str">
        <f t="shared" si="51"/>
        <v>Photo</v>
      </c>
      <c r="N1729" s="279" t="s">
        <v>25</v>
      </c>
      <c r="O1729" t="str">
        <f t="shared" si="49"/>
        <v>1993-P Roosevelt Dime</v>
      </c>
      <c r="S1729" t="str" cm="1">
        <f t="array" ref="S1729">_xlfn.REGEXEXTRACT(E1729, "[0-9]{1,5}")</f>
        <v>1993</v>
      </c>
      <c r="T1729" t="s">
        <v>4221</v>
      </c>
      <c r="U1729" t="s">
        <v>984</v>
      </c>
    </row>
    <row r="1730" spans="1:21">
      <c r="A1730" s="136">
        <v>3</v>
      </c>
      <c r="B1730" s="251">
        <v>1993</v>
      </c>
      <c r="C1730" s="252" t="s">
        <v>25</v>
      </c>
      <c r="D1730" s="252" t="s">
        <v>1963</v>
      </c>
      <c r="E1730" s="253" t="s">
        <v>1043</v>
      </c>
      <c r="F1730" s="253" t="s">
        <v>2236</v>
      </c>
      <c r="G1730" s="253" t="s">
        <v>2579</v>
      </c>
      <c r="H1730" s="254">
        <v>0.1</v>
      </c>
      <c r="I1730" s="254">
        <v>0.1</v>
      </c>
      <c r="J1730" s="251">
        <v>1</v>
      </c>
      <c r="K1730" s="255"/>
      <c r="L1730" s="253"/>
      <c r="M1730" s="276" t="str">
        <f t="shared" si="51"/>
        <v>Photo</v>
      </c>
      <c r="N1730" s="279" t="s">
        <v>25</v>
      </c>
      <c r="O1730" t="str">
        <f t="shared" si="49"/>
        <v>1993-P Roosevelt Dime</v>
      </c>
      <c r="S1730" t="str" cm="1">
        <f t="array" ref="S1730">_xlfn.REGEXEXTRACT(E1730, "[0-9]{1,5}")</f>
        <v>1993</v>
      </c>
      <c r="T1730" t="s">
        <v>4221</v>
      </c>
      <c r="U1730" t="s">
        <v>984</v>
      </c>
    </row>
    <row r="1731" spans="1:21">
      <c r="A1731" s="136">
        <v>3</v>
      </c>
      <c r="B1731" s="251">
        <v>1993</v>
      </c>
      <c r="C1731" s="252" t="s">
        <v>13</v>
      </c>
      <c r="D1731" s="252" t="s">
        <v>1963</v>
      </c>
      <c r="E1731" s="253" t="s">
        <v>1045</v>
      </c>
      <c r="F1731" s="253" t="s">
        <v>2236</v>
      </c>
      <c r="G1731" s="253" t="s">
        <v>2579</v>
      </c>
      <c r="H1731" s="254">
        <v>0.1</v>
      </c>
      <c r="I1731" s="254">
        <v>1.5</v>
      </c>
      <c r="J1731" s="251">
        <v>1</v>
      </c>
      <c r="K1731" s="255"/>
      <c r="L1731" s="253"/>
      <c r="M1731" s="276" t="str">
        <f t="shared" si="51"/>
        <v>Photo</v>
      </c>
      <c r="N1731" s="279" t="s">
        <v>25</v>
      </c>
      <c r="O1731" t="str">
        <f t="shared" si="49"/>
        <v>1993-D Roosevelt Dime</v>
      </c>
      <c r="S1731" t="str" cm="1">
        <f t="array" ref="S1731">_xlfn.REGEXEXTRACT(E1731, "[0-9]{1,5}")</f>
        <v>1993</v>
      </c>
      <c r="T1731" t="s">
        <v>4221</v>
      </c>
      <c r="U1731" t="s">
        <v>984</v>
      </c>
    </row>
    <row r="1732" spans="1:21">
      <c r="A1732" s="136">
        <v>3</v>
      </c>
      <c r="B1732" s="251">
        <v>1994</v>
      </c>
      <c r="C1732" s="252" t="s">
        <v>13</v>
      </c>
      <c r="D1732" s="252" t="s">
        <v>1963</v>
      </c>
      <c r="E1732" s="253" t="s">
        <v>1044</v>
      </c>
      <c r="F1732" s="253" t="s">
        <v>2236</v>
      </c>
      <c r="G1732" s="253" t="s">
        <v>2579</v>
      </c>
      <c r="H1732" s="254">
        <v>0.1</v>
      </c>
      <c r="I1732" s="254">
        <v>0.1</v>
      </c>
      <c r="J1732" s="251">
        <v>1</v>
      </c>
      <c r="K1732" s="255"/>
      <c r="L1732" s="253"/>
      <c r="M1732" s="276" t="str">
        <f t="shared" si="51"/>
        <v>Photo</v>
      </c>
      <c r="N1732" s="279" t="s">
        <v>25</v>
      </c>
      <c r="O1732" t="str">
        <f t="shared" ref="O1732:O1795" si="52">IF(C1732&lt;&gt;"",B1732&amp;"-"&amp;C1732&amp;" "&amp;F1732,B1732&amp;" "&amp;F1732)</f>
        <v>1994-D Roosevelt Dime</v>
      </c>
      <c r="S1732" t="str" cm="1">
        <f t="array" ref="S1732">_xlfn.REGEXEXTRACT(E1732, "[0-9]{1,5}")</f>
        <v>1994</v>
      </c>
      <c r="T1732" t="s">
        <v>4222</v>
      </c>
      <c r="U1732" t="s">
        <v>984</v>
      </c>
    </row>
    <row r="1733" spans="1:21">
      <c r="A1733" s="136">
        <v>3</v>
      </c>
      <c r="B1733" s="251">
        <v>1994</v>
      </c>
      <c r="C1733" s="252" t="s">
        <v>13</v>
      </c>
      <c r="D1733" s="252" t="s">
        <v>1963</v>
      </c>
      <c r="E1733" s="253" t="s">
        <v>1046</v>
      </c>
      <c r="F1733" s="253" t="s">
        <v>2236</v>
      </c>
      <c r="G1733" s="253" t="s">
        <v>2579</v>
      </c>
      <c r="H1733" s="254">
        <v>0.1</v>
      </c>
      <c r="I1733" s="254">
        <v>0.1</v>
      </c>
      <c r="J1733" s="251">
        <v>1</v>
      </c>
      <c r="K1733" s="255"/>
      <c r="L1733" s="253"/>
      <c r="M1733" s="276" t="str">
        <f t="shared" si="51"/>
        <v>Photo</v>
      </c>
      <c r="N1733" s="279" t="s">
        <v>25</v>
      </c>
      <c r="O1733" t="str">
        <f t="shared" si="52"/>
        <v>1994-D Roosevelt Dime</v>
      </c>
      <c r="S1733" t="str" cm="1">
        <f t="array" ref="S1733">_xlfn.REGEXEXTRACT(E1733, "[0-9]{1,5}")</f>
        <v>1994</v>
      </c>
      <c r="T1733" t="s">
        <v>4222</v>
      </c>
      <c r="U1733" t="s">
        <v>984</v>
      </c>
    </row>
    <row r="1734" spans="1:21">
      <c r="A1734" s="136">
        <v>3</v>
      </c>
      <c r="B1734" s="251">
        <v>1994</v>
      </c>
      <c r="C1734" s="252" t="s">
        <v>25</v>
      </c>
      <c r="D1734" s="252" t="s">
        <v>1963</v>
      </c>
      <c r="E1734" s="253" t="s">
        <v>1047</v>
      </c>
      <c r="F1734" s="253" t="s">
        <v>2236</v>
      </c>
      <c r="G1734" s="253" t="s">
        <v>2579</v>
      </c>
      <c r="H1734" s="254">
        <v>0.1</v>
      </c>
      <c r="I1734" s="254">
        <v>0.1</v>
      </c>
      <c r="J1734" s="251">
        <v>1</v>
      </c>
      <c r="K1734" s="255"/>
      <c r="L1734" s="253"/>
      <c r="M1734" s="276" t="str">
        <f t="shared" ref="M1734:M1765" si="53">HYPERLINK($Y$2&amp;E1734&amp;$AA$2,"Photo")</f>
        <v>Photo</v>
      </c>
      <c r="N1734" s="279" t="s">
        <v>25</v>
      </c>
      <c r="O1734" t="str">
        <f t="shared" si="52"/>
        <v>1994-P Roosevelt Dime</v>
      </c>
      <c r="S1734" t="str" cm="1">
        <f t="array" ref="S1734">_xlfn.REGEXEXTRACT(E1734, "[0-9]{1,5}")</f>
        <v>1994</v>
      </c>
      <c r="T1734" t="s">
        <v>4222</v>
      </c>
      <c r="U1734" t="s">
        <v>984</v>
      </c>
    </row>
    <row r="1735" spans="1:21">
      <c r="A1735" s="136">
        <v>3</v>
      </c>
      <c r="B1735" s="251">
        <v>1994</v>
      </c>
      <c r="C1735" s="252" t="s">
        <v>13</v>
      </c>
      <c r="D1735" s="252" t="s">
        <v>1963</v>
      </c>
      <c r="E1735" s="253" t="s">
        <v>1049</v>
      </c>
      <c r="F1735" s="253" t="s">
        <v>2236</v>
      </c>
      <c r="G1735" s="253" t="s">
        <v>2579</v>
      </c>
      <c r="H1735" s="254">
        <v>0.1</v>
      </c>
      <c r="I1735" s="254">
        <v>0.1</v>
      </c>
      <c r="J1735" s="251">
        <v>1</v>
      </c>
      <c r="K1735" s="255"/>
      <c r="L1735" s="253"/>
      <c r="M1735" s="276" t="str">
        <f t="shared" si="53"/>
        <v>Photo</v>
      </c>
      <c r="N1735" s="279" t="s">
        <v>25</v>
      </c>
      <c r="O1735" t="str">
        <f t="shared" si="52"/>
        <v>1994-D Roosevelt Dime</v>
      </c>
      <c r="S1735" t="str" cm="1">
        <f t="array" ref="S1735">_xlfn.REGEXEXTRACT(E1735, "[0-9]{1,5}")</f>
        <v>1994</v>
      </c>
      <c r="T1735" t="s">
        <v>4222</v>
      </c>
      <c r="U1735" t="s">
        <v>984</v>
      </c>
    </row>
    <row r="1736" spans="1:21">
      <c r="A1736" s="136">
        <v>3</v>
      </c>
      <c r="B1736" s="251">
        <v>1994</v>
      </c>
      <c r="C1736" s="252" t="s">
        <v>25</v>
      </c>
      <c r="D1736" s="252" t="s">
        <v>1963</v>
      </c>
      <c r="E1736" s="253" t="s">
        <v>1050</v>
      </c>
      <c r="F1736" s="253" t="s">
        <v>2236</v>
      </c>
      <c r="G1736" s="253" t="s">
        <v>2579</v>
      </c>
      <c r="H1736" s="254">
        <v>0.1</v>
      </c>
      <c r="I1736" s="254">
        <v>0.1</v>
      </c>
      <c r="J1736" s="251">
        <v>1</v>
      </c>
      <c r="K1736" s="255"/>
      <c r="L1736" s="253"/>
      <c r="M1736" s="276" t="str">
        <f t="shared" si="53"/>
        <v>Photo</v>
      </c>
      <c r="N1736" s="279" t="s">
        <v>25</v>
      </c>
      <c r="O1736" t="str">
        <f t="shared" si="52"/>
        <v>1994-P Roosevelt Dime</v>
      </c>
      <c r="S1736" t="str" cm="1">
        <f t="array" ref="S1736">_xlfn.REGEXEXTRACT(E1736, "[0-9]{1,5}")</f>
        <v>1994</v>
      </c>
      <c r="T1736" t="s">
        <v>4222</v>
      </c>
      <c r="U1736" t="s">
        <v>984</v>
      </c>
    </row>
    <row r="1737" spans="1:21">
      <c r="A1737" s="136">
        <v>3</v>
      </c>
      <c r="B1737" s="251">
        <v>1995</v>
      </c>
      <c r="C1737" s="252" t="s">
        <v>25</v>
      </c>
      <c r="D1737" s="252" t="s">
        <v>1963</v>
      </c>
      <c r="E1737" s="253" t="s">
        <v>1051</v>
      </c>
      <c r="F1737" s="253" t="s">
        <v>2236</v>
      </c>
      <c r="G1737" s="253" t="s">
        <v>2579</v>
      </c>
      <c r="H1737" s="254">
        <v>0.1</v>
      </c>
      <c r="I1737" s="254">
        <v>0.1</v>
      </c>
      <c r="J1737" s="251">
        <v>1</v>
      </c>
      <c r="K1737" s="255"/>
      <c r="L1737" s="253"/>
      <c r="M1737" s="276" t="str">
        <f t="shared" si="53"/>
        <v>Photo</v>
      </c>
      <c r="N1737" s="279" t="s">
        <v>25</v>
      </c>
      <c r="O1737" t="str">
        <f t="shared" si="52"/>
        <v>1995-P Roosevelt Dime</v>
      </c>
      <c r="S1737" t="str" cm="1">
        <f t="array" ref="S1737">_xlfn.REGEXEXTRACT(E1737, "[0-9]{1,5}")</f>
        <v>1995</v>
      </c>
      <c r="T1737" t="s">
        <v>4222</v>
      </c>
      <c r="U1737" t="s">
        <v>984</v>
      </c>
    </row>
    <row r="1738" spans="1:21">
      <c r="A1738" s="136">
        <v>3</v>
      </c>
      <c r="B1738" s="251">
        <v>1995</v>
      </c>
      <c r="C1738" s="252" t="s">
        <v>25</v>
      </c>
      <c r="D1738" s="252" t="s">
        <v>1963</v>
      </c>
      <c r="E1738" s="253" t="s">
        <v>1052</v>
      </c>
      <c r="F1738" s="253" t="s">
        <v>2236</v>
      </c>
      <c r="G1738" s="253" t="s">
        <v>2579</v>
      </c>
      <c r="H1738" s="254">
        <v>0.1</v>
      </c>
      <c r="I1738" s="254">
        <v>0.1</v>
      </c>
      <c r="J1738" s="251">
        <v>1</v>
      </c>
      <c r="K1738" s="255"/>
      <c r="L1738" s="253"/>
      <c r="M1738" s="276" t="str">
        <f t="shared" si="53"/>
        <v>Photo</v>
      </c>
      <c r="N1738" s="279" t="s">
        <v>25</v>
      </c>
      <c r="O1738" t="str">
        <f t="shared" si="52"/>
        <v>1995-P Roosevelt Dime</v>
      </c>
      <c r="S1738" t="str" cm="1">
        <f t="array" ref="S1738">_xlfn.REGEXEXTRACT(E1738, "[0-9]{1,5}")</f>
        <v>1995</v>
      </c>
      <c r="T1738" t="s">
        <v>4222</v>
      </c>
      <c r="U1738" t="s">
        <v>984</v>
      </c>
    </row>
    <row r="1739" spans="1:21">
      <c r="A1739" s="136">
        <v>3</v>
      </c>
      <c r="B1739" s="251">
        <v>1996</v>
      </c>
      <c r="C1739" s="252" t="s">
        <v>25</v>
      </c>
      <c r="D1739" s="252" t="s">
        <v>1963</v>
      </c>
      <c r="E1739" s="253" t="s">
        <v>1053</v>
      </c>
      <c r="F1739" s="253" t="s">
        <v>2236</v>
      </c>
      <c r="G1739" s="253" t="s">
        <v>2579</v>
      </c>
      <c r="H1739" s="254">
        <v>0.1</v>
      </c>
      <c r="I1739" s="254">
        <v>0.1</v>
      </c>
      <c r="J1739" s="251">
        <v>1</v>
      </c>
      <c r="K1739" s="255"/>
      <c r="L1739" s="253"/>
      <c r="M1739" s="276" t="str">
        <f t="shared" si="53"/>
        <v>Photo</v>
      </c>
      <c r="N1739" s="279" t="s">
        <v>25</v>
      </c>
      <c r="O1739" t="str">
        <f t="shared" si="52"/>
        <v>1996-P Roosevelt Dime</v>
      </c>
      <c r="S1739" t="str" cm="1">
        <f t="array" ref="S1739">_xlfn.REGEXEXTRACT(E1739, "[0-9]{1,5}")</f>
        <v>1996</v>
      </c>
      <c r="T1739" t="s">
        <v>4222</v>
      </c>
      <c r="U1739" t="s">
        <v>984</v>
      </c>
    </row>
    <row r="1740" spans="1:21">
      <c r="A1740" s="136">
        <v>3</v>
      </c>
      <c r="B1740" s="251">
        <v>1996</v>
      </c>
      <c r="C1740" s="252" t="s">
        <v>25</v>
      </c>
      <c r="D1740" s="252" t="s">
        <v>1963</v>
      </c>
      <c r="E1740" s="253" t="s">
        <v>1054</v>
      </c>
      <c r="F1740" s="253" t="s">
        <v>2236</v>
      </c>
      <c r="G1740" s="253" t="s">
        <v>2579</v>
      </c>
      <c r="H1740" s="254">
        <v>0.1</v>
      </c>
      <c r="I1740" s="254">
        <v>0.1</v>
      </c>
      <c r="J1740" s="251">
        <v>1</v>
      </c>
      <c r="K1740" s="255"/>
      <c r="L1740" s="253"/>
      <c r="M1740" s="276" t="str">
        <f t="shared" si="53"/>
        <v>Photo</v>
      </c>
      <c r="N1740" s="279" t="s">
        <v>25</v>
      </c>
      <c r="O1740" t="str">
        <f t="shared" si="52"/>
        <v>1996-P Roosevelt Dime</v>
      </c>
      <c r="S1740" t="str" cm="1">
        <f t="array" ref="S1740">_xlfn.REGEXEXTRACT(E1740, "[0-9]{1,5}")</f>
        <v>1996</v>
      </c>
      <c r="T1740" t="s">
        <v>4222</v>
      </c>
      <c r="U1740" t="s">
        <v>984</v>
      </c>
    </row>
    <row r="1741" spans="1:21">
      <c r="A1741" s="136">
        <v>3</v>
      </c>
      <c r="B1741" s="251">
        <v>1996</v>
      </c>
      <c r="C1741" s="252" t="s">
        <v>25</v>
      </c>
      <c r="D1741" s="252" t="s">
        <v>1963</v>
      </c>
      <c r="E1741" s="253" t="s">
        <v>1055</v>
      </c>
      <c r="F1741" s="253" t="s">
        <v>2236</v>
      </c>
      <c r="G1741" s="253" t="s">
        <v>2579</v>
      </c>
      <c r="H1741" s="254">
        <v>0.1</v>
      </c>
      <c r="I1741" s="254">
        <v>0.1</v>
      </c>
      <c r="J1741" s="251">
        <v>1</v>
      </c>
      <c r="K1741" s="255"/>
      <c r="L1741" s="253"/>
      <c r="M1741" s="276" t="str">
        <f t="shared" si="53"/>
        <v>Photo</v>
      </c>
      <c r="N1741" s="279" t="s">
        <v>25</v>
      </c>
      <c r="O1741" t="str">
        <f t="shared" si="52"/>
        <v>1996-P Roosevelt Dime</v>
      </c>
      <c r="S1741" t="str" cm="1">
        <f t="array" ref="S1741">_xlfn.REGEXEXTRACT(E1741, "[0-9]{1,5}")</f>
        <v>1996</v>
      </c>
      <c r="T1741" t="s">
        <v>4223</v>
      </c>
      <c r="U1741" t="s">
        <v>984</v>
      </c>
    </row>
    <row r="1742" spans="1:21">
      <c r="A1742" s="136">
        <v>3</v>
      </c>
      <c r="B1742" s="251">
        <v>1996</v>
      </c>
      <c r="C1742" s="252" t="s">
        <v>13</v>
      </c>
      <c r="D1742" s="252" t="s">
        <v>1963</v>
      </c>
      <c r="E1742" s="253" t="s">
        <v>1056</v>
      </c>
      <c r="F1742" s="253" t="s">
        <v>2236</v>
      </c>
      <c r="G1742" s="253" t="s">
        <v>2579</v>
      </c>
      <c r="H1742" s="254">
        <v>0.1</v>
      </c>
      <c r="I1742" s="254">
        <v>0.1</v>
      </c>
      <c r="J1742" s="251">
        <v>1</v>
      </c>
      <c r="K1742" s="255"/>
      <c r="L1742" s="253"/>
      <c r="M1742" s="276" t="str">
        <f t="shared" si="53"/>
        <v>Photo</v>
      </c>
      <c r="N1742" s="279" t="s">
        <v>25</v>
      </c>
      <c r="O1742" t="str">
        <f t="shared" si="52"/>
        <v>1996-D Roosevelt Dime</v>
      </c>
      <c r="S1742" t="str" cm="1">
        <f t="array" ref="S1742">_xlfn.REGEXEXTRACT(E1742, "[0-9]{1,5}")</f>
        <v>1996</v>
      </c>
      <c r="T1742" t="s">
        <v>4223</v>
      </c>
      <c r="U1742" t="s">
        <v>984</v>
      </c>
    </row>
    <row r="1743" spans="1:21">
      <c r="A1743" s="136">
        <v>3</v>
      </c>
      <c r="B1743" s="251">
        <v>1996</v>
      </c>
      <c r="C1743" s="252" t="s">
        <v>13</v>
      </c>
      <c r="D1743" s="252" t="s">
        <v>1963</v>
      </c>
      <c r="E1743" s="253" t="s">
        <v>1057</v>
      </c>
      <c r="F1743" s="253" t="s">
        <v>2236</v>
      </c>
      <c r="G1743" s="253" t="s">
        <v>2579</v>
      </c>
      <c r="H1743" s="254">
        <v>0.1</v>
      </c>
      <c r="I1743" s="254">
        <v>0.1</v>
      </c>
      <c r="J1743" s="251">
        <v>1</v>
      </c>
      <c r="K1743" s="255"/>
      <c r="L1743" s="253"/>
      <c r="M1743" s="276" t="str">
        <f t="shared" si="53"/>
        <v>Photo</v>
      </c>
      <c r="N1743" s="279" t="s">
        <v>25</v>
      </c>
      <c r="O1743" t="str">
        <f t="shared" si="52"/>
        <v>1996-D Roosevelt Dime</v>
      </c>
      <c r="S1743" t="str" cm="1">
        <f t="array" ref="S1743">_xlfn.REGEXEXTRACT(E1743, "[0-9]{1,5}")</f>
        <v>1996</v>
      </c>
      <c r="T1743" t="s">
        <v>4223</v>
      </c>
      <c r="U1743" t="s">
        <v>984</v>
      </c>
    </row>
    <row r="1744" spans="1:21">
      <c r="A1744" s="136">
        <v>3</v>
      </c>
      <c r="B1744" s="251">
        <v>1996</v>
      </c>
      <c r="C1744" s="252" t="s">
        <v>13</v>
      </c>
      <c r="D1744" s="252" t="s">
        <v>1963</v>
      </c>
      <c r="E1744" s="253" t="s">
        <v>1059</v>
      </c>
      <c r="F1744" s="253" t="s">
        <v>2236</v>
      </c>
      <c r="G1744" s="253" t="s">
        <v>2579</v>
      </c>
      <c r="H1744" s="254">
        <v>0.1</v>
      </c>
      <c r="I1744" s="254">
        <v>0.1</v>
      </c>
      <c r="J1744" s="251">
        <v>1</v>
      </c>
      <c r="K1744" s="255"/>
      <c r="L1744" s="253"/>
      <c r="M1744" s="276" t="str">
        <f t="shared" si="53"/>
        <v>Photo</v>
      </c>
      <c r="N1744" s="279" t="s">
        <v>25</v>
      </c>
      <c r="O1744" t="str">
        <f t="shared" si="52"/>
        <v>1996-D Roosevelt Dime</v>
      </c>
      <c r="S1744" t="str" cm="1">
        <f t="array" ref="S1744">_xlfn.REGEXEXTRACT(E1744, "[0-9]{1,5}")</f>
        <v>1996</v>
      </c>
      <c r="T1744" t="s">
        <v>4223</v>
      </c>
      <c r="U1744" t="s">
        <v>984</v>
      </c>
    </row>
    <row r="1745" spans="1:21">
      <c r="A1745" s="136">
        <v>3</v>
      </c>
      <c r="B1745" s="251">
        <v>1997</v>
      </c>
      <c r="C1745" s="252" t="s">
        <v>25</v>
      </c>
      <c r="D1745" s="252" t="s">
        <v>1963</v>
      </c>
      <c r="E1745" s="253" t="s">
        <v>1058</v>
      </c>
      <c r="F1745" s="253" t="s">
        <v>2236</v>
      </c>
      <c r="G1745" s="253" t="s">
        <v>2579</v>
      </c>
      <c r="H1745" s="254">
        <v>0.1</v>
      </c>
      <c r="I1745" s="254">
        <v>0.1</v>
      </c>
      <c r="J1745" s="251">
        <v>1</v>
      </c>
      <c r="K1745" s="255"/>
      <c r="L1745" s="253"/>
      <c r="M1745" s="276" t="str">
        <f t="shared" si="53"/>
        <v>Photo</v>
      </c>
      <c r="N1745" s="279" t="s">
        <v>25</v>
      </c>
      <c r="O1745" t="str">
        <f t="shared" si="52"/>
        <v>1997-P Roosevelt Dime</v>
      </c>
      <c r="S1745" t="str" cm="1">
        <f t="array" ref="S1745">_xlfn.REGEXEXTRACT(E1745, "[0-9]{1,5}")</f>
        <v>1997</v>
      </c>
      <c r="T1745" t="s">
        <v>4223</v>
      </c>
      <c r="U1745" t="s">
        <v>984</v>
      </c>
    </row>
    <row r="1746" spans="1:21">
      <c r="A1746" s="136">
        <v>3</v>
      </c>
      <c r="B1746" s="251">
        <v>1997</v>
      </c>
      <c r="C1746" s="252" t="s">
        <v>25</v>
      </c>
      <c r="D1746" s="252" t="s">
        <v>1963</v>
      </c>
      <c r="E1746" s="253" t="s">
        <v>1060</v>
      </c>
      <c r="F1746" s="253" t="s">
        <v>2236</v>
      </c>
      <c r="G1746" s="253" t="s">
        <v>2579</v>
      </c>
      <c r="H1746" s="254">
        <v>0.1</v>
      </c>
      <c r="I1746" s="254">
        <v>0.1</v>
      </c>
      <c r="J1746" s="251">
        <v>1</v>
      </c>
      <c r="K1746" s="255"/>
      <c r="L1746" s="253"/>
      <c r="M1746" s="276" t="str">
        <f t="shared" si="53"/>
        <v>Photo</v>
      </c>
      <c r="N1746" s="279" t="s">
        <v>25</v>
      </c>
      <c r="O1746" t="str">
        <f t="shared" si="52"/>
        <v>1997-P Roosevelt Dime</v>
      </c>
      <c r="S1746" t="str" cm="1">
        <f t="array" ref="S1746">_xlfn.REGEXEXTRACT(E1746, "[0-9]{1,5}")</f>
        <v>1997</v>
      </c>
      <c r="T1746" t="s">
        <v>4224</v>
      </c>
      <c r="U1746" t="s">
        <v>984</v>
      </c>
    </row>
    <row r="1747" spans="1:21">
      <c r="A1747" s="136">
        <v>3</v>
      </c>
      <c r="B1747" s="251">
        <v>1997</v>
      </c>
      <c r="C1747" s="252" t="s">
        <v>13</v>
      </c>
      <c r="D1747" s="252" t="s">
        <v>1963</v>
      </c>
      <c r="E1747" s="253" t="s">
        <v>1061</v>
      </c>
      <c r="F1747" s="253" t="s">
        <v>2236</v>
      </c>
      <c r="G1747" s="253" t="s">
        <v>2579</v>
      </c>
      <c r="H1747" s="254">
        <v>0.1</v>
      </c>
      <c r="I1747" s="254">
        <v>0.1</v>
      </c>
      <c r="J1747" s="251">
        <v>1</v>
      </c>
      <c r="K1747" s="255"/>
      <c r="L1747" s="253"/>
      <c r="M1747" s="276" t="str">
        <f t="shared" si="53"/>
        <v>Photo</v>
      </c>
      <c r="N1747" s="279" t="s">
        <v>25</v>
      </c>
      <c r="O1747" t="str">
        <f t="shared" si="52"/>
        <v>1997-D Roosevelt Dime</v>
      </c>
      <c r="S1747" t="str" cm="1">
        <f t="array" ref="S1747">_xlfn.REGEXEXTRACT(E1747, "[0-9]{1,5}")</f>
        <v>1997</v>
      </c>
      <c r="T1747" t="s">
        <v>4224</v>
      </c>
      <c r="U1747" t="s">
        <v>984</v>
      </c>
    </row>
    <row r="1748" spans="1:21">
      <c r="A1748" s="136">
        <v>3</v>
      </c>
      <c r="B1748" s="251">
        <v>1997</v>
      </c>
      <c r="C1748" s="252" t="s">
        <v>13</v>
      </c>
      <c r="D1748" s="252" t="s">
        <v>1963</v>
      </c>
      <c r="E1748" s="253" t="s">
        <v>1062</v>
      </c>
      <c r="F1748" s="253" t="s">
        <v>2236</v>
      </c>
      <c r="G1748" s="253" t="s">
        <v>2579</v>
      </c>
      <c r="H1748" s="254">
        <v>0.1</v>
      </c>
      <c r="I1748" s="254">
        <v>0.1</v>
      </c>
      <c r="J1748" s="251">
        <v>1</v>
      </c>
      <c r="K1748" s="255"/>
      <c r="L1748" s="253"/>
      <c r="M1748" s="276" t="str">
        <f t="shared" si="53"/>
        <v>Photo</v>
      </c>
      <c r="N1748" s="279" t="s">
        <v>25</v>
      </c>
      <c r="O1748" t="str">
        <f t="shared" si="52"/>
        <v>1997-D Roosevelt Dime</v>
      </c>
      <c r="S1748" t="str" cm="1">
        <f t="array" ref="S1748">_xlfn.REGEXEXTRACT(E1748, "[0-9]{1,5}")</f>
        <v>1997</v>
      </c>
      <c r="T1748" t="s">
        <v>4224</v>
      </c>
      <c r="U1748" t="s">
        <v>984</v>
      </c>
    </row>
    <row r="1749" spans="1:21">
      <c r="A1749" s="136">
        <v>3</v>
      </c>
      <c r="B1749" s="251">
        <v>1998</v>
      </c>
      <c r="C1749" s="252" t="s">
        <v>13</v>
      </c>
      <c r="D1749" s="252" t="s">
        <v>1963</v>
      </c>
      <c r="E1749" s="253" t="s">
        <v>1063</v>
      </c>
      <c r="F1749" s="253" t="s">
        <v>2236</v>
      </c>
      <c r="G1749" s="253" t="s">
        <v>2579</v>
      </c>
      <c r="H1749" s="254">
        <v>0.1</v>
      </c>
      <c r="I1749" s="254">
        <v>0.1</v>
      </c>
      <c r="J1749" s="251">
        <v>1</v>
      </c>
      <c r="K1749" s="255"/>
      <c r="L1749" s="253"/>
      <c r="M1749" s="276" t="str">
        <f t="shared" si="53"/>
        <v>Photo</v>
      </c>
      <c r="N1749" s="279" t="s">
        <v>25</v>
      </c>
      <c r="O1749" t="str">
        <f t="shared" si="52"/>
        <v>1998-D Roosevelt Dime</v>
      </c>
      <c r="S1749" t="str" cm="1">
        <f t="array" ref="S1749">_xlfn.REGEXEXTRACT(E1749, "[0-9]{1,5}")</f>
        <v>1998</v>
      </c>
      <c r="T1749" t="s">
        <v>4224</v>
      </c>
      <c r="U1749" t="s">
        <v>984</v>
      </c>
    </row>
    <row r="1750" spans="1:21">
      <c r="A1750" s="136">
        <v>3</v>
      </c>
      <c r="B1750" s="251">
        <v>1998</v>
      </c>
      <c r="C1750" s="252" t="s">
        <v>13</v>
      </c>
      <c r="D1750" s="252" t="s">
        <v>1963</v>
      </c>
      <c r="E1750" s="253" t="s">
        <v>1064</v>
      </c>
      <c r="F1750" s="253" t="s">
        <v>2236</v>
      </c>
      <c r="G1750" s="253" t="s">
        <v>2579</v>
      </c>
      <c r="H1750" s="254">
        <v>0.1</v>
      </c>
      <c r="I1750" s="254">
        <v>0.1</v>
      </c>
      <c r="J1750" s="251">
        <v>1</v>
      </c>
      <c r="K1750" s="255"/>
      <c r="L1750" s="253"/>
      <c r="M1750" s="276" t="str">
        <f t="shared" si="53"/>
        <v>Photo</v>
      </c>
      <c r="N1750" s="279" t="s">
        <v>25</v>
      </c>
      <c r="O1750" t="str">
        <f t="shared" si="52"/>
        <v>1998-D Roosevelt Dime</v>
      </c>
      <c r="S1750" t="str" cm="1">
        <f t="array" ref="S1750">_xlfn.REGEXEXTRACT(E1750, "[0-9]{1,5}")</f>
        <v>1998</v>
      </c>
      <c r="T1750" t="s">
        <v>4225</v>
      </c>
      <c r="U1750" t="s">
        <v>984</v>
      </c>
    </row>
    <row r="1751" spans="1:21">
      <c r="A1751" s="136">
        <v>3</v>
      </c>
      <c r="B1751" s="251">
        <v>1998</v>
      </c>
      <c r="C1751" s="252" t="s">
        <v>25</v>
      </c>
      <c r="D1751" s="252" t="s">
        <v>1963</v>
      </c>
      <c r="E1751" s="253" t="s">
        <v>1065</v>
      </c>
      <c r="F1751" s="253" t="s">
        <v>2236</v>
      </c>
      <c r="G1751" s="253" t="s">
        <v>2579</v>
      </c>
      <c r="H1751" s="254">
        <v>0.1</v>
      </c>
      <c r="I1751" s="254">
        <v>0.1</v>
      </c>
      <c r="J1751" s="251">
        <v>1</v>
      </c>
      <c r="K1751" s="255"/>
      <c r="L1751" s="253"/>
      <c r="M1751" s="276" t="str">
        <f t="shared" si="53"/>
        <v>Photo</v>
      </c>
      <c r="N1751" s="279" t="s">
        <v>25</v>
      </c>
      <c r="O1751" t="str">
        <f t="shared" si="52"/>
        <v>1998-P Roosevelt Dime</v>
      </c>
      <c r="S1751" t="str" cm="1">
        <f t="array" ref="S1751">_xlfn.REGEXEXTRACT(E1751, "[0-9]{1,5}")</f>
        <v>1998</v>
      </c>
      <c r="T1751" t="s">
        <v>4225</v>
      </c>
      <c r="U1751" t="s">
        <v>984</v>
      </c>
    </row>
    <row r="1752" spans="1:21">
      <c r="A1752" s="136">
        <v>3</v>
      </c>
      <c r="B1752" s="251">
        <v>1998</v>
      </c>
      <c r="C1752" s="252" t="s">
        <v>13</v>
      </c>
      <c r="D1752" s="252" t="s">
        <v>1963</v>
      </c>
      <c r="E1752" s="253" t="s">
        <v>1067</v>
      </c>
      <c r="F1752" s="253" t="s">
        <v>2236</v>
      </c>
      <c r="G1752" s="253" t="s">
        <v>2579</v>
      </c>
      <c r="H1752" s="254">
        <v>0.1</v>
      </c>
      <c r="I1752" s="254">
        <v>0.1</v>
      </c>
      <c r="J1752" s="251">
        <v>1</v>
      </c>
      <c r="K1752" s="255"/>
      <c r="L1752" s="253"/>
      <c r="M1752" s="276" t="str">
        <f t="shared" si="53"/>
        <v>Photo</v>
      </c>
      <c r="N1752" s="279" t="s">
        <v>25</v>
      </c>
      <c r="O1752" t="str">
        <f t="shared" si="52"/>
        <v>1998-D Roosevelt Dime</v>
      </c>
      <c r="S1752" t="str" cm="1">
        <f t="array" ref="S1752">_xlfn.REGEXEXTRACT(E1752, "[0-9]{1,5}")</f>
        <v>1998</v>
      </c>
      <c r="T1752" t="s">
        <v>4225</v>
      </c>
      <c r="U1752" t="s">
        <v>984</v>
      </c>
    </row>
    <row r="1753" spans="1:21">
      <c r="A1753" s="136">
        <v>3</v>
      </c>
      <c r="B1753" s="251">
        <v>1999</v>
      </c>
      <c r="C1753" s="252" t="s">
        <v>13</v>
      </c>
      <c r="D1753" s="252" t="s">
        <v>1963</v>
      </c>
      <c r="E1753" s="253" t="s">
        <v>1066</v>
      </c>
      <c r="F1753" s="253" t="s">
        <v>2236</v>
      </c>
      <c r="G1753" s="253" t="s">
        <v>2579</v>
      </c>
      <c r="H1753" s="254">
        <v>0.1</v>
      </c>
      <c r="I1753" s="254">
        <v>0.1</v>
      </c>
      <c r="J1753" s="251">
        <v>1</v>
      </c>
      <c r="K1753" s="255"/>
      <c r="L1753" s="253"/>
      <c r="M1753" s="276" t="str">
        <f t="shared" si="53"/>
        <v>Photo</v>
      </c>
      <c r="N1753" s="279" t="s">
        <v>25</v>
      </c>
      <c r="O1753" t="str">
        <f t="shared" si="52"/>
        <v>1999-D Roosevelt Dime</v>
      </c>
      <c r="S1753" t="str" cm="1">
        <f t="array" ref="S1753">_xlfn.REGEXEXTRACT(E1753, "[0-9]{1,5}")</f>
        <v>1999</v>
      </c>
      <c r="T1753" t="s">
        <v>4226</v>
      </c>
      <c r="U1753" t="s">
        <v>984</v>
      </c>
    </row>
    <row r="1754" spans="1:21">
      <c r="A1754" s="136">
        <v>3</v>
      </c>
      <c r="B1754" s="251">
        <v>1999</v>
      </c>
      <c r="C1754" s="252" t="s">
        <v>25</v>
      </c>
      <c r="D1754" s="252" t="s">
        <v>1963</v>
      </c>
      <c r="E1754" s="253" t="s">
        <v>1068</v>
      </c>
      <c r="F1754" s="253" t="s">
        <v>2236</v>
      </c>
      <c r="G1754" s="253" t="s">
        <v>2579</v>
      </c>
      <c r="H1754" s="254">
        <v>0.1</v>
      </c>
      <c r="I1754" s="254">
        <v>0.1</v>
      </c>
      <c r="J1754" s="251">
        <v>1</v>
      </c>
      <c r="K1754" s="255"/>
      <c r="L1754" s="253"/>
      <c r="M1754" s="276" t="str">
        <f t="shared" si="53"/>
        <v>Photo</v>
      </c>
      <c r="N1754" s="279" t="s">
        <v>25</v>
      </c>
      <c r="O1754" t="str">
        <f t="shared" si="52"/>
        <v>1999-P Roosevelt Dime</v>
      </c>
      <c r="S1754" t="str" cm="1">
        <f t="array" ref="S1754">_xlfn.REGEXEXTRACT(E1754, "[0-9]{1,5}")</f>
        <v>1999</v>
      </c>
      <c r="T1754" t="s">
        <v>4226</v>
      </c>
      <c r="U1754" t="s">
        <v>984</v>
      </c>
    </row>
    <row r="1755" spans="1:21">
      <c r="A1755" s="136">
        <v>3</v>
      </c>
      <c r="B1755" s="251">
        <v>1999</v>
      </c>
      <c r="C1755" s="252" t="s">
        <v>25</v>
      </c>
      <c r="D1755" s="252" t="s">
        <v>1963</v>
      </c>
      <c r="E1755" s="253" t="s">
        <v>1069</v>
      </c>
      <c r="F1755" s="253" t="s">
        <v>2236</v>
      </c>
      <c r="G1755" s="253" t="s">
        <v>2579</v>
      </c>
      <c r="H1755" s="254">
        <v>0.1</v>
      </c>
      <c r="I1755" s="254">
        <v>0.1</v>
      </c>
      <c r="J1755" s="251">
        <v>1</v>
      </c>
      <c r="K1755" s="255"/>
      <c r="L1755" s="253"/>
      <c r="M1755" s="276" t="str">
        <f t="shared" si="53"/>
        <v>Photo</v>
      </c>
      <c r="N1755" s="279" t="s">
        <v>25</v>
      </c>
      <c r="O1755" t="str">
        <f t="shared" si="52"/>
        <v>1999-P Roosevelt Dime</v>
      </c>
      <c r="S1755" t="str" cm="1">
        <f t="array" ref="S1755">_xlfn.REGEXEXTRACT(E1755, "[0-9]{1,5}")</f>
        <v>1999</v>
      </c>
      <c r="T1755" t="s">
        <v>4226</v>
      </c>
      <c r="U1755" t="s">
        <v>984</v>
      </c>
    </row>
    <row r="1756" spans="1:21">
      <c r="A1756" s="136">
        <v>3</v>
      </c>
      <c r="B1756" s="251">
        <v>1999</v>
      </c>
      <c r="C1756" s="252" t="s">
        <v>13</v>
      </c>
      <c r="D1756" s="252" t="s">
        <v>1963</v>
      </c>
      <c r="E1756" s="253" t="s">
        <v>1070</v>
      </c>
      <c r="F1756" s="253" t="s">
        <v>2236</v>
      </c>
      <c r="G1756" s="253" t="s">
        <v>2579</v>
      </c>
      <c r="H1756" s="254">
        <v>0.1</v>
      </c>
      <c r="I1756" s="254">
        <v>0.1</v>
      </c>
      <c r="J1756" s="251">
        <v>1</v>
      </c>
      <c r="K1756" s="255"/>
      <c r="L1756" s="253"/>
      <c r="M1756" s="276" t="str">
        <f t="shared" si="53"/>
        <v>Photo</v>
      </c>
      <c r="N1756" s="279" t="s">
        <v>25</v>
      </c>
      <c r="O1756" t="str">
        <f t="shared" si="52"/>
        <v>1999-D Roosevelt Dime</v>
      </c>
      <c r="S1756" t="str" cm="1">
        <f t="array" ref="S1756">_xlfn.REGEXEXTRACT(E1756, "[0-9]{1,5}")</f>
        <v>1999</v>
      </c>
    </row>
    <row r="1757" spans="1:21">
      <c r="A1757" s="136">
        <v>3</v>
      </c>
      <c r="B1757" s="251">
        <v>2000</v>
      </c>
      <c r="C1757" s="252" t="s">
        <v>13</v>
      </c>
      <c r="D1757" s="252" t="s">
        <v>1963</v>
      </c>
      <c r="E1757" s="253" t="s">
        <v>1071</v>
      </c>
      <c r="F1757" s="253" t="s">
        <v>2236</v>
      </c>
      <c r="G1757" s="253" t="s">
        <v>2579</v>
      </c>
      <c r="H1757" s="254">
        <v>0.1</v>
      </c>
      <c r="I1757" s="254">
        <v>0.1</v>
      </c>
      <c r="J1757" s="251">
        <v>1</v>
      </c>
      <c r="K1757" s="255"/>
      <c r="L1757" s="253"/>
      <c r="M1757" s="276" t="str">
        <f t="shared" si="53"/>
        <v>Photo</v>
      </c>
      <c r="N1757" s="279" t="s">
        <v>25</v>
      </c>
      <c r="O1757" t="str">
        <f t="shared" si="52"/>
        <v>2000-D Roosevelt Dime</v>
      </c>
      <c r="S1757" t="str" cm="1">
        <f t="array" ref="S1757">_xlfn.REGEXEXTRACT(E1757, "[0-9]{1,5}")</f>
        <v>2000</v>
      </c>
      <c r="T1757" t="s">
        <v>4227</v>
      </c>
      <c r="U1757" t="s">
        <v>984</v>
      </c>
    </row>
    <row r="1758" spans="1:21">
      <c r="A1758" s="136">
        <v>3</v>
      </c>
      <c r="B1758" s="251">
        <v>2000</v>
      </c>
      <c r="C1758" s="252" t="s">
        <v>13</v>
      </c>
      <c r="D1758" s="252" t="s">
        <v>1963</v>
      </c>
      <c r="E1758" s="253" t="s">
        <v>1072</v>
      </c>
      <c r="F1758" s="253" t="s">
        <v>2236</v>
      </c>
      <c r="G1758" s="253" t="s">
        <v>2579</v>
      </c>
      <c r="H1758" s="254">
        <v>0.1</v>
      </c>
      <c r="I1758" s="254">
        <v>0.1</v>
      </c>
      <c r="J1758" s="251">
        <v>1</v>
      </c>
      <c r="K1758" s="255"/>
      <c r="L1758" s="253"/>
      <c r="M1758" s="276" t="str">
        <f t="shared" si="53"/>
        <v>Photo</v>
      </c>
      <c r="N1758" s="279" t="s">
        <v>25</v>
      </c>
      <c r="O1758" t="str">
        <f t="shared" si="52"/>
        <v>2000-D Roosevelt Dime</v>
      </c>
      <c r="S1758" t="str" cm="1">
        <f t="array" ref="S1758">_xlfn.REGEXEXTRACT(E1758, "[0-9]{1,5}")</f>
        <v>2000</v>
      </c>
      <c r="T1758" t="s">
        <v>4227</v>
      </c>
      <c r="U1758" t="s">
        <v>984</v>
      </c>
    </row>
    <row r="1759" spans="1:21">
      <c r="A1759" s="136">
        <v>3</v>
      </c>
      <c r="B1759" s="251">
        <v>2001</v>
      </c>
      <c r="C1759" s="252" t="s">
        <v>13</v>
      </c>
      <c r="D1759" s="252" t="s">
        <v>1963</v>
      </c>
      <c r="E1759" s="253" t="s">
        <v>1073</v>
      </c>
      <c r="F1759" s="253" t="s">
        <v>2236</v>
      </c>
      <c r="G1759" s="253" t="s">
        <v>2579</v>
      </c>
      <c r="H1759" s="254">
        <v>0.1</v>
      </c>
      <c r="I1759" s="254">
        <v>0.1</v>
      </c>
      <c r="J1759" s="251">
        <v>1</v>
      </c>
      <c r="K1759" s="255"/>
      <c r="L1759" s="253"/>
      <c r="M1759" s="276" t="str">
        <f t="shared" si="53"/>
        <v>Photo</v>
      </c>
      <c r="N1759" s="279" t="s">
        <v>25</v>
      </c>
      <c r="O1759" t="str">
        <f t="shared" si="52"/>
        <v>2001-D Roosevelt Dime</v>
      </c>
      <c r="S1759" t="str" cm="1">
        <f t="array" ref="S1759">_xlfn.REGEXEXTRACT(E1759, "[0-9]{1,5}")</f>
        <v>2001</v>
      </c>
      <c r="T1759" t="s">
        <v>4227</v>
      </c>
      <c r="U1759" t="s">
        <v>984</v>
      </c>
    </row>
    <row r="1760" spans="1:21">
      <c r="A1760" s="136">
        <v>3</v>
      </c>
      <c r="B1760" s="251">
        <v>2001</v>
      </c>
      <c r="C1760" s="252" t="s">
        <v>13</v>
      </c>
      <c r="D1760" s="252" t="s">
        <v>1963</v>
      </c>
      <c r="E1760" s="253" t="s">
        <v>1076</v>
      </c>
      <c r="F1760" s="253" t="s">
        <v>2236</v>
      </c>
      <c r="G1760" s="253" t="s">
        <v>2579</v>
      </c>
      <c r="H1760" s="254">
        <v>0.1</v>
      </c>
      <c r="I1760" s="254">
        <v>0.1</v>
      </c>
      <c r="J1760" s="251">
        <v>1</v>
      </c>
      <c r="K1760" s="255"/>
      <c r="L1760" s="253"/>
      <c r="M1760" s="276" t="str">
        <f t="shared" si="53"/>
        <v>Photo</v>
      </c>
      <c r="N1760" s="279" t="s">
        <v>25</v>
      </c>
      <c r="O1760" t="str">
        <f t="shared" si="52"/>
        <v>2001-D Roosevelt Dime</v>
      </c>
      <c r="S1760" t="str" cm="1">
        <f t="array" ref="S1760">_xlfn.REGEXEXTRACT(E1760, "[0-9]{1,5}")</f>
        <v>2001</v>
      </c>
      <c r="T1760" t="s">
        <v>4227</v>
      </c>
      <c r="U1760" t="s">
        <v>984</v>
      </c>
    </row>
    <row r="1761" spans="1:21">
      <c r="A1761" s="136">
        <v>3</v>
      </c>
      <c r="B1761" s="251">
        <v>2001</v>
      </c>
      <c r="C1761" s="252" t="s">
        <v>13</v>
      </c>
      <c r="D1761" s="252" t="s">
        <v>1963</v>
      </c>
      <c r="E1761" s="253" t="s">
        <v>3942</v>
      </c>
      <c r="F1761" s="253" t="s">
        <v>2236</v>
      </c>
      <c r="G1761" s="253" t="s">
        <v>2579</v>
      </c>
      <c r="H1761" s="254">
        <v>0.1</v>
      </c>
      <c r="I1761" s="254">
        <v>0.1</v>
      </c>
      <c r="J1761" s="251">
        <v>1</v>
      </c>
      <c r="K1761" s="255"/>
      <c r="L1761" s="253"/>
      <c r="M1761" s="276" t="str">
        <f t="shared" si="53"/>
        <v>Photo</v>
      </c>
      <c r="N1761" s="279" t="s">
        <v>25</v>
      </c>
      <c r="O1761" t="str">
        <f t="shared" si="52"/>
        <v>2001-D Roosevelt Dime</v>
      </c>
      <c r="S1761" t="str" cm="1">
        <f t="array" ref="S1761">_xlfn.REGEXEXTRACT(E1761, "[0-9]{1,5}")</f>
        <v>2001</v>
      </c>
      <c r="T1761" t="s">
        <v>4229</v>
      </c>
      <c r="U1761" t="s">
        <v>984</v>
      </c>
    </row>
    <row r="1762" spans="1:21">
      <c r="A1762" s="136">
        <v>3</v>
      </c>
      <c r="B1762" s="251">
        <v>2002</v>
      </c>
      <c r="C1762" s="252" t="s">
        <v>13</v>
      </c>
      <c r="D1762" s="252" t="s">
        <v>1963</v>
      </c>
      <c r="E1762" s="253" t="s">
        <v>1074</v>
      </c>
      <c r="F1762" s="253" t="s">
        <v>2236</v>
      </c>
      <c r="G1762" s="253" t="s">
        <v>2579</v>
      </c>
      <c r="H1762" s="254">
        <v>0.1</v>
      </c>
      <c r="I1762" s="254">
        <v>0.1</v>
      </c>
      <c r="J1762" s="251">
        <v>1</v>
      </c>
      <c r="K1762" s="255"/>
      <c r="L1762" s="253"/>
      <c r="M1762" s="276" t="str">
        <f t="shared" si="53"/>
        <v>Photo</v>
      </c>
      <c r="N1762" s="279" t="s">
        <v>25</v>
      </c>
      <c r="O1762" t="str">
        <f t="shared" si="52"/>
        <v>2002-D Roosevelt Dime</v>
      </c>
      <c r="S1762" t="str" cm="1">
        <f t="array" ref="S1762">_xlfn.REGEXEXTRACT(E1762, "[0-9]{1,5}")</f>
        <v>2002</v>
      </c>
      <c r="T1762" t="s">
        <v>4229</v>
      </c>
      <c r="U1762" t="s">
        <v>984</v>
      </c>
    </row>
    <row r="1763" spans="1:21">
      <c r="A1763" s="136">
        <v>3</v>
      </c>
      <c r="B1763" s="233">
        <v>2002</v>
      </c>
      <c r="C1763" s="234" t="s">
        <v>25</v>
      </c>
      <c r="D1763" s="234" t="s">
        <v>1963</v>
      </c>
      <c r="E1763" s="235" t="s">
        <v>2235</v>
      </c>
      <c r="F1763" s="235" t="s">
        <v>2236</v>
      </c>
      <c r="G1763" s="235" t="s">
        <v>2579</v>
      </c>
      <c r="H1763" s="236">
        <v>0.1</v>
      </c>
      <c r="I1763" s="236">
        <v>0.1</v>
      </c>
      <c r="J1763" s="233">
        <v>1</v>
      </c>
      <c r="K1763" s="237"/>
      <c r="L1763" s="235"/>
      <c r="M1763" s="276" t="str">
        <f t="shared" si="53"/>
        <v>Photo</v>
      </c>
      <c r="N1763" s="279" t="s">
        <v>25</v>
      </c>
      <c r="O1763" t="str">
        <f t="shared" si="52"/>
        <v>2002-P Roosevelt Dime</v>
      </c>
      <c r="S1763" t="str" cm="1">
        <f t="array" ref="S1763">_xlfn.REGEXEXTRACT(E1763, "[0-9]{1,5}")</f>
        <v>2002</v>
      </c>
      <c r="T1763" t="s">
        <v>4229</v>
      </c>
      <c r="U1763" t="s">
        <v>984</v>
      </c>
    </row>
    <row r="1764" spans="1:21">
      <c r="A1764" s="136">
        <v>3</v>
      </c>
      <c r="B1764" s="233">
        <v>2002</v>
      </c>
      <c r="C1764" s="234" t="s">
        <v>25</v>
      </c>
      <c r="D1764" s="234" t="s">
        <v>1963</v>
      </c>
      <c r="E1764" s="235" t="s">
        <v>3850</v>
      </c>
      <c r="F1764" s="235" t="s">
        <v>2236</v>
      </c>
      <c r="G1764" s="235" t="s">
        <v>2579</v>
      </c>
      <c r="H1764" s="236">
        <v>0.1</v>
      </c>
      <c r="I1764" s="236">
        <v>0.1</v>
      </c>
      <c r="J1764" s="233">
        <v>1</v>
      </c>
      <c r="K1764" s="237"/>
      <c r="L1764" s="235"/>
      <c r="M1764" s="276" t="str">
        <f t="shared" si="53"/>
        <v>Photo</v>
      </c>
      <c r="N1764" s="279" t="s">
        <v>25</v>
      </c>
      <c r="O1764" t="str">
        <f t="shared" si="52"/>
        <v>2002-P Roosevelt Dime</v>
      </c>
      <c r="S1764" t="str" cm="1">
        <f t="array" ref="S1764">_xlfn.REGEXEXTRACT(E1764, "[0-9]{1,5}")</f>
        <v>2002</v>
      </c>
      <c r="T1764" t="s">
        <v>4229</v>
      </c>
      <c r="U1764" t="s">
        <v>984</v>
      </c>
    </row>
    <row r="1765" spans="1:21">
      <c r="A1765" s="136">
        <v>3</v>
      </c>
      <c r="B1765" s="251">
        <v>2003</v>
      </c>
      <c r="C1765" s="252" t="s">
        <v>25</v>
      </c>
      <c r="D1765" s="252" t="s">
        <v>1963</v>
      </c>
      <c r="E1765" s="253" t="s">
        <v>3940</v>
      </c>
      <c r="F1765" s="253" t="s">
        <v>2236</v>
      </c>
      <c r="G1765" s="253" t="s">
        <v>2579</v>
      </c>
      <c r="H1765" s="254">
        <v>0.1</v>
      </c>
      <c r="I1765" s="254">
        <v>0.1</v>
      </c>
      <c r="J1765" s="251">
        <v>1</v>
      </c>
      <c r="K1765" s="255"/>
      <c r="L1765" s="253"/>
      <c r="M1765" s="276" t="str">
        <f t="shared" si="53"/>
        <v>Photo</v>
      </c>
      <c r="N1765" s="279" t="s">
        <v>25</v>
      </c>
      <c r="O1765" t="str">
        <f t="shared" si="52"/>
        <v>2003-P Roosevelt Dime</v>
      </c>
      <c r="S1765" t="str" cm="1">
        <f t="array" ref="S1765">_xlfn.REGEXEXTRACT(E1765, "[0-9]{1,5}")</f>
        <v>2003</v>
      </c>
      <c r="T1765" t="s">
        <v>4230</v>
      </c>
      <c r="U1765" t="s">
        <v>984</v>
      </c>
    </row>
    <row r="1766" spans="1:21">
      <c r="A1766" s="136">
        <v>3</v>
      </c>
      <c r="B1766" s="251">
        <v>2003</v>
      </c>
      <c r="C1766" s="252" t="s">
        <v>25</v>
      </c>
      <c r="D1766" s="252" t="s">
        <v>1963</v>
      </c>
      <c r="E1766" s="253" t="s">
        <v>1077</v>
      </c>
      <c r="F1766" s="253" t="s">
        <v>2236</v>
      </c>
      <c r="G1766" s="253" t="s">
        <v>2579</v>
      </c>
      <c r="H1766" s="254">
        <v>0.1</v>
      </c>
      <c r="I1766" s="254">
        <v>0.1</v>
      </c>
      <c r="J1766" s="251">
        <v>1</v>
      </c>
      <c r="K1766" s="255"/>
      <c r="L1766" s="253"/>
      <c r="M1766" s="276" t="str">
        <f t="shared" ref="M1766:M1797" si="54">HYPERLINK($Y$2&amp;E1766&amp;$AA$2,"Photo")</f>
        <v>Photo</v>
      </c>
      <c r="N1766" s="279" t="s">
        <v>25</v>
      </c>
      <c r="O1766" t="str">
        <f t="shared" si="52"/>
        <v>2003-P Roosevelt Dime</v>
      </c>
      <c r="S1766" t="str" cm="1">
        <f t="array" ref="S1766">_xlfn.REGEXEXTRACT(E1766, "[0-9]{1,5}")</f>
        <v>2003</v>
      </c>
      <c r="T1766" t="s">
        <v>4230</v>
      </c>
      <c r="U1766" t="s">
        <v>984</v>
      </c>
    </row>
    <row r="1767" spans="1:21">
      <c r="A1767" s="136">
        <v>3</v>
      </c>
      <c r="B1767" s="251">
        <v>2003</v>
      </c>
      <c r="C1767" s="252" t="s">
        <v>25</v>
      </c>
      <c r="D1767" s="252" t="s">
        <v>1963</v>
      </c>
      <c r="E1767" s="253" t="s">
        <v>1079</v>
      </c>
      <c r="F1767" s="253" t="s">
        <v>2236</v>
      </c>
      <c r="G1767" s="253" t="s">
        <v>2579</v>
      </c>
      <c r="H1767" s="254">
        <v>0.1</v>
      </c>
      <c r="I1767" s="254">
        <v>1.5</v>
      </c>
      <c r="J1767" s="251">
        <v>1</v>
      </c>
      <c r="K1767" s="255"/>
      <c r="L1767" s="253"/>
      <c r="M1767" s="276" t="str">
        <f t="shared" si="54"/>
        <v>Photo</v>
      </c>
      <c r="N1767" s="279" t="s">
        <v>25</v>
      </c>
      <c r="O1767" t="str">
        <f t="shared" si="52"/>
        <v>2003-P Roosevelt Dime</v>
      </c>
      <c r="S1767" t="str" cm="1">
        <f t="array" ref="S1767">_xlfn.REGEXEXTRACT(E1767, "[0-9]{1,5}")</f>
        <v>2003</v>
      </c>
      <c r="T1767" t="s">
        <v>2472</v>
      </c>
      <c r="U1767" t="s">
        <v>3898</v>
      </c>
    </row>
    <row r="1768" spans="1:21">
      <c r="A1768" s="136">
        <v>3</v>
      </c>
      <c r="B1768" s="251">
        <v>2003</v>
      </c>
      <c r="C1768" s="252" t="s">
        <v>25</v>
      </c>
      <c r="D1768" s="252" t="s">
        <v>1963</v>
      </c>
      <c r="E1768" s="253" t="s">
        <v>1117</v>
      </c>
      <c r="F1768" s="253" t="s">
        <v>2236</v>
      </c>
      <c r="G1768" s="253" t="s">
        <v>2579</v>
      </c>
      <c r="H1768" s="254">
        <v>0.1</v>
      </c>
      <c r="I1768" s="254">
        <v>1.5</v>
      </c>
      <c r="J1768" s="251">
        <v>1</v>
      </c>
      <c r="K1768" s="255"/>
      <c r="L1768" s="253"/>
      <c r="M1768" s="276" t="str">
        <f t="shared" si="54"/>
        <v>Photo</v>
      </c>
      <c r="N1768" s="279" t="s">
        <v>25</v>
      </c>
      <c r="O1768" t="str">
        <f t="shared" si="52"/>
        <v>2003-P Roosevelt Dime</v>
      </c>
      <c r="S1768" t="str" cm="1">
        <f t="array" ref="S1768">_xlfn.REGEXEXTRACT(E1768, "[0-9]{1,5}")</f>
        <v>2003</v>
      </c>
      <c r="T1768" t="s">
        <v>2475</v>
      </c>
      <c r="U1768" t="s">
        <v>3898</v>
      </c>
    </row>
    <row r="1769" spans="1:21">
      <c r="A1769" s="136">
        <v>3</v>
      </c>
      <c r="B1769" s="251">
        <v>2004</v>
      </c>
      <c r="C1769" s="252" t="s">
        <v>25</v>
      </c>
      <c r="D1769" s="252" t="s">
        <v>1963</v>
      </c>
      <c r="E1769" s="253" t="s">
        <v>1078</v>
      </c>
      <c r="F1769" s="253" t="s">
        <v>2236</v>
      </c>
      <c r="G1769" s="253" t="s">
        <v>2579</v>
      </c>
      <c r="H1769" s="254">
        <v>0.1</v>
      </c>
      <c r="I1769" s="254">
        <v>0.1</v>
      </c>
      <c r="J1769" s="251">
        <v>1</v>
      </c>
      <c r="K1769" s="255"/>
      <c r="L1769" s="253"/>
      <c r="M1769" s="276" t="str">
        <f t="shared" si="54"/>
        <v>Photo</v>
      </c>
      <c r="N1769" s="279" t="s">
        <v>25</v>
      </c>
      <c r="O1769" t="str">
        <f t="shared" si="52"/>
        <v>2004-P Roosevelt Dime</v>
      </c>
      <c r="S1769" t="str" cm="1">
        <f t="array" ref="S1769">_xlfn.REGEXEXTRACT(E1769, "[0-9]{1,5}")</f>
        <v>2004</v>
      </c>
      <c r="T1769" t="s">
        <v>992</v>
      </c>
      <c r="U1769" t="s">
        <v>3898</v>
      </c>
    </row>
    <row r="1770" spans="1:21">
      <c r="A1770" s="136">
        <v>3</v>
      </c>
      <c r="B1770" s="251">
        <v>2004</v>
      </c>
      <c r="C1770" s="252" t="s">
        <v>25</v>
      </c>
      <c r="D1770" s="252" t="s">
        <v>1963</v>
      </c>
      <c r="E1770" s="253" t="s">
        <v>1080</v>
      </c>
      <c r="F1770" s="253" t="s">
        <v>2236</v>
      </c>
      <c r="G1770" s="253" t="s">
        <v>2579</v>
      </c>
      <c r="H1770" s="254">
        <v>0.1</v>
      </c>
      <c r="I1770" s="254">
        <v>0.1</v>
      </c>
      <c r="J1770" s="251">
        <v>1</v>
      </c>
      <c r="K1770" s="255"/>
      <c r="L1770" s="253"/>
      <c r="M1770" s="276" t="str">
        <f t="shared" si="54"/>
        <v>Photo</v>
      </c>
      <c r="N1770" s="279" t="s">
        <v>25</v>
      </c>
      <c r="O1770" t="str">
        <f t="shared" si="52"/>
        <v>2004-P Roosevelt Dime</v>
      </c>
      <c r="S1770" t="str" cm="1">
        <f t="array" ref="S1770">_xlfn.REGEXEXTRACT(E1770, "[0-9]{1,5}")</f>
        <v>2004</v>
      </c>
      <c r="T1770" t="s">
        <v>2482</v>
      </c>
      <c r="U1770" t="s">
        <v>3898</v>
      </c>
    </row>
    <row r="1771" spans="1:21">
      <c r="A1771" s="136">
        <v>3</v>
      </c>
      <c r="B1771" s="251">
        <v>2004</v>
      </c>
      <c r="C1771" s="252" t="s">
        <v>25</v>
      </c>
      <c r="D1771" s="252" t="s">
        <v>1963</v>
      </c>
      <c r="E1771" s="253" t="s">
        <v>1083</v>
      </c>
      <c r="F1771" s="253" t="s">
        <v>2236</v>
      </c>
      <c r="G1771" s="253" t="s">
        <v>2579</v>
      </c>
      <c r="H1771" s="254">
        <v>0.1</v>
      </c>
      <c r="I1771" s="254">
        <v>1.5</v>
      </c>
      <c r="J1771" s="251">
        <v>1</v>
      </c>
      <c r="K1771" s="255"/>
      <c r="L1771" s="253"/>
      <c r="M1771" s="276" t="str">
        <f t="shared" si="54"/>
        <v>Photo</v>
      </c>
      <c r="N1771" s="279" t="s">
        <v>25</v>
      </c>
      <c r="O1771" t="str">
        <f t="shared" si="52"/>
        <v>2004-P Roosevelt Dime</v>
      </c>
      <c r="S1771" t="str" cm="1">
        <f t="array" ref="S1771">_xlfn.REGEXEXTRACT(E1771, "[0-9]{1,5}")</f>
        <v>2004</v>
      </c>
      <c r="T1771" t="s">
        <v>2482</v>
      </c>
      <c r="U1771" t="s">
        <v>3898</v>
      </c>
    </row>
    <row r="1772" spans="1:21">
      <c r="A1772" s="136">
        <v>3</v>
      </c>
      <c r="B1772" s="251">
        <v>2005</v>
      </c>
      <c r="C1772" s="252" t="s">
        <v>25</v>
      </c>
      <c r="D1772" s="252" t="s">
        <v>1963</v>
      </c>
      <c r="E1772" s="253" t="s">
        <v>1081</v>
      </c>
      <c r="F1772" s="253" t="s">
        <v>2236</v>
      </c>
      <c r="G1772" s="253" t="s">
        <v>2579</v>
      </c>
      <c r="H1772" s="254">
        <v>0.1</v>
      </c>
      <c r="I1772" s="254">
        <v>0.1</v>
      </c>
      <c r="J1772" s="251">
        <v>1</v>
      </c>
      <c r="K1772" s="255"/>
      <c r="L1772" s="253"/>
      <c r="M1772" s="276" t="str">
        <f t="shared" si="54"/>
        <v>Photo</v>
      </c>
      <c r="N1772" s="279" t="s">
        <v>25</v>
      </c>
      <c r="O1772" t="str">
        <f t="shared" si="52"/>
        <v>2005-P Roosevelt Dime</v>
      </c>
      <c r="S1772" t="str" cm="1">
        <f t="array" ref="S1772">_xlfn.REGEXEXTRACT(E1772, "[0-9]{1,5}")</f>
        <v>2005</v>
      </c>
      <c r="T1772" t="s">
        <v>2495</v>
      </c>
      <c r="U1772" t="s">
        <v>3898</v>
      </c>
    </row>
    <row r="1773" spans="1:21">
      <c r="A1773" s="136">
        <v>3</v>
      </c>
      <c r="B1773" s="251">
        <v>2005</v>
      </c>
      <c r="C1773" s="252" t="s">
        <v>25</v>
      </c>
      <c r="D1773" s="252" t="s">
        <v>1963</v>
      </c>
      <c r="E1773" s="253" t="s">
        <v>1082</v>
      </c>
      <c r="F1773" s="253" t="s">
        <v>2236</v>
      </c>
      <c r="G1773" s="253" t="s">
        <v>2579</v>
      </c>
      <c r="H1773" s="254">
        <v>0.1</v>
      </c>
      <c r="I1773" s="254">
        <v>0.1</v>
      </c>
      <c r="J1773" s="251">
        <v>1</v>
      </c>
      <c r="K1773" s="255"/>
      <c r="L1773" s="253"/>
      <c r="M1773" s="276" t="str">
        <f t="shared" si="54"/>
        <v>Photo</v>
      </c>
      <c r="N1773" s="279" t="s">
        <v>25</v>
      </c>
      <c r="O1773" t="str">
        <f t="shared" si="52"/>
        <v>2005-P Roosevelt Dime</v>
      </c>
      <c r="S1773" t="str" cm="1">
        <f t="array" ref="S1773">_xlfn.REGEXEXTRACT(E1773, "[0-9]{1,5}")</f>
        <v>2005</v>
      </c>
      <c r="T1773" t="s">
        <v>2495</v>
      </c>
      <c r="U1773" t="s">
        <v>3898</v>
      </c>
    </row>
    <row r="1774" spans="1:21">
      <c r="A1774" s="136">
        <v>3</v>
      </c>
      <c r="B1774" s="233">
        <v>2005</v>
      </c>
      <c r="C1774" s="234" t="s">
        <v>13</v>
      </c>
      <c r="D1774" s="234" t="s">
        <v>1963</v>
      </c>
      <c r="E1774" s="235" t="s">
        <v>2241</v>
      </c>
      <c r="F1774" s="235" t="s">
        <v>2236</v>
      </c>
      <c r="G1774" s="235" t="s">
        <v>2579</v>
      </c>
      <c r="H1774" s="236">
        <v>0.1</v>
      </c>
      <c r="I1774" s="236">
        <v>0.1</v>
      </c>
      <c r="J1774" s="233">
        <v>1</v>
      </c>
      <c r="K1774" s="237"/>
      <c r="L1774" s="235"/>
      <c r="M1774" s="276" t="str">
        <f t="shared" si="54"/>
        <v>Photo</v>
      </c>
      <c r="N1774" s="279" t="s">
        <v>25</v>
      </c>
      <c r="O1774" t="str">
        <f t="shared" si="52"/>
        <v>2005-D Roosevelt Dime</v>
      </c>
      <c r="S1774" t="str" cm="1">
        <f t="array" ref="S1774">_xlfn.REGEXEXTRACT(E1774, "[0-9]{1,5}")</f>
        <v>2005</v>
      </c>
      <c r="T1774" t="s">
        <v>2496</v>
      </c>
      <c r="U1774" t="s">
        <v>3898</v>
      </c>
    </row>
    <row r="1775" spans="1:21">
      <c r="A1775" s="136">
        <v>3</v>
      </c>
      <c r="B1775" s="251">
        <v>2006</v>
      </c>
      <c r="C1775" s="252" t="s">
        <v>25</v>
      </c>
      <c r="D1775" s="252" t="s">
        <v>1963</v>
      </c>
      <c r="E1775" s="253" t="s">
        <v>1084</v>
      </c>
      <c r="F1775" s="253" t="s">
        <v>2236</v>
      </c>
      <c r="G1775" s="253" t="s">
        <v>2579</v>
      </c>
      <c r="H1775" s="254">
        <v>0.1</v>
      </c>
      <c r="I1775" s="254">
        <v>0.1</v>
      </c>
      <c r="J1775" s="251">
        <v>1</v>
      </c>
      <c r="K1775" s="255"/>
      <c r="L1775" s="253"/>
      <c r="M1775" s="276" t="str">
        <f t="shared" si="54"/>
        <v>Photo</v>
      </c>
      <c r="N1775" s="279" t="s">
        <v>25</v>
      </c>
      <c r="O1775" t="str">
        <f t="shared" si="52"/>
        <v>2006-P Roosevelt Dime</v>
      </c>
      <c r="S1775" t="str" cm="1">
        <f t="array" ref="S1775">_xlfn.REGEXEXTRACT(E1775, "[0-9]{1,5}")</f>
        <v>2006</v>
      </c>
      <c r="T1775" t="s">
        <v>2497</v>
      </c>
      <c r="U1775" t="s">
        <v>3898</v>
      </c>
    </row>
    <row r="1776" spans="1:21">
      <c r="A1776" s="136">
        <v>3</v>
      </c>
      <c r="B1776" s="251">
        <v>2007</v>
      </c>
      <c r="C1776" s="252" t="s">
        <v>25</v>
      </c>
      <c r="D1776" s="252" t="s">
        <v>1963</v>
      </c>
      <c r="E1776" s="253" t="s">
        <v>1085</v>
      </c>
      <c r="F1776" s="253" t="s">
        <v>2236</v>
      </c>
      <c r="G1776" s="253" t="s">
        <v>2579</v>
      </c>
      <c r="H1776" s="254">
        <v>0.1</v>
      </c>
      <c r="I1776" s="254">
        <v>0.1</v>
      </c>
      <c r="J1776" s="251">
        <v>1</v>
      </c>
      <c r="K1776" s="255"/>
      <c r="L1776" s="253"/>
      <c r="M1776" s="276" t="str">
        <f t="shared" si="54"/>
        <v>Photo</v>
      </c>
      <c r="N1776" s="279" t="s">
        <v>25</v>
      </c>
      <c r="O1776" t="str">
        <f t="shared" si="52"/>
        <v>2007-P Roosevelt Dime</v>
      </c>
      <c r="S1776" t="str" cm="1">
        <f t="array" ref="S1776">_xlfn.REGEXEXTRACT(E1776, "[0-9]{1,5}")</f>
        <v>2007</v>
      </c>
      <c r="T1776" t="s">
        <v>4186</v>
      </c>
      <c r="U1776" t="s">
        <v>3898</v>
      </c>
    </row>
    <row r="1777" spans="1:21">
      <c r="A1777" s="136">
        <v>3</v>
      </c>
      <c r="B1777" s="251">
        <v>2007</v>
      </c>
      <c r="C1777" s="252" t="s">
        <v>25</v>
      </c>
      <c r="D1777" s="252" t="s">
        <v>1963</v>
      </c>
      <c r="E1777" s="253" t="s">
        <v>1086</v>
      </c>
      <c r="F1777" s="253" t="s">
        <v>2236</v>
      </c>
      <c r="G1777" s="253" t="s">
        <v>2579</v>
      </c>
      <c r="H1777" s="254">
        <v>0.1</v>
      </c>
      <c r="I1777" s="254">
        <v>0.1</v>
      </c>
      <c r="J1777" s="251">
        <v>1</v>
      </c>
      <c r="K1777" s="255"/>
      <c r="L1777" s="253"/>
      <c r="M1777" s="276" t="str">
        <f t="shared" si="54"/>
        <v>Photo</v>
      </c>
      <c r="N1777" s="279" t="s">
        <v>25</v>
      </c>
      <c r="O1777" t="str">
        <f t="shared" si="52"/>
        <v>2007-P Roosevelt Dime</v>
      </c>
      <c r="S1777" t="str" cm="1">
        <f t="array" ref="S1777">_xlfn.REGEXEXTRACT(E1777, "[0-9]{1,5}")</f>
        <v>2007</v>
      </c>
      <c r="T1777" t="s">
        <v>2500</v>
      </c>
      <c r="U1777" t="s">
        <v>3898</v>
      </c>
    </row>
    <row r="1778" spans="1:21">
      <c r="A1778" s="136">
        <v>3</v>
      </c>
      <c r="B1778" s="251">
        <v>2007</v>
      </c>
      <c r="C1778" s="252" t="s">
        <v>25</v>
      </c>
      <c r="D1778" s="252" t="s">
        <v>1963</v>
      </c>
      <c r="E1778" s="253" t="s">
        <v>1087</v>
      </c>
      <c r="F1778" s="253" t="s">
        <v>2236</v>
      </c>
      <c r="G1778" s="253" t="s">
        <v>2579</v>
      </c>
      <c r="H1778" s="254">
        <v>0.1</v>
      </c>
      <c r="I1778" s="254">
        <v>0.1</v>
      </c>
      <c r="J1778" s="251">
        <v>1</v>
      </c>
      <c r="K1778" s="255"/>
      <c r="L1778" s="253"/>
      <c r="M1778" s="276" t="str">
        <f t="shared" si="54"/>
        <v>Photo</v>
      </c>
      <c r="N1778" s="279" t="s">
        <v>25</v>
      </c>
      <c r="O1778" t="str">
        <f t="shared" si="52"/>
        <v>2007-P Roosevelt Dime</v>
      </c>
      <c r="S1778" t="str" cm="1">
        <f t="array" ref="S1778">_xlfn.REGEXEXTRACT(E1778, "[0-9]{1,5}")</f>
        <v>2007</v>
      </c>
      <c r="T1778" t="s">
        <v>2500</v>
      </c>
      <c r="U1778" t="s">
        <v>3898</v>
      </c>
    </row>
    <row r="1779" spans="1:21">
      <c r="A1779" s="136">
        <v>3</v>
      </c>
      <c r="B1779" s="251">
        <v>2007</v>
      </c>
      <c r="C1779" s="252" t="s">
        <v>25</v>
      </c>
      <c r="D1779" s="252" t="s">
        <v>1963</v>
      </c>
      <c r="E1779" s="253" t="s">
        <v>1088</v>
      </c>
      <c r="F1779" s="253" t="s">
        <v>2236</v>
      </c>
      <c r="G1779" s="253" t="s">
        <v>2579</v>
      </c>
      <c r="H1779" s="254">
        <v>0.1</v>
      </c>
      <c r="I1779" s="254">
        <v>0.1</v>
      </c>
      <c r="J1779" s="251">
        <v>1</v>
      </c>
      <c r="K1779" s="255"/>
      <c r="L1779" s="253"/>
      <c r="M1779" s="276" t="str">
        <f t="shared" si="54"/>
        <v>Photo</v>
      </c>
      <c r="N1779" s="279" t="s">
        <v>25</v>
      </c>
      <c r="O1779" t="str">
        <f t="shared" si="52"/>
        <v>2007-P Roosevelt Dime</v>
      </c>
      <c r="S1779" t="str" cm="1">
        <f t="array" ref="S1779">_xlfn.REGEXEXTRACT(E1779, "[0-9]{1,5}")</f>
        <v>2007</v>
      </c>
      <c r="T1779" t="s">
        <v>2504</v>
      </c>
      <c r="U1779" t="s">
        <v>3898</v>
      </c>
    </row>
    <row r="1780" spans="1:21">
      <c r="A1780" s="136">
        <v>3</v>
      </c>
      <c r="B1780" s="251">
        <v>2008</v>
      </c>
      <c r="C1780" s="252" t="s">
        <v>13</v>
      </c>
      <c r="D1780" s="252" t="s">
        <v>1963</v>
      </c>
      <c r="E1780" s="253" t="s">
        <v>1089</v>
      </c>
      <c r="F1780" s="253" t="s">
        <v>2236</v>
      </c>
      <c r="G1780" s="253" t="s">
        <v>2579</v>
      </c>
      <c r="H1780" s="254">
        <v>0.1</v>
      </c>
      <c r="I1780" s="254">
        <v>0.1</v>
      </c>
      <c r="J1780" s="251">
        <v>1</v>
      </c>
      <c r="K1780" s="255"/>
      <c r="L1780" s="253"/>
      <c r="M1780" s="276" t="str">
        <f t="shared" si="54"/>
        <v>Photo</v>
      </c>
      <c r="N1780" s="279" t="s">
        <v>25</v>
      </c>
      <c r="O1780" t="str">
        <f t="shared" si="52"/>
        <v>2008-D Roosevelt Dime</v>
      </c>
      <c r="S1780" t="str" cm="1">
        <f t="array" ref="S1780">_xlfn.REGEXEXTRACT(E1780, "[0-9]{1,5}")</f>
        <v>2008</v>
      </c>
      <c r="T1780" t="s">
        <v>2504</v>
      </c>
      <c r="U1780" t="s">
        <v>3898</v>
      </c>
    </row>
    <row r="1781" spans="1:21">
      <c r="A1781" s="136">
        <v>3</v>
      </c>
      <c r="B1781" s="251">
        <v>2008</v>
      </c>
      <c r="C1781" s="252" t="s">
        <v>25</v>
      </c>
      <c r="D1781" s="252" t="s">
        <v>1963</v>
      </c>
      <c r="E1781" s="253" t="s">
        <v>1090</v>
      </c>
      <c r="F1781" s="253" t="s">
        <v>2236</v>
      </c>
      <c r="G1781" s="253" t="s">
        <v>2579</v>
      </c>
      <c r="H1781" s="254">
        <v>0.1</v>
      </c>
      <c r="I1781" s="254">
        <v>0.1</v>
      </c>
      <c r="J1781" s="251">
        <v>1</v>
      </c>
      <c r="K1781" s="255"/>
      <c r="L1781" s="253"/>
      <c r="M1781" s="276" t="str">
        <f t="shared" si="54"/>
        <v>Photo</v>
      </c>
      <c r="N1781" s="279" t="s">
        <v>25</v>
      </c>
      <c r="O1781" t="str">
        <f t="shared" si="52"/>
        <v>2008-P Roosevelt Dime</v>
      </c>
      <c r="S1781" t="str" cm="1">
        <f t="array" ref="S1781">_xlfn.REGEXEXTRACT(E1781, "[0-9]{1,5}")</f>
        <v>2008</v>
      </c>
      <c r="T1781" t="s">
        <v>2504</v>
      </c>
      <c r="U1781" t="s">
        <v>3898</v>
      </c>
    </row>
    <row r="1782" spans="1:21">
      <c r="A1782" s="136">
        <v>3</v>
      </c>
      <c r="B1782" s="251">
        <v>2010</v>
      </c>
      <c r="C1782" s="252" t="s">
        <v>25</v>
      </c>
      <c r="D1782" s="252" t="s">
        <v>1963</v>
      </c>
      <c r="E1782" s="253" t="s">
        <v>1091</v>
      </c>
      <c r="F1782" s="253" t="s">
        <v>2236</v>
      </c>
      <c r="G1782" s="253" t="s">
        <v>2579</v>
      </c>
      <c r="H1782" s="254">
        <v>0.1</v>
      </c>
      <c r="I1782" s="254">
        <v>0.1</v>
      </c>
      <c r="J1782" s="251">
        <v>1</v>
      </c>
      <c r="K1782" s="255"/>
      <c r="L1782" s="253"/>
      <c r="M1782" s="276" t="str">
        <f t="shared" si="54"/>
        <v>Photo</v>
      </c>
      <c r="N1782" s="279" t="s">
        <v>25</v>
      </c>
      <c r="O1782" t="str">
        <f t="shared" si="52"/>
        <v>2010-P Roosevelt Dime</v>
      </c>
      <c r="S1782" t="str" cm="1">
        <f t="array" ref="S1782">_xlfn.REGEXEXTRACT(E1782, "[0-9]{1,5}")</f>
        <v>2010</v>
      </c>
      <c r="T1782" t="s">
        <v>2508</v>
      </c>
      <c r="U1782" t="s">
        <v>3898</v>
      </c>
    </row>
    <row r="1783" spans="1:21">
      <c r="A1783" s="136">
        <v>3</v>
      </c>
      <c r="B1783" s="251">
        <v>2010</v>
      </c>
      <c r="C1783" s="252" t="s">
        <v>25</v>
      </c>
      <c r="D1783" s="252" t="s">
        <v>1963</v>
      </c>
      <c r="E1783" s="253" t="s">
        <v>1092</v>
      </c>
      <c r="F1783" s="253" t="s">
        <v>2236</v>
      </c>
      <c r="G1783" s="253" t="s">
        <v>2579</v>
      </c>
      <c r="H1783" s="254">
        <v>0.1</v>
      </c>
      <c r="I1783" s="254">
        <v>0.1</v>
      </c>
      <c r="J1783" s="251">
        <v>1</v>
      </c>
      <c r="K1783" s="255"/>
      <c r="L1783" s="253"/>
      <c r="M1783" s="276" t="str">
        <f t="shared" si="54"/>
        <v>Photo</v>
      </c>
      <c r="N1783" s="279" t="s">
        <v>25</v>
      </c>
      <c r="O1783" t="str">
        <f t="shared" si="52"/>
        <v>2010-P Roosevelt Dime</v>
      </c>
      <c r="S1783" t="str" cm="1">
        <f t="array" ref="S1783">_xlfn.REGEXEXTRACT(E1783, "[0-9]{1,5}")</f>
        <v>2010</v>
      </c>
      <c r="T1783" t="s">
        <v>2508</v>
      </c>
      <c r="U1783" t="s">
        <v>3898</v>
      </c>
    </row>
    <row r="1784" spans="1:21">
      <c r="A1784" s="136">
        <v>3</v>
      </c>
      <c r="B1784" s="251">
        <v>2010</v>
      </c>
      <c r="C1784" s="252" t="s">
        <v>25</v>
      </c>
      <c r="D1784" s="252" t="s">
        <v>1963</v>
      </c>
      <c r="E1784" s="253" t="s">
        <v>1093</v>
      </c>
      <c r="F1784" s="253" t="s">
        <v>2236</v>
      </c>
      <c r="G1784" s="253" t="s">
        <v>2579</v>
      </c>
      <c r="H1784" s="254">
        <v>0.1</v>
      </c>
      <c r="I1784" s="254">
        <v>0.1</v>
      </c>
      <c r="J1784" s="251">
        <v>1</v>
      </c>
      <c r="K1784" s="255"/>
      <c r="L1784" s="253"/>
      <c r="M1784" s="276" t="str">
        <f t="shared" si="54"/>
        <v>Photo</v>
      </c>
      <c r="N1784" s="279" t="s">
        <v>25</v>
      </c>
      <c r="O1784" t="str">
        <f t="shared" si="52"/>
        <v>2010-P Roosevelt Dime</v>
      </c>
      <c r="S1784" t="str" cm="1">
        <f t="array" ref="S1784">_xlfn.REGEXEXTRACT(E1784, "[0-9]{1,5}")</f>
        <v>2010</v>
      </c>
      <c r="T1784" t="s">
        <v>2508</v>
      </c>
      <c r="U1784" t="s">
        <v>3898</v>
      </c>
    </row>
    <row r="1785" spans="1:21">
      <c r="A1785" s="136">
        <v>3</v>
      </c>
      <c r="B1785" s="251">
        <v>2010</v>
      </c>
      <c r="C1785" s="252" t="s">
        <v>25</v>
      </c>
      <c r="D1785" s="252" t="s">
        <v>1963</v>
      </c>
      <c r="E1785" s="253" t="s">
        <v>1094</v>
      </c>
      <c r="F1785" s="253" t="s">
        <v>2236</v>
      </c>
      <c r="G1785" s="253" t="s">
        <v>2579</v>
      </c>
      <c r="H1785" s="254">
        <v>0.1</v>
      </c>
      <c r="I1785" s="254">
        <v>0.1</v>
      </c>
      <c r="J1785" s="251">
        <v>1</v>
      </c>
      <c r="K1785" s="255"/>
      <c r="L1785" s="253"/>
      <c r="M1785" s="276" t="str">
        <f t="shared" si="54"/>
        <v>Photo</v>
      </c>
      <c r="N1785" s="279" t="s">
        <v>25</v>
      </c>
      <c r="O1785" t="str">
        <f t="shared" si="52"/>
        <v>2010-P Roosevelt Dime</v>
      </c>
      <c r="S1785" t="str" cm="1">
        <f t="array" ref="S1785">_xlfn.REGEXEXTRACT(E1785, "[0-9]{1,5}")</f>
        <v>2010</v>
      </c>
      <c r="T1785" t="s">
        <v>2508</v>
      </c>
      <c r="U1785" t="s">
        <v>3898</v>
      </c>
    </row>
    <row r="1786" spans="1:21">
      <c r="A1786" s="136">
        <v>3</v>
      </c>
      <c r="B1786" s="251">
        <v>2011</v>
      </c>
      <c r="C1786" s="252" t="s">
        <v>25</v>
      </c>
      <c r="D1786" s="252" t="s">
        <v>1963</v>
      </c>
      <c r="E1786" s="253" t="s">
        <v>1095</v>
      </c>
      <c r="F1786" s="253" t="s">
        <v>2236</v>
      </c>
      <c r="G1786" s="253" t="s">
        <v>2579</v>
      </c>
      <c r="H1786" s="254">
        <v>0.1</v>
      </c>
      <c r="I1786" s="254">
        <v>0.1</v>
      </c>
      <c r="J1786" s="251">
        <v>1</v>
      </c>
      <c r="K1786" s="255"/>
      <c r="L1786" s="253"/>
      <c r="M1786" s="276" t="str">
        <f t="shared" si="54"/>
        <v>Photo</v>
      </c>
      <c r="N1786" s="279" t="s">
        <v>25</v>
      </c>
      <c r="O1786" t="str">
        <f t="shared" si="52"/>
        <v>2011-P Roosevelt Dime</v>
      </c>
      <c r="S1786" t="str" cm="1">
        <f t="array" ref="S1786">_xlfn.REGEXEXTRACT(E1786, "[0-9]{1,5}")</f>
        <v>2011</v>
      </c>
      <c r="T1786" t="s">
        <v>2508</v>
      </c>
      <c r="U1786" t="s">
        <v>3898</v>
      </c>
    </row>
    <row r="1787" spans="1:21">
      <c r="A1787" s="136">
        <v>3</v>
      </c>
      <c r="B1787" s="251">
        <v>2011</v>
      </c>
      <c r="C1787" s="252" t="s">
        <v>25</v>
      </c>
      <c r="D1787" s="252" t="s">
        <v>1963</v>
      </c>
      <c r="E1787" s="253" t="s">
        <v>1096</v>
      </c>
      <c r="F1787" s="253" t="s">
        <v>2236</v>
      </c>
      <c r="G1787" s="253" t="s">
        <v>2579</v>
      </c>
      <c r="H1787" s="254">
        <v>0.1</v>
      </c>
      <c r="I1787" s="254">
        <v>0.1</v>
      </c>
      <c r="J1787" s="251">
        <v>1</v>
      </c>
      <c r="K1787" s="255"/>
      <c r="L1787" s="253"/>
      <c r="M1787" s="276" t="str">
        <f t="shared" si="54"/>
        <v>Photo</v>
      </c>
      <c r="N1787" s="279" t="s">
        <v>25</v>
      </c>
      <c r="O1787" t="str">
        <f t="shared" si="52"/>
        <v>2011-P Roosevelt Dime</v>
      </c>
      <c r="S1787" t="str" cm="1">
        <f t="array" ref="S1787">_xlfn.REGEXEXTRACT(E1787, "[0-9]{1,5}")</f>
        <v>2011</v>
      </c>
      <c r="T1787" t="s">
        <v>2508</v>
      </c>
      <c r="U1787" t="s">
        <v>3898</v>
      </c>
    </row>
    <row r="1788" spans="1:21">
      <c r="A1788" s="136">
        <v>3</v>
      </c>
      <c r="B1788" s="251">
        <v>2011</v>
      </c>
      <c r="C1788" s="252" t="s">
        <v>25</v>
      </c>
      <c r="D1788" s="252" t="s">
        <v>1963</v>
      </c>
      <c r="E1788" s="253" t="s">
        <v>1097</v>
      </c>
      <c r="F1788" s="253" t="s">
        <v>2236</v>
      </c>
      <c r="G1788" s="253" t="s">
        <v>2579</v>
      </c>
      <c r="H1788" s="254">
        <v>0.1</v>
      </c>
      <c r="I1788" s="254">
        <v>0.1</v>
      </c>
      <c r="J1788" s="251">
        <v>1</v>
      </c>
      <c r="K1788" s="255"/>
      <c r="L1788" s="253"/>
      <c r="M1788" s="276" t="str">
        <f t="shared" si="54"/>
        <v>Photo</v>
      </c>
      <c r="N1788" s="279" t="s">
        <v>25</v>
      </c>
      <c r="O1788" t="str">
        <f t="shared" si="52"/>
        <v>2011-P Roosevelt Dime</v>
      </c>
      <c r="S1788" t="str" cm="1">
        <f t="array" ref="S1788">_xlfn.REGEXEXTRACT(E1788, "[0-9]{1,5}")</f>
        <v>2011</v>
      </c>
      <c r="T1788" t="s">
        <v>2508</v>
      </c>
      <c r="U1788" t="s">
        <v>3898</v>
      </c>
    </row>
    <row r="1789" spans="1:21">
      <c r="A1789" s="136">
        <v>3</v>
      </c>
      <c r="B1789" s="251">
        <v>2011</v>
      </c>
      <c r="C1789" s="252" t="s">
        <v>25</v>
      </c>
      <c r="D1789" s="252" t="s">
        <v>1963</v>
      </c>
      <c r="E1789" s="253" t="s">
        <v>1098</v>
      </c>
      <c r="F1789" s="253" t="s">
        <v>2236</v>
      </c>
      <c r="G1789" s="253" t="s">
        <v>2579</v>
      </c>
      <c r="H1789" s="254">
        <v>0.1</v>
      </c>
      <c r="I1789" s="254">
        <v>0.1</v>
      </c>
      <c r="J1789" s="251">
        <v>1</v>
      </c>
      <c r="K1789" s="255"/>
      <c r="L1789" s="253"/>
      <c r="M1789" s="276" t="str">
        <f t="shared" si="54"/>
        <v>Photo</v>
      </c>
      <c r="N1789" s="279" t="s">
        <v>25</v>
      </c>
      <c r="O1789" t="str">
        <f t="shared" si="52"/>
        <v>2011-P Roosevelt Dime</v>
      </c>
      <c r="S1789" t="str" cm="1">
        <f t="array" ref="S1789">_xlfn.REGEXEXTRACT(E1789, "[0-9]{1,5}")</f>
        <v>2011</v>
      </c>
      <c r="T1789" t="s">
        <v>2510</v>
      </c>
      <c r="U1789" t="s">
        <v>3898</v>
      </c>
    </row>
    <row r="1790" spans="1:21">
      <c r="A1790" s="136">
        <v>3</v>
      </c>
      <c r="B1790" s="251">
        <v>2011</v>
      </c>
      <c r="C1790" s="252" t="s">
        <v>25</v>
      </c>
      <c r="D1790" s="252" t="s">
        <v>1963</v>
      </c>
      <c r="E1790" s="253" t="s">
        <v>1099</v>
      </c>
      <c r="F1790" s="253" t="s">
        <v>2236</v>
      </c>
      <c r="G1790" s="253" t="s">
        <v>2579</v>
      </c>
      <c r="H1790" s="254">
        <v>0.1</v>
      </c>
      <c r="I1790" s="254">
        <v>0.1</v>
      </c>
      <c r="J1790" s="251">
        <v>1</v>
      </c>
      <c r="K1790" s="255"/>
      <c r="L1790" s="253"/>
      <c r="M1790" s="276" t="str">
        <f t="shared" si="54"/>
        <v>Photo</v>
      </c>
      <c r="N1790" s="279" t="s">
        <v>25</v>
      </c>
      <c r="O1790" t="str">
        <f t="shared" si="52"/>
        <v>2011-P Roosevelt Dime</v>
      </c>
      <c r="S1790" t="str" cm="1">
        <f t="array" ref="S1790">_xlfn.REGEXEXTRACT(E1790, "[0-9]{1,5}")</f>
        <v>2011</v>
      </c>
      <c r="T1790" t="s">
        <v>2512</v>
      </c>
      <c r="U1790" t="s">
        <v>3898</v>
      </c>
    </row>
    <row r="1791" spans="1:21">
      <c r="A1791" s="136">
        <v>3</v>
      </c>
      <c r="B1791" s="251">
        <v>2011</v>
      </c>
      <c r="C1791" s="252" t="s">
        <v>13</v>
      </c>
      <c r="D1791" s="252" t="s">
        <v>1963</v>
      </c>
      <c r="E1791" s="253" t="s">
        <v>1100</v>
      </c>
      <c r="F1791" s="253" t="s">
        <v>2236</v>
      </c>
      <c r="G1791" s="253" t="s">
        <v>2579</v>
      </c>
      <c r="H1791" s="254">
        <v>0.1</v>
      </c>
      <c r="I1791" s="254">
        <v>0.1</v>
      </c>
      <c r="J1791" s="251">
        <v>1</v>
      </c>
      <c r="K1791" s="255"/>
      <c r="L1791" s="253"/>
      <c r="M1791" s="276" t="str">
        <f t="shared" si="54"/>
        <v>Photo</v>
      </c>
      <c r="N1791" s="279" t="s">
        <v>25</v>
      </c>
      <c r="O1791" t="str">
        <f t="shared" si="52"/>
        <v>2011-D Roosevelt Dime</v>
      </c>
      <c r="S1791" t="str" cm="1">
        <f t="array" ref="S1791">_xlfn.REGEXEXTRACT(E1791, "[0-9]{1,5}")</f>
        <v>2011</v>
      </c>
      <c r="T1791" t="s">
        <v>2512</v>
      </c>
      <c r="U1791" t="s">
        <v>3898</v>
      </c>
    </row>
    <row r="1792" spans="1:21">
      <c r="A1792" s="136">
        <v>3</v>
      </c>
      <c r="B1792" s="251">
        <v>2012</v>
      </c>
      <c r="C1792" s="252" t="s">
        <v>25</v>
      </c>
      <c r="D1792" s="252" t="s">
        <v>1963</v>
      </c>
      <c r="E1792" s="253" t="s">
        <v>1101</v>
      </c>
      <c r="F1792" s="253" t="s">
        <v>2236</v>
      </c>
      <c r="G1792" s="253" t="s">
        <v>2579</v>
      </c>
      <c r="H1792" s="254">
        <v>0.1</v>
      </c>
      <c r="I1792" s="254">
        <v>0.1</v>
      </c>
      <c r="J1792" s="251">
        <v>1</v>
      </c>
      <c r="K1792" s="255"/>
      <c r="L1792" s="253"/>
      <c r="M1792" s="276" t="str">
        <f t="shared" si="54"/>
        <v>Photo</v>
      </c>
      <c r="N1792" s="279" t="s">
        <v>25</v>
      </c>
      <c r="O1792" t="str">
        <f t="shared" si="52"/>
        <v>2012-P Roosevelt Dime</v>
      </c>
      <c r="S1792" t="str" cm="1">
        <f t="array" ref="S1792">_xlfn.REGEXEXTRACT(E1792, "[0-9]{1,5}")</f>
        <v>2012</v>
      </c>
    </row>
    <row r="1793" spans="1:21">
      <c r="A1793" s="136">
        <v>3</v>
      </c>
      <c r="B1793" s="251">
        <v>2012</v>
      </c>
      <c r="C1793" s="252" t="s">
        <v>25</v>
      </c>
      <c r="D1793" s="252" t="s">
        <v>1963</v>
      </c>
      <c r="E1793" s="253" t="s">
        <v>1102</v>
      </c>
      <c r="F1793" s="253" t="s">
        <v>2236</v>
      </c>
      <c r="G1793" s="253" t="s">
        <v>2579</v>
      </c>
      <c r="H1793" s="254">
        <v>0.1</v>
      </c>
      <c r="I1793" s="254">
        <v>0.1</v>
      </c>
      <c r="J1793" s="251">
        <v>1</v>
      </c>
      <c r="K1793" s="255"/>
      <c r="L1793" s="253"/>
      <c r="M1793" s="276" t="str">
        <f t="shared" si="54"/>
        <v>Photo</v>
      </c>
      <c r="N1793" s="279" t="s">
        <v>25</v>
      </c>
      <c r="O1793" t="str">
        <f t="shared" si="52"/>
        <v>2012-P Roosevelt Dime</v>
      </c>
      <c r="S1793" t="str" cm="1">
        <f t="array" ref="S1793">_xlfn.REGEXEXTRACT(E1793, "[0-9]{1,5}")</f>
        <v>2012</v>
      </c>
      <c r="T1793" t="s">
        <v>1649</v>
      </c>
      <c r="U1793" t="s">
        <v>3898</v>
      </c>
    </row>
    <row r="1794" spans="1:21">
      <c r="A1794" s="136">
        <v>3</v>
      </c>
      <c r="B1794" s="251">
        <v>2012</v>
      </c>
      <c r="C1794" s="252" t="s">
        <v>25</v>
      </c>
      <c r="D1794" s="252" t="s">
        <v>1963</v>
      </c>
      <c r="E1794" s="253" t="s">
        <v>1103</v>
      </c>
      <c r="F1794" s="253" t="s">
        <v>2236</v>
      </c>
      <c r="G1794" s="253" t="s">
        <v>2579</v>
      </c>
      <c r="H1794" s="254">
        <v>0.1</v>
      </c>
      <c r="I1794" s="254">
        <v>0.1</v>
      </c>
      <c r="J1794" s="251">
        <v>1</v>
      </c>
      <c r="K1794" s="255"/>
      <c r="L1794" s="253"/>
      <c r="M1794" s="276" t="str">
        <f t="shared" si="54"/>
        <v>Photo</v>
      </c>
      <c r="N1794" s="279" t="s">
        <v>25</v>
      </c>
      <c r="O1794" t="str">
        <f t="shared" si="52"/>
        <v>2012-P Roosevelt Dime</v>
      </c>
      <c r="S1794" t="str" cm="1">
        <f t="array" ref="S1794">_xlfn.REGEXEXTRACT(E1794, "[0-9]{1,5}")</f>
        <v>2012</v>
      </c>
      <c r="T1794" t="s">
        <v>4189</v>
      </c>
      <c r="U1794" t="s">
        <v>3898</v>
      </c>
    </row>
    <row r="1795" spans="1:21">
      <c r="A1795" s="136">
        <v>3</v>
      </c>
      <c r="B1795" s="251">
        <v>2012</v>
      </c>
      <c r="C1795" s="252" t="s">
        <v>25</v>
      </c>
      <c r="D1795" s="252" t="s">
        <v>1963</v>
      </c>
      <c r="E1795" s="253" t="s">
        <v>1104</v>
      </c>
      <c r="F1795" s="253" t="s">
        <v>2236</v>
      </c>
      <c r="G1795" s="253" t="s">
        <v>2579</v>
      </c>
      <c r="H1795" s="254">
        <v>0.1</v>
      </c>
      <c r="I1795" s="254">
        <v>0.1</v>
      </c>
      <c r="J1795" s="251">
        <v>1</v>
      </c>
      <c r="K1795" s="255"/>
      <c r="L1795" s="253"/>
      <c r="M1795" s="276" t="str">
        <f t="shared" si="54"/>
        <v>Photo</v>
      </c>
      <c r="N1795" s="279" t="s">
        <v>25</v>
      </c>
      <c r="O1795" t="str">
        <f t="shared" si="52"/>
        <v>2012-P Roosevelt Dime</v>
      </c>
      <c r="S1795" t="str" cm="1">
        <f t="array" ref="S1795">_xlfn.REGEXEXTRACT(E1795, "[0-9]{1,5}")</f>
        <v>2012</v>
      </c>
      <c r="T1795" t="s">
        <v>4190</v>
      </c>
      <c r="U1795" t="s">
        <v>3898</v>
      </c>
    </row>
    <row r="1796" spans="1:21">
      <c r="A1796" s="136">
        <v>3</v>
      </c>
      <c r="B1796" s="251">
        <v>2013</v>
      </c>
      <c r="C1796" s="252" t="s">
        <v>25</v>
      </c>
      <c r="D1796" s="252" t="s">
        <v>1963</v>
      </c>
      <c r="E1796" s="253" t="s">
        <v>1105</v>
      </c>
      <c r="F1796" s="253" t="s">
        <v>2236</v>
      </c>
      <c r="G1796" s="253" t="s">
        <v>2579</v>
      </c>
      <c r="H1796" s="254">
        <v>0.1</v>
      </c>
      <c r="I1796" s="254">
        <v>0.1</v>
      </c>
      <c r="J1796" s="251">
        <v>1</v>
      </c>
      <c r="K1796" s="255"/>
      <c r="L1796" s="253"/>
      <c r="M1796" s="276" t="str">
        <f t="shared" si="54"/>
        <v>Photo</v>
      </c>
      <c r="N1796" s="279" t="s">
        <v>25</v>
      </c>
      <c r="O1796" t="str">
        <f t="shared" ref="O1796:O1859" si="55">IF(C1796&lt;&gt;"",B1796&amp;"-"&amp;C1796&amp;" "&amp;F1796,B1796&amp;" "&amp;F1796)</f>
        <v>2013-P Roosevelt Dime</v>
      </c>
      <c r="S1796" t="str" cm="1">
        <f t="array" ref="S1796">_xlfn.REGEXEXTRACT(E1796, "[0-9]{1,5}")</f>
        <v>2013</v>
      </c>
      <c r="T1796" t="s">
        <v>4190</v>
      </c>
      <c r="U1796" t="s">
        <v>3898</v>
      </c>
    </row>
    <row r="1797" spans="1:21">
      <c r="A1797" s="136">
        <v>3</v>
      </c>
      <c r="B1797" s="251">
        <v>2013</v>
      </c>
      <c r="C1797" s="252" t="s">
        <v>25</v>
      </c>
      <c r="D1797" s="252" t="s">
        <v>1963</v>
      </c>
      <c r="E1797" s="253" t="s">
        <v>1106</v>
      </c>
      <c r="F1797" s="253" t="s">
        <v>2236</v>
      </c>
      <c r="G1797" s="253" t="s">
        <v>2579</v>
      </c>
      <c r="H1797" s="254">
        <v>0.1</v>
      </c>
      <c r="I1797" s="254">
        <v>0.1</v>
      </c>
      <c r="J1797" s="251">
        <v>1</v>
      </c>
      <c r="K1797" s="255"/>
      <c r="L1797" s="253"/>
      <c r="M1797" s="276" t="str">
        <f t="shared" si="54"/>
        <v>Photo</v>
      </c>
      <c r="N1797" s="279" t="s">
        <v>25</v>
      </c>
      <c r="O1797" t="str">
        <f t="shared" si="55"/>
        <v>2013-P Roosevelt Dime</v>
      </c>
      <c r="S1797" t="str" cm="1">
        <f t="array" ref="S1797">_xlfn.REGEXEXTRACT(E1797, "[0-9]{1,5}")</f>
        <v>2013</v>
      </c>
      <c r="T1797" t="s">
        <v>4191</v>
      </c>
      <c r="U1797" t="s">
        <v>3898</v>
      </c>
    </row>
    <row r="1798" spans="1:21">
      <c r="A1798" s="136">
        <v>3</v>
      </c>
      <c r="B1798" s="251">
        <v>2014</v>
      </c>
      <c r="C1798" s="252" t="s">
        <v>25</v>
      </c>
      <c r="D1798" s="252" t="s">
        <v>1963</v>
      </c>
      <c r="E1798" s="253" t="s">
        <v>1107</v>
      </c>
      <c r="F1798" s="253" t="s">
        <v>2236</v>
      </c>
      <c r="G1798" s="253" t="s">
        <v>2579</v>
      </c>
      <c r="H1798" s="254">
        <v>0.1</v>
      </c>
      <c r="I1798" s="254">
        <v>0.1</v>
      </c>
      <c r="J1798" s="251">
        <v>1</v>
      </c>
      <c r="K1798" s="255"/>
      <c r="L1798" s="253"/>
      <c r="M1798" s="276" t="str">
        <f t="shared" ref="M1798:M1829" si="56">HYPERLINK($Y$2&amp;E1798&amp;$AA$2,"Photo")</f>
        <v>Photo</v>
      </c>
      <c r="N1798" s="279" t="s">
        <v>25</v>
      </c>
      <c r="O1798" t="str">
        <f t="shared" si="55"/>
        <v>2014-P Roosevelt Dime</v>
      </c>
      <c r="S1798" t="str" cm="1">
        <f t="array" ref="S1798">_xlfn.REGEXEXTRACT(E1798, "[0-9]{1,5}")</f>
        <v>2014</v>
      </c>
      <c r="T1798" t="s">
        <v>4192</v>
      </c>
      <c r="U1798" t="s">
        <v>3898</v>
      </c>
    </row>
    <row r="1799" spans="1:21">
      <c r="A1799" s="136">
        <v>3</v>
      </c>
      <c r="B1799" s="251">
        <v>2014</v>
      </c>
      <c r="C1799" s="252" t="s">
        <v>25</v>
      </c>
      <c r="D1799" s="252" t="s">
        <v>1963</v>
      </c>
      <c r="E1799" s="253" t="s">
        <v>1108</v>
      </c>
      <c r="F1799" s="253" t="s">
        <v>2236</v>
      </c>
      <c r="G1799" s="253" t="s">
        <v>2579</v>
      </c>
      <c r="H1799" s="254">
        <v>0.1</v>
      </c>
      <c r="I1799" s="254">
        <v>0.1</v>
      </c>
      <c r="J1799" s="251">
        <v>1</v>
      </c>
      <c r="K1799" s="255"/>
      <c r="L1799" s="253"/>
      <c r="M1799" s="276" t="str">
        <f t="shared" si="56"/>
        <v>Photo</v>
      </c>
      <c r="N1799" s="279" t="s">
        <v>25</v>
      </c>
      <c r="O1799" t="str">
        <f t="shared" si="55"/>
        <v>2014-P Roosevelt Dime</v>
      </c>
      <c r="S1799" t="str" cm="1">
        <f t="array" ref="S1799">_xlfn.REGEXEXTRACT(E1799, "[0-9]{1,5}")</f>
        <v>2014</v>
      </c>
      <c r="T1799" t="s">
        <v>4192</v>
      </c>
      <c r="U1799" t="s">
        <v>3898</v>
      </c>
    </row>
    <row r="1800" spans="1:21">
      <c r="A1800" s="136">
        <v>3</v>
      </c>
      <c r="B1800" s="251">
        <v>2014</v>
      </c>
      <c r="C1800" s="252" t="s">
        <v>25</v>
      </c>
      <c r="D1800" s="252" t="s">
        <v>1963</v>
      </c>
      <c r="E1800" s="253" t="s">
        <v>1109</v>
      </c>
      <c r="F1800" s="253" t="s">
        <v>2236</v>
      </c>
      <c r="G1800" s="253" t="s">
        <v>2579</v>
      </c>
      <c r="H1800" s="254">
        <v>0.1</v>
      </c>
      <c r="I1800" s="254">
        <v>0.1</v>
      </c>
      <c r="J1800" s="251">
        <v>1</v>
      </c>
      <c r="K1800" s="255"/>
      <c r="L1800" s="253"/>
      <c r="M1800" s="276" t="str">
        <f t="shared" si="56"/>
        <v>Photo</v>
      </c>
      <c r="N1800" s="279" t="s">
        <v>25</v>
      </c>
      <c r="O1800" t="str">
        <f t="shared" si="55"/>
        <v>2014-P Roosevelt Dime</v>
      </c>
      <c r="S1800" t="str" cm="1">
        <f t="array" ref="S1800">_xlfn.REGEXEXTRACT(E1800, "[0-9]{1,5}")</f>
        <v>2014</v>
      </c>
      <c r="T1800" t="s">
        <v>4193</v>
      </c>
      <c r="U1800" t="s">
        <v>3898</v>
      </c>
    </row>
    <row r="1801" spans="1:21">
      <c r="A1801" s="136">
        <v>3</v>
      </c>
      <c r="B1801" s="251">
        <v>2014</v>
      </c>
      <c r="C1801" s="252" t="s">
        <v>25</v>
      </c>
      <c r="D1801" s="252" t="s">
        <v>1963</v>
      </c>
      <c r="E1801" s="253" t="s">
        <v>1110</v>
      </c>
      <c r="F1801" s="253" t="s">
        <v>2236</v>
      </c>
      <c r="G1801" s="253" t="s">
        <v>2579</v>
      </c>
      <c r="H1801" s="254">
        <v>0.1</v>
      </c>
      <c r="I1801" s="254">
        <v>0.1</v>
      </c>
      <c r="J1801" s="251">
        <v>1</v>
      </c>
      <c r="K1801" s="255"/>
      <c r="L1801" s="253"/>
      <c r="M1801" s="276" t="str">
        <f t="shared" si="56"/>
        <v>Photo</v>
      </c>
      <c r="N1801" s="279" t="s">
        <v>25</v>
      </c>
      <c r="O1801" t="str">
        <f t="shared" si="55"/>
        <v>2014-P Roosevelt Dime</v>
      </c>
      <c r="S1801" t="str" cm="1">
        <f t="array" ref="S1801">_xlfn.REGEXEXTRACT(E1801, "[0-9]{1,5}")</f>
        <v>2014</v>
      </c>
      <c r="T1801" t="s">
        <v>4194</v>
      </c>
      <c r="U1801" t="s">
        <v>3898</v>
      </c>
    </row>
    <row r="1802" spans="1:21">
      <c r="A1802" s="136">
        <v>3</v>
      </c>
      <c r="B1802" s="251">
        <v>2014</v>
      </c>
      <c r="C1802" s="252" t="s">
        <v>25</v>
      </c>
      <c r="D1802" s="252" t="s">
        <v>1963</v>
      </c>
      <c r="E1802" s="253" t="s">
        <v>1111</v>
      </c>
      <c r="F1802" s="253" t="s">
        <v>2236</v>
      </c>
      <c r="G1802" s="253" t="s">
        <v>2579</v>
      </c>
      <c r="H1802" s="254">
        <v>0.1</v>
      </c>
      <c r="I1802" s="254">
        <v>0.1</v>
      </c>
      <c r="J1802" s="251">
        <v>1</v>
      </c>
      <c r="K1802" s="255"/>
      <c r="L1802" s="253"/>
      <c r="M1802" s="276" t="str">
        <f t="shared" si="56"/>
        <v>Photo</v>
      </c>
      <c r="N1802" s="279" t="s">
        <v>25</v>
      </c>
      <c r="O1802" t="str">
        <f t="shared" si="55"/>
        <v>2014-P Roosevelt Dime</v>
      </c>
      <c r="S1802" t="str" cm="1">
        <f t="array" ref="S1802">_xlfn.REGEXEXTRACT(E1802, "[0-9]{1,5}")</f>
        <v>2014</v>
      </c>
      <c r="T1802" t="s">
        <v>4195</v>
      </c>
      <c r="U1802" t="s">
        <v>3898</v>
      </c>
    </row>
    <row r="1803" spans="1:21">
      <c r="A1803" s="136">
        <v>3</v>
      </c>
      <c r="B1803" s="251">
        <v>2014</v>
      </c>
      <c r="C1803" s="252" t="s">
        <v>25</v>
      </c>
      <c r="D1803" s="252" t="s">
        <v>1963</v>
      </c>
      <c r="E1803" s="253" t="s">
        <v>1112</v>
      </c>
      <c r="F1803" s="253" t="s">
        <v>2236</v>
      </c>
      <c r="G1803" s="253" t="s">
        <v>2579</v>
      </c>
      <c r="H1803" s="254">
        <v>0.1</v>
      </c>
      <c r="I1803" s="254">
        <v>0.1</v>
      </c>
      <c r="J1803" s="251">
        <v>1</v>
      </c>
      <c r="K1803" s="255"/>
      <c r="L1803" s="253"/>
      <c r="M1803" s="276" t="str">
        <f t="shared" si="56"/>
        <v>Photo</v>
      </c>
      <c r="N1803" s="279" t="s">
        <v>25</v>
      </c>
      <c r="O1803" t="str">
        <f t="shared" si="55"/>
        <v>2014-P Roosevelt Dime</v>
      </c>
      <c r="S1803" t="str" cm="1">
        <f t="array" ref="S1803">_xlfn.REGEXEXTRACT(E1803, "[0-9]{1,5}")</f>
        <v>2014</v>
      </c>
      <c r="T1803" t="s">
        <v>4196</v>
      </c>
      <c r="U1803" t="s">
        <v>3898</v>
      </c>
    </row>
    <row r="1804" spans="1:21">
      <c r="A1804" s="136">
        <v>3</v>
      </c>
      <c r="B1804" s="251">
        <v>2014</v>
      </c>
      <c r="C1804" s="252" t="s">
        <v>25</v>
      </c>
      <c r="D1804" s="252" t="s">
        <v>1963</v>
      </c>
      <c r="E1804" s="253" t="s">
        <v>1113</v>
      </c>
      <c r="F1804" s="253" t="s">
        <v>2236</v>
      </c>
      <c r="G1804" s="253" t="s">
        <v>2579</v>
      </c>
      <c r="H1804" s="254">
        <v>0.1</v>
      </c>
      <c r="I1804" s="254">
        <v>0.1</v>
      </c>
      <c r="J1804" s="251">
        <v>1</v>
      </c>
      <c r="K1804" s="255"/>
      <c r="L1804" s="253"/>
      <c r="M1804" s="276" t="str">
        <f t="shared" si="56"/>
        <v>Photo</v>
      </c>
      <c r="N1804" s="279" t="s">
        <v>25</v>
      </c>
      <c r="O1804" t="str">
        <f t="shared" si="55"/>
        <v>2014-P Roosevelt Dime</v>
      </c>
      <c r="S1804" t="str" cm="1">
        <f t="array" ref="S1804">_xlfn.REGEXEXTRACT(E1804, "[0-9]{1,5}")</f>
        <v>2014</v>
      </c>
      <c r="T1804" t="s">
        <v>4196</v>
      </c>
      <c r="U1804" t="s">
        <v>3898</v>
      </c>
    </row>
    <row r="1805" spans="1:21">
      <c r="A1805" s="136">
        <v>3</v>
      </c>
      <c r="B1805" s="251">
        <v>2015</v>
      </c>
      <c r="C1805" s="252" t="s">
        <v>25</v>
      </c>
      <c r="D1805" s="252" t="s">
        <v>1963</v>
      </c>
      <c r="E1805" s="253" t="s">
        <v>1114</v>
      </c>
      <c r="F1805" s="253" t="s">
        <v>2236</v>
      </c>
      <c r="G1805" s="253" t="s">
        <v>2579</v>
      </c>
      <c r="H1805" s="254">
        <v>0.1</v>
      </c>
      <c r="I1805" s="254">
        <v>0.1</v>
      </c>
      <c r="J1805" s="251">
        <v>1</v>
      </c>
      <c r="K1805" s="255"/>
      <c r="L1805" s="253"/>
      <c r="M1805" s="276" t="str">
        <f t="shared" si="56"/>
        <v>Photo</v>
      </c>
      <c r="N1805" s="279" t="s">
        <v>25</v>
      </c>
      <c r="O1805" t="str">
        <f t="shared" si="55"/>
        <v>2015-P Roosevelt Dime</v>
      </c>
      <c r="S1805" t="str" cm="1">
        <f t="array" ref="S1805">_xlfn.REGEXEXTRACT(E1805, "[0-9]{1,5}")</f>
        <v>2015</v>
      </c>
      <c r="T1805" t="s">
        <v>4196</v>
      </c>
      <c r="U1805" t="s">
        <v>3898</v>
      </c>
    </row>
    <row r="1806" spans="1:21">
      <c r="A1806" s="136">
        <v>3</v>
      </c>
      <c r="B1806" s="251">
        <v>2015</v>
      </c>
      <c r="C1806" s="252" t="s">
        <v>25</v>
      </c>
      <c r="D1806" s="252" t="s">
        <v>1963</v>
      </c>
      <c r="E1806" s="253" t="s">
        <v>1115</v>
      </c>
      <c r="F1806" s="253" t="s">
        <v>2236</v>
      </c>
      <c r="G1806" s="253" t="s">
        <v>2579</v>
      </c>
      <c r="H1806" s="254">
        <v>0.1</v>
      </c>
      <c r="I1806" s="254">
        <v>0.1</v>
      </c>
      <c r="J1806" s="251">
        <v>1</v>
      </c>
      <c r="K1806" s="255"/>
      <c r="L1806" s="253"/>
      <c r="M1806" s="276" t="str">
        <f t="shared" si="56"/>
        <v>Photo</v>
      </c>
      <c r="N1806" s="279" t="s">
        <v>25</v>
      </c>
      <c r="O1806" t="str">
        <f t="shared" si="55"/>
        <v>2015-P Roosevelt Dime</v>
      </c>
      <c r="S1806" t="str" cm="1">
        <f t="array" ref="S1806">_xlfn.REGEXEXTRACT(E1806, "[0-9]{1,5}")</f>
        <v>2015</v>
      </c>
      <c r="T1806" t="s">
        <v>4196</v>
      </c>
      <c r="U1806" t="s">
        <v>3898</v>
      </c>
    </row>
    <row r="1807" spans="1:21">
      <c r="A1807" s="136">
        <v>3</v>
      </c>
      <c r="B1807" s="251">
        <v>2015</v>
      </c>
      <c r="C1807" s="252" t="s">
        <v>25</v>
      </c>
      <c r="D1807" s="252" t="s">
        <v>1963</v>
      </c>
      <c r="E1807" s="253" t="s">
        <v>1116</v>
      </c>
      <c r="F1807" s="253" t="s">
        <v>2236</v>
      </c>
      <c r="G1807" s="253" t="s">
        <v>2579</v>
      </c>
      <c r="H1807" s="254">
        <v>0.1</v>
      </c>
      <c r="I1807" s="254">
        <v>0.1</v>
      </c>
      <c r="J1807" s="251">
        <v>1</v>
      </c>
      <c r="K1807" s="255"/>
      <c r="L1807" s="253"/>
      <c r="M1807" s="276" t="str">
        <f t="shared" si="56"/>
        <v>Photo</v>
      </c>
      <c r="N1807" s="279" t="s">
        <v>25</v>
      </c>
      <c r="O1807" t="str">
        <f t="shared" si="55"/>
        <v>2015-P Roosevelt Dime</v>
      </c>
      <c r="S1807" t="str" cm="1">
        <f t="array" ref="S1807">_xlfn.REGEXEXTRACT(E1807, "[0-9]{1,5}")</f>
        <v>2015</v>
      </c>
      <c r="T1807" t="s">
        <v>4197</v>
      </c>
      <c r="U1807" t="s">
        <v>3898</v>
      </c>
    </row>
    <row r="1808" spans="1:21">
      <c r="A1808" s="136">
        <v>3</v>
      </c>
      <c r="B1808" s="251">
        <v>2015</v>
      </c>
      <c r="C1808" s="252" t="s">
        <v>25</v>
      </c>
      <c r="D1808" s="252" t="s">
        <v>1963</v>
      </c>
      <c r="E1808" s="253" t="s">
        <v>1119</v>
      </c>
      <c r="F1808" s="253" t="s">
        <v>2236</v>
      </c>
      <c r="G1808" s="253" t="s">
        <v>2579</v>
      </c>
      <c r="H1808" s="254">
        <v>0.1</v>
      </c>
      <c r="I1808" s="254">
        <v>0.1</v>
      </c>
      <c r="J1808" s="251">
        <v>1</v>
      </c>
      <c r="K1808" s="255"/>
      <c r="L1808" s="253"/>
      <c r="M1808" s="276" t="str">
        <f t="shared" si="56"/>
        <v>Photo</v>
      </c>
      <c r="N1808" s="279" t="s">
        <v>25</v>
      </c>
      <c r="O1808" t="str">
        <f t="shared" si="55"/>
        <v>2015-P Roosevelt Dime</v>
      </c>
      <c r="S1808" t="str" cm="1">
        <f t="array" ref="S1808">_xlfn.REGEXEXTRACT(E1808, "[0-9]{1,5}")</f>
        <v>2015</v>
      </c>
      <c r="T1808" t="s">
        <v>4197</v>
      </c>
      <c r="U1808" t="s">
        <v>3898</v>
      </c>
    </row>
    <row r="1809" spans="1:21">
      <c r="A1809" s="136">
        <v>3</v>
      </c>
      <c r="B1809" s="251">
        <v>2015</v>
      </c>
      <c r="C1809" s="252" t="s">
        <v>25</v>
      </c>
      <c r="D1809" s="252" t="s">
        <v>1963</v>
      </c>
      <c r="E1809" s="253" t="s">
        <v>3945</v>
      </c>
      <c r="F1809" s="253" t="s">
        <v>2236</v>
      </c>
      <c r="G1809" s="253" t="s">
        <v>2579</v>
      </c>
      <c r="H1809" s="254">
        <v>0.1</v>
      </c>
      <c r="I1809" s="254">
        <v>0.1</v>
      </c>
      <c r="J1809" s="251">
        <v>1</v>
      </c>
      <c r="K1809" s="255"/>
      <c r="L1809" s="253"/>
      <c r="M1809" s="276" t="str">
        <f t="shared" si="56"/>
        <v>Photo</v>
      </c>
      <c r="N1809" s="279" t="s">
        <v>25</v>
      </c>
      <c r="O1809" t="str">
        <f t="shared" si="55"/>
        <v>2015-P Roosevelt Dime</v>
      </c>
      <c r="S1809" t="str" cm="1">
        <f t="array" ref="S1809">_xlfn.REGEXEXTRACT(E1809, "[0-9]{1,5}")</f>
        <v>2015</v>
      </c>
      <c r="T1809" t="s">
        <v>4197</v>
      </c>
      <c r="U1809" t="s">
        <v>3898</v>
      </c>
    </row>
    <row r="1810" spans="1:21">
      <c r="A1810" s="136">
        <v>3</v>
      </c>
      <c r="B1810" s="251">
        <v>2016</v>
      </c>
      <c r="C1810" s="252" t="s">
        <v>25</v>
      </c>
      <c r="D1810" s="252" t="s">
        <v>1963</v>
      </c>
      <c r="E1810" s="253" t="s">
        <v>1128</v>
      </c>
      <c r="F1810" s="253" t="s">
        <v>2236</v>
      </c>
      <c r="G1810" s="253" t="s">
        <v>2579</v>
      </c>
      <c r="H1810" s="254">
        <v>0.1</v>
      </c>
      <c r="I1810" s="254">
        <v>0.1</v>
      </c>
      <c r="J1810" s="251">
        <v>1</v>
      </c>
      <c r="K1810" s="255"/>
      <c r="L1810" s="253"/>
      <c r="M1810" s="276" t="str">
        <f t="shared" si="56"/>
        <v>Photo</v>
      </c>
      <c r="N1810" s="279" t="s">
        <v>25</v>
      </c>
      <c r="O1810" t="str">
        <f t="shared" si="55"/>
        <v>2016-P Roosevelt Dime</v>
      </c>
      <c r="S1810" t="str" cm="1">
        <f t="array" ref="S1810">_xlfn.REGEXEXTRACT(E1810, "[0-9]{1,5}")</f>
        <v>2016</v>
      </c>
      <c r="T1810" t="s">
        <v>4198</v>
      </c>
      <c r="U1810" t="s">
        <v>3898</v>
      </c>
    </row>
    <row r="1811" spans="1:21">
      <c r="A1811" s="136">
        <v>3</v>
      </c>
      <c r="B1811" s="251">
        <v>2016</v>
      </c>
      <c r="C1811" s="252" t="s">
        <v>25</v>
      </c>
      <c r="D1811" s="252" t="s">
        <v>1963</v>
      </c>
      <c r="E1811" s="253" t="s">
        <v>1121</v>
      </c>
      <c r="F1811" s="253" t="s">
        <v>2236</v>
      </c>
      <c r="G1811" s="253" t="s">
        <v>2579</v>
      </c>
      <c r="H1811" s="254">
        <v>0.1</v>
      </c>
      <c r="I1811" s="254">
        <v>0.1</v>
      </c>
      <c r="J1811" s="251">
        <v>1</v>
      </c>
      <c r="K1811" s="255"/>
      <c r="L1811" s="253"/>
      <c r="M1811" s="276" t="str">
        <f t="shared" si="56"/>
        <v>Photo</v>
      </c>
      <c r="N1811" s="279" t="s">
        <v>25</v>
      </c>
      <c r="O1811" t="str">
        <f t="shared" si="55"/>
        <v>2016-P Roosevelt Dime</v>
      </c>
      <c r="S1811" t="str" cm="1">
        <f t="array" ref="S1811">_xlfn.REGEXEXTRACT(E1811, "[0-9]{1,5}")</f>
        <v>2016</v>
      </c>
      <c r="T1811" t="s">
        <v>4199</v>
      </c>
      <c r="U1811" t="s">
        <v>3898</v>
      </c>
    </row>
    <row r="1812" spans="1:21">
      <c r="A1812" s="136">
        <v>3</v>
      </c>
      <c r="B1812" s="251">
        <v>2016</v>
      </c>
      <c r="C1812" s="252" t="s">
        <v>25</v>
      </c>
      <c r="D1812" s="252" t="s">
        <v>1963</v>
      </c>
      <c r="E1812" s="253" t="s">
        <v>1122</v>
      </c>
      <c r="F1812" s="253" t="s">
        <v>2236</v>
      </c>
      <c r="G1812" s="253" t="s">
        <v>2579</v>
      </c>
      <c r="H1812" s="254">
        <v>0.1</v>
      </c>
      <c r="I1812" s="254">
        <v>0.1</v>
      </c>
      <c r="J1812" s="251">
        <v>1</v>
      </c>
      <c r="K1812" s="255"/>
      <c r="L1812" s="253"/>
      <c r="M1812" s="276" t="str">
        <f t="shared" si="56"/>
        <v>Photo</v>
      </c>
      <c r="N1812" s="279" t="s">
        <v>25</v>
      </c>
      <c r="O1812" t="str">
        <f t="shared" si="55"/>
        <v>2016-P Roosevelt Dime</v>
      </c>
      <c r="S1812" t="str" cm="1">
        <f t="array" ref="S1812">_xlfn.REGEXEXTRACT(E1812, "[0-9]{1,5}")</f>
        <v>2016</v>
      </c>
      <c r="T1812" t="s">
        <v>4201</v>
      </c>
      <c r="U1812" t="s">
        <v>3898</v>
      </c>
    </row>
    <row r="1813" spans="1:21">
      <c r="A1813" s="136">
        <v>3</v>
      </c>
      <c r="B1813" s="251">
        <v>2016</v>
      </c>
      <c r="C1813" s="252" t="s">
        <v>25</v>
      </c>
      <c r="D1813" s="252" t="s">
        <v>1963</v>
      </c>
      <c r="E1813" s="253" t="s">
        <v>1123</v>
      </c>
      <c r="F1813" s="253" t="s">
        <v>2236</v>
      </c>
      <c r="G1813" s="253" t="s">
        <v>2579</v>
      </c>
      <c r="H1813" s="254">
        <v>0.1</v>
      </c>
      <c r="I1813" s="254">
        <v>0.1</v>
      </c>
      <c r="J1813" s="251">
        <v>1</v>
      </c>
      <c r="K1813" s="255"/>
      <c r="L1813" s="253"/>
      <c r="M1813" s="276" t="str">
        <f t="shared" si="56"/>
        <v>Photo</v>
      </c>
      <c r="N1813" s="279" t="s">
        <v>25</v>
      </c>
      <c r="O1813" t="str">
        <f t="shared" si="55"/>
        <v>2016-P Roosevelt Dime</v>
      </c>
      <c r="S1813" t="str" cm="1">
        <f t="array" ref="S1813">_xlfn.REGEXEXTRACT(E1813, "[0-9]{1,5}")</f>
        <v>2016</v>
      </c>
      <c r="T1813" t="s">
        <v>4201</v>
      </c>
      <c r="U1813" t="s">
        <v>3898</v>
      </c>
    </row>
    <row r="1814" spans="1:21">
      <c r="A1814" s="136">
        <v>3</v>
      </c>
      <c r="B1814" s="251">
        <v>2016</v>
      </c>
      <c r="C1814" s="252" t="s">
        <v>13</v>
      </c>
      <c r="D1814" s="252" t="s">
        <v>1963</v>
      </c>
      <c r="E1814" s="253" t="s">
        <v>1124</v>
      </c>
      <c r="F1814" s="253" t="s">
        <v>2236</v>
      </c>
      <c r="G1814" s="253" t="s">
        <v>2579</v>
      </c>
      <c r="H1814" s="254">
        <v>0.1</v>
      </c>
      <c r="I1814" s="254">
        <v>0.1</v>
      </c>
      <c r="J1814" s="251">
        <v>1</v>
      </c>
      <c r="K1814" s="255"/>
      <c r="L1814" s="253"/>
      <c r="M1814" s="276" t="str">
        <f t="shared" si="56"/>
        <v>Photo</v>
      </c>
      <c r="N1814" s="279" t="s">
        <v>25</v>
      </c>
      <c r="O1814" t="str">
        <f t="shared" si="55"/>
        <v>2016-D Roosevelt Dime</v>
      </c>
      <c r="S1814" t="str" cm="1">
        <f t="array" ref="S1814">_xlfn.REGEXEXTRACT(E1814, "[0-9]{1,5}")</f>
        <v>2016</v>
      </c>
      <c r="T1814" t="s">
        <v>4201</v>
      </c>
      <c r="U1814" t="s">
        <v>3898</v>
      </c>
    </row>
    <row r="1815" spans="1:21">
      <c r="A1815" s="136">
        <v>3</v>
      </c>
      <c r="B1815" s="251">
        <v>2016</v>
      </c>
      <c r="C1815" s="252" t="s">
        <v>25</v>
      </c>
      <c r="D1815" s="252" t="s">
        <v>1963</v>
      </c>
      <c r="E1815" s="253" t="s">
        <v>1125</v>
      </c>
      <c r="F1815" s="253" t="s">
        <v>2236</v>
      </c>
      <c r="G1815" s="253" t="s">
        <v>2579</v>
      </c>
      <c r="H1815" s="254">
        <v>0.1</v>
      </c>
      <c r="I1815" s="254">
        <v>0.1</v>
      </c>
      <c r="J1815" s="251">
        <v>1</v>
      </c>
      <c r="K1815" s="255"/>
      <c r="L1815" s="253"/>
      <c r="M1815" s="276" t="str">
        <f t="shared" si="56"/>
        <v>Photo</v>
      </c>
      <c r="N1815" s="279" t="s">
        <v>25</v>
      </c>
      <c r="O1815" t="str">
        <f t="shared" si="55"/>
        <v>2016-P Roosevelt Dime</v>
      </c>
      <c r="S1815" t="str" cm="1">
        <f t="array" ref="S1815">_xlfn.REGEXEXTRACT(E1815, "[0-9]{1,5}")</f>
        <v>2016</v>
      </c>
      <c r="T1815" t="s">
        <v>4202</v>
      </c>
      <c r="U1815" t="s">
        <v>3898</v>
      </c>
    </row>
    <row r="1816" spans="1:21">
      <c r="A1816" s="136">
        <v>3</v>
      </c>
      <c r="B1816" s="251">
        <v>2016</v>
      </c>
      <c r="C1816" s="252" t="s">
        <v>13</v>
      </c>
      <c r="D1816" s="252" t="s">
        <v>1963</v>
      </c>
      <c r="E1816" s="253" t="s">
        <v>1126</v>
      </c>
      <c r="F1816" s="253" t="s">
        <v>2236</v>
      </c>
      <c r="G1816" s="253" t="s">
        <v>2579</v>
      </c>
      <c r="H1816" s="254">
        <v>0.1</v>
      </c>
      <c r="I1816" s="254">
        <v>0.1</v>
      </c>
      <c r="J1816" s="251">
        <v>1</v>
      </c>
      <c r="K1816" s="255"/>
      <c r="L1816" s="253"/>
      <c r="M1816" s="276" t="str">
        <f t="shared" si="56"/>
        <v>Photo</v>
      </c>
      <c r="N1816" s="279" t="s">
        <v>25</v>
      </c>
      <c r="O1816" t="str">
        <f t="shared" si="55"/>
        <v>2016-D Roosevelt Dime</v>
      </c>
      <c r="S1816" t="str" cm="1">
        <f t="array" ref="S1816">_xlfn.REGEXEXTRACT(E1816, "[0-9]{1,5}")</f>
        <v>2016</v>
      </c>
      <c r="T1816" t="s">
        <v>4202</v>
      </c>
      <c r="U1816" t="s">
        <v>3898</v>
      </c>
    </row>
    <row r="1817" spans="1:21">
      <c r="A1817" s="136">
        <v>3</v>
      </c>
      <c r="B1817" s="251">
        <v>2016</v>
      </c>
      <c r="C1817" s="252" t="s">
        <v>25</v>
      </c>
      <c r="D1817" s="252" t="s">
        <v>1963</v>
      </c>
      <c r="E1817" s="253" t="s">
        <v>1127</v>
      </c>
      <c r="F1817" s="253" t="s">
        <v>2236</v>
      </c>
      <c r="G1817" s="253" t="s">
        <v>2579</v>
      </c>
      <c r="H1817" s="254">
        <v>0.1</v>
      </c>
      <c r="I1817" s="254">
        <v>0.1</v>
      </c>
      <c r="J1817" s="251">
        <v>1</v>
      </c>
      <c r="K1817" s="255"/>
      <c r="L1817" s="253"/>
      <c r="M1817" s="276" t="str">
        <f t="shared" si="56"/>
        <v>Photo</v>
      </c>
      <c r="N1817" s="279" t="s">
        <v>25</v>
      </c>
      <c r="O1817" t="str">
        <f t="shared" si="55"/>
        <v>2016-P Roosevelt Dime</v>
      </c>
      <c r="S1817" t="str" cm="1">
        <f t="array" ref="S1817">_xlfn.REGEXEXTRACT(E1817, "[0-9]{1,5}")</f>
        <v>2016</v>
      </c>
      <c r="T1817" t="s">
        <v>4203</v>
      </c>
      <c r="U1817" t="s">
        <v>3898</v>
      </c>
    </row>
    <row r="1818" spans="1:21">
      <c r="A1818" s="136">
        <v>3</v>
      </c>
      <c r="B1818" s="251">
        <v>2016</v>
      </c>
      <c r="C1818" s="252" t="s">
        <v>25</v>
      </c>
      <c r="D1818" s="252" t="s">
        <v>1963</v>
      </c>
      <c r="E1818" s="253" t="s">
        <v>1129</v>
      </c>
      <c r="F1818" s="253" t="s">
        <v>2236</v>
      </c>
      <c r="G1818" s="253" t="s">
        <v>2579</v>
      </c>
      <c r="H1818" s="254">
        <v>0.1</v>
      </c>
      <c r="I1818" s="254">
        <v>1.5</v>
      </c>
      <c r="J1818" s="251">
        <v>1</v>
      </c>
      <c r="K1818" s="255"/>
      <c r="L1818" s="253"/>
      <c r="M1818" s="276" t="str">
        <f t="shared" si="56"/>
        <v>Photo</v>
      </c>
      <c r="N1818" s="279" t="s">
        <v>25</v>
      </c>
      <c r="O1818" t="str">
        <f t="shared" si="55"/>
        <v>2016-P Roosevelt Dime</v>
      </c>
      <c r="S1818" t="str" cm="1">
        <f t="array" ref="S1818">_xlfn.REGEXEXTRACT(E1818, "[0-9]{1,5}")</f>
        <v>2016</v>
      </c>
      <c r="T1818" t="s">
        <v>4203</v>
      </c>
      <c r="U1818" t="s">
        <v>3898</v>
      </c>
    </row>
    <row r="1819" spans="1:21">
      <c r="A1819" s="136">
        <v>3</v>
      </c>
      <c r="B1819" s="251">
        <v>2017</v>
      </c>
      <c r="C1819" s="252" t="s">
        <v>25</v>
      </c>
      <c r="D1819" s="252" t="s">
        <v>1963</v>
      </c>
      <c r="E1819" s="253" t="s">
        <v>3939</v>
      </c>
      <c r="F1819" s="253" t="s">
        <v>2236</v>
      </c>
      <c r="G1819" s="253" t="s">
        <v>2579</v>
      </c>
      <c r="H1819" s="254">
        <v>0.1</v>
      </c>
      <c r="I1819" s="254">
        <v>0.1</v>
      </c>
      <c r="J1819" s="251">
        <v>1</v>
      </c>
      <c r="K1819" s="255"/>
      <c r="L1819" s="253"/>
      <c r="M1819" s="276" t="str">
        <f t="shared" si="56"/>
        <v>Photo</v>
      </c>
      <c r="N1819" s="279" t="s">
        <v>25</v>
      </c>
      <c r="O1819" t="str">
        <f t="shared" si="55"/>
        <v>2017-P Roosevelt Dime</v>
      </c>
      <c r="S1819" t="str" cm="1">
        <f t="array" ref="S1819">_xlfn.REGEXEXTRACT(E1819, "[0-9]{1,5}")</f>
        <v>2017</v>
      </c>
      <c r="T1819" t="s">
        <v>4204</v>
      </c>
      <c r="U1819" t="s">
        <v>3898</v>
      </c>
    </row>
    <row r="1820" spans="1:21">
      <c r="A1820" s="136">
        <v>3</v>
      </c>
      <c r="B1820" s="251">
        <v>2017</v>
      </c>
      <c r="C1820" s="252" t="s">
        <v>25</v>
      </c>
      <c r="D1820" s="252" t="s">
        <v>1963</v>
      </c>
      <c r="E1820" s="253" t="s">
        <v>1130</v>
      </c>
      <c r="F1820" s="253" t="s">
        <v>2236</v>
      </c>
      <c r="G1820" s="253" t="s">
        <v>2579</v>
      </c>
      <c r="H1820" s="254">
        <v>0.1</v>
      </c>
      <c r="I1820" s="254">
        <v>0.1</v>
      </c>
      <c r="J1820" s="251">
        <v>1</v>
      </c>
      <c r="K1820" s="255"/>
      <c r="L1820" s="253"/>
      <c r="M1820" s="276" t="str">
        <f t="shared" si="56"/>
        <v>Photo</v>
      </c>
      <c r="N1820" s="279" t="s">
        <v>25</v>
      </c>
      <c r="O1820" t="str">
        <f t="shared" si="55"/>
        <v>2017-P Roosevelt Dime</v>
      </c>
      <c r="S1820" t="str" cm="1">
        <f t="array" ref="S1820">_xlfn.REGEXEXTRACT(E1820, "[0-9]{1,5}")</f>
        <v>2017</v>
      </c>
      <c r="T1820" t="s">
        <v>4204</v>
      </c>
      <c r="U1820" t="s">
        <v>3898</v>
      </c>
    </row>
    <row r="1821" spans="1:21">
      <c r="A1821" s="136">
        <v>3</v>
      </c>
      <c r="B1821" s="251">
        <v>2017</v>
      </c>
      <c r="C1821" s="252" t="s">
        <v>25</v>
      </c>
      <c r="D1821" s="252" t="s">
        <v>1963</v>
      </c>
      <c r="E1821" s="253" t="s">
        <v>1131</v>
      </c>
      <c r="F1821" s="253" t="s">
        <v>2236</v>
      </c>
      <c r="G1821" s="253" t="s">
        <v>2579</v>
      </c>
      <c r="H1821" s="254">
        <v>0.1</v>
      </c>
      <c r="I1821" s="254">
        <v>0.1</v>
      </c>
      <c r="J1821" s="251">
        <v>1</v>
      </c>
      <c r="K1821" s="255"/>
      <c r="L1821" s="253"/>
      <c r="M1821" s="276" t="str">
        <f t="shared" si="56"/>
        <v>Photo</v>
      </c>
      <c r="N1821" s="279" t="s">
        <v>25</v>
      </c>
      <c r="O1821" t="str">
        <f t="shared" si="55"/>
        <v>2017-P Roosevelt Dime</v>
      </c>
      <c r="S1821" t="str" cm="1">
        <f t="array" ref="S1821">_xlfn.REGEXEXTRACT(E1821, "[0-9]{1,5}")</f>
        <v>2017</v>
      </c>
      <c r="T1821" t="s">
        <v>4204</v>
      </c>
      <c r="U1821" t="s">
        <v>3898</v>
      </c>
    </row>
    <row r="1822" spans="1:21">
      <c r="A1822" s="136">
        <v>3</v>
      </c>
      <c r="B1822" s="251">
        <v>2017</v>
      </c>
      <c r="C1822" s="252" t="s">
        <v>25</v>
      </c>
      <c r="D1822" s="252" t="s">
        <v>1963</v>
      </c>
      <c r="E1822" s="253" t="s">
        <v>1133</v>
      </c>
      <c r="F1822" s="253" t="s">
        <v>2236</v>
      </c>
      <c r="G1822" s="253" t="s">
        <v>2579</v>
      </c>
      <c r="H1822" s="254">
        <v>0.25</v>
      </c>
      <c r="I1822" s="254">
        <v>0.25</v>
      </c>
      <c r="J1822" s="251">
        <v>1</v>
      </c>
      <c r="K1822" s="255"/>
      <c r="L1822" s="253"/>
      <c r="M1822" s="276" t="str">
        <f t="shared" si="56"/>
        <v>Photo</v>
      </c>
      <c r="N1822" s="279" t="s">
        <v>25</v>
      </c>
      <c r="O1822" t="str">
        <f t="shared" si="55"/>
        <v>2017-P Roosevelt Dime</v>
      </c>
      <c r="S1822" t="str" cm="1">
        <f t="array" ref="S1822">_xlfn.REGEXEXTRACT(E1822, "[0-9]{1,5}")</f>
        <v>2017</v>
      </c>
      <c r="T1822" t="s">
        <v>4205</v>
      </c>
      <c r="U1822" t="s">
        <v>3898</v>
      </c>
    </row>
    <row r="1823" spans="1:21">
      <c r="A1823" s="136">
        <v>3</v>
      </c>
      <c r="B1823" s="251">
        <v>2017</v>
      </c>
      <c r="C1823" s="252" t="s">
        <v>25</v>
      </c>
      <c r="D1823" s="252" t="s">
        <v>1963</v>
      </c>
      <c r="E1823" s="253" t="s">
        <v>1134</v>
      </c>
      <c r="F1823" s="253" t="s">
        <v>2236</v>
      </c>
      <c r="G1823" s="253" t="s">
        <v>2579</v>
      </c>
      <c r="H1823" s="254">
        <v>0.1</v>
      </c>
      <c r="I1823" s="254">
        <v>0.1</v>
      </c>
      <c r="J1823" s="251">
        <v>1</v>
      </c>
      <c r="K1823" s="255"/>
      <c r="L1823" s="253"/>
      <c r="M1823" s="276" t="str">
        <f t="shared" si="56"/>
        <v>Photo</v>
      </c>
      <c r="N1823" s="279" t="s">
        <v>25</v>
      </c>
      <c r="O1823" t="str">
        <f t="shared" si="55"/>
        <v>2017-P Roosevelt Dime</v>
      </c>
      <c r="S1823" t="str" cm="1">
        <f t="array" ref="S1823">_xlfn.REGEXEXTRACT(E1823, "[0-9]{1,5}")</f>
        <v>2017</v>
      </c>
      <c r="T1823" t="s">
        <v>4205</v>
      </c>
      <c r="U1823" t="s">
        <v>3898</v>
      </c>
    </row>
    <row r="1824" spans="1:21">
      <c r="A1824" s="136">
        <v>3</v>
      </c>
      <c r="B1824" s="251">
        <v>2018</v>
      </c>
      <c r="C1824" s="252" t="s">
        <v>25</v>
      </c>
      <c r="D1824" s="252" t="s">
        <v>1963</v>
      </c>
      <c r="E1824" s="253" t="s">
        <v>1135</v>
      </c>
      <c r="F1824" s="253" t="s">
        <v>2236</v>
      </c>
      <c r="G1824" s="253" t="s">
        <v>2579</v>
      </c>
      <c r="H1824" s="254">
        <v>0.1</v>
      </c>
      <c r="I1824" s="254">
        <v>0.1</v>
      </c>
      <c r="J1824" s="251">
        <v>1</v>
      </c>
      <c r="K1824" s="255"/>
      <c r="L1824" s="253"/>
      <c r="M1824" s="276" t="str">
        <f t="shared" si="56"/>
        <v>Photo</v>
      </c>
      <c r="N1824" s="279" t="s">
        <v>25</v>
      </c>
      <c r="O1824" t="str">
        <f t="shared" si="55"/>
        <v>2018-P Roosevelt Dime</v>
      </c>
      <c r="S1824" t="str" cm="1">
        <f t="array" ref="S1824">_xlfn.REGEXEXTRACT(E1824, "[0-9]{1,5}")</f>
        <v>2018</v>
      </c>
      <c r="T1824" t="s">
        <v>4205</v>
      </c>
      <c r="U1824" t="s">
        <v>3898</v>
      </c>
    </row>
    <row r="1825" spans="1:21">
      <c r="A1825" s="136">
        <v>3</v>
      </c>
      <c r="B1825" s="251">
        <v>2018</v>
      </c>
      <c r="C1825" s="252" t="s">
        <v>25</v>
      </c>
      <c r="D1825" s="252" t="s">
        <v>1963</v>
      </c>
      <c r="E1825" s="253" t="s">
        <v>1136</v>
      </c>
      <c r="F1825" s="253" t="s">
        <v>2236</v>
      </c>
      <c r="G1825" s="253" t="s">
        <v>2579</v>
      </c>
      <c r="H1825" s="254">
        <v>0.1</v>
      </c>
      <c r="I1825" s="254">
        <v>0.1</v>
      </c>
      <c r="J1825" s="251">
        <v>1</v>
      </c>
      <c r="K1825" s="255"/>
      <c r="L1825" s="253"/>
      <c r="M1825" s="276" t="str">
        <f t="shared" si="56"/>
        <v>Photo</v>
      </c>
      <c r="N1825" s="279" t="s">
        <v>25</v>
      </c>
      <c r="O1825" t="str">
        <f t="shared" si="55"/>
        <v>2018-P Roosevelt Dime</v>
      </c>
      <c r="S1825" t="str" cm="1">
        <f t="array" ref="S1825">_xlfn.REGEXEXTRACT(E1825, "[0-9]{1,5}")</f>
        <v>2018</v>
      </c>
      <c r="T1825" t="s">
        <v>4205</v>
      </c>
      <c r="U1825" t="s">
        <v>3898</v>
      </c>
    </row>
    <row r="1826" spans="1:21">
      <c r="A1826" s="136">
        <v>3</v>
      </c>
      <c r="B1826" s="251">
        <v>2018</v>
      </c>
      <c r="C1826" s="252" t="s">
        <v>25</v>
      </c>
      <c r="D1826" s="252" t="s">
        <v>1963</v>
      </c>
      <c r="E1826" s="253" t="s">
        <v>1137</v>
      </c>
      <c r="F1826" s="253" t="s">
        <v>2236</v>
      </c>
      <c r="G1826" s="253" t="s">
        <v>2579</v>
      </c>
      <c r="H1826" s="254">
        <v>0.1</v>
      </c>
      <c r="I1826" s="254">
        <v>0.1</v>
      </c>
      <c r="J1826" s="251">
        <v>1</v>
      </c>
      <c r="K1826" s="255"/>
      <c r="L1826" s="253"/>
      <c r="M1826" s="276" t="str">
        <f t="shared" si="56"/>
        <v>Photo</v>
      </c>
      <c r="N1826" s="279" t="s">
        <v>25</v>
      </c>
      <c r="O1826" t="str">
        <f t="shared" si="55"/>
        <v>2018-P Roosevelt Dime</v>
      </c>
      <c r="S1826" t="str" cm="1">
        <f t="array" ref="S1826">_xlfn.REGEXEXTRACT(E1826, "[0-9]{1,5}")</f>
        <v>2018</v>
      </c>
      <c r="T1826" t="s">
        <v>4205</v>
      </c>
      <c r="U1826" t="s">
        <v>3898</v>
      </c>
    </row>
    <row r="1827" spans="1:21">
      <c r="A1827" s="136">
        <v>3</v>
      </c>
      <c r="B1827" s="251">
        <v>2018</v>
      </c>
      <c r="C1827" s="252" t="s">
        <v>25</v>
      </c>
      <c r="D1827" s="252" t="s">
        <v>1963</v>
      </c>
      <c r="E1827" s="253" t="s">
        <v>1138</v>
      </c>
      <c r="F1827" s="253" t="s">
        <v>2236</v>
      </c>
      <c r="G1827" s="253" t="s">
        <v>2579</v>
      </c>
      <c r="H1827" s="254">
        <v>0.1</v>
      </c>
      <c r="I1827" s="254">
        <v>0.1</v>
      </c>
      <c r="J1827" s="251">
        <v>1</v>
      </c>
      <c r="K1827" s="255"/>
      <c r="L1827" s="253"/>
      <c r="M1827" s="276" t="str">
        <f t="shared" si="56"/>
        <v>Photo</v>
      </c>
      <c r="N1827" s="279" t="s">
        <v>25</v>
      </c>
      <c r="O1827" t="str">
        <f t="shared" si="55"/>
        <v>2018-P Roosevelt Dime</v>
      </c>
      <c r="S1827" t="str" cm="1">
        <f t="array" ref="S1827">_xlfn.REGEXEXTRACT(E1827, "[0-9]{1,5}")</f>
        <v>2018</v>
      </c>
      <c r="T1827" t="s">
        <v>4205</v>
      </c>
      <c r="U1827" t="s">
        <v>3898</v>
      </c>
    </row>
    <row r="1828" spans="1:21">
      <c r="A1828" s="136">
        <v>3</v>
      </c>
      <c r="B1828" s="251">
        <v>2019</v>
      </c>
      <c r="C1828" s="252" t="s">
        <v>25</v>
      </c>
      <c r="D1828" s="252" t="s">
        <v>1963</v>
      </c>
      <c r="E1828" s="253" t="s">
        <v>1139</v>
      </c>
      <c r="F1828" s="253" t="s">
        <v>2236</v>
      </c>
      <c r="G1828" s="253" t="s">
        <v>2579</v>
      </c>
      <c r="H1828" s="254">
        <v>0.1</v>
      </c>
      <c r="I1828" s="254">
        <v>0.1</v>
      </c>
      <c r="J1828" s="251">
        <v>1</v>
      </c>
      <c r="K1828" s="255"/>
      <c r="L1828" s="253"/>
      <c r="M1828" s="276" t="str">
        <f t="shared" si="56"/>
        <v>Photo</v>
      </c>
      <c r="N1828" s="279" t="s">
        <v>25</v>
      </c>
      <c r="O1828" t="str">
        <f t="shared" si="55"/>
        <v>2019-P Roosevelt Dime</v>
      </c>
      <c r="S1828" t="str" cm="1">
        <f t="array" ref="S1828">_xlfn.REGEXEXTRACT(E1828, "[0-9]{1,5}")</f>
        <v>2019</v>
      </c>
      <c r="T1828" t="s">
        <v>4205</v>
      </c>
      <c r="U1828" t="s">
        <v>3898</v>
      </c>
    </row>
    <row r="1829" spans="1:21">
      <c r="A1829" s="136">
        <v>3</v>
      </c>
      <c r="B1829" s="251">
        <v>2019</v>
      </c>
      <c r="C1829" s="252" t="s">
        <v>25</v>
      </c>
      <c r="D1829" s="252" t="s">
        <v>1963</v>
      </c>
      <c r="E1829" s="253" t="s">
        <v>1140</v>
      </c>
      <c r="F1829" s="253" t="s">
        <v>2236</v>
      </c>
      <c r="G1829" s="253" t="s">
        <v>2579</v>
      </c>
      <c r="H1829" s="254">
        <v>0.1</v>
      </c>
      <c r="I1829" s="254">
        <v>0.1</v>
      </c>
      <c r="J1829" s="251">
        <v>1</v>
      </c>
      <c r="K1829" s="255"/>
      <c r="L1829" s="253"/>
      <c r="M1829" s="276" t="str">
        <f t="shared" si="56"/>
        <v>Photo</v>
      </c>
      <c r="N1829" s="279" t="s">
        <v>25</v>
      </c>
      <c r="O1829" t="str">
        <f t="shared" si="55"/>
        <v>2019-P Roosevelt Dime</v>
      </c>
      <c r="S1829" t="str" cm="1">
        <f t="array" ref="S1829">_xlfn.REGEXEXTRACT(E1829, "[0-9]{1,5}")</f>
        <v>2019</v>
      </c>
      <c r="T1829" t="s">
        <v>4205</v>
      </c>
      <c r="U1829" t="s">
        <v>3898</v>
      </c>
    </row>
    <row r="1830" spans="1:21">
      <c r="A1830" s="136">
        <v>3</v>
      </c>
      <c r="B1830" s="251">
        <v>2019</v>
      </c>
      <c r="C1830" s="252" t="s">
        <v>25</v>
      </c>
      <c r="D1830" s="252" t="s">
        <v>1963</v>
      </c>
      <c r="E1830" s="253" t="s">
        <v>1141</v>
      </c>
      <c r="F1830" s="253" t="s">
        <v>2236</v>
      </c>
      <c r="G1830" s="253" t="s">
        <v>2579</v>
      </c>
      <c r="H1830" s="254">
        <v>0.1</v>
      </c>
      <c r="I1830" s="254">
        <v>0.1</v>
      </c>
      <c r="J1830" s="251">
        <v>1</v>
      </c>
      <c r="K1830" s="255"/>
      <c r="L1830" s="253"/>
      <c r="M1830" s="276" t="str">
        <f t="shared" ref="M1830:M1844" si="57">HYPERLINK($Y$2&amp;E1830&amp;$AA$2,"Photo")</f>
        <v>Photo</v>
      </c>
      <c r="N1830" s="279" t="s">
        <v>25</v>
      </c>
      <c r="O1830" t="str">
        <f t="shared" si="55"/>
        <v>2019-P Roosevelt Dime</v>
      </c>
      <c r="S1830" t="str" cm="1">
        <f t="array" ref="S1830">_xlfn.REGEXEXTRACT(E1830, "[0-9]{1,5}")</f>
        <v>2019</v>
      </c>
      <c r="T1830" t="s">
        <v>4205</v>
      </c>
      <c r="U1830" t="s">
        <v>3898</v>
      </c>
    </row>
    <row r="1831" spans="1:21">
      <c r="A1831" s="136">
        <v>3</v>
      </c>
      <c r="B1831" s="251">
        <v>2020</v>
      </c>
      <c r="C1831" s="252" t="s">
        <v>25</v>
      </c>
      <c r="D1831" s="252" t="s">
        <v>1963</v>
      </c>
      <c r="E1831" s="253" t="s">
        <v>1142</v>
      </c>
      <c r="F1831" s="253" t="s">
        <v>2236</v>
      </c>
      <c r="G1831" s="253" t="s">
        <v>2579</v>
      </c>
      <c r="H1831" s="254">
        <v>0.1</v>
      </c>
      <c r="I1831" s="254">
        <v>0.1</v>
      </c>
      <c r="J1831" s="251">
        <v>1</v>
      </c>
      <c r="K1831" s="255"/>
      <c r="L1831" s="253"/>
      <c r="M1831" s="276" t="str">
        <f t="shared" si="57"/>
        <v>Photo</v>
      </c>
      <c r="N1831" s="279" t="s">
        <v>25</v>
      </c>
      <c r="O1831" t="str">
        <f t="shared" si="55"/>
        <v>2020-P Roosevelt Dime</v>
      </c>
      <c r="S1831" t="str" cm="1">
        <f t="array" ref="S1831">_xlfn.REGEXEXTRACT(E1831, "[0-9]{1,5}")</f>
        <v>2020</v>
      </c>
      <c r="T1831" t="s">
        <v>4205</v>
      </c>
      <c r="U1831" t="s">
        <v>3898</v>
      </c>
    </row>
    <row r="1832" spans="1:21">
      <c r="A1832" s="136">
        <v>3</v>
      </c>
      <c r="B1832" s="251">
        <v>2020</v>
      </c>
      <c r="C1832" s="252" t="s">
        <v>25</v>
      </c>
      <c r="D1832" s="252" t="s">
        <v>1963</v>
      </c>
      <c r="E1832" s="253" t="s">
        <v>1143</v>
      </c>
      <c r="F1832" s="253" t="s">
        <v>2236</v>
      </c>
      <c r="G1832" s="253" t="s">
        <v>2579</v>
      </c>
      <c r="H1832" s="254">
        <v>0.1</v>
      </c>
      <c r="I1832" s="254">
        <v>0.1</v>
      </c>
      <c r="J1832" s="251">
        <v>1</v>
      </c>
      <c r="K1832" s="255"/>
      <c r="L1832" s="253"/>
      <c r="M1832" s="276" t="str">
        <f t="shared" si="57"/>
        <v>Photo</v>
      </c>
      <c r="N1832" s="279" t="s">
        <v>25</v>
      </c>
      <c r="O1832" t="str">
        <f t="shared" si="55"/>
        <v>2020-P Roosevelt Dime</v>
      </c>
      <c r="S1832" t="str" cm="1">
        <f t="array" ref="S1832">_xlfn.REGEXEXTRACT(E1832, "[0-9]{1,5}")</f>
        <v>2020</v>
      </c>
      <c r="T1832" t="s">
        <v>4205</v>
      </c>
      <c r="U1832" t="s">
        <v>3898</v>
      </c>
    </row>
    <row r="1833" spans="1:21">
      <c r="A1833" s="136">
        <v>3</v>
      </c>
      <c r="B1833" s="251">
        <v>2020</v>
      </c>
      <c r="C1833" s="252" t="s">
        <v>25</v>
      </c>
      <c r="D1833" s="252" t="s">
        <v>1963</v>
      </c>
      <c r="E1833" s="253" t="s">
        <v>1145</v>
      </c>
      <c r="F1833" s="253" t="s">
        <v>2236</v>
      </c>
      <c r="G1833" s="253" t="s">
        <v>2579</v>
      </c>
      <c r="H1833" s="254">
        <v>0.1</v>
      </c>
      <c r="I1833" s="254">
        <v>0.1</v>
      </c>
      <c r="J1833" s="251">
        <v>1</v>
      </c>
      <c r="K1833" s="255"/>
      <c r="L1833" s="253"/>
      <c r="M1833" s="276" t="str">
        <f t="shared" si="57"/>
        <v>Photo</v>
      </c>
      <c r="N1833" s="279" t="s">
        <v>25</v>
      </c>
      <c r="O1833" t="str">
        <f t="shared" si="55"/>
        <v>2020-P Roosevelt Dime</v>
      </c>
      <c r="S1833" t="str" cm="1">
        <f t="array" ref="S1833">_xlfn.REGEXEXTRACT(E1833, "[0-9]{1,5}")</f>
        <v>2020</v>
      </c>
      <c r="T1833" t="s">
        <v>4205</v>
      </c>
      <c r="U1833" t="s">
        <v>3898</v>
      </c>
    </row>
    <row r="1834" spans="1:21">
      <c r="A1834" s="136">
        <v>3</v>
      </c>
      <c r="B1834" s="251">
        <v>2020</v>
      </c>
      <c r="C1834" s="252" t="s">
        <v>3839</v>
      </c>
      <c r="D1834" s="252" t="s">
        <v>1963</v>
      </c>
      <c r="E1834" s="253" t="s">
        <v>4637</v>
      </c>
      <c r="F1834" s="253" t="s">
        <v>2236</v>
      </c>
      <c r="G1834" s="253" t="s">
        <v>2579</v>
      </c>
      <c r="H1834" s="254">
        <v>0.1</v>
      </c>
      <c r="I1834" s="254">
        <v>0.1</v>
      </c>
      <c r="J1834" s="251">
        <v>1</v>
      </c>
      <c r="K1834" s="255"/>
      <c r="L1834" s="253"/>
      <c r="M1834" s="276" t="str">
        <f t="shared" si="57"/>
        <v>Photo</v>
      </c>
      <c r="N1834" s="279" t="s">
        <v>25</v>
      </c>
      <c r="O1834" t="str">
        <f t="shared" si="55"/>
        <v>2020-p Roosevelt Dime</v>
      </c>
      <c r="S1834" t="str" cm="1">
        <f t="array" ref="S1834">_xlfn.REGEXEXTRACT(E1834, "[0-9]{1,5}")</f>
        <v>2020</v>
      </c>
      <c r="T1834" t="s">
        <v>4205</v>
      </c>
      <c r="U1834" t="s">
        <v>3898</v>
      </c>
    </row>
    <row r="1835" spans="1:21">
      <c r="A1835" s="136">
        <v>3</v>
      </c>
      <c r="B1835" s="251">
        <v>2021</v>
      </c>
      <c r="C1835" s="252" t="s">
        <v>25</v>
      </c>
      <c r="D1835" s="252" t="s">
        <v>1963</v>
      </c>
      <c r="E1835" s="253" t="s">
        <v>1144</v>
      </c>
      <c r="F1835" s="253" t="s">
        <v>2236</v>
      </c>
      <c r="G1835" s="253" t="s">
        <v>2579</v>
      </c>
      <c r="H1835" s="254">
        <v>0.1</v>
      </c>
      <c r="I1835" s="254">
        <v>0.1</v>
      </c>
      <c r="J1835" s="251">
        <v>1</v>
      </c>
      <c r="K1835" s="255"/>
      <c r="L1835" s="253"/>
      <c r="M1835" s="276" t="str">
        <f t="shared" si="57"/>
        <v>Photo</v>
      </c>
      <c r="N1835" s="279" t="s">
        <v>25</v>
      </c>
      <c r="O1835" t="str">
        <f t="shared" si="55"/>
        <v>2021-P Roosevelt Dime</v>
      </c>
      <c r="S1835" t="str" cm="1">
        <f t="array" ref="S1835">_xlfn.REGEXEXTRACT(E1835, "[0-9]{1,5}")</f>
        <v>2021</v>
      </c>
      <c r="T1835" t="s">
        <v>4205</v>
      </c>
      <c r="U1835" t="s">
        <v>3898</v>
      </c>
    </row>
    <row r="1836" spans="1:21">
      <c r="A1836" s="136">
        <v>3</v>
      </c>
      <c r="B1836" s="251">
        <v>2021</v>
      </c>
      <c r="C1836" s="252" t="s">
        <v>25</v>
      </c>
      <c r="D1836" s="252" t="s">
        <v>1963</v>
      </c>
      <c r="E1836" s="253" t="s">
        <v>1146</v>
      </c>
      <c r="F1836" s="253" t="s">
        <v>2236</v>
      </c>
      <c r="G1836" s="253" t="s">
        <v>2579</v>
      </c>
      <c r="H1836" s="254">
        <v>0.1</v>
      </c>
      <c r="I1836" s="254">
        <v>0.1</v>
      </c>
      <c r="J1836" s="251">
        <v>1</v>
      </c>
      <c r="K1836" s="255"/>
      <c r="L1836" s="253"/>
      <c r="M1836" s="276" t="str">
        <f t="shared" si="57"/>
        <v>Photo</v>
      </c>
      <c r="N1836" s="279" t="s">
        <v>25</v>
      </c>
      <c r="O1836" t="str">
        <f t="shared" si="55"/>
        <v>2021-P Roosevelt Dime</v>
      </c>
      <c r="S1836" t="str" cm="1">
        <f t="array" ref="S1836">_xlfn.REGEXEXTRACT(E1836, "[0-9]{1,5}")</f>
        <v>2021</v>
      </c>
      <c r="T1836" t="s">
        <v>4205</v>
      </c>
      <c r="U1836" t="s">
        <v>3898</v>
      </c>
    </row>
    <row r="1837" spans="1:21">
      <c r="A1837" s="136">
        <v>3</v>
      </c>
      <c r="B1837" s="251">
        <v>2021</v>
      </c>
      <c r="C1837" s="252" t="s">
        <v>25</v>
      </c>
      <c r="D1837" s="252" t="s">
        <v>1963</v>
      </c>
      <c r="E1837" s="253" t="s">
        <v>1148</v>
      </c>
      <c r="F1837" s="253" t="s">
        <v>2236</v>
      </c>
      <c r="G1837" s="253" t="s">
        <v>2579</v>
      </c>
      <c r="H1837" s="254">
        <v>0.1</v>
      </c>
      <c r="I1837" s="254">
        <v>0.1</v>
      </c>
      <c r="J1837" s="251">
        <v>1</v>
      </c>
      <c r="K1837" s="255"/>
      <c r="L1837" s="253"/>
      <c r="M1837" s="276" t="str">
        <f t="shared" si="57"/>
        <v>Photo</v>
      </c>
      <c r="N1837" s="279" t="s">
        <v>25</v>
      </c>
      <c r="O1837" t="str">
        <f t="shared" si="55"/>
        <v>2021-P Roosevelt Dime</v>
      </c>
      <c r="S1837" t="str" cm="1">
        <f t="array" ref="S1837">_xlfn.REGEXEXTRACT(E1837, "[0-9]{1,5}")</f>
        <v>2021</v>
      </c>
      <c r="T1837" t="s">
        <v>4205</v>
      </c>
      <c r="U1837" t="s">
        <v>3898</v>
      </c>
    </row>
    <row r="1838" spans="1:21">
      <c r="A1838" s="136">
        <v>3</v>
      </c>
      <c r="B1838" s="251">
        <v>2021</v>
      </c>
      <c r="C1838" s="252" t="s">
        <v>25</v>
      </c>
      <c r="D1838" s="252" t="s">
        <v>1963</v>
      </c>
      <c r="E1838" s="253" t="s">
        <v>3851</v>
      </c>
      <c r="F1838" s="253" t="s">
        <v>2236</v>
      </c>
      <c r="G1838" s="253" t="s">
        <v>2579</v>
      </c>
      <c r="H1838" s="254">
        <v>0.1</v>
      </c>
      <c r="I1838" s="254">
        <v>0.1</v>
      </c>
      <c r="J1838" s="251">
        <v>1</v>
      </c>
      <c r="K1838" s="255"/>
      <c r="L1838" s="253"/>
      <c r="M1838" s="276" t="str">
        <f t="shared" si="57"/>
        <v>Photo</v>
      </c>
      <c r="N1838" s="279" t="s">
        <v>25</v>
      </c>
      <c r="O1838" t="str">
        <f t="shared" si="55"/>
        <v>2021-P Roosevelt Dime</v>
      </c>
      <c r="S1838" t="str" cm="1">
        <f t="array" ref="S1838">_xlfn.REGEXEXTRACT(E1838, "[0-9]{1,5}")</f>
        <v>2021</v>
      </c>
      <c r="T1838" t="s">
        <v>4205</v>
      </c>
      <c r="U1838" t="s">
        <v>3898</v>
      </c>
    </row>
    <row r="1839" spans="1:21">
      <c r="A1839" s="136">
        <v>3</v>
      </c>
      <c r="B1839" s="251">
        <v>2022</v>
      </c>
      <c r="C1839" s="252" t="s">
        <v>25</v>
      </c>
      <c r="D1839" s="252" t="s">
        <v>1963</v>
      </c>
      <c r="E1839" s="253" t="s">
        <v>1149</v>
      </c>
      <c r="F1839" s="253" t="s">
        <v>2236</v>
      </c>
      <c r="G1839" s="253" t="s">
        <v>2579</v>
      </c>
      <c r="H1839" s="254">
        <v>0.1</v>
      </c>
      <c r="I1839" s="254">
        <v>0.1</v>
      </c>
      <c r="J1839" s="251">
        <v>1</v>
      </c>
      <c r="K1839" s="255"/>
      <c r="L1839" s="253"/>
      <c r="M1839" s="276" t="str">
        <f t="shared" si="57"/>
        <v>Photo</v>
      </c>
      <c r="N1839" s="279" t="s">
        <v>25</v>
      </c>
      <c r="O1839" t="str">
        <f t="shared" si="55"/>
        <v>2022-P Roosevelt Dime</v>
      </c>
      <c r="S1839" t="str" cm="1">
        <f t="array" ref="S1839">_xlfn.REGEXEXTRACT(E1839, "[0-9]{1,5}")</f>
        <v>2022</v>
      </c>
      <c r="T1839" t="s">
        <v>4205</v>
      </c>
      <c r="U1839" t="s">
        <v>3898</v>
      </c>
    </row>
    <row r="1840" spans="1:21">
      <c r="A1840" s="136">
        <v>3</v>
      </c>
      <c r="B1840" s="251">
        <v>2022</v>
      </c>
      <c r="C1840" s="252" t="s">
        <v>25</v>
      </c>
      <c r="D1840" s="252" t="s">
        <v>1963</v>
      </c>
      <c r="E1840" s="253" t="s">
        <v>2170</v>
      </c>
      <c r="F1840" s="253" t="s">
        <v>2236</v>
      </c>
      <c r="G1840" s="253" t="s">
        <v>2579</v>
      </c>
      <c r="H1840" s="254">
        <v>0.1</v>
      </c>
      <c r="I1840" s="254">
        <v>1.5</v>
      </c>
      <c r="J1840" s="251">
        <v>1</v>
      </c>
      <c r="K1840" s="255"/>
      <c r="L1840" s="253"/>
      <c r="M1840" s="276" t="str">
        <f t="shared" si="57"/>
        <v>Photo</v>
      </c>
      <c r="N1840" s="279" t="s">
        <v>25</v>
      </c>
      <c r="O1840" t="str">
        <f t="shared" si="55"/>
        <v>2022-P Roosevelt Dime</v>
      </c>
      <c r="S1840" t="str" cm="1">
        <f t="array" ref="S1840">_xlfn.REGEXEXTRACT(E1840, "[0-9]{1,5}")</f>
        <v>2022</v>
      </c>
      <c r="T1840" t="s">
        <v>4205</v>
      </c>
      <c r="U1840" t="s">
        <v>3898</v>
      </c>
    </row>
    <row r="1841" spans="1:21">
      <c r="A1841" s="136">
        <v>3</v>
      </c>
      <c r="B1841" s="251">
        <v>2022</v>
      </c>
      <c r="C1841" s="252" t="s">
        <v>13</v>
      </c>
      <c r="D1841" s="252" t="s">
        <v>1963</v>
      </c>
      <c r="E1841" s="253" t="s">
        <v>1147</v>
      </c>
      <c r="F1841" s="253" t="s">
        <v>2236</v>
      </c>
      <c r="G1841" s="253" t="s">
        <v>2579</v>
      </c>
      <c r="H1841" s="254">
        <v>0.1</v>
      </c>
      <c r="I1841" s="254">
        <v>0.1</v>
      </c>
      <c r="J1841" s="251">
        <v>1</v>
      </c>
      <c r="K1841" s="255"/>
      <c r="L1841" s="253"/>
      <c r="M1841" s="276" t="str">
        <f t="shared" si="57"/>
        <v>Photo</v>
      </c>
      <c r="N1841" s="279" t="s">
        <v>25</v>
      </c>
      <c r="O1841" t="str">
        <f t="shared" si="55"/>
        <v>2022-D Roosevelt Dime</v>
      </c>
      <c r="S1841" t="str" cm="1">
        <f t="array" ref="S1841">_xlfn.REGEXEXTRACT(E1841, "[0-9]{1,5}")</f>
        <v>2022</v>
      </c>
      <c r="T1841" t="s">
        <v>4205</v>
      </c>
      <c r="U1841" t="s">
        <v>3898</v>
      </c>
    </row>
    <row r="1842" spans="1:21">
      <c r="A1842" s="136">
        <v>3</v>
      </c>
      <c r="B1842" s="233">
        <v>2022</v>
      </c>
      <c r="C1842" s="234" t="s">
        <v>13</v>
      </c>
      <c r="D1842" s="234" t="s">
        <v>1963</v>
      </c>
      <c r="E1842" s="235" t="s">
        <v>2237</v>
      </c>
      <c r="F1842" s="235" t="s">
        <v>2236</v>
      </c>
      <c r="G1842" s="235" t="s">
        <v>2579</v>
      </c>
      <c r="H1842" s="236">
        <v>0.1</v>
      </c>
      <c r="I1842" s="236">
        <v>0.1</v>
      </c>
      <c r="J1842" s="233">
        <v>1</v>
      </c>
      <c r="K1842" s="237"/>
      <c r="L1842" s="235"/>
      <c r="M1842" s="276" t="str">
        <f t="shared" si="57"/>
        <v>Photo</v>
      </c>
      <c r="N1842" s="279" t="s">
        <v>25</v>
      </c>
      <c r="O1842" t="str">
        <f t="shared" si="55"/>
        <v>2022-D Roosevelt Dime</v>
      </c>
      <c r="S1842" t="str" cm="1">
        <f t="array" ref="S1842">_xlfn.REGEXEXTRACT(E1842, "[0-9]{1,5}")</f>
        <v>2022</v>
      </c>
      <c r="T1842" t="s">
        <v>4205</v>
      </c>
      <c r="U1842" t="s">
        <v>3898</v>
      </c>
    </row>
    <row r="1843" spans="1:21">
      <c r="A1843" s="136">
        <v>3</v>
      </c>
      <c r="B1843" s="233">
        <v>2023</v>
      </c>
      <c r="C1843" s="234" t="s">
        <v>25</v>
      </c>
      <c r="D1843" s="234" t="s">
        <v>1963</v>
      </c>
      <c r="E1843" s="235" t="s">
        <v>2238</v>
      </c>
      <c r="F1843" s="235" t="s">
        <v>2236</v>
      </c>
      <c r="G1843" s="235" t="s">
        <v>2579</v>
      </c>
      <c r="H1843" s="236">
        <v>0.1</v>
      </c>
      <c r="I1843" s="236">
        <v>0.1</v>
      </c>
      <c r="J1843" s="233">
        <v>1</v>
      </c>
      <c r="K1843" s="237"/>
      <c r="L1843" s="235"/>
      <c r="M1843" s="276" t="str">
        <f t="shared" si="57"/>
        <v>Photo</v>
      </c>
      <c r="N1843" s="279" t="s">
        <v>25</v>
      </c>
      <c r="O1843" t="str">
        <f t="shared" si="55"/>
        <v>2023-P Roosevelt Dime</v>
      </c>
      <c r="S1843" t="str" cm="1">
        <f t="array" ref="S1843">_xlfn.REGEXEXTRACT(E1843, "[0-9]{1,5}")</f>
        <v>2023</v>
      </c>
      <c r="T1843" t="s">
        <v>4205</v>
      </c>
      <c r="U1843" t="s">
        <v>3898</v>
      </c>
    </row>
    <row r="1844" spans="1:21">
      <c r="A1844" s="136">
        <v>3</v>
      </c>
      <c r="B1844" s="233">
        <v>2023</v>
      </c>
      <c r="C1844" s="234" t="s">
        <v>25</v>
      </c>
      <c r="D1844" s="234" t="s">
        <v>1963</v>
      </c>
      <c r="E1844" s="235" t="s">
        <v>3944</v>
      </c>
      <c r="F1844" s="235" t="s">
        <v>2236</v>
      </c>
      <c r="G1844" s="235" t="s">
        <v>2579</v>
      </c>
      <c r="H1844" s="236">
        <v>0.1</v>
      </c>
      <c r="I1844" s="236">
        <v>0.1</v>
      </c>
      <c r="J1844" s="233">
        <v>1</v>
      </c>
      <c r="K1844" s="237"/>
      <c r="L1844" s="235"/>
      <c r="M1844" s="276" t="str">
        <f t="shared" si="57"/>
        <v>Photo</v>
      </c>
      <c r="N1844" s="279" t="s">
        <v>25</v>
      </c>
      <c r="O1844" t="str">
        <f t="shared" si="55"/>
        <v>2023-P Roosevelt Dime</v>
      </c>
      <c r="S1844" t="str" cm="1">
        <f t="array" ref="S1844">_xlfn.REGEXEXTRACT(E1844, "[0-9]{1,5}")</f>
        <v>2023</v>
      </c>
      <c r="T1844" t="s">
        <v>4205</v>
      </c>
      <c r="U1844" t="s">
        <v>3898</v>
      </c>
    </row>
    <row r="1845" spans="1:21">
      <c r="A1845" s="136">
        <v>3</v>
      </c>
      <c r="B1845" s="233">
        <v>2026</v>
      </c>
      <c r="C1845" s="234" t="s">
        <v>13</v>
      </c>
      <c r="D1845" s="234" t="s">
        <v>1963</v>
      </c>
      <c r="E1845" s="235" t="s">
        <v>5571</v>
      </c>
      <c r="F1845" s="235" t="s">
        <v>2236</v>
      </c>
      <c r="G1845" s="235" t="s">
        <v>2579</v>
      </c>
      <c r="H1845" s="236">
        <v>1.5</v>
      </c>
      <c r="I1845" s="236">
        <v>1.5</v>
      </c>
      <c r="J1845" s="233">
        <v>1</v>
      </c>
      <c r="K1845" s="237" t="s">
        <v>5572</v>
      </c>
      <c r="L1845" s="235"/>
      <c r="M1845" s="276"/>
      <c r="N1845" s="279"/>
      <c r="O1845" t="str">
        <f t="shared" si="55"/>
        <v>2026-D Roosevelt Dime</v>
      </c>
      <c r="S1845" t="str" cm="1">
        <f t="array" ref="S1845">_xlfn.REGEXEXTRACT(E1845, "[0-9]{1,5}")</f>
        <v>2026</v>
      </c>
      <c r="T1845" t="s">
        <v>4205</v>
      </c>
      <c r="U1845" t="s">
        <v>3898</v>
      </c>
    </row>
    <row r="1846" spans="1:21">
      <c r="A1846" s="136">
        <v>3</v>
      </c>
      <c r="B1846" s="270">
        <v>2026</v>
      </c>
      <c r="C1846" s="136" t="s">
        <v>25</v>
      </c>
      <c r="D1846" s="234" t="s">
        <v>1963</v>
      </c>
      <c r="E1846" s="235" t="s">
        <v>5573</v>
      </c>
      <c r="F1846" s="235" t="s">
        <v>2236</v>
      </c>
      <c r="G1846" s="3" t="s">
        <v>2579</v>
      </c>
      <c r="H1846" s="236">
        <v>1.5</v>
      </c>
      <c r="I1846" s="236">
        <v>1.5</v>
      </c>
      <c r="J1846" s="233">
        <v>1</v>
      </c>
      <c r="K1846" s="237" t="s">
        <v>5572</v>
      </c>
      <c r="N1846" s="279"/>
      <c r="O1846" t="str">
        <f t="shared" si="55"/>
        <v>2026-P Roosevelt Dime</v>
      </c>
      <c r="S1846" t="str" cm="1">
        <f t="array" ref="S1846">_xlfn.REGEXEXTRACT(E1846, "[0-9]{1,5}")</f>
        <v>2026</v>
      </c>
      <c r="T1846" t="s">
        <v>4205</v>
      </c>
      <c r="U1846" t="s">
        <v>3898</v>
      </c>
    </row>
    <row r="1847" spans="1:21">
      <c r="A1847" s="136">
        <v>4</v>
      </c>
      <c r="B1847" s="246">
        <v>1939</v>
      </c>
      <c r="C1847" s="247" t="s">
        <v>1183</v>
      </c>
      <c r="D1847" s="247" t="s">
        <v>1965</v>
      </c>
      <c r="E1847" s="248" t="s">
        <v>1184</v>
      </c>
      <c r="F1847" s="248" t="s">
        <v>3752</v>
      </c>
      <c r="G1847" s="248" t="s">
        <v>2579</v>
      </c>
      <c r="H1847" s="249">
        <v>0.25</v>
      </c>
      <c r="I1847" s="249">
        <v>0.25</v>
      </c>
      <c r="J1847" s="246">
        <v>1</v>
      </c>
      <c r="K1847" s="250"/>
      <c r="L1847" s="248"/>
      <c r="M1847" s="276" t="str">
        <f t="shared" ref="M1847:M1878" si="58">HYPERLINK($Y$2&amp;E1847&amp;$AA$2,"Photo")</f>
        <v>Photo</v>
      </c>
      <c r="N1847" s="279" t="s">
        <v>25</v>
      </c>
      <c r="O1847" t="str">
        <f t="shared" si="55"/>
        <v>1939 Washington Quarter</v>
      </c>
      <c r="S1847" t="str" cm="1">
        <f t="array" ref="S1847">_xlfn.REGEXEXTRACT(E1847, "[0-9]{1,5}")</f>
        <v>1939</v>
      </c>
      <c r="T1847" t="s">
        <v>4205</v>
      </c>
      <c r="U1847" t="s">
        <v>3898</v>
      </c>
    </row>
    <row r="1848" spans="1:21">
      <c r="A1848" s="136">
        <v>4</v>
      </c>
      <c r="B1848" s="246">
        <v>1942</v>
      </c>
      <c r="C1848" s="247" t="s">
        <v>1183</v>
      </c>
      <c r="D1848" s="247" t="s">
        <v>1965</v>
      </c>
      <c r="E1848" s="248" t="s">
        <v>1186</v>
      </c>
      <c r="F1848" s="248" t="s">
        <v>3752</v>
      </c>
      <c r="G1848" s="248" t="s">
        <v>2579</v>
      </c>
      <c r="H1848" s="249">
        <v>0.25</v>
      </c>
      <c r="I1848" s="249">
        <v>3.04</v>
      </c>
      <c r="J1848" s="246">
        <v>1</v>
      </c>
      <c r="K1848" s="250"/>
      <c r="L1848" s="248"/>
      <c r="M1848" s="276" t="str">
        <f t="shared" si="58"/>
        <v>Photo</v>
      </c>
      <c r="N1848" s="279" t="s">
        <v>25</v>
      </c>
      <c r="O1848" t="str">
        <f t="shared" si="55"/>
        <v>1942 Washington Quarter</v>
      </c>
      <c r="S1848" t="str" cm="1">
        <f t="array" ref="S1848">_xlfn.REGEXEXTRACT(E1848, "[0-9]{1,5}")</f>
        <v>1942</v>
      </c>
      <c r="T1848" t="s">
        <v>4205</v>
      </c>
      <c r="U1848" t="s">
        <v>3898</v>
      </c>
    </row>
    <row r="1849" spans="1:21">
      <c r="A1849" s="136">
        <v>4</v>
      </c>
      <c r="B1849" s="246">
        <v>1946</v>
      </c>
      <c r="C1849" s="247" t="s">
        <v>1183</v>
      </c>
      <c r="D1849" s="247" t="s">
        <v>1965</v>
      </c>
      <c r="E1849" s="248" t="s">
        <v>1187</v>
      </c>
      <c r="F1849" s="248" t="s">
        <v>3752</v>
      </c>
      <c r="G1849" s="248" t="s">
        <v>2579</v>
      </c>
      <c r="H1849" s="249">
        <v>0.25</v>
      </c>
      <c r="I1849" s="249">
        <v>0.25</v>
      </c>
      <c r="J1849" s="246">
        <v>1</v>
      </c>
      <c r="K1849" s="250"/>
      <c r="L1849" s="248"/>
      <c r="M1849" s="276" t="str">
        <f t="shared" si="58"/>
        <v>Photo</v>
      </c>
      <c r="N1849" s="279" t="s">
        <v>25</v>
      </c>
      <c r="O1849" t="str">
        <f t="shared" si="55"/>
        <v>1946 Washington Quarter</v>
      </c>
      <c r="S1849" t="str" cm="1">
        <f t="array" ref="S1849">_xlfn.REGEXEXTRACT(E1849, "[0-9]{1,5}")</f>
        <v>1946</v>
      </c>
      <c r="T1849" t="s">
        <v>4205</v>
      </c>
      <c r="U1849" t="s">
        <v>3898</v>
      </c>
    </row>
    <row r="1850" spans="1:21">
      <c r="A1850" s="136">
        <v>4</v>
      </c>
      <c r="B1850" s="246">
        <v>1952</v>
      </c>
      <c r="C1850" s="247" t="s">
        <v>1183</v>
      </c>
      <c r="D1850" s="247" t="s">
        <v>1965</v>
      </c>
      <c r="E1850" s="248" t="s">
        <v>1188</v>
      </c>
      <c r="F1850" s="248" t="s">
        <v>3752</v>
      </c>
      <c r="G1850" s="248" t="s">
        <v>2579</v>
      </c>
      <c r="H1850" s="249">
        <v>0.25</v>
      </c>
      <c r="I1850" s="249">
        <v>3.04</v>
      </c>
      <c r="J1850" s="246">
        <v>1</v>
      </c>
      <c r="K1850" s="250"/>
      <c r="L1850" s="248"/>
      <c r="M1850" s="276" t="str">
        <f t="shared" si="58"/>
        <v>Photo</v>
      </c>
      <c r="N1850" s="279" t="s">
        <v>25</v>
      </c>
      <c r="O1850" t="str">
        <f t="shared" si="55"/>
        <v>1952 Washington Quarter</v>
      </c>
      <c r="S1850" t="str" cm="1">
        <f t="array" ref="S1850">_xlfn.REGEXEXTRACT(E1850, "[0-9]{1,5}")</f>
        <v>1952</v>
      </c>
      <c r="T1850" t="s">
        <v>4205</v>
      </c>
      <c r="U1850" t="s">
        <v>3898</v>
      </c>
    </row>
    <row r="1851" spans="1:21">
      <c r="A1851" s="136">
        <v>4</v>
      </c>
      <c r="B1851" s="246">
        <v>1952</v>
      </c>
      <c r="C1851" s="247" t="s">
        <v>1183</v>
      </c>
      <c r="D1851" s="247" t="s">
        <v>1965</v>
      </c>
      <c r="E1851" s="248" t="s">
        <v>1190</v>
      </c>
      <c r="F1851" s="248" t="s">
        <v>3752</v>
      </c>
      <c r="G1851" s="248" t="s">
        <v>2579</v>
      </c>
      <c r="H1851" s="249">
        <v>0.25</v>
      </c>
      <c r="I1851" s="249">
        <v>0.25</v>
      </c>
      <c r="J1851" s="246"/>
      <c r="K1851" s="250"/>
      <c r="L1851" s="248"/>
      <c r="M1851" s="276" t="str">
        <f t="shared" si="58"/>
        <v>Photo</v>
      </c>
      <c r="N1851" s="279"/>
      <c r="O1851" t="str">
        <f t="shared" si="55"/>
        <v>1952 Washington Quarter</v>
      </c>
      <c r="S1851" t="str" cm="1">
        <f t="array" ref="S1851">_xlfn.REGEXEXTRACT(E1851, "[0-9]{1,5}")</f>
        <v>1952</v>
      </c>
      <c r="T1851" t="s">
        <v>4205</v>
      </c>
      <c r="U1851" t="s">
        <v>3898</v>
      </c>
    </row>
    <row r="1852" spans="1:21">
      <c r="A1852" s="136">
        <v>4</v>
      </c>
      <c r="B1852" s="246">
        <v>1965</v>
      </c>
      <c r="C1852" s="247" t="s">
        <v>1183</v>
      </c>
      <c r="D1852" s="247" t="s">
        <v>1965</v>
      </c>
      <c r="E1852" s="248" t="s">
        <v>1191</v>
      </c>
      <c r="F1852" s="248" t="s">
        <v>3752</v>
      </c>
      <c r="G1852" s="248" t="s">
        <v>2579</v>
      </c>
      <c r="H1852" s="249">
        <v>0.25</v>
      </c>
      <c r="I1852" s="249">
        <v>3.04</v>
      </c>
      <c r="J1852" s="246">
        <v>1</v>
      </c>
      <c r="K1852" s="250"/>
      <c r="L1852" s="248"/>
      <c r="M1852" s="276" t="str">
        <f t="shared" si="58"/>
        <v>Photo</v>
      </c>
      <c r="N1852" s="279" t="s">
        <v>25</v>
      </c>
      <c r="O1852" t="str">
        <f t="shared" si="55"/>
        <v>1965 Washington Quarter</v>
      </c>
      <c r="S1852" t="str" cm="1">
        <f t="array" ref="S1852">_xlfn.REGEXEXTRACT(E1852, "[0-9]{1,5}")</f>
        <v>1965</v>
      </c>
      <c r="T1852" t="s">
        <v>4206</v>
      </c>
      <c r="U1852" t="s">
        <v>3898</v>
      </c>
    </row>
    <row r="1853" spans="1:21">
      <c r="A1853" s="136">
        <v>4</v>
      </c>
      <c r="B1853" s="246">
        <v>1965</v>
      </c>
      <c r="C1853" s="247"/>
      <c r="D1853" s="247" t="s">
        <v>1965</v>
      </c>
      <c r="E1853" s="248" t="s">
        <v>1192</v>
      </c>
      <c r="F1853" s="248" t="s">
        <v>3752</v>
      </c>
      <c r="G1853" s="248" t="s">
        <v>2579</v>
      </c>
      <c r="H1853" s="249">
        <v>0.25</v>
      </c>
      <c r="I1853" s="249">
        <v>0.25</v>
      </c>
      <c r="J1853" s="246">
        <v>1</v>
      </c>
      <c r="K1853" s="250"/>
      <c r="L1853" s="248"/>
      <c r="M1853" s="276" t="str">
        <f t="shared" si="58"/>
        <v>Photo</v>
      </c>
      <c r="N1853" s="279" t="s">
        <v>25</v>
      </c>
      <c r="O1853" t="str">
        <f t="shared" si="55"/>
        <v>1965 Washington Quarter</v>
      </c>
      <c r="S1853" t="str" cm="1">
        <f t="array" ref="S1853">_xlfn.REGEXEXTRACT(E1853, "[0-9]{1,5}")</f>
        <v>1965</v>
      </c>
      <c r="T1853" t="s">
        <v>4206</v>
      </c>
      <c r="U1853" t="s">
        <v>3898</v>
      </c>
    </row>
    <row r="1854" spans="1:21">
      <c r="A1854" s="136">
        <v>4</v>
      </c>
      <c r="B1854" s="246">
        <v>1966</v>
      </c>
      <c r="C1854" s="247" t="s">
        <v>1183</v>
      </c>
      <c r="D1854" s="247" t="s">
        <v>1965</v>
      </c>
      <c r="E1854" s="248" t="s">
        <v>1193</v>
      </c>
      <c r="F1854" s="248" t="s">
        <v>3752</v>
      </c>
      <c r="G1854" s="248" t="s">
        <v>2579</v>
      </c>
      <c r="H1854" s="249">
        <v>0.25</v>
      </c>
      <c r="I1854" s="249">
        <v>0.25</v>
      </c>
      <c r="J1854" s="246">
        <v>1</v>
      </c>
      <c r="K1854" s="250"/>
      <c r="L1854" s="248"/>
      <c r="M1854" s="276" t="str">
        <f t="shared" si="58"/>
        <v>Photo</v>
      </c>
      <c r="N1854" s="279" t="s">
        <v>25</v>
      </c>
      <c r="O1854" t="str">
        <f t="shared" si="55"/>
        <v>1966 Washington Quarter</v>
      </c>
      <c r="S1854" t="str" cm="1">
        <f t="array" ref="S1854">_xlfn.REGEXEXTRACT(E1854, "[0-9]{1,5}")</f>
        <v>1966</v>
      </c>
      <c r="T1854" t="s">
        <v>4206</v>
      </c>
      <c r="U1854" t="s">
        <v>3898</v>
      </c>
    </row>
    <row r="1855" spans="1:21">
      <c r="A1855" s="136">
        <v>4</v>
      </c>
      <c r="B1855" s="246">
        <v>1967</v>
      </c>
      <c r="C1855" s="247"/>
      <c r="D1855" s="247" t="s">
        <v>1965</v>
      </c>
      <c r="E1855" s="248" t="s">
        <v>3934</v>
      </c>
      <c r="F1855" s="248" t="s">
        <v>3752</v>
      </c>
      <c r="G1855" s="248" t="s">
        <v>2587</v>
      </c>
      <c r="H1855" s="249">
        <v>0.25</v>
      </c>
      <c r="I1855" s="249">
        <v>0.25</v>
      </c>
      <c r="J1855" s="246">
        <v>1</v>
      </c>
      <c r="K1855" s="250"/>
      <c r="L1855" s="248"/>
      <c r="M1855" s="276" t="str">
        <f t="shared" si="58"/>
        <v>Photo</v>
      </c>
      <c r="N1855" s="279" t="s">
        <v>25</v>
      </c>
      <c r="O1855" t="str">
        <f t="shared" si="55"/>
        <v>1967 Washington Quarter</v>
      </c>
      <c r="S1855" t="str" cm="1">
        <f t="array" ref="S1855">_xlfn.REGEXEXTRACT(E1855, "[0-9]{1,5}")</f>
        <v>1967</v>
      </c>
      <c r="T1855" t="s">
        <v>4206</v>
      </c>
      <c r="U1855" t="s">
        <v>3898</v>
      </c>
    </row>
    <row r="1856" spans="1:21">
      <c r="A1856" s="136">
        <v>4</v>
      </c>
      <c r="B1856" s="246">
        <v>1970</v>
      </c>
      <c r="C1856" s="247" t="s">
        <v>1183</v>
      </c>
      <c r="D1856" s="247" t="s">
        <v>1965</v>
      </c>
      <c r="E1856" s="248" t="s">
        <v>2169</v>
      </c>
      <c r="F1856" s="248" t="s">
        <v>3752</v>
      </c>
      <c r="G1856" s="248" t="s">
        <v>2579</v>
      </c>
      <c r="H1856" s="249">
        <v>0.25</v>
      </c>
      <c r="I1856" s="249">
        <v>0.25</v>
      </c>
      <c r="J1856" s="246">
        <v>1</v>
      </c>
      <c r="K1856" s="250"/>
      <c r="L1856" s="248"/>
      <c r="M1856" s="276" t="str">
        <f t="shared" si="58"/>
        <v>Photo</v>
      </c>
      <c r="N1856" s="279" t="s">
        <v>25</v>
      </c>
      <c r="O1856" t="str">
        <f t="shared" si="55"/>
        <v>1970 Washington Quarter</v>
      </c>
      <c r="S1856" t="str" cm="1">
        <f t="array" ref="S1856">_xlfn.REGEXEXTRACT(E1856, "[0-9]{1,5}")</f>
        <v>1970</v>
      </c>
      <c r="T1856" t="s">
        <v>4207</v>
      </c>
      <c r="U1856" t="s">
        <v>3898</v>
      </c>
    </row>
    <row r="1857" spans="1:21">
      <c r="A1857" s="136">
        <v>4</v>
      </c>
      <c r="B1857" s="246">
        <v>1972</v>
      </c>
      <c r="C1857" s="247" t="s">
        <v>13</v>
      </c>
      <c r="D1857" s="247" t="s">
        <v>1965</v>
      </c>
      <c r="E1857" s="248" t="s">
        <v>1195</v>
      </c>
      <c r="F1857" s="248" t="s">
        <v>3752</v>
      </c>
      <c r="G1857" s="248" t="s">
        <v>2579</v>
      </c>
      <c r="H1857" s="249">
        <v>0.25</v>
      </c>
      <c r="I1857" s="249">
        <v>0.25</v>
      </c>
      <c r="J1857" s="246">
        <v>1</v>
      </c>
      <c r="K1857" s="250"/>
      <c r="L1857" s="248"/>
      <c r="M1857" s="276" t="str">
        <f t="shared" si="58"/>
        <v>Photo</v>
      </c>
      <c r="N1857" s="279" t="s">
        <v>25</v>
      </c>
      <c r="O1857" t="str">
        <f t="shared" si="55"/>
        <v>1972-D Washington Quarter</v>
      </c>
      <c r="S1857" t="str" cm="1">
        <f t="array" ref="S1857">_xlfn.REGEXEXTRACT(E1857, "[0-9]{1,5}")</f>
        <v>1972</v>
      </c>
      <c r="T1857" t="s">
        <v>4207</v>
      </c>
      <c r="U1857" t="s">
        <v>3898</v>
      </c>
    </row>
    <row r="1858" spans="1:21">
      <c r="A1858" s="136">
        <v>4</v>
      </c>
      <c r="B1858" s="246">
        <v>1972</v>
      </c>
      <c r="C1858" s="247" t="s">
        <v>1183</v>
      </c>
      <c r="D1858" s="247" t="s">
        <v>1965</v>
      </c>
      <c r="E1858" s="248" t="s">
        <v>1196</v>
      </c>
      <c r="F1858" s="248" t="s">
        <v>3752</v>
      </c>
      <c r="G1858" s="248" t="s">
        <v>2579</v>
      </c>
      <c r="H1858" s="249">
        <v>0.25</v>
      </c>
      <c r="I1858" s="249">
        <v>0.25</v>
      </c>
      <c r="J1858" s="246">
        <v>1</v>
      </c>
      <c r="K1858" s="250"/>
      <c r="L1858" s="248"/>
      <c r="M1858" s="276" t="str">
        <f t="shared" si="58"/>
        <v>Photo</v>
      </c>
      <c r="N1858" s="279" t="s">
        <v>25</v>
      </c>
      <c r="O1858" t="str">
        <f t="shared" si="55"/>
        <v>1972 Washington Quarter</v>
      </c>
      <c r="S1858" t="str" cm="1">
        <f t="array" ref="S1858">_xlfn.REGEXEXTRACT(E1858, "[0-9]{1,5}")</f>
        <v>1972</v>
      </c>
      <c r="T1858" t="s">
        <v>4207</v>
      </c>
      <c r="U1858" t="s">
        <v>3898</v>
      </c>
    </row>
    <row r="1859" spans="1:21">
      <c r="A1859" s="136">
        <v>4</v>
      </c>
      <c r="B1859" s="246">
        <v>1974</v>
      </c>
      <c r="C1859" s="247" t="s">
        <v>1183</v>
      </c>
      <c r="D1859" s="247" t="s">
        <v>1965</v>
      </c>
      <c r="E1859" s="248" t="s">
        <v>1197</v>
      </c>
      <c r="F1859" s="248" t="s">
        <v>3752</v>
      </c>
      <c r="G1859" s="248" t="s">
        <v>2579</v>
      </c>
      <c r="H1859" s="249">
        <v>0.25</v>
      </c>
      <c r="I1859" s="249">
        <v>0.25</v>
      </c>
      <c r="J1859" s="246">
        <v>1</v>
      </c>
      <c r="K1859" s="250"/>
      <c r="L1859" s="248"/>
      <c r="M1859" s="276" t="str">
        <f t="shared" si="58"/>
        <v>Photo</v>
      </c>
      <c r="N1859" s="279" t="s">
        <v>25</v>
      </c>
      <c r="O1859" t="str">
        <f t="shared" si="55"/>
        <v>1974 Washington Quarter</v>
      </c>
      <c r="S1859" t="str" cm="1">
        <f t="array" ref="S1859">_xlfn.REGEXEXTRACT(E1859, "[0-9]{1,5}")</f>
        <v>1974</v>
      </c>
      <c r="T1859" t="s">
        <v>4207</v>
      </c>
      <c r="U1859" t="s">
        <v>3898</v>
      </c>
    </row>
    <row r="1860" spans="1:21">
      <c r="A1860" s="136">
        <v>4</v>
      </c>
      <c r="B1860" s="246">
        <v>1974</v>
      </c>
      <c r="C1860" s="247" t="s">
        <v>1183</v>
      </c>
      <c r="D1860" s="247" t="s">
        <v>1965</v>
      </c>
      <c r="E1860" s="248" t="s">
        <v>1198</v>
      </c>
      <c r="F1860" s="248" t="s">
        <v>3752</v>
      </c>
      <c r="G1860" s="248" t="s">
        <v>2579</v>
      </c>
      <c r="H1860" s="249">
        <v>0.25</v>
      </c>
      <c r="I1860" s="249">
        <v>0.25</v>
      </c>
      <c r="J1860" s="246">
        <v>1</v>
      </c>
      <c r="K1860" s="250"/>
      <c r="L1860" s="248"/>
      <c r="M1860" s="276" t="str">
        <f t="shared" si="58"/>
        <v>Photo</v>
      </c>
      <c r="N1860" s="279" t="s">
        <v>25</v>
      </c>
      <c r="O1860" t="str">
        <f t="shared" ref="O1860:O1923" si="59">IF(C1860&lt;&gt;"",B1860&amp;"-"&amp;C1860&amp;" "&amp;F1860,B1860&amp;" "&amp;F1860)</f>
        <v>1974 Washington Quarter</v>
      </c>
      <c r="S1860" t="str" cm="1">
        <f t="array" ref="S1860">_xlfn.REGEXEXTRACT(E1860, "[0-9]{1,5}")</f>
        <v>1974</v>
      </c>
      <c r="T1860" t="s">
        <v>4207</v>
      </c>
      <c r="U1860" t="s">
        <v>3898</v>
      </c>
    </row>
    <row r="1861" spans="1:21">
      <c r="A1861" s="136">
        <v>4</v>
      </c>
      <c r="B1861" s="246">
        <v>1974</v>
      </c>
      <c r="C1861" s="247"/>
      <c r="D1861" s="247" t="s">
        <v>1965</v>
      </c>
      <c r="E1861" s="248" t="s">
        <v>3916</v>
      </c>
      <c r="F1861" s="248" t="s">
        <v>3752</v>
      </c>
      <c r="G1861" s="248" t="s">
        <v>3914</v>
      </c>
      <c r="H1861" s="249">
        <v>0.25</v>
      </c>
      <c r="I1861" s="249">
        <v>0.25</v>
      </c>
      <c r="J1861" s="246">
        <v>1</v>
      </c>
      <c r="K1861" s="250"/>
      <c r="L1861" s="248"/>
      <c r="M1861" s="276" t="str">
        <f t="shared" si="58"/>
        <v>Photo</v>
      </c>
      <c r="N1861" s="279" t="s">
        <v>25</v>
      </c>
      <c r="O1861" t="str">
        <f t="shared" si="59"/>
        <v>1974 Washington Quarter</v>
      </c>
      <c r="S1861" t="str" cm="1">
        <f t="array" ref="S1861">_xlfn.REGEXEXTRACT(E1861, "[0-9]{1,5}")</f>
        <v>1974</v>
      </c>
      <c r="T1861" t="s">
        <v>4208</v>
      </c>
      <c r="U1861" t="s">
        <v>3898</v>
      </c>
    </row>
    <row r="1862" spans="1:21">
      <c r="A1862" s="136">
        <v>4</v>
      </c>
      <c r="B1862" s="246">
        <v>1976</v>
      </c>
      <c r="C1862" s="247" t="s">
        <v>1183</v>
      </c>
      <c r="D1862" s="247" t="s">
        <v>1965</v>
      </c>
      <c r="E1862" s="248" t="s">
        <v>1199</v>
      </c>
      <c r="F1862" s="248" t="s">
        <v>3752</v>
      </c>
      <c r="G1862" s="248" t="s">
        <v>2579</v>
      </c>
      <c r="H1862" s="249">
        <v>0.25</v>
      </c>
      <c r="I1862" s="249">
        <v>0.25</v>
      </c>
      <c r="J1862" s="246">
        <v>1</v>
      </c>
      <c r="K1862" s="250"/>
      <c r="L1862" s="248"/>
      <c r="M1862" s="276" t="str">
        <f t="shared" si="58"/>
        <v>Photo</v>
      </c>
      <c r="N1862" s="279" t="s">
        <v>25</v>
      </c>
      <c r="O1862" t="str">
        <f t="shared" si="59"/>
        <v>1976 Washington Quarter</v>
      </c>
      <c r="S1862" t="str" cm="1">
        <f t="array" ref="S1862">_xlfn.REGEXEXTRACT(E1862, "[0-9]{1,5}")</f>
        <v>1976</v>
      </c>
    </row>
    <row r="1863" spans="1:21">
      <c r="A1863" s="136">
        <v>4</v>
      </c>
      <c r="B1863" s="246">
        <v>1976</v>
      </c>
      <c r="C1863" s="247" t="s">
        <v>25</v>
      </c>
      <c r="D1863" s="247" t="s">
        <v>1965</v>
      </c>
      <c r="E1863" s="248" t="s">
        <v>1200</v>
      </c>
      <c r="F1863" s="248" t="s">
        <v>3752</v>
      </c>
      <c r="G1863" s="248" t="s">
        <v>2579</v>
      </c>
      <c r="H1863" s="249">
        <v>0.25</v>
      </c>
      <c r="I1863" s="249">
        <v>0.25</v>
      </c>
      <c r="J1863" s="246">
        <v>1</v>
      </c>
      <c r="K1863" s="250"/>
      <c r="L1863" s="248"/>
      <c r="M1863" s="276" t="str">
        <f t="shared" si="58"/>
        <v>Photo</v>
      </c>
      <c r="N1863" s="279" t="s">
        <v>25</v>
      </c>
      <c r="O1863" t="str">
        <f t="shared" si="59"/>
        <v>1976-P Washington Quarter</v>
      </c>
      <c r="S1863" t="str" cm="1">
        <f t="array" ref="S1863">_xlfn.REGEXEXTRACT(E1863, "[0-9]{1,5}")</f>
        <v>1976</v>
      </c>
      <c r="T1863" t="s">
        <v>4212</v>
      </c>
      <c r="U1863" t="s">
        <v>3898</v>
      </c>
    </row>
    <row r="1864" spans="1:21">
      <c r="A1864" s="136">
        <v>4</v>
      </c>
      <c r="B1864" s="246">
        <v>1976</v>
      </c>
      <c r="C1864" s="247" t="s">
        <v>1183</v>
      </c>
      <c r="D1864" s="247" t="s">
        <v>1965</v>
      </c>
      <c r="E1864" s="248" t="s">
        <v>1201</v>
      </c>
      <c r="F1864" s="248" t="s">
        <v>3752</v>
      </c>
      <c r="G1864" s="248" t="s">
        <v>2579</v>
      </c>
      <c r="H1864" s="249">
        <v>0.25</v>
      </c>
      <c r="I1864" s="249">
        <v>0.25</v>
      </c>
      <c r="J1864" s="246">
        <v>1</v>
      </c>
      <c r="K1864" s="250"/>
      <c r="L1864" s="248"/>
      <c r="M1864" s="276" t="str">
        <f t="shared" si="58"/>
        <v>Photo</v>
      </c>
      <c r="N1864" s="279" t="s">
        <v>25</v>
      </c>
      <c r="O1864" t="str">
        <f t="shared" si="59"/>
        <v>1976 Washington Quarter</v>
      </c>
      <c r="S1864" t="str" cm="1">
        <f t="array" ref="S1864">_xlfn.REGEXEXTRACT(E1864, "[0-9]{1,5}")</f>
        <v>1976</v>
      </c>
      <c r="T1864" t="s">
        <v>4212</v>
      </c>
      <c r="U1864" t="s">
        <v>3898</v>
      </c>
    </row>
    <row r="1865" spans="1:21">
      <c r="A1865" s="136">
        <v>4</v>
      </c>
      <c r="B1865" s="246">
        <v>1976</v>
      </c>
      <c r="C1865" s="247" t="s">
        <v>13</v>
      </c>
      <c r="D1865" s="247" t="s">
        <v>1965</v>
      </c>
      <c r="E1865" s="248" t="s">
        <v>1202</v>
      </c>
      <c r="F1865" s="248" t="s">
        <v>3752</v>
      </c>
      <c r="G1865" s="248" t="s">
        <v>2579</v>
      </c>
      <c r="H1865" s="249">
        <v>0.25</v>
      </c>
      <c r="I1865" s="249">
        <v>0.25</v>
      </c>
      <c r="J1865" s="246">
        <v>1</v>
      </c>
      <c r="K1865" s="250"/>
      <c r="L1865" s="248"/>
      <c r="M1865" s="276" t="str">
        <f t="shared" si="58"/>
        <v>Photo</v>
      </c>
      <c r="N1865" s="279" t="s">
        <v>25</v>
      </c>
      <c r="O1865" t="str">
        <f t="shared" si="59"/>
        <v>1976-D Washington Quarter</v>
      </c>
      <c r="S1865" t="str" cm="1">
        <f t="array" ref="S1865">_xlfn.REGEXEXTRACT(E1865, "[0-9]{1,5}")</f>
        <v>1976</v>
      </c>
      <c r="T1865" t="s">
        <v>4212</v>
      </c>
      <c r="U1865" t="s">
        <v>3898</v>
      </c>
    </row>
    <row r="1866" spans="1:21">
      <c r="A1866" s="136">
        <v>4</v>
      </c>
      <c r="B1866" s="246">
        <v>1976</v>
      </c>
      <c r="C1866" s="247" t="s">
        <v>1183</v>
      </c>
      <c r="D1866" s="247" t="s">
        <v>1965</v>
      </c>
      <c r="E1866" s="248" t="s">
        <v>1203</v>
      </c>
      <c r="F1866" s="248" t="s">
        <v>3752</v>
      </c>
      <c r="G1866" s="248" t="s">
        <v>2579</v>
      </c>
      <c r="H1866" s="249">
        <v>0.25</v>
      </c>
      <c r="I1866" s="249">
        <v>0.25</v>
      </c>
      <c r="J1866" s="246">
        <v>1</v>
      </c>
      <c r="K1866" s="250"/>
      <c r="L1866" s="248"/>
      <c r="M1866" s="276" t="str">
        <f t="shared" si="58"/>
        <v>Photo</v>
      </c>
      <c r="N1866" s="279" t="s">
        <v>25</v>
      </c>
      <c r="O1866" t="str">
        <f t="shared" si="59"/>
        <v>1976 Washington Quarter</v>
      </c>
      <c r="S1866" t="str" cm="1">
        <f t="array" ref="S1866">_xlfn.REGEXEXTRACT(E1866, "[0-9]{1,5}")</f>
        <v>1976</v>
      </c>
      <c r="T1866" t="s">
        <v>4212</v>
      </c>
      <c r="U1866" t="s">
        <v>3898</v>
      </c>
    </row>
    <row r="1867" spans="1:21">
      <c r="A1867" s="136">
        <v>4</v>
      </c>
      <c r="B1867" s="246">
        <v>1976</v>
      </c>
      <c r="C1867" s="247" t="s">
        <v>1183</v>
      </c>
      <c r="D1867" s="247" t="s">
        <v>1965</v>
      </c>
      <c r="E1867" s="248" t="s">
        <v>1204</v>
      </c>
      <c r="F1867" s="248" t="s">
        <v>3752</v>
      </c>
      <c r="G1867" s="248" t="s">
        <v>2579</v>
      </c>
      <c r="H1867" s="249">
        <v>0.25</v>
      </c>
      <c r="I1867" s="249">
        <v>0.25</v>
      </c>
      <c r="J1867" s="246">
        <v>1</v>
      </c>
      <c r="K1867" s="250"/>
      <c r="L1867" s="248"/>
      <c r="M1867" s="276" t="str">
        <f t="shared" si="58"/>
        <v>Photo</v>
      </c>
      <c r="N1867" s="279" t="s">
        <v>25</v>
      </c>
      <c r="O1867" t="str">
        <f t="shared" si="59"/>
        <v>1976 Washington Quarter</v>
      </c>
      <c r="S1867" t="str" cm="1">
        <f t="array" ref="S1867">_xlfn.REGEXEXTRACT(E1867, "[0-9]{1,5}")</f>
        <v>1976</v>
      </c>
      <c r="T1867" t="s">
        <v>4215</v>
      </c>
      <c r="U1867" t="s">
        <v>3898</v>
      </c>
    </row>
    <row r="1868" spans="1:21">
      <c r="A1868" s="136">
        <v>4</v>
      </c>
      <c r="B1868" s="246">
        <v>1976</v>
      </c>
      <c r="C1868" s="247" t="s">
        <v>13</v>
      </c>
      <c r="D1868" s="247" t="s">
        <v>1965</v>
      </c>
      <c r="E1868" s="248" t="s">
        <v>1205</v>
      </c>
      <c r="F1868" s="248" t="s">
        <v>3752</v>
      </c>
      <c r="G1868" s="248" t="s">
        <v>2579</v>
      </c>
      <c r="H1868" s="249">
        <v>0.25</v>
      </c>
      <c r="I1868" s="249">
        <v>0.25</v>
      </c>
      <c r="J1868" s="246">
        <v>1</v>
      </c>
      <c r="K1868" s="250"/>
      <c r="L1868" s="248"/>
      <c r="M1868" s="276" t="str">
        <f t="shared" si="58"/>
        <v>Photo</v>
      </c>
      <c r="N1868" s="279" t="s">
        <v>25</v>
      </c>
      <c r="O1868" t="str">
        <f t="shared" si="59"/>
        <v>1976-D Washington Quarter</v>
      </c>
      <c r="S1868" t="str" cm="1">
        <f t="array" ref="S1868">_xlfn.REGEXEXTRACT(E1868, "[0-9]{1,5}")</f>
        <v>1976</v>
      </c>
      <c r="T1868" t="s">
        <v>4217</v>
      </c>
      <c r="U1868" t="s">
        <v>3898</v>
      </c>
    </row>
    <row r="1869" spans="1:21">
      <c r="A1869" s="136">
        <v>4</v>
      </c>
      <c r="B1869" s="246">
        <v>1977</v>
      </c>
      <c r="C1869" s="247"/>
      <c r="D1869" s="247" t="s">
        <v>1965</v>
      </c>
      <c r="E1869" s="248" t="s">
        <v>3933</v>
      </c>
      <c r="F1869" s="248" t="s">
        <v>3752</v>
      </c>
      <c r="G1869" s="248" t="s">
        <v>2580</v>
      </c>
      <c r="H1869" s="249">
        <v>0.25</v>
      </c>
      <c r="I1869" s="249">
        <v>0.25</v>
      </c>
      <c r="J1869" s="246">
        <v>1</v>
      </c>
      <c r="K1869" s="250"/>
      <c r="L1869" s="248"/>
      <c r="M1869" s="276" t="str">
        <f t="shared" si="58"/>
        <v>Photo</v>
      </c>
      <c r="N1869" s="279" t="s">
        <v>25</v>
      </c>
      <c r="O1869" t="str">
        <f t="shared" si="59"/>
        <v>1977 Washington Quarter</v>
      </c>
      <c r="S1869" t="str" cm="1">
        <f t="array" ref="S1869">_xlfn.REGEXEXTRACT(E1869, "[0-9]{1,5}")</f>
        <v>1977</v>
      </c>
      <c r="T1869" t="s">
        <v>4218</v>
      </c>
      <c r="U1869" t="s">
        <v>3898</v>
      </c>
    </row>
    <row r="1870" spans="1:21">
      <c r="A1870" s="136">
        <v>4</v>
      </c>
      <c r="B1870" s="246">
        <v>1978</v>
      </c>
      <c r="C1870" s="247" t="s">
        <v>13</v>
      </c>
      <c r="D1870" s="247" t="s">
        <v>1965</v>
      </c>
      <c r="E1870" s="248" t="s">
        <v>1206</v>
      </c>
      <c r="F1870" s="248" t="s">
        <v>3752</v>
      </c>
      <c r="G1870" s="248" t="s">
        <v>2579</v>
      </c>
      <c r="H1870" s="249">
        <v>0.25</v>
      </c>
      <c r="I1870" s="249">
        <v>0.25</v>
      </c>
      <c r="J1870" s="246">
        <v>1</v>
      </c>
      <c r="K1870" s="250"/>
      <c r="L1870" s="248"/>
      <c r="M1870" s="276" t="str">
        <f t="shared" si="58"/>
        <v>Photo</v>
      </c>
      <c r="N1870" s="279" t="s">
        <v>25</v>
      </c>
      <c r="O1870" t="str">
        <f t="shared" si="59"/>
        <v>1978-D Washington Quarter</v>
      </c>
      <c r="S1870" t="str" cm="1">
        <f t="array" ref="S1870">_xlfn.REGEXEXTRACT(E1870, "[0-9]{1,5}")</f>
        <v>1978</v>
      </c>
      <c r="T1870" t="s">
        <v>4218</v>
      </c>
      <c r="U1870" t="s">
        <v>3898</v>
      </c>
    </row>
    <row r="1871" spans="1:21">
      <c r="A1871" s="136">
        <v>4</v>
      </c>
      <c r="B1871" s="246">
        <v>1978</v>
      </c>
      <c r="C1871" s="247" t="s">
        <v>13</v>
      </c>
      <c r="D1871" s="247" t="s">
        <v>1965</v>
      </c>
      <c r="E1871" s="248" t="s">
        <v>1207</v>
      </c>
      <c r="F1871" s="248" t="s">
        <v>3752</v>
      </c>
      <c r="G1871" s="248" t="s">
        <v>2579</v>
      </c>
      <c r="H1871" s="249">
        <v>0.25</v>
      </c>
      <c r="I1871" s="249">
        <v>0.25</v>
      </c>
      <c r="J1871" s="246">
        <v>1</v>
      </c>
      <c r="K1871" s="250"/>
      <c r="L1871" s="248"/>
      <c r="M1871" s="276" t="str">
        <f t="shared" si="58"/>
        <v>Photo</v>
      </c>
      <c r="N1871" s="279" t="s">
        <v>25</v>
      </c>
      <c r="O1871" t="str">
        <f t="shared" si="59"/>
        <v>1978-D Washington Quarter</v>
      </c>
      <c r="S1871" t="str" cm="1">
        <f t="array" ref="S1871">_xlfn.REGEXEXTRACT(E1871, "[0-9]{1,5}")</f>
        <v>1978</v>
      </c>
      <c r="T1871" t="s">
        <v>4218</v>
      </c>
      <c r="U1871" t="s">
        <v>3898</v>
      </c>
    </row>
    <row r="1872" spans="1:21">
      <c r="A1872" s="136">
        <v>4</v>
      </c>
      <c r="B1872" s="246">
        <v>1979</v>
      </c>
      <c r="C1872" s="247" t="s">
        <v>13</v>
      </c>
      <c r="D1872" s="247" t="s">
        <v>1965</v>
      </c>
      <c r="E1872" s="248" t="s">
        <v>4638</v>
      </c>
      <c r="F1872" s="248" t="s">
        <v>3752</v>
      </c>
      <c r="G1872" s="248" t="s">
        <v>2579</v>
      </c>
      <c r="H1872" s="249">
        <v>0.25</v>
      </c>
      <c r="I1872" s="249">
        <v>0.25</v>
      </c>
      <c r="J1872" s="246">
        <v>1</v>
      </c>
      <c r="K1872" s="250"/>
      <c r="L1872" s="248"/>
      <c r="M1872" s="276" t="str">
        <f t="shared" si="58"/>
        <v>Photo</v>
      </c>
      <c r="N1872" s="279" t="s">
        <v>25</v>
      </c>
      <c r="O1872" t="str">
        <f t="shared" si="59"/>
        <v>1979-D Washington Quarter</v>
      </c>
      <c r="S1872" t="str" cm="1">
        <f t="array" ref="S1872">_xlfn.REGEXEXTRACT(E1872, "[0-9]{1,5}")</f>
        <v>1979</v>
      </c>
      <c r="T1872" t="s">
        <v>4218</v>
      </c>
      <c r="U1872" t="s">
        <v>3898</v>
      </c>
    </row>
    <row r="1873" spans="1:21">
      <c r="A1873" s="136">
        <v>4</v>
      </c>
      <c r="B1873" s="246">
        <v>1980</v>
      </c>
      <c r="C1873" s="247"/>
      <c r="D1873" s="247" t="s">
        <v>1965</v>
      </c>
      <c r="E1873" s="248" t="s">
        <v>3932</v>
      </c>
      <c r="F1873" s="248" t="s">
        <v>3752</v>
      </c>
      <c r="G1873" s="248" t="s">
        <v>2587</v>
      </c>
      <c r="H1873" s="249">
        <v>0.25</v>
      </c>
      <c r="I1873" s="249">
        <v>0.25</v>
      </c>
      <c r="J1873" s="246">
        <v>1</v>
      </c>
      <c r="K1873" s="250"/>
      <c r="L1873" s="248"/>
      <c r="M1873" s="276" t="str">
        <f t="shared" si="58"/>
        <v>Photo</v>
      </c>
      <c r="N1873" s="279" t="s">
        <v>25</v>
      </c>
      <c r="O1873" t="str">
        <f t="shared" si="59"/>
        <v>1980 Washington Quarter</v>
      </c>
      <c r="S1873" t="str" cm="1">
        <f t="array" ref="S1873">_xlfn.REGEXEXTRACT(E1873, "[0-9]{1,5}")</f>
        <v>1980</v>
      </c>
      <c r="T1873" t="s">
        <v>4219</v>
      </c>
      <c r="U1873" t="s">
        <v>3898</v>
      </c>
    </row>
    <row r="1874" spans="1:21">
      <c r="A1874" s="136">
        <v>4</v>
      </c>
      <c r="B1874" s="246">
        <v>1983</v>
      </c>
      <c r="C1874" s="247"/>
      <c r="D1874" s="247" t="s">
        <v>1965</v>
      </c>
      <c r="E1874" s="248" t="s">
        <v>3915</v>
      </c>
      <c r="F1874" s="248" t="s">
        <v>3752</v>
      </c>
      <c r="G1874" s="248" t="s">
        <v>3914</v>
      </c>
      <c r="H1874" s="249">
        <v>0.25</v>
      </c>
      <c r="I1874" s="249">
        <v>0.25</v>
      </c>
      <c r="J1874" s="246">
        <v>1</v>
      </c>
      <c r="K1874" s="250"/>
      <c r="L1874" s="248"/>
      <c r="M1874" s="276" t="str">
        <f t="shared" si="58"/>
        <v>Photo</v>
      </c>
      <c r="N1874" s="279" t="s">
        <v>25</v>
      </c>
      <c r="O1874" t="str">
        <f t="shared" si="59"/>
        <v>1983 Washington Quarter</v>
      </c>
      <c r="S1874" t="str" cm="1">
        <f t="array" ref="S1874">_xlfn.REGEXEXTRACT(E1874, "[0-9]{1,5}")</f>
        <v>1983</v>
      </c>
      <c r="T1874" t="s">
        <v>4219</v>
      </c>
      <c r="U1874" t="s">
        <v>3898</v>
      </c>
    </row>
    <row r="1875" spans="1:21">
      <c r="A1875" s="136">
        <v>4</v>
      </c>
      <c r="B1875" s="246">
        <v>1984</v>
      </c>
      <c r="C1875" s="247" t="s">
        <v>1183</v>
      </c>
      <c r="D1875" s="247" t="s">
        <v>1965</v>
      </c>
      <c r="E1875" s="248" t="s">
        <v>1208</v>
      </c>
      <c r="F1875" s="248" t="s">
        <v>3752</v>
      </c>
      <c r="G1875" s="248" t="s">
        <v>2579</v>
      </c>
      <c r="H1875" s="249">
        <v>0.25</v>
      </c>
      <c r="I1875" s="249">
        <v>0.25</v>
      </c>
      <c r="J1875" s="246">
        <v>1</v>
      </c>
      <c r="K1875" s="250"/>
      <c r="L1875" s="248"/>
      <c r="M1875" s="276" t="str">
        <f t="shared" si="58"/>
        <v>Photo</v>
      </c>
      <c r="N1875" s="279" t="s">
        <v>25</v>
      </c>
      <c r="O1875" t="str">
        <f t="shared" si="59"/>
        <v>1984 Washington Quarter</v>
      </c>
      <c r="S1875" t="str" cm="1">
        <f t="array" ref="S1875">_xlfn.REGEXEXTRACT(E1875, "[0-9]{1,5}")</f>
        <v>1984</v>
      </c>
      <c r="T1875" t="s">
        <v>4219</v>
      </c>
      <c r="U1875" t="s">
        <v>3898</v>
      </c>
    </row>
    <row r="1876" spans="1:21">
      <c r="A1876" s="136">
        <v>4</v>
      </c>
      <c r="B1876" s="246">
        <v>1984</v>
      </c>
      <c r="C1876" s="247"/>
      <c r="D1876" s="247" t="s">
        <v>1965</v>
      </c>
      <c r="E1876" s="248" t="s">
        <v>3913</v>
      </c>
      <c r="F1876" s="248" t="s">
        <v>3752</v>
      </c>
      <c r="G1876" s="248" t="s">
        <v>3914</v>
      </c>
      <c r="H1876" s="249">
        <v>0.25</v>
      </c>
      <c r="I1876" s="249">
        <v>0.25</v>
      </c>
      <c r="J1876" s="246">
        <v>1</v>
      </c>
      <c r="K1876" s="250"/>
      <c r="L1876" s="248"/>
      <c r="M1876" s="276" t="str">
        <f t="shared" si="58"/>
        <v>Photo</v>
      </c>
      <c r="N1876" s="279" t="s">
        <v>25</v>
      </c>
      <c r="O1876" t="str">
        <f t="shared" si="59"/>
        <v>1984 Washington Quarter</v>
      </c>
      <c r="S1876" t="str" cm="1">
        <f t="array" ref="S1876">_xlfn.REGEXEXTRACT(E1876, "[0-9]{1,5}")</f>
        <v>1984</v>
      </c>
      <c r="T1876" t="s">
        <v>4220</v>
      </c>
      <c r="U1876" t="s">
        <v>3898</v>
      </c>
    </row>
    <row r="1877" spans="1:21">
      <c r="A1877" s="136">
        <v>4</v>
      </c>
      <c r="B1877" s="246">
        <v>1985</v>
      </c>
      <c r="C1877" s="247" t="s">
        <v>25</v>
      </c>
      <c r="D1877" s="247" t="s">
        <v>1965</v>
      </c>
      <c r="E1877" s="248" t="s">
        <v>1209</v>
      </c>
      <c r="F1877" s="248" t="s">
        <v>3752</v>
      </c>
      <c r="G1877" s="248" t="s">
        <v>2579</v>
      </c>
      <c r="H1877" s="249">
        <v>0.25</v>
      </c>
      <c r="I1877" s="249">
        <v>0.25</v>
      </c>
      <c r="J1877" s="246">
        <v>1</v>
      </c>
      <c r="K1877" s="250"/>
      <c r="L1877" s="248"/>
      <c r="M1877" s="276" t="str">
        <f t="shared" si="58"/>
        <v>Photo</v>
      </c>
      <c r="N1877" s="279" t="s">
        <v>25</v>
      </c>
      <c r="O1877" t="str">
        <f t="shared" si="59"/>
        <v>1985-P Washington Quarter</v>
      </c>
      <c r="S1877" t="str" cm="1">
        <f t="array" ref="S1877">_xlfn.REGEXEXTRACT(E1877, "[0-9]{1,5}")</f>
        <v>1985</v>
      </c>
      <c r="T1877" t="s">
        <v>4220</v>
      </c>
      <c r="U1877" t="s">
        <v>3898</v>
      </c>
    </row>
    <row r="1878" spans="1:21">
      <c r="A1878" s="136">
        <v>4</v>
      </c>
      <c r="B1878" s="246">
        <v>1986</v>
      </c>
      <c r="C1878" s="247" t="s">
        <v>25</v>
      </c>
      <c r="D1878" s="247" t="s">
        <v>1965</v>
      </c>
      <c r="E1878" s="248" t="s">
        <v>1210</v>
      </c>
      <c r="F1878" s="248" t="s">
        <v>3752</v>
      </c>
      <c r="G1878" s="248" t="s">
        <v>2579</v>
      </c>
      <c r="H1878" s="249">
        <v>0.25</v>
      </c>
      <c r="I1878" s="249">
        <v>0.25</v>
      </c>
      <c r="J1878" s="246">
        <v>1</v>
      </c>
      <c r="K1878" s="250"/>
      <c r="L1878" s="248"/>
      <c r="M1878" s="276" t="str">
        <f t="shared" si="58"/>
        <v>Photo</v>
      </c>
      <c r="N1878" s="279" t="s">
        <v>25</v>
      </c>
      <c r="O1878" t="str">
        <f t="shared" si="59"/>
        <v>1986-P Washington Quarter</v>
      </c>
      <c r="S1878" t="str" cm="1">
        <f t="array" ref="S1878">_xlfn.REGEXEXTRACT(E1878, "[0-9]{1,5}")</f>
        <v>1986</v>
      </c>
      <c r="T1878" t="s">
        <v>4220</v>
      </c>
      <c r="U1878" t="s">
        <v>3898</v>
      </c>
    </row>
    <row r="1879" spans="1:21">
      <c r="A1879" s="136">
        <v>4</v>
      </c>
      <c r="B1879" s="246">
        <v>1986</v>
      </c>
      <c r="C1879" s="247" t="s">
        <v>25</v>
      </c>
      <c r="D1879" s="247" t="s">
        <v>1965</v>
      </c>
      <c r="E1879" s="248" t="s">
        <v>1211</v>
      </c>
      <c r="F1879" s="248" t="s">
        <v>3752</v>
      </c>
      <c r="G1879" s="248" t="s">
        <v>2579</v>
      </c>
      <c r="H1879" s="249">
        <v>0.25</v>
      </c>
      <c r="I1879" s="249">
        <v>0.25</v>
      </c>
      <c r="J1879" s="246">
        <v>1</v>
      </c>
      <c r="K1879" s="250"/>
      <c r="L1879" s="248"/>
      <c r="M1879" s="276" t="str">
        <f t="shared" ref="M1879:M1900" si="60">HYPERLINK($Y$2&amp;E1879&amp;$AA$2,"Photo")</f>
        <v>Photo</v>
      </c>
      <c r="N1879" s="279" t="s">
        <v>25</v>
      </c>
      <c r="O1879" t="str">
        <f t="shared" si="59"/>
        <v>1986-P Washington Quarter</v>
      </c>
      <c r="S1879" t="str" cm="1">
        <f t="array" ref="S1879">_xlfn.REGEXEXTRACT(E1879, "[0-9]{1,5}")</f>
        <v>1986</v>
      </c>
      <c r="T1879" t="s">
        <v>4220</v>
      </c>
      <c r="U1879" t="s">
        <v>3898</v>
      </c>
    </row>
    <row r="1880" spans="1:21">
      <c r="A1880" s="136">
        <v>4</v>
      </c>
      <c r="B1880" s="246">
        <v>1987</v>
      </c>
      <c r="C1880" s="247" t="s">
        <v>13</v>
      </c>
      <c r="D1880" s="247" t="s">
        <v>1965</v>
      </c>
      <c r="E1880" s="248" t="s">
        <v>1212</v>
      </c>
      <c r="F1880" s="248" t="s">
        <v>3752</v>
      </c>
      <c r="G1880" s="248" t="s">
        <v>2579</v>
      </c>
      <c r="H1880" s="249">
        <v>0.25</v>
      </c>
      <c r="I1880" s="249">
        <v>0.25</v>
      </c>
      <c r="J1880" s="246">
        <v>1</v>
      </c>
      <c r="K1880" s="250"/>
      <c r="L1880" s="248"/>
      <c r="M1880" s="276" t="str">
        <f t="shared" si="60"/>
        <v>Photo</v>
      </c>
      <c r="N1880" s="279" t="s">
        <v>25</v>
      </c>
      <c r="O1880" t="str">
        <f t="shared" si="59"/>
        <v>1987-D Washington Quarter</v>
      </c>
      <c r="S1880" t="str" cm="1">
        <f t="array" ref="S1880">_xlfn.REGEXEXTRACT(E1880, "[0-9]{1,5}")</f>
        <v>1987</v>
      </c>
      <c r="T1880" t="s">
        <v>4221</v>
      </c>
      <c r="U1880" t="s">
        <v>3898</v>
      </c>
    </row>
    <row r="1881" spans="1:21">
      <c r="A1881" s="136">
        <v>4</v>
      </c>
      <c r="B1881" s="246">
        <v>1988</v>
      </c>
      <c r="C1881" s="247" t="s">
        <v>25</v>
      </c>
      <c r="D1881" s="247" t="s">
        <v>1965</v>
      </c>
      <c r="E1881" s="248" t="s">
        <v>1213</v>
      </c>
      <c r="F1881" s="248" t="s">
        <v>3752</v>
      </c>
      <c r="G1881" s="248" t="s">
        <v>2579</v>
      </c>
      <c r="H1881" s="249">
        <v>0.25</v>
      </c>
      <c r="I1881" s="249">
        <v>0.25</v>
      </c>
      <c r="J1881" s="246">
        <v>1</v>
      </c>
      <c r="K1881" s="250"/>
      <c r="L1881" s="248"/>
      <c r="M1881" s="276" t="str">
        <f t="shared" si="60"/>
        <v>Photo</v>
      </c>
      <c r="N1881" s="279" t="s">
        <v>25</v>
      </c>
      <c r="O1881" t="str">
        <f t="shared" si="59"/>
        <v>1988-P Washington Quarter</v>
      </c>
      <c r="S1881" t="str" cm="1">
        <f t="array" ref="S1881">_xlfn.REGEXEXTRACT(E1881, "[0-9]{1,5}")</f>
        <v>1988</v>
      </c>
      <c r="T1881" t="s">
        <v>4221</v>
      </c>
      <c r="U1881" t="s">
        <v>3898</v>
      </c>
    </row>
    <row r="1882" spans="1:21">
      <c r="A1882" s="136">
        <v>4</v>
      </c>
      <c r="B1882" s="246">
        <v>1989</v>
      </c>
      <c r="C1882" s="247" t="s">
        <v>13</v>
      </c>
      <c r="D1882" s="247" t="s">
        <v>1965</v>
      </c>
      <c r="E1882" s="248" t="s">
        <v>1214</v>
      </c>
      <c r="F1882" s="248" t="s">
        <v>3752</v>
      </c>
      <c r="G1882" s="248" t="s">
        <v>2579</v>
      </c>
      <c r="H1882" s="249">
        <v>0.25</v>
      </c>
      <c r="I1882" s="249">
        <v>0.25</v>
      </c>
      <c r="J1882" s="246">
        <v>1</v>
      </c>
      <c r="K1882" s="250"/>
      <c r="L1882" s="248"/>
      <c r="M1882" s="276" t="str">
        <f t="shared" si="60"/>
        <v>Photo</v>
      </c>
      <c r="N1882" s="279" t="s">
        <v>25</v>
      </c>
      <c r="O1882" t="str">
        <f t="shared" si="59"/>
        <v>1989-D Washington Quarter</v>
      </c>
      <c r="S1882" t="str" cm="1">
        <f t="array" ref="S1882">_xlfn.REGEXEXTRACT(E1882, "[0-9]{1,5}")</f>
        <v>1989</v>
      </c>
      <c r="T1882" t="s">
        <v>4221</v>
      </c>
      <c r="U1882" t="s">
        <v>3898</v>
      </c>
    </row>
    <row r="1883" spans="1:21">
      <c r="A1883" s="136">
        <v>4</v>
      </c>
      <c r="B1883" s="246">
        <v>1990</v>
      </c>
      <c r="C1883" s="247" t="s">
        <v>1183</v>
      </c>
      <c r="D1883" s="247" t="s">
        <v>1965</v>
      </c>
      <c r="E1883" s="248" t="s">
        <v>1215</v>
      </c>
      <c r="F1883" s="248" t="s">
        <v>3752</v>
      </c>
      <c r="G1883" s="248" t="s">
        <v>2579</v>
      </c>
      <c r="H1883" s="249">
        <v>0.25</v>
      </c>
      <c r="I1883" s="249">
        <v>0.25</v>
      </c>
      <c r="J1883" s="246">
        <v>1</v>
      </c>
      <c r="K1883" s="250"/>
      <c r="L1883" s="248"/>
      <c r="M1883" s="276" t="str">
        <f t="shared" si="60"/>
        <v>Photo</v>
      </c>
      <c r="N1883" s="279" t="s">
        <v>25</v>
      </c>
      <c r="O1883" t="str">
        <f t="shared" si="59"/>
        <v>1990 Washington Quarter</v>
      </c>
      <c r="S1883" t="str" cm="1">
        <f t="array" ref="S1883">_xlfn.REGEXEXTRACT(E1883, "[0-9]{1,5}")</f>
        <v>1990</v>
      </c>
      <c r="T1883" t="s">
        <v>4221</v>
      </c>
      <c r="U1883" t="s">
        <v>3898</v>
      </c>
    </row>
    <row r="1884" spans="1:21">
      <c r="A1884" s="136">
        <v>4</v>
      </c>
      <c r="B1884" s="246">
        <v>1990</v>
      </c>
      <c r="C1884" s="247" t="s">
        <v>13</v>
      </c>
      <c r="D1884" s="247" t="s">
        <v>1965</v>
      </c>
      <c r="E1884" s="248" t="s">
        <v>1216</v>
      </c>
      <c r="F1884" s="248" t="s">
        <v>3752</v>
      </c>
      <c r="G1884" s="248" t="s">
        <v>2579</v>
      </c>
      <c r="H1884" s="249">
        <v>0.25</v>
      </c>
      <c r="I1884" s="249">
        <v>0.25</v>
      </c>
      <c r="J1884" s="246">
        <v>1</v>
      </c>
      <c r="K1884" s="250"/>
      <c r="L1884" s="248"/>
      <c r="M1884" s="276" t="str">
        <f t="shared" si="60"/>
        <v>Photo</v>
      </c>
      <c r="N1884" s="279" t="s">
        <v>25</v>
      </c>
      <c r="O1884" t="str">
        <f t="shared" si="59"/>
        <v>1990-D Washington Quarter</v>
      </c>
      <c r="S1884" t="str" cm="1">
        <f t="array" ref="S1884">_xlfn.REGEXEXTRACT(E1884, "[0-9]{1,5}")</f>
        <v>1990</v>
      </c>
      <c r="T1884" t="s">
        <v>4221</v>
      </c>
      <c r="U1884" t="s">
        <v>3898</v>
      </c>
    </row>
    <row r="1885" spans="1:21">
      <c r="A1885" s="136">
        <v>4</v>
      </c>
      <c r="B1885" s="246">
        <v>1990</v>
      </c>
      <c r="C1885" s="247" t="s">
        <v>1183</v>
      </c>
      <c r="D1885" s="247" t="s">
        <v>1965</v>
      </c>
      <c r="E1885" s="248" t="s">
        <v>1217</v>
      </c>
      <c r="F1885" s="248" t="s">
        <v>3752</v>
      </c>
      <c r="G1885" s="248" t="s">
        <v>2579</v>
      </c>
      <c r="H1885" s="249">
        <v>0.25</v>
      </c>
      <c r="I1885" s="249">
        <v>0.25</v>
      </c>
      <c r="J1885" s="246">
        <v>1</v>
      </c>
      <c r="K1885" s="250"/>
      <c r="L1885" s="248"/>
      <c r="M1885" s="276" t="str">
        <f t="shared" si="60"/>
        <v>Photo</v>
      </c>
      <c r="N1885" s="279" t="s">
        <v>25</v>
      </c>
      <c r="O1885" t="str">
        <f t="shared" si="59"/>
        <v>1990 Washington Quarter</v>
      </c>
      <c r="S1885" t="str" cm="1">
        <f t="array" ref="S1885">_xlfn.REGEXEXTRACT(E1885, "[0-9]{1,5}")</f>
        <v>1990</v>
      </c>
      <c r="T1885" t="s">
        <v>4221</v>
      </c>
      <c r="U1885" t="s">
        <v>3898</v>
      </c>
    </row>
    <row r="1886" spans="1:21">
      <c r="A1886" s="136">
        <v>4</v>
      </c>
      <c r="B1886" s="246">
        <v>1990</v>
      </c>
      <c r="C1886" s="247" t="s">
        <v>13</v>
      </c>
      <c r="D1886" s="247" t="s">
        <v>1965</v>
      </c>
      <c r="E1886" s="248" t="s">
        <v>1218</v>
      </c>
      <c r="F1886" s="248" t="s">
        <v>3752</v>
      </c>
      <c r="G1886" s="248" t="s">
        <v>2579</v>
      </c>
      <c r="H1886" s="249">
        <v>0.25</v>
      </c>
      <c r="I1886" s="249">
        <v>0.25</v>
      </c>
      <c r="J1886" s="246">
        <v>1</v>
      </c>
      <c r="K1886" s="250"/>
      <c r="L1886" s="248"/>
      <c r="M1886" s="276" t="str">
        <f t="shared" si="60"/>
        <v>Photo</v>
      </c>
      <c r="N1886" s="279" t="s">
        <v>25</v>
      </c>
      <c r="O1886" t="str">
        <f t="shared" si="59"/>
        <v>1990-D Washington Quarter</v>
      </c>
      <c r="S1886" t="str" cm="1">
        <f t="array" ref="S1886">_xlfn.REGEXEXTRACT(E1886, "[0-9]{1,5}")</f>
        <v>1990</v>
      </c>
      <c r="T1886" t="s">
        <v>4221</v>
      </c>
      <c r="U1886" t="s">
        <v>3898</v>
      </c>
    </row>
    <row r="1887" spans="1:21">
      <c r="A1887" s="136">
        <v>4</v>
      </c>
      <c r="B1887" s="246">
        <v>1991</v>
      </c>
      <c r="C1887" s="247" t="s">
        <v>1183</v>
      </c>
      <c r="D1887" s="247" t="s">
        <v>1965</v>
      </c>
      <c r="E1887" s="248" t="s">
        <v>1219</v>
      </c>
      <c r="F1887" s="248" t="s">
        <v>3752</v>
      </c>
      <c r="G1887" s="248" t="s">
        <v>2579</v>
      </c>
      <c r="H1887" s="249">
        <v>0.25</v>
      </c>
      <c r="I1887" s="249">
        <v>0.25</v>
      </c>
      <c r="J1887" s="246">
        <v>1</v>
      </c>
      <c r="K1887" s="250"/>
      <c r="L1887" s="248"/>
      <c r="M1887" s="276" t="str">
        <f t="shared" si="60"/>
        <v>Photo</v>
      </c>
      <c r="N1887" s="279" t="s">
        <v>25</v>
      </c>
      <c r="O1887" t="str">
        <f t="shared" si="59"/>
        <v>1991 Washington Quarter</v>
      </c>
      <c r="S1887" t="str" cm="1">
        <f t="array" ref="S1887">_xlfn.REGEXEXTRACT(E1887, "[0-9]{1,5}")</f>
        <v>1991</v>
      </c>
      <c r="T1887" t="s">
        <v>4221</v>
      </c>
      <c r="U1887" t="s">
        <v>3898</v>
      </c>
    </row>
    <row r="1888" spans="1:21">
      <c r="A1888" s="136">
        <v>4</v>
      </c>
      <c r="B1888" s="246">
        <v>1991</v>
      </c>
      <c r="C1888" s="247" t="s">
        <v>1183</v>
      </c>
      <c r="D1888" s="247" t="s">
        <v>1965</v>
      </c>
      <c r="E1888" s="248" t="s">
        <v>1220</v>
      </c>
      <c r="F1888" s="248" t="s">
        <v>3752</v>
      </c>
      <c r="G1888" s="248" t="s">
        <v>2579</v>
      </c>
      <c r="H1888" s="249">
        <v>0.25</v>
      </c>
      <c r="I1888" s="249">
        <v>0.25</v>
      </c>
      <c r="J1888" s="246">
        <v>1</v>
      </c>
      <c r="K1888" s="250"/>
      <c r="L1888" s="248"/>
      <c r="M1888" s="276" t="str">
        <f t="shared" si="60"/>
        <v>Photo</v>
      </c>
      <c r="N1888" s="279" t="s">
        <v>25</v>
      </c>
      <c r="O1888" t="str">
        <f t="shared" si="59"/>
        <v>1991 Washington Quarter</v>
      </c>
      <c r="S1888" t="str" cm="1">
        <f t="array" ref="S1888">_xlfn.REGEXEXTRACT(E1888, "[0-9]{1,5}")</f>
        <v>1991</v>
      </c>
      <c r="T1888" t="s">
        <v>4222</v>
      </c>
      <c r="U1888" t="s">
        <v>3898</v>
      </c>
    </row>
    <row r="1889" spans="1:21">
      <c r="A1889" s="136">
        <v>4</v>
      </c>
      <c r="B1889" s="233">
        <v>1991</v>
      </c>
      <c r="C1889" s="234" t="s">
        <v>25</v>
      </c>
      <c r="D1889" s="234" t="s">
        <v>1965</v>
      </c>
      <c r="E1889" s="235" t="s">
        <v>2300</v>
      </c>
      <c r="F1889" s="235" t="s">
        <v>3752</v>
      </c>
      <c r="G1889" s="235" t="s">
        <v>2579</v>
      </c>
      <c r="H1889" s="236">
        <v>0.25</v>
      </c>
      <c r="I1889" s="236">
        <v>0.25</v>
      </c>
      <c r="J1889" s="233">
        <v>1</v>
      </c>
      <c r="K1889" s="237"/>
      <c r="L1889" s="235"/>
      <c r="M1889" s="276" t="str">
        <f t="shared" si="60"/>
        <v>Photo</v>
      </c>
      <c r="N1889" s="279" t="s">
        <v>25</v>
      </c>
      <c r="O1889" t="str">
        <f t="shared" si="59"/>
        <v>1991-P Washington Quarter</v>
      </c>
      <c r="S1889" t="str" cm="1">
        <f t="array" ref="S1889">_xlfn.REGEXEXTRACT(E1889, "[0-9]{1,5}")</f>
        <v>1991</v>
      </c>
      <c r="T1889" t="s">
        <v>4222</v>
      </c>
      <c r="U1889" t="s">
        <v>3898</v>
      </c>
    </row>
    <row r="1890" spans="1:21">
      <c r="A1890" s="136">
        <v>4</v>
      </c>
      <c r="B1890" s="246">
        <v>1992</v>
      </c>
      <c r="C1890" s="247" t="s">
        <v>13</v>
      </c>
      <c r="D1890" s="247" t="s">
        <v>1965</v>
      </c>
      <c r="E1890" s="248" t="s">
        <v>1221</v>
      </c>
      <c r="F1890" s="248" t="s">
        <v>3752</v>
      </c>
      <c r="G1890" s="248" t="s">
        <v>2579</v>
      </c>
      <c r="H1890" s="249">
        <v>0.25</v>
      </c>
      <c r="I1890" s="249">
        <v>0.25</v>
      </c>
      <c r="J1890" s="246">
        <v>1</v>
      </c>
      <c r="K1890" s="250"/>
      <c r="L1890" s="248"/>
      <c r="M1890" s="276" t="str">
        <f t="shared" si="60"/>
        <v>Photo</v>
      </c>
      <c r="N1890" s="279" t="s">
        <v>25</v>
      </c>
      <c r="O1890" t="str">
        <f t="shared" si="59"/>
        <v>1992-D Washington Quarter</v>
      </c>
      <c r="S1890" t="str" cm="1">
        <f t="array" ref="S1890">_xlfn.REGEXEXTRACT(E1890, "[0-9]{1,5}")</f>
        <v>1992</v>
      </c>
      <c r="T1890" t="s">
        <v>4222</v>
      </c>
      <c r="U1890" t="s">
        <v>3898</v>
      </c>
    </row>
    <row r="1891" spans="1:21">
      <c r="A1891" s="136">
        <v>4</v>
      </c>
      <c r="B1891" s="246">
        <v>1993</v>
      </c>
      <c r="C1891" s="247" t="s">
        <v>25</v>
      </c>
      <c r="D1891" s="247" t="s">
        <v>1965</v>
      </c>
      <c r="E1891" s="248" t="s">
        <v>1222</v>
      </c>
      <c r="F1891" s="248" t="s">
        <v>3752</v>
      </c>
      <c r="G1891" s="248" t="s">
        <v>2579</v>
      </c>
      <c r="H1891" s="249">
        <v>0.25</v>
      </c>
      <c r="I1891" s="249">
        <v>0.25</v>
      </c>
      <c r="J1891" s="246">
        <v>1</v>
      </c>
      <c r="K1891" s="250"/>
      <c r="L1891" s="248"/>
      <c r="M1891" s="276" t="str">
        <f t="shared" si="60"/>
        <v>Photo</v>
      </c>
      <c r="N1891" s="279" t="s">
        <v>25</v>
      </c>
      <c r="O1891" t="str">
        <f t="shared" si="59"/>
        <v>1993-P Washington Quarter</v>
      </c>
      <c r="S1891" t="str" cm="1">
        <f t="array" ref="S1891">_xlfn.REGEXEXTRACT(E1891, "[0-9]{1,5}")</f>
        <v>1993</v>
      </c>
      <c r="T1891" t="s">
        <v>4222</v>
      </c>
      <c r="U1891" t="s">
        <v>3898</v>
      </c>
    </row>
    <row r="1892" spans="1:21">
      <c r="A1892" s="136">
        <v>4</v>
      </c>
      <c r="B1892" s="233">
        <v>1995</v>
      </c>
      <c r="C1892" s="234" t="s">
        <v>13</v>
      </c>
      <c r="D1892" s="234" t="s">
        <v>1965</v>
      </c>
      <c r="E1892" s="235" t="s">
        <v>2299</v>
      </c>
      <c r="F1892" s="235" t="s">
        <v>3752</v>
      </c>
      <c r="G1892" s="235" t="s">
        <v>2579</v>
      </c>
      <c r="H1892" s="236">
        <v>0.25</v>
      </c>
      <c r="I1892" s="236">
        <v>0.25</v>
      </c>
      <c r="J1892" s="233">
        <v>1</v>
      </c>
      <c r="K1892" s="237"/>
      <c r="L1892" s="235"/>
      <c r="M1892" s="276" t="str">
        <f t="shared" si="60"/>
        <v>Photo</v>
      </c>
      <c r="N1892" s="279" t="s">
        <v>25</v>
      </c>
      <c r="O1892" t="str">
        <f t="shared" si="59"/>
        <v>1995-D Washington Quarter</v>
      </c>
      <c r="S1892" t="str" cm="1">
        <f t="array" ref="S1892">_xlfn.REGEXEXTRACT(E1892, "[0-9]{1,5}")</f>
        <v>1995</v>
      </c>
      <c r="T1892" t="s">
        <v>4222</v>
      </c>
      <c r="U1892" t="s">
        <v>3898</v>
      </c>
    </row>
    <row r="1893" spans="1:21">
      <c r="A1893" s="136">
        <v>4</v>
      </c>
      <c r="B1893" s="233">
        <v>1995</v>
      </c>
      <c r="C1893" s="234" t="s">
        <v>13</v>
      </c>
      <c r="D1893" s="234" t="s">
        <v>1965</v>
      </c>
      <c r="E1893" s="235" t="s">
        <v>3846</v>
      </c>
      <c r="F1893" s="235" t="s">
        <v>3752</v>
      </c>
      <c r="G1893" s="235" t="s">
        <v>2580</v>
      </c>
      <c r="H1893" s="236">
        <v>0.25</v>
      </c>
      <c r="I1893" s="236">
        <v>0.25</v>
      </c>
      <c r="J1893" s="233">
        <v>1</v>
      </c>
      <c r="K1893" s="237"/>
      <c r="L1893" s="235"/>
      <c r="M1893" s="276" t="str">
        <f t="shared" si="60"/>
        <v>Photo</v>
      </c>
      <c r="N1893" s="279" t="s">
        <v>25</v>
      </c>
      <c r="O1893" t="str">
        <f t="shared" si="59"/>
        <v>1995-D Washington Quarter</v>
      </c>
      <c r="S1893" t="str" cm="1">
        <f t="array" ref="S1893">_xlfn.REGEXEXTRACT(E1893, "[0-9]{1,5}")</f>
        <v>1995</v>
      </c>
      <c r="T1893" t="s">
        <v>4222</v>
      </c>
      <c r="U1893" t="s">
        <v>3898</v>
      </c>
    </row>
    <row r="1894" spans="1:21">
      <c r="A1894" s="136">
        <v>4</v>
      </c>
      <c r="B1894" s="233">
        <v>1995</v>
      </c>
      <c r="C1894" s="234"/>
      <c r="D1894" s="234" t="s">
        <v>1965</v>
      </c>
      <c r="E1894" s="235" t="s">
        <v>3912</v>
      </c>
      <c r="F1894" s="235" t="s">
        <v>3752</v>
      </c>
      <c r="G1894" s="235" t="s">
        <v>2580</v>
      </c>
      <c r="H1894" s="236">
        <v>0.25</v>
      </c>
      <c r="I1894" s="236">
        <v>0.25</v>
      </c>
      <c r="J1894" s="233">
        <v>1</v>
      </c>
      <c r="K1894" s="237"/>
      <c r="L1894" s="235"/>
      <c r="M1894" s="276" t="str">
        <f t="shared" si="60"/>
        <v>Photo</v>
      </c>
      <c r="N1894" s="279" t="s">
        <v>25</v>
      </c>
      <c r="O1894" t="str">
        <f t="shared" si="59"/>
        <v>1995 Washington Quarter</v>
      </c>
      <c r="S1894" t="str" cm="1">
        <f t="array" ref="S1894">_xlfn.REGEXEXTRACT(E1894, "[0-9]{1,5}")</f>
        <v>1995</v>
      </c>
      <c r="T1894" t="s">
        <v>4222</v>
      </c>
      <c r="U1894" t="s">
        <v>3898</v>
      </c>
    </row>
    <row r="1895" spans="1:21">
      <c r="A1895" s="136">
        <v>4</v>
      </c>
      <c r="B1895" s="246">
        <v>1996</v>
      </c>
      <c r="C1895" s="247" t="s">
        <v>25</v>
      </c>
      <c r="D1895" s="247" t="s">
        <v>1965</v>
      </c>
      <c r="E1895" s="248" t="s">
        <v>1223</v>
      </c>
      <c r="F1895" s="248" t="s">
        <v>3752</v>
      </c>
      <c r="G1895" s="248" t="s">
        <v>2579</v>
      </c>
      <c r="H1895" s="249">
        <v>0.25</v>
      </c>
      <c r="I1895" s="249">
        <v>0.25</v>
      </c>
      <c r="J1895" s="246">
        <v>1</v>
      </c>
      <c r="K1895" s="250"/>
      <c r="L1895" s="248"/>
      <c r="M1895" s="276" t="str">
        <f t="shared" si="60"/>
        <v>Photo</v>
      </c>
      <c r="N1895" s="279" t="s">
        <v>25</v>
      </c>
      <c r="O1895" t="str">
        <f t="shared" si="59"/>
        <v>1996-P Washington Quarter</v>
      </c>
      <c r="P1895" t="str" cm="1">
        <f t="array" ref="P1895">_xlfn.REGEXEXTRACT(E1895,"(\d{4})")</f>
        <v>1996</v>
      </c>
      <c r="Q1895" s="287" t="s">
        <v>3987</v>
      </c>
      <c r="R1895" s="288" t="str" cm="1">
        <f t="array" ref="R1895">_xlfn.REGEXEXTRACT(E1895, "[A-Z]{3}\d{4}([A-Z]{3})")</f>
        <v>WSH1996QTR</v>
      </c>
      <c r="S1895" t="str" cm="1">
        <f t="array" ref="S1895">_xlfn.REGEXEXTRACT(E1895, "[0-9]{1,5}")</f>
        <v>1996</v>
      </c>
      <c r="T1895" t="s">
        <v>4222</v>
      </c>
      <c r="U1895" t="s">
        <v>3898</v>
      </c>
    </row>
    <row r="1896" spans="1:21">
      <c r="A1896" s="136">
        <v>4</v>
      </c>
      <c r="B1896" s="246">
        <v>1996</v>
      </c>
      <c r="C1896" s="247" t="s">
        <v>13</v>
      </c>
      <c r="D1896" s="247" t="s">
        <v>1965</v>
      </c>
      <c r="E1896" s="248" t="s">
        <v>1224</v>
      </c>
      <c r="F1896" s="248" t="s">
        <v>3752</v>
      </c>
      <c r="G1896" s="248" t="s">
        <v>2579</v>
      </c>
      <c r="H1896" s="249">
        <v>0.25</v>
      </c>
      <c r="I1896" s="249">
        <v>0.25</v>
      </c>
      <c r="J1896" s="246">
        <v>1</v>
      </c>
      <c r="K1896" s="250"/>
      <c r="L1896" s="248"/>
      <c r="M1896" s="276" t="str">
        <f t="shared" si="60"/>
        <v>Photo</v>
      </c>
      <c r="N1896" s="279" t="s">
        <v>25</v>
      </c>
      <c r="O1896" t="str">
        <f t="shared" si="59"/>
        <v>1996-D Washington Quarter</v>
      </c>
      <c r="S1896" t="str" cm="1">
        <f t="array" ref="S1896">_xlfn.REGEXEXTRACT(E1896, "[0-9]{1,5}")</f>
        <v>1996</v>
      </c>
      <c r="T1896" t="s">
        <v>4222</v>
      </c>
      <c r="U1896" t="s">
        <v>3898</v>
      </c>
    </row>
    <row r="1897" spans="1:21">
      <c r="A1897" s="136">
        <v>4</v>
      </c>
      <c r="B1897" s="246">
        <v>1997</v>
      </c>
      <c r="C1897" s="247" t="s">
        <v>1183</v>
      </c>
      <c r="D1897" s="247" t="s">
        <v>1965</v>
      </c>
      <c r="E1897" s="248" t="s">
        <v>1225</v>
      </c>
      <c r="F1897" s="248" t="s">
        <v>3752</v>
      </c>
      <c r="G1897" s="248" t="s">
        <v>2579</v>
      </c>
      <c r="H1897" s="249">
        <v>0.25</v>
      </c>
      <c r="I1897" s="249">
        <v>0.25</v>
      </c>
      <c r="J1897" s="246">
        <v>1</v>
      </c>
      <c r="K1897" s="250"/>
      <c r="L1897" s="248"/>
      <c r="M1897" s="276" t="str">
        <f t="shared" si="60"/>
        <v>Photo</v>
      </c>
      <c r="N1897" s="279" t="s">
        <v>25</v>
      </c>
      <c r="O1897" t="str">
        <f t="shared" si="59"/>
        <v>1997 Washington Quarter</v>
      </c>
      <c r="S1897" t="str" cm="1">
        <f t="array" ref="S1897">_xlfn.REGEXEXTRACT(E1897, "[0-9]{1,5}")</f>
        <v>1997</v>
      </c>
      <c r="T1897" t="s">
        <v>4223</v>
      </c>
      <c r="U1897" t="s">
        <v>3898</v>
      </c>
    </row>
    <row r="1898" spans="1:21">
      <c r="A1898" s="136">
        <v>4</v>
      </c>
      <c r="B1898" s="246">
        <v>1997</v>
      </c>
      <c r="C1898" s="247" t="s">
        <v>1183</v>
      </c>
      <c r="D1898" s="247" t="s">
        <v>1965</v>
      </c>
      <c r="E1898" s="248" t="s">
        <v>1226</v>
      </c>
      <c r="F1898" s="248" t="s">
        <v>3752</v>
      </c>
      <c r="G1898" s="248" t="s">
        <v>2579</v>
      </c>
      <c r="H1898" s="249">
        <v>0.25</v>
      </c>
      <c r="I1898" s="249">
        <v>0.25</v>
      </c>
      <c r="J1898" s="246">
        <v>1</v>
      </c>
      <c r="K1898" s="250"/>
      <c r="L1898" s="248"/>
      <c r="M1898" s="276" t="str">
        <f t="shared" si="60"/>
        <v>Photo</v>
      </c>
      <c r="N1898" s="279" t="s">
        <v>25</v>
      </c>
      <c r="O1898" t="str">
        <f t="shared" si="59"/>
        <v>1997 Washington Quarter</v>
      </c>
      <c r="S1898" t="str" cm="1">
        <f t="array" ref="S1898">_xlfn.REGEXEXTRACT(E1898, "[0-9]{1,5}")</f>
        <v>1997</v>
      </c>
      <c r="T1898" t="s">
        <v>4223</v>
      </c>
      <c r="U1898" t="s">
        <v>3898</v>
      </c>
    </row>
    <row r="1899" spans="1:21">
      <c r="A1899" s="136">
        <v>4</v>
      </c>
      <c r="B1899" s="246">
        <v>1998</v>
      </c>
      <c r="C1899" s="247" t="s">
        <v>1183</v>
      </c>
      <c r="D1899" s="247" t="s">
        <v>1965</v>
      </c>
      <c r="E1899" s="248" t="s">
        <v>1227</v>
      </c>
      <c r="F1899" s="248" t="s">
        <v>3752</v>
      </c>
      <c r="G1899" s="248" t="s">
        <v>2579</v>
      </c>
      <c r="H1899" s="249">
        <v>0.25</v>
      </c>
      <c r="I1899" s="249">
        <v>0.25</v>
      </c>
      <c r="J1899" s="246">
        <v>1</v>
      </c>
      <c r="K1899" s="250"/>
      <c r="L1899" s="248"/>
      <c r="M1899" s="276" t="str">
        <f t="shared" si="60"/>
        <v>Photo</v>
      </c>
      <c r="N1899" s="279" t="s">
        <v>25</v>
      </c>
      <c r="O1899" t="str">
        <f t="shared" si="59"/>
        <v>1998 Washington Quarter</v>
      </c>
      <c r="S1899" t="str" cm="1">
        <f t="array" ref="S1899">_xlfn.REGEXEXTRACT(E1899, "[0-9]{1,5}")</f>
        <v>1998</v>
      </c>
      <c r="T1899" t="s">
        <v>4223</v>
      </c>
      <c r="U1899" t="s">
        <v>3898</v>
      </c>
    </row>
    <row r="1900" spans="1:21">
      <c r="A1900" s="136">
        <v>4</v>
      </c>
      <c r="B1900" s="246">
        <v>1998</v>
      </c>
      <c r="C1900" s="247" t="s">
        <v>25</v>
      </c>
      <c r="D1900" s="247" t="s">
        <v>1965</v>
      </c>
      <c r="E1900" s="248" t="s">
        <v>1228</v>
      </c>
      <c r="F1900" s="248" t="s">
        <v>3752</v>
      </c>
      <c r="G1900" s="248" t="s">
        <v>2579</v>
      </c>
      <c r="H1900" s="249">
        <v>0.25</v>
      </c>
      <c r="I1900" s="249">
        <v>0.25</v>
      </c>
      <c r="J1900" s="246">
        <v>1</v>
      </c>
      <c r="K1900" s="250"/>
      <c r="L1900" s="248"/>
      <c r="M1900" s="276" t="str">
        <f t="shared" si="60"/>
        <v>Photo</v>
      </c>
      <c r="N1900" s="279" t="s">
        <v>25</v>
      </c>
      <c r="O1900" t="str">
        <f t="shared" si="59"/>
        <v>1998-P Washington Quarter</v>
      </c>
      <c r="S1900" t="str" cm="1">
        <f t="array" ref="S1900">_xlfn.REGEXEXTRACT(E1900, "[0-9]{1,5}")</f>
        <v>1998</v>
      </c>
      <c r="T1900" t="s">
        <v>4223</v>
      </c>
      <c r="U1900" t="s">
        <v>3898</v>
      </c>
    </row>
    <row r="1901" spans="1:21">
      <c r="A1901" s="136">
        <v>4</v>
      </c>
      <c r="B1901" s="246">
        <v>1998</v>
      </c>
      <c r="C1901" s="247" t="s">
        <v>13</v>
      </c>
      <c r="D1901" s="247" t="s">
        <v>1965</v>
      </c>
      <c r="E1901" s="248" t="s">
        <v>3923</v>
      </c>
      <c r="F1901" s="248" t="s">
        <v>3752</v>
      </c>
      <c r="G1901" s="248" t="s">
        <v>2579</v>
      </c>
      <c r="H1901" s="249">
        <v>0.25</v>
      </c>
      <c r="I1901" s="249">
        <v>0.25</v>
      </c>
      <c r="J1901" s="246">
        <v>1</v>
      </c>
      <c r="K1901" s="250"/>
      <c r="L1901" s="248"/>
      <c r="M1901" s="276"/>
      <c r="N1901" s="279" t="s">
        <v>25</v>
      </c>
      <c r="O1901" t="str">
        <f t="shared" si="59"/>
        <v>1998-D Washington Quarter</v>
      </c>
      <c r="S1901" t="str" cm="1">
        <f t="array" ref="S1901">_xlfn.REGEXEXTRACT(E1901, "[0-9]{1,5}")</f>
        <v>1998</v>
      </c>
      <c r="T1901" t="s">
        <v>4223</v>
      </c>
      <c r="U1901" t="s">
        <v>3898</v>
      </c>
    </row>
    <row r="1902" spans="1:21">
      <c r="A1902" s="136">
        <v>4</v>
      </c>
      <c r="B1902" s="246">
        <v>1999</v>
      </c>
      <c r="C1902" s="247" t="s">
        <v>25</v>
      </c>
      <c r="D1902" s="247" t="s">
        <v>1965</v>
      </c>
      <c r="E1902" s="248" t="s">
        <v>1194</v>
      </c>
      <c r="F1902" s="248" t="s">
        <v>3752</v>
      </c>
      <c r="G1902" s="248" t="s">
        <v>2579</v>
      </c>
      <c r="H1902" s="249">
        <v>0.25</v>
      </c>
      <c r="I1902" s="249">
        <v>0.25</v>
      </c>
      <c r="J1902" s="246">
        <v>1</v>
      </c>
      <c r="K1902" s="250" t="s">
        <v>3759</v>
      </c>
      <c r="L1902" s="248"/>
      <c r="M1902" s="276" t="str">
        <f t="shared" ref="M1902:M1933" si="61">HYPERLINK($Y$2&amp;E1902&amp;$AA$2,"Photo")</f>
        <v>Photo</v>
      </c>
      <c r="N1902" s="279" t="s">
        <v>25</v>
      </c>
      <c r="O1902" t="str">
        <f t="shared" si="59"/>
        <v>1999-P Washington Quarter</v>
      </c>
      <c r="S1902" t="str" cm="1">
        <f t="array" ref="S1902">_xlfn.REGEXEXTRACT(E1902, "[0-9]{1,5}")</f>
        <v>1999</v>
      </c>
      <c r="T1902" t="s">
        <v>4223</v>
      </c>
      <c r="U1902" t="s">
        <v>3898</v>
      </c>
    </row>
    <row r="1903" spans="1:21">
      <c r="A1903" s="136">
        <v>4</v>
      </c>
      <c r="B1903" s="246">
        <v>1999</v>
      </c>
      <c r="C1903" s="247" t="s">
        <v>13</v>
      </c>
      <c r="D1903" s="247" t="s">
        <v>1965</v>
      </c>
      <c r="E1903" s="248" t="s">
        <v>1230</v>
      </c>
      <c r="F1903" s="248" t="s">
        <v>3752</v>
      </c>
      <c r="G1903" s="248" t="s">
        <v>2579</v>
      </c>
      <c r="H1903" s="249">
        <v>0.25</v>
      </c>
      <c r="I1903" s="249">
        <v>0.25</v>
      </c>
      <c r="J1903" s="246">
        <v>4</v>
      </c>
      <c r="K1903" s="250" t="s">
        <v>3760</v>
      </c>
      <c r="L1903" s="248"/>
      <c r="M1903" s="276" t="str">
        <f t="shared" si="61"/>
        <v>Photo</v>
      </c>
      <c r="N1903" s="279" t="s">
        <v>25</v>
      </c>
      <c r="O1903" t="str">
        <f t="shared" si="59"/>
        <v>1999-D Washington Quarter</v>
      </c>
      <c r="S1903" t="str" cm="1">
        <f t="array" ref="S1903">_xlfn.REGEXEXTRACT(E1903, "[0-9]{1,5}")</f>
        <v>1999</v>
      </c>
      <c r="T1903" t="s">
        <v>4223</v>
      </c>
      <c r="U1903" t="s">
        <v>3898</v>
      </c>
    </row>
    <row r="1904" spans="1:21">
      <c r="A1904" s="136">
        <v>4</v>
      </c>
      <c r="B1904" s="246">
        <v>1999</v>
      </c>
      <c r="C1904" s="247" t="s">
        <v>25</v>
      </c>
      <c r="D1904" s="247" t="s">
        <v>1965</v>
      </c>
      <c r="E1904" s="248" t="s">
        <v>1232</v>
      </c>
      <c r="F1904" s="248" t="s">
        <v>3752</v>
      </c>
      <c r="G1904" s="248" t="s">
        <v>2579</v>
      </c>
      <c r="H1904" s="249">
        <v>0.25</v>
      </c>
      <c r="I1904" s="249">
        <v>3.5</v>
      </c>
      <c r="J1904" s="246">
        <v>4</v>
      </c>
      <c r="K1904" s="250" t="s">
        <v>3761</v>
      </c>
      <c r="L1904" s="248"/>
      <c r="M1904" s="276" t="str">
        <f t="shared" si="61"/>
        <v>Photo</v>
      </c>
      <c r="N1904" s="279" t="s">
        <v>25</v>
      </c>
      <c r="O1904" t="str">
        <f t="shared" si="59"/>
        <v>1999-P Washington Quarter</v>
      </c>
      <c r="S1904" t="str" cm="1">
        <f t="array" ref="S1904">_xlfn.REGEXEXTRACT(E1904, "[0-9]{1,5}")</f>
        <v>1999</v>
      </c>
      <c r="T1904" t="s">
        <v>4223</v>
      </c>
      <c r="U1904" t="s">
        <v>3898</v>
      </c>
    </row>
    <row r="1905" spans="1:21">
      <c r="A1905" s="136">
        <v>4</v>
      </c>
      <c r="B1905" s="246">
        <v>1999</v>
      </c>
      <c r="C1905" s="247" t="s">
        <v>25</v>
      </c>
      <c r="D1905" s="247" t="s">
        <v>1965</v>
      </c>
      <c r="E1905" s="248" t="s">
        <v>1234</v>
      </c>
      <c r="F1905" s="248" t="s">
        <v>3752</v>
      </c>
      <c r="G1905" s="248" t="s">
        <v>2579</v>
      </c>
      <c r="H1905" s="249">
        <v>0.25</v>
      </c>
      <c r="I1905" s="249">
        <v>3</v>
      </c>
      <c r="J1905" s="246">
        <v>1</v>
      </c>
      <c r="K1905" s="250" t="s">
        <v>3762</v>
      </c>
      <c r="L1905" s="248"/>
      <c r="M1905" s="276" t="str">
        <f t="shared" si="61"/>
        <v>Photo</v>
      </c>
      <c r="N1905" s="279" t="s">
        <v>25</v>
      </c>
      <c r="O1905" t="str">
        <f t="shared" si="59"/>
        <v>1999-P Washington Quarter</v>
      </c>
      <c r="S1905" t="str" cm="1">
        <f t="array" ref="S1905">_xlfn.REGEXEXTRACT(E1905, "[0-9]{1,5}")</f>
        <v>1999</v>
      </c>
      <c r="T1905" t="s">
        <v>4223</v>
      </c>
      <c r="U1905" t="s">
        <v>3898</v>
      </c>
    </row>
    <row r="1906" spans="1:21">
      <c r="A1906" s="136">
        <v>4</v>
      </c>
      <c r="B1906" s="246">
        <v>1999</v>
      </c>
      <c r="C1906" s="247" t="s">
        <v>1183</v>
      </c>
      <c r="D1906" s="247" t="s">
        <v>1965</v>
      </c>
      <c r="E1906" s="248" t="s">
        <v>1236</v>
      </c>
      <c r="F1906" s="248" t="s">
        <v>3752</v>
      </c>
      <c r="G1906" s="248" t="s">
        <v>2579</v>
      </c>
      <c r="H1906" s="249">
        <v>0.25</v>
      </c>
      <c r="I1906" s="249">
        <v>0.25</v>
      </c>
      <c r="J1906" s="246">
        <v>1</v>
      </c>
      <c r="K1906" s="250" t="s">
        <v>3763</v>
      </c>
      <c r="L1906" s="248"/>
      <c r="M1906" s="276" t="str">
        <f t="shared" si="61"/>
        <v>Photo</v>
      </c>
      <c r="N1906" s="279" t="s">
        <v>25</v>
      </c>
      <c r="O1906" t="str">
        <f t="shared" si="59"/>
        <v>1999 Washington Quarter</v>
      </c>
      <c r="S1906" t="str" cm="1">
        <f t="array" ref="S1906">_xlfn.REGEXEXTRACT(E1906, "[0-9]{1,5}")</f>
        <v>1999</v>
      </c>
      <c r="T1906" t="s">
        <v>4223</v>
      </c>
      <c r="U1906" t="s">
        <v>3898</v>
      </c>
    </row>
    <row r="1907" spans="1:21">
      <c r="A1907" s="136">
        <v>4</v>
      </c>
      <c r="B1907" s="246">
        <v>1999</v>
      </c>
      <c r="C1907" s="247" t="s">
        <v>25</v>
      </c>
      <c r="D1907" s="247" t="s">
        <v>1965</v>
      </c>
      <c r="E1907" s="248" t="s">
        <v>1238</v>
      </c>
      <c r="F1907" s="248" t="s">
        <v>3752</v>
      </c>
      <c r="G1907" s="248" t="s">
        <v>2579</v>
      </c>
      <c r="H1907" s="249">
        <v>0.25</v>
      </c>
      <c r="I1907" s="249">
        <v>0.25</v>
      </c>
      <c r="J1907" s="246">
        <v>1</v>
      </c>
      <c r="K1907" s="250" t="s">
        <v>3763</v>
      </c>
      <c r="L1907" s="248"/>
      <c r="M1907" s="276" t="str">
        <f t="shared" si="61"/>
        <v>Photo</v>
      </c>
      <c r="N1907" s="279" t="s">
        <v>25</v>
      </c>
      <c r="O1907" t="str">
        <f t="shared" si="59"/>
        <v>1999-P Washington Quarter</v>
      </c>
      <c r="S1907" t="str" cm="1">
        <f t="array" ref="S1907">_xlfn.REGEXEXTRACT(E1907, "[0-9]{1,5}")</f>
        <v>1999</v>
      </c>
      <c r="T1907" t="s">
        <v>4223</v>
      </c>
      <c r="U1907" t="s">
        <v>3898</v>
      </c>
    </row>
    <row r="1908" spans="1:21">
      <c r="A1908" s="136">
        <v>4</v>
      </c>
      <c r="B1908" s="246">
        <v>1999</v>
      </c>
      <c r="C1908" s="247" t="s">
        <v>25</v>
      </c>
      <c r="D1908" s="247" t="s">
        <v>1965</v>
      </c>
      <c r="E1908" s="248" t="s">
        <v>1239</v>
      </c>
      <c r="F1908" s="248" t="s">
        <v>3752</v>
      </c>
      <c r="G1908" s="248" t="s">
        <v>2579</v>
      </c>
      <c r="H1908" s="249">
        <v>0.25</v>
      </c>
      <c r="I1908" s="249">
        <v>0.25</v>
      </c>
      <c r="J1908" s="246">
        <v>1</v>
      </c>
      <c r="K1908" s="250" t="s">
        <v>3763</v>
      </c>
      <c r="L1908" s="248"/>
      <c r="M1908" s="276" t="str">
        <f t="shared" si="61"/>
        <v>Photo</v>
      </c>
      <c r="N1908" s="279" t="s">
        <v>25</v>
      </c>
      <c r="O1908" t="str">
        <f t="shared" si="59"/>
        <v>1999-P Washington Quarter</v>
      </c>
      <c r="S1908" t="str" cm="1">
        <f t="array" ref="S1908">_xlfn.REGEXEXTRACT(E1908, "[0-9]{1,5}")</f>
        <v>1999</v>
      </c>
      <c r="T1908" t="s">
        <v>4224</v>
      </c>
      <c r="U1908" t="s">
        <v>3898</v>
      </c>
    </row>
    <row r="1909" spans="1:21">
      <c r="A1909" s="136">
        <v>4</v>
      </c>
      <c r="B1909" s="246">
        <v>1999</v>
      </c>
      <c r="C1909" s="247" t="s">
        <v>25</v>
      </c>
      <c r="D1909" s="247" t="s">
        <v>1965</v>
      </c>
      <c r="E1909" s="248" t="s">
        <v>1240</v>
      </c>
      <c r="F1909" s="248" t="s">
        <v>3752</v>
      </c>
      <c r="G1909" s="248" t="s">
        <v>2579</v>
      </c>
      <c r="H1909" s="249">
        <v>0.25</v>
      </c>
      <c r="I1909" s="249">
        <v>0.25</v>
      </c>
      <c r="J1909" s="246">
        <v>1</v>
      </c>
      <c r="K1909" s="250" t="s">
        <v>3763</v>
      </c>
      <c r="L1909" s="248"/>
      <c r="M1909" s="276" t="str">
        <f t="shared" si="61"/>
        <v>Photo</v>
      </c>
      <c r="N1909" s="279" t="s">
        <v>25</v>
      </c>
      <c r="O1909" t="str">
        <f t="shared" si="59"/>
        <v>1999-P Washington Quarter</v>
      </c>
      <c r="S1909" t="str" cm="1">
        <f t="array" ref="S1909">_xlfn.REGEXEXTRACT(E1909, "[0-9]{1,5}")</f>
        <v>1999</v>
      </c>
      <c r="T1909" t="s">
        <v>4224</v>
      </c>
      <c r="U1909" t="s">
        <v>3898</v>
      </c>
    </row>
    <row r="1910" spans="1:21">
      <c r="A1910" s="136">
        <v>4</v>
      </c>
      <c r="B1910" s="246">
        <v>1999</v>
      </c>
      <c r="C1910" s="247" t="s">
        <v>13</v>
      </c>
      <c r="D1910" s="247" t="s">
        <v>1965</v>
      </c>
      <c r="E1910" s="248" t="s">
        <v>1241</v>
      </c>
      <c r="F1910" s="248" t="s">
        <v>3752</v>
      </c>
      <c r="G1910" s="248" t="s">
        <v>2579</v>
      </c>
      <c r="H1910" s="249">
        <v>0.25</v>
      </c>
      <c r="I1910" s="249">
        <v>0.25</v>
      </c>
      <c r="J1910" s="246">
        <v>1</v>
      </c>
      <c r="K1910" s="250" t="s">
        <v>3762</v>
      </c>
      <c r="L1910" s="248"/>
      <c r="M1910" s="276" t="str">
        <f t="shared" si="61"/>
        <v>Photo</v>
      </c>
      <c r="N1910" s="279" t="s">
        <v>25</v>
      </c>
      <c r="O1910" t="str">
        <f t="shared" si="59"/>
        <v>1999-D Washington Quarter</v>
      </c>
      <c r="S1910" t="str" cm="1">
        <f t="array" ref="S1910">_xlfn.REGEXEXTRACT(E1910, "[0-9]{1,5}")</f>
        <v>1999</v>
      </c>
      <c r="T1910" t="s">
        <v>4224</v>
      </c>
      <c r="U1910" t="s">
        <v>3898</v>
      </c>
    </row>
    <row r="1911" spans="1:21">
      <c r="A1911" s="136">
        <v>4</v>
      </c>
      <c r="B1911" s="246">
        <v>1999</v>
      </c>
      <c r="C1911" s="247" t="s">
        <v>13</v>
      </c>
      <c r="D1911" s="247" t="s">
        <v>1965</v>
      </c>
      <c r="E1911" s="248" t="s">
        <v>1242</v>
      </c>
      <c r="F1911" s="248" t="s">
        <v>3752</v>
      </c>
      <c r="G1911" s="248" t="s">
        <v>2579</v>
      </c>
      <c r="H1911" s="249">
        <v>0.25</v>
      </c>
      <c r="I1911" s="249">
        <v>0.25</v>
      </c>
      <c r="J1911" s="246">
        <v>1</v>
      </c>
      <c r="K1911" s="250" t="s">
        <v>3762</v>
      </c>
      <c r="L1911" s="248"/>
      <c r="M1911" s="276" t="str">
        <f t="shared" si="61"/>
        <v>Photo</v>
      </c>
      <c r="N1911" s="279" t="s">
        <v>25</v>
      </c>
      <c r="O1911" t="str">
        <f t="shared" si="59"/>
        <v>1999-D Washington Quarter</v>
      </c>
      <c r="S1911" t="str" cm="1">
        <f t="array" ref="S1911">_xlfn.REGEXEXTRACT(E1911, "[0-9]{1,5}")</f>
        <v>1999</v>
      </c>
      <c r="T1911" t="s">
        <v>4224</v>
      </c>
      <c r="U1911" t="s">
        <v>3898</v>
      </c>
    </row>
    <row r="1912" spans="1:21">
      <c r="A1912" s="136">
        <v>4</v>
      </c>
      <c r="B1912" s="246">
        <v>1999</v>
      </c>
      <c r="C1912" s="247" t="s">
        <v>13</v>
      </c>
      <c r="D1912" s="247" t="s">
        <v>1965</v>
      </c>
      <c r="E1912" s="248" t="s">
        <v>1243</v>
      </c>
      <c r="F1912" s="248" t="s">
        <v>3752</v>
      </c>
      <c r="G1912" s="248" t="s">
        <v>2579</v>
      </c>
      <c r="H1912" s="249">
        <v>0.25</v>
      </c>
      <c r="I1912" s="249">
        <v>0.25</v>
      </c>
      <c r="J1912" s="246">
        <v>1</v>
      </c>
      <c r="K1912" s="250" t="s">
        <v>3762</v>
      </c>
      <c r="L1912" s="248"/>
      <c r="M1912" s="276" t="str">
        <f t="shared" si="61"/>
        <v>Photo</v>
      </c>
      <c r="N1912" s="279" t="s">
        <v>25</v>
      </c>
      <c r="O1912" t="str">
        <f t="shared" si="59"/>
        <v>1999-D Washington Quarter</v>
      </c>
      <c r="S1912" t="str" cm="1">
        <f t="array" ref="S1912">_xlfn.REGEXEXTRACT(E1912, "[0-9]{1,5}")</f>
        <v>1999</v>
      </c>
      <c r="T1912" t="s">
        <v>4224</v>
      </c>
      <c r="U1912" t="s">
        <v>3898</v>
      </c>
    </row>
    <row r="1913" spans="1:21">
      <c r="A1913" s="136">
        <v>4</v>
      </c>
      <c r="B1913" s="246">
        <v>1999</v>
      </c>
      <c r="C1913" s="247" t="s">
        <v>13</v>
      </c>
      <c r="D1913" s="247" t="s">
        <v>1965</v>
      </c>
      <c r="E1913" s="248" t="s">
        <v>1244</v>
      </c>
      <c r="F1913" s="248" t="s">
        <v>3752</v>
      </c>
      <c r="G1913" s="248" t="s">
        <v>2579</v>
      </c>
      <c r="H1913" s="249">
        <v>0.25</v>
      </c>
      <c r="I1913" s="249">
        <v>0.25</v>
      </c>
      <c r="J1913" s="246">
        <v>1</v>
      </c>
      <c r="K1913" s="250" t="s">
        <v>3762</v>
      </c>
      <c r="L1913" s="248"/>
      <c r="M1913" s="276" t="str">
        <f t="shared" si="61"/>
        <v>Photo</v>
      </c>
      <c r="N1913" s="279" t="s">
        <v>25</v>
      </c>
      <c r="O1913" t="str">
        <f t="shared" si="59"/>
        <v>1999-D Washington Quarter</v>
      </c>
      <c r="S1913" t="str" cm="1">
        <f t="array" ref="S1913">_xlfn.REGEXEXTRACT(E1913, "[0-9]{1,5}")</f>
        <v>1999</v>
      </c>
      <c r="T1913" t="s">
        <v>4224</v>
      </c>
      <c r="U1913" t="s">
        <v>3898</v>
      </c>
    </row>
    <row r="1914" spans="1:21">
      <c r="A1914" s="136">
        <v>4</v>
      </c>
      <c r="B1914" s="246">
        <v>1999</v>
      </c>
      <c r="C1914" s="247" t="s">
        <v>25</v>
      </c>
      <c r="D1914" s="247" t="s">
        <v>1965</v>
      </c>
      <c r="E1914" s="248" t="s">
        <v>1245</v>
      </c>
      <c r="F1914" s="248" t="s">
        <v>3752</v>
      </c>
      <c r="G1914" s="248" t="s">
        <v>2579</v>
      </c>
      <c r="H1914" s="249">
        <v>0.25</v>
      </c>
      <c r="I1914" s="249">
        <v>0.25</v>
      </c>
      <c r="J1914" s="246">
        <v>1</v>
      </c>
      <c r="K1914" s="250" t="s">
        <v>3762</v>
      </c>
      <c r="L1914" s="248"/>
      <c r="M1914" s="276" t="str">
        <f t="shared" si="61"/>
        <v>Photo</v>
      </c>
      <c r="N1914" s="279" t="s">
        <v>25</v>
      </c>
      <c r="O1914" t="str">
        <f t="shared" si="59"/>
        <v>1999-P Washington Quarter</v>
      </c>
      <c r="S1914" t="str" cm="1">
        <f t="array" ref="S1914">_xlfn.REGEXEXTRACT(E1914, "[0-9]{1,5}")</f>
        <v>1999</v>
      </c>
      <c r="T1914" t="s">
        <v>4224</v>
      </c>
      <c r="U1914" t="s">
        <v>3898</v>
      </c>
    </row>
    <row r="1915" spans="1:21">
      <c r="A1915" s="136">
        <v>4</v>
      </c>
      <c r="B1915" s="246">
        <v>1999</v>
      </c>
      <c r="C1915" s="247" t="s">
        <v>25</v>
      </c>
      <c r="D1915" s="247" t="s">
        <v>1965</v>
      </c>
      <c r="E1915" s="248" t="s">
        <v>1246</v>
      </c>
      <c r="F1915" s="248" t="s">
        <v>3752</v>
      </c>
      <c r="G1915" s="248" t="s">
        <v>2579</v>
      </c>
      <c r="H1915" s="249">
        <v>0.25</v>
      </c>
      <c r="I1915" s="249">
        <v>0.25</v>
      </c>
      <c r="J1915" s="246">
        <v>1</v>
      </c>
      <c r="K1915" s="250" t="s">
        <v>3762</v>
      </c>
      <c r="L1915" s="248"/>
      <c r="M1915" s="276" t="str">
        <f t="shared" si="61"/>
        <v>Photo</v>
      </c>
      <c r="N1915" s="279" t="s">
        <v>25</v>
      </c>
      <c r="O1915" t="str">
        <f t="shared" si="59"/>
        <v>1999-P Washington Quarter</v>
      </c>
      <c r="S1915" t="str" cm="1">
        <f t="array" ref="S1915">_xlfn.REGEXEXTRACT(E1915, "[0-9]{1,5}")</f>
        <v>1999</v>
      </c>
      <c r="T1915" t="s">
        <v>4224</v>
      </c>
      <c r="U1915" t="s">
        <v>3898</v>
      </c>
    </row>
    <row r="1916" spans="1:21">
      <c r="A1916" s="136">
        <v>4</v>
      </c>
      <c r="B1916" s="246">
        <v>1999</v>
      </c>
      <c r="C1916" s="247" t="s">
        <v>25</v>
      </c>
      <c r="D1916" s="247" t="s">
        <v>1965</v>
      </c>
      <c r="E1916" s="248" t="s">
        <v>1247</v>
      </c>
      <c r="F1916" s="248" t="s">
        <v>3752</v>
      </c>
      <c r="G1916" s="248" t="s">
        <v>2579</v>
      </c>
      <c r="H1916" s="249">
        <v>0.25</v>
      </c>
      <c r="I1916" s="249">
        <v>0.25</v>
      </c>
      <c r="J1916" s="246">
        <v>1</v>
      </c>
      <c r="K1916" s="250" t="s">
        <v>3762</v>
      </c>
      <c r="L1916" s="248"/>
      <c r="M1916" s="276" t="str">
        <f t="shared" si="61"/>
        <v>Photo</v>
      </c>
      <c r="N1916" s="279" t="s">
        <v>25</v>
      </c>
      <c r="O1916" t="str">
        <f t="shared" si="59"/>
        <v>1999-P Washington Quarter</v>
      </c>
      <c r="S1916" t="str" cm="1">
        <f t="array" ref="S1916">_xlfn.REGEXEXTRACT(E1916, "[0-9]{1,5}")</f>
        <v>1999</v>
      </c>
      <c r="T1916" t="s">
        <v>4224</v>
      </c>
      <c r="U1916" t="s">
        <v>3898</v>
      </c>
    </row>
    <row r="1917" spans="1:21">
      <c r="A1917" s="136">
        <v>4</v>
      </c>
      <c r="B1917" s="246">
        <v>1999</v>
      </c>
      <c r="C1917" s="247" t="s">
        <v>25</v>
      </c>
      <c r="D1917" s="247" t="s">
        <v>1965</v>
      </c>
      <c r="E1917" s="248" t="s">
        <v>1248</v>
      </c>
      <c r="F1917" s="248" t="s">
        <v>3752</v>
      </c>
      <c r="G1917" s="248" t="s">
        <v>2579</v>
      </c>
      <c r="H1917" s="249">
        <v>0.25</v>
      </c>
      <c r="I1917" s="249">
        <v>0.25</v>
      </c>
      <c r="J1917" s="246">
        <v>1</v>
      </c>
      <c r="K1917" s="250" t="s">
        <v>3762</v>
      </c>
      <c r="L1917" s="248"/>
      <c r="M1917" s="276" t="str">
        <f t="shared" si="61"/>
        <v>Photo</v>
      </c>
      <c r="N1917" s="279" t="s">
        <v>25</v>
      </c>
      <c r="O1917" t="str">
        <f t="shared" si="59"/>
        <v>1999-P Washington Quarter</v>
      </c>
      <c r="S1917" t="str" cm="1">
        <f t="array" ref="S1917">_xlfn.REGEXEXTRACT(E1917, "[0-9]{1,5}")</f>
        <v>1999</v>
      </c>
      <c r="T1917" t="s">
        <v>4225</v>
      </c>
      <c r="U1917" t="s">
        <v>3898</v>
      </c>
    </row>
    <row r="1918" spans="1:21">
      <c r="A1918" s="136">
        <v>4</v>
      </c>
      <c r="B1918" s="246">
        <v>1999</v>
      </c>
      <c r="C1918" s="247" t="s">
        <v>13</v>
      </c>
      <c r="D1918" s="247" t="s">
        <v>1965</v>
      </c>
      <c r="E1918" s="248" t="s">
        <v>1249</v>
      </c>
      <c r="F1918" s="248" t="s">
        <v>3752</v>
      </c>
      <c r="G1918" s="248" t="s">
        <v>2579</v>
      </c>
      <c r="H1918" s="249">
        <v>0.25</v>
      </c>
      <c r="I1918" s="249">
        <v>0.25</v>
      </c>
      <c r="J1918" s="246">
        <v>1</v>
      </c>
      <c r="K1918" s="250" t="s">
        <v>3761</v>
      </c>
      <c r="L1918" s="248"/>
      <c r="M1918" s="276" t="str">
        <f t="shared" si="61"/>
        <v>Photo</v>
      </c>
      <c r="N1918" s="279" t="s">
        <v>25</v>
      </c>
      <c r="O1918" t="str">
        <f t="shared" si="59"/>
        <v>1999-D Washington Quarter</v>
      </c>
      <c r="S1918" t="str" cm="1">
        <f t="array" ref="S1918">_xlfn.REGEXEXTRACT(E1918, "[0-9]{1,5}")</f>
        <v>1999</v>
      </c>
      <c r="T1918" t="s">
        <v>4225</v>
      </c>
      <c r="U1918" t="s">
        <v>3898</v>
      </c>
    </row>
    <row r="1919" spans="1:21">
      <c r="A1919" s="136">
        <v>4</v>
      </c>
      <c r="B1919" s="246">
        <v>1999</v>
      </c>
      <c r="C1919" s="247" t="s">
        <v>13</v>
      </c>
      <c r="D1919" s="247" t="s">
        <v>1965</v>
      </c>
      <c r="E1919" s="248" t="s">
        <v>1250</v>
      </c>
      <c r="F1919" s="248" t="s">
        <v>3752</v>
      </c>
      <c r="G1919" s="248" t="s">
        <v>2579</v>
      </c>
      <c r="H1919" s="249">
        <v>0.25</v>
      </c>
      <c r="I1919" s="249">
        <v>0.25</v>
      </c>
      <c r="J1919" s="246">
        <v>1</v>
      </c>
      <c r="K1919" s="250" t="s">
        <v>3761</v>
      </c>
      <c r="L1919" s="248"/>
      <c r="M1919" s="276" t="str">
        <f t="shared" si="61"/>
        <v>Photo</v>
      </c>
      <c r="N1919" s="279" t="s">
        <v>25</v>
      </c>
      <c r="O1919" t="str">
        <f t="shared" si="59"/>
        <v>1999-D Washington Quarter</v>
      </c>
      <c r="S1919" t="str" cm="1">
        <f t="array" ref="S1919">_xlfn.REGEXEXTRACT(E1919, "[0-9]{1,5}")</f>
        <v>1999</v>
      </c>
      <c r="T1919" t="s">
        <v>4225</v>
      </c>
      <c r="U1919" t="s">
        <v>3898</v>
      </c>
    </row>
    <row r="1920" spans="1:21">
      <c r="A1920" s="136">
        <v>4</v>
      </c>
      <c r="B1920" s="246">
        <v>1999</v>
      </c>
      <c r="C1920" s="247" t="s">
        <v>13</v>
      </c>
      <c r="D1920" s="247" t="s">
        <v>1965</v>
      </c>
      <c r="E1920" s="248" t="s">
        <v>1251</v>
      </c>
      <c r="F1920" s="248" t="s">
        <v>3752</v>
      </c>
      <c r="G1920" s="248" t="s">
        <v>2579</v>
      </c>
      <c r="H1920" s="249">
        <v>0.25</v>
      </c>
      <c r="I1920" s="249">
        <v>0.25</v>
      </c>
      <c r="J1920" s="246">
        <v>1</v>
      </c>
      <c r="K1920" s="250" t="s">
        <v>3761</v>
      </c>
      <c r="L1920" s="248"/>
      <c r="M1920" s="276" t="str">
        <f t="shared" si="61"/>
        <v>Photo</v>
      </c>
      <c r="N1920" s="279" t="s">
        <v>25</v>
      </c>
      <c r="O1920" t="str">
        <f t="shared" si="59"/>
        <v>1999-D Washington Quarter</v>
      </c>
      <c r="S1920" t="str" cm="1">
        <f t="array" ref="S1920">_xlfn.REGEXEXTRACT(E1920, "[0-9]{1,5}")</f>
        <v>1999</v>
      </c>
      <c r="T1920" t="s">
        <v>4225</v>
      </c>
      <c r="U1920" t="s">
        <v>3898</v>
      </c>
    </row>
    <row r="1921" spans="1:21">
      <c r="A1921" s="136">
        <v>4</v>
      </c>
      <c r="B1921" s="246">
        <v>1999</v>
      </c>
      <c r="C1921" s="247" t="s">
        <v>13</v>
      </c>
      <c r="D1921" s="247" t="s">
        <v>1965</v>
      </c>
      <c r="E1921" s="248" t="s">
        <v>1252</v>
      </c>
      <c r="F1921" s="248" t="s">
        <v>3752</v>
      </c>
      <c r="G1921" s="248" t="s">
        <v>2579</v>
      </c>
      <c r="H1921" s="249">
        <v>0.25</v>
      </c>
      <c r="I1921" s="249">
        <v>0.25</v>
      </c>
      <c r="J1921" s="246">
        <v>1</v>
      </c>
      <c r="K1921" s="250" t="s">
        <v>3761</v>
      </c>
      <c r="L1921" s="248"/>
      <c r="M1921" s="276" t="str">
        <f t="shared" si="61"/>
        <v>Photo</v>
      </c>
      <c r="N1921" s="279" t="s">
        <v>25</v>
      </c>
      <c r="O1921" t="str">
        <f t="shared" si="59"/>
        <v>1999-D Washington Quarter</v>
      </c>
      <c r="S1921" t="str" cm="1">
        <f t="array" ref="S1921">_xlfn.REGEXEXTRACT(E1921, "[0-9]{1,5}")</f>
        <v>1999</v>
      </c>
      <c r="T1921" t="s">
        <v>4225</v>
      </c>
      <c r="U1921" t="s">
        <v>3898</v>
      </c>
    </row>
    <row r="1922" spans="1:21">
      <c r="A1922" s="136">
        <v>4</v>
      </c>
      <c r="B1922" s="246">
        <v>1999</v>
      </c>
      <c r="C1922" s="247" t="s">
        <v>25</v>
      </c>
      <c r="D1922" s="247" t="s">
        <v>1965</v>
      </c>
      <c r="E1922" s="248" t="s">
        <v>1253</v>
      </c>
      <c r="F1922" s="248" t="s">
        <v>3752</v>
      </c>
      <c r="G1922" s="248" t="s">
        <v>2579</v>
      </c>
      <c r="H1922" s="249">
        <v>0.25</v>
      </c>
      <c r="I1922" s="249">
        <v>0.25</v>
      </c>
      <c r="J1922" s="246">
        <v>1</v>
      </c>
      <c r="K1922" s="250" t="s">
        <v>3761</v>
      </c>
      <c r="L1922" s="248"/>
      <c r="M1922" s="276" t="str">
        <f t="shared" si="61"/>
        <v>Photo</v>
      </c>
      <c r="N1922" s="279" t="s">
        <v>25</v>
      </c>
      <c r="O1922" t="str">
        <f t="shared" si="59"/>
        <v>1999-P Washington Quarter</v>
      </c>
      <c r="S1922" t="str" cm="1">
        <f t="array" ref="S1922">_xlfn.REGEXEXTRACT(E1922, "[0-9]{1,5}")</f>
        <v>1999</v>
      </c>
      <c r="T1922" t="s">
        <v>4225</v>
      </c>
      <c r="U1922" t="s">
        <v>3898</v>
      </c>
    </row>
    <row r="1923" spans="1:21">
      <c r="A1923" s="136">
        <v>4</v>
      </c>
      <c r="B1923" s="246">
        <v>1999</v>
      </c>
      <c r="C1923" s="247" t="s">
        <v>25</v>
      </c>
      <c r="D1923" s="247" t="s">
        <v>1965</v>
      </c>
      <c r="E1923" s="248" t="s">
        <v>1254</v>
      </c>
      <c r="F1923" s="248" t="s">
        <v>3752</v>
      </c>
      <c r="G1923" s="248" t="s">
        <v>2579</v>
      </c>
      <c r="H1923" s="249">
        <v>0.25</v>
      </c>
      <c r="I1923" s="249">
        <v>0.25</v>
      </c>
      <c r="J1923" s="246">
        <v>1</v>
      </c>
      <c r="K1923" s="250" t="s">
        <v>3761</v>
      </c>
      <c r="L1923" s="248"/>
      <c r="M1923" s="276" t="str">
        <f t="shared" si="61"/>
        <v>Photo</v>
      </c>
      <c r="N1923" s="279" t="s">
        <v>25</v>
      </c>
      <c r="O1923" t="str">
        <f t="shared" si="59"/>
        <v>1999-P Washington Quarter</v>
      </c>
      <c r="S1923" t="str" cm="1">
        <f t="array" ref="S1923">_xlfn.REGEXEXTRACT(E1923, "[0-9]{1,5}")</f>
        <v>1999</v>
      </c>
    </row>
    <row r="1924" spans="1:21">
      <c r="A1924" s="136">
        <v>4</v>
      </c>
      <c r="B1924" s="246">
        <v>1999</v>
      </c>
      <c r="C1924" s="247" t="s">
        <v>25</v>
      </c>
      <c r="D1924" s="247" t="s">
        <v>1965</v>
      </c>
      <c r="E1924" s="248" t="s">
        <v>1255</v>
      </c>
      <c r="F1924" s="248" t="s">
        <v>3752</v>
      </c>
      <c r="G1924" s="248" t="s">
        <v>2579</v>
      </c>
      <c r="H1924" s="249">
        <v>0.25</v>
      </c>
      <c r="I1924" s="249">
        <v>0.25</v>
      </c>
      <c r="J1924" s="246">
        <v>1</v>
      </c>
      <c r="K1924" s="250" t="s">
        <v>3761</v>
      </c>
      <c r="L1924" s="248"/>
      <c r="M1924" s="276" t="str">
        <f t="shared" si="61"/>
        <v>Photo</v>
      </c>
      <c r="N1924" s="279" t="s">
        <v>25</v>
      </c>
      <c r="O1924" t="str">
        <f t="shared" ref="O1924:O1987" si="62">IF(C1924&lt;&gt;"",B1924&amp;"-"&amp;C1924&amp;" "&amp;F1924,B1924&amp;" "&amp;F1924)</f>
        <v>1999-P Washington Quarter</v>
      </c>
      <c r="S1924" t="str" cm="1">
        <f t="array" ref="S1924">_xlfn.REGEXEXTRACT(E1924, "[0-9]{1,5}")</f>
        <v>1999</v>
      </c>
      <c r="T1924" t="s">
        <v>4227</v>
      </c>
      <c r="U1924" t="s">
        <v>3898</v>
      </c>
    </row>
    <row r="1925" spans="1:21">
      <c r="A1925" s="136">
        <v>4</v>
      </c>
      <c r="B1925" s="246">
        <v>1999</v>
      </c>
      <c r="C1925" s="247" t="s">
        <v>13</v>
      </c>
      <c r="D1925" s="247" t="s">
        <v>1965</v>
      </c>
      <c r="E1925" s="248" t="s">
        <v>1256</v>
      </c>
      <c r="F1925" s="248" t="s">
        <v>3752</v>
      </c>
      <c r="G1925" s="248" t="s">
        <v>2579</v>
      </c>
      <c r="H1925" s="249">
        <v>0.25</v>
      </c>
      <c r="I1925" s="249">
        <v>0.25</v>
      </c>
      <c r="J1925" s="246">
        <v>1</v>
      </c>
      <c r="K1925" s="250" t="s">
        <v>3761</v>
      </c>
      <c r="L1925" s="248"/>
      <c r="M1925" s="276" t="str">
        <f t="shared" si="61"/>
        <v>Photo</v>
      </c>
      <c r="N1925" s="279" t="s">
        <v>25</v>
      </c>
      <c r="O1925" t="str">
        <f t="shared" si="62"/>
        <v>1999-D Washington Quarter</v>
      </c>
      <c r="S1925" t="str" cm="1">
        <f t="array" ref="S1925">_xlfn.REGEXEXTRACT(E1925, "[0-9]{1,5}")</f>
        <v>1999</v>
      </c>
      <c r="T1925" t="s">
        <v>4227</v>
      </c>
      <c r="U1925" t="s">
        <v>3898</v>
      </c>
    </row>
    <row r="1926" spans="1:21">
      <c r="A1926" s="136">
        <v>4</v>
      </c>
      <c r="B1926" s="246">
        <v>1999</v>
      </c>
      <c r="C1926" s="247" t="s">
        <v>25</v>
      </c>
      <c r="D1926" s="247" t="s">
        <v>1965</v>
      </c>
      <c r="E1926" s="248" t="s">
        <v>1257</v>
      </c>
      <c r="F1926" s="248" t="s">
        <v>3752</v>
      </c>
      <c r="G1926" s="248" t="s">
        <v>2579</v>
      </c>
      <c r="H1926" s="249">
        <v>0.25</v>
      </c>
      <c r="I1926" s="249">
        <v>0.25</v>
      </c>
      <c r="J1926" s="246">
        <v>1</v>
      </c>
      <c r="K1926" s="250" t="s">
        <v>3761</v>
      </c>
      <c r="L1926" s="248"/>
      <c r="M1926" s="276" t="str">
        <f t="shared" si="61"/>
        <v>Photo</v>
      </c>
      <c r="N1926" s="279" t="s">
        <v>25</v>
      </c>
      <c r="O1926" t="str">
        <f t="shared" si="62"/>
        <v>1999-P Washington Quarter</v>
      </c>
      <c r="S1926" t="str" cm="1">
        <f t="array" ref="S1926">_xlfn.REGEXEXTRACT(E1926, "[0-9]{1,5}")</f>
        <v>1999</v>
      </c>
      <c r="T1926" t="s">
        <v>4227</v>
      </c>
      <c r="U1926" t="s">
        <v>3898</v>
      </c>
    </row>
    <row r="1927" spans="1:21">
      <c r="A1927" s="136">
        <v>4</v>
      </c>
      <c r="B1927" s="246">
        <v>1999</v>
      </c>
      <c r="C1927" s="247" t="s">
        <v>25</v>
      </c>
      <c r="D1927" s="247" t="s">
        <v>1965</v>
      </c>
      <c r="E1927" s="248" t="s">
        <v>1258</v>
      </c>
      <c r="F1927" s="248" t="s">
        <v>3752</v>
      </c>
      <c r="G1927" s="248" t="s">
        <v>2579</v>
      </c>
      <c r="H1927" s="249">
        <v>0.25</v>
      </c>
      <c r="I1927" s="249">
        <v>0.25</v>
      </c>
      <c r="J1927" s="246">
        <v>1</v>
      </c>
      <c r="K1927" s="250" t="s">
        <v>3761</v>
      </c>
      <c r="L1927" s="248"/>
      <c r="M1927" s="276" t="str">
        <f t="shared" si="61"/>
        <v>Photo</v>
      </c>
      <c r="N1927" s="279" t="s">
        <v>25</v>
      </c>
      <c r="O1927" t="str">
        <f t="shared" si="62"/>
        <v>1999-P Washington Quarter</v>
      </c>
      <c r="S1927" t="str" cm="1">
        <f t="array" ref="S1927">_xlfn.REGEXEXTRACT(E1927, "[0-9]{1,5}")</f>
        <v>1999</v>
      </c>
      <c r="T1927" t="s">
        <v>4227</v>
      </c>
      <c r="U1927" t="s">
        <v>3898</v>
      </c>
    </row>
    <row r="1928" spans="1:21">
      <c r="A1928" s="136">
        <v>4</v>
      </c>
      <c r="B1928" s="246">
        <v>1999</v>
      </c>
      <c r="C1928" s="247" t="s">
        <v>13</v>
      </c>
      <c r="D1928" s="247" t="s">
        <v>1965</v>
      </c>
      <c r="E1928" s="248" t="s">
        <v>1259</v>
      </c>
      <c r="F1928" s="248" t="s">
        <v>3752</v>
      </c>
      <c r="G1928" s="248" t="s">
        <v>2579</v>
      </c>
      <c r="H1928" s="249">
        <v>0.25</v>
      </c>
      <c r="I1928" s="249">
        <v>0.25</v>
      </c>
      <c r="J1928" s="246">
        <v>1</v>
      </c>
      <c r="K1928" s="250" t="s">
        <v>3761</v>
      </c>
      <c r="L1928" s="248"/>
      <c r="M1928" s="276" t="str">
        <f t="shared" si="61"/>
        <v>Photo</v>
      </c>
      <c r="N1928" s="279" t="s">
        <v>25</v>
      </c>
      <c r="O1928" t="str">
        <f t="shared" si="62"/>
        <v>1999-D Washington Quarter</v>
      </c>
      <c r="S1928" t="str" cm="1">
        <f t="array" ref="S1928">_xlfn.REGEXEXTRACT(E1928, "[0-9]{1,5}")</f>
        <v>1999</v>
      </c>
      <c r="T1928" t="s">
        <v>4227</v>
      </c>
      <c r="U1928" t="s">
        <v>3898</v>
      </c>
    </row>
    <row r="1929" spans="1:21">
      <c r="A1929" s="136">
        <v>4</v>
      </c>
      <c r="B1929" s="246">
        <v>1999</v>
      </c>
      <c r="C1929" s="247" t="s">
        <v>25</v>
      </c>
      <c r="D1929" s="247" t="s">
        <v>1965</v>
      </c>
      <c r="E1929" s="248" t="s">
        <v>1260</v>
      </c>
      <c r="F1929" s="248" t="s">
        <v>3752</v>
      </c>
      <c r="G1929" s="248" t="s">
        <v>2579</v>
      </c>
      <c r="H1929" s="249">
        <v>0.25</v>
      </c>
      <c r="I1929" s="249">
        <v>0.25</v>
      </c>
      <c r="J1929" s="246">
        <v>1</v>
      </c>
      <c r="K1929" s="250" t="s">
        <v>3761</v>
      </c>
      <c r="L1929" s="248"/>
      <c r="M1929" s="276" t="str">
        <f t="shared" si="61"/>
        <v>Photo</v>
      </c>
      <c r="N1929" s="279" t="s">
        <v>25</v>
      </c>
      <c r="O1929" t="str">
        <f t="shared" si="62"/>
        <v>1999-P Washington Quarter</v>
      </c>
      <c r="S1929" t="str" cm="1">
        <f t="array" ref="S1929">_xlfn.REGEXEXTRACT(E1929, "[0-9]{1,5}")</f>
        <v>1999</v>
      </c>
      <c r="T1929" t="s">
        <v>4227</v>
      </c>
      <c r="U1929" t="s">
        <v>3898</v>
      </c>
    </row>
    <row r="1930" spans="1:21">
      <c r="A1930" s="136">
        <v>4</v>
      </c>
      <c r="B1930" s="246">
        <v>1999</v>
      </c>
      <c r="C1930" s="247" t="s">
        <v>25</v>
      </c>
      <c r="D1930" s="247" t="s">
        <v>1965</v>
      </c>
      <c r="E1930" s="248" t="s">
        <v>1261</v>
      </c>
      <c r="F1930" s="248" t="s">
        <v>3752</v>
      </c>
      <c r="G1930" s="248" t="s">
        <v>2579</v>
      </c>
      <c r="H1930" s="249">
        <v>0.25</v>
      </c>
      <c r="I1930" s="249">
        <v>0.25</v>
      </c>
      <c r="J1930" s="246">
        <v>1</v>
      </c>
      <c r="K1930" s="250" t="s">
        <v>3762</v>
      </c>
      <c r="L1930" s="248"/>
      <c r="M1930" s="276" t="str">
        <f t="shared" si="61"/>
        <v>Photo</v>
      </c>
      <c r="N1930" s="279" t="s">
        <v>25</v>
      </c>
      <c r="O1930" t="str">
        <f t="shared" si="62"/>
        <v>1999-P Washington Quarter</v>
      </c>
      <c r="S1930" t="str" cm="1">
        <f t="array" ref="S1930">_xlfn.REGEXEXTRACT(E1930, "[0-9]{1,5}")</f>
        <v>1999</v>
      </c>
      <c r="T1930" t="s">
        <v>4229</v>
      </c>
      <c r="U1930" t="s">
        <v>3898</v>
      </c>
    </row>
    <row r="1931" spans="1:21">
      <c r="A1931" s="136">
        <v>4</v>
      </c>
      <c r="B1931" s="246">
        <v>1999</v>
      </c>
      <c r="C1931" s="247" t="s">
        <v>25</v>
      </c>
      <c r="D1931" s="247" t="s">
        <v>1965</v>
      </c>
      <c r="E1931" s="248" t="s">
        <v>1262</v>
      </c>
      <c r="F1931" s="248" t="s">
        <v>3752</v>
      </c>
      <c r="G1931" s="248" t="s">
        <v>2579</v>
      </c>
      <c r="H1931" s="249">
        <v>0.25</v>
      </c>
      <c r="I1931" s="249">
        <v>0.25</v>
      </c>
      <c r="J1931" s="246">
        <v>1</v>
      </c>
      <c r="K1931" s="250" t="s">
        <v>3761</v>
      </c>
      <c r="L1931" s="248"/>
      <c r="M1931" s="276" t="str">
        <f t="shared" si="61"/>
        <v>Photo</v>
      </c>
      <c r="N1931" s="279" t="s">
        <v>25</v>
      </c>
      <c r="O1931" t="str">
        <f t="shared" si="62"/>
        <v>1999-P Washington Quarter</v>
      </c>
      <c r="S1931" t="str" cm="1">
        <f t="array" ref="S1931">_xlfn.REGEXEXTRACT(E1931, "[0-9]{1,5}")</f>
        <v>1999</v>
      </c>
      <c r="T1931" t="s">
        <v>4229</v>
      </c>
      <c r="U1931" t="s">
        <v>3898</v>
      </c>
    </row>
    <row r="1932" spans="1:21">
      <c r="A1932" s="136">
        <v>4</v>
      </c>
      <c r="B1932" s="246">
        <v>2000</v>
      </c>
      <c r="C1932" s="247" t="s">
        <v>25</v>
      </c>
      <c r="D1932" s="247" t="s">
        <v>1965</v>
      </c>
      <c r="E1932" s="248" t="s">
        <v>1263</v>
      </c>
      <c r="F1932" s="248" t="s">
        <v>3752</v>
      </c>
      <c r="G1932" s="248" t="s">
        <v>2579</v>
      </c>
      <c r="H1932" s="249">
        <v>0.25</v>
      </c>
      <c r="I1932" s="249">
        <v>3</v>
      </c>
      <c r="J1932" s="246">
        <v>1</v>
      </c>
      <c r="K1932" s="250" t="s">
        <v>3764</v>
      </c>
      <c r="L1932" s="248"/>
      <c r="M1932" s="276" t="str">
        <f t="shared" si="61"/>
        <v>Photo</v>
      </c>
      <c r="N1932" s="279" t="s">
        <v>25</v>
      </c>
      <c r="O1932" t="str">
        <f t="shared" si="62"/>
        <v>2000-P Washington Quarter</v>
      </c>
      <c r="S1932" t="str" cm="1">
        <f t="array" ref="S1932">_xlfn.REGEXEXTRACT(E1932, "[0-9]{1,5}")</f>
        <v>2000</v>
      </c>
      <c r="T1932" t="s">
        <v>4229</v>
      </c>
      <c r="U1932" t="s">
        <v>3898</v>
      </c>
    </row>
    <row r="1933" spans="1:21">
      <c r="A1933" s="136">
        <v>4</v>
      </c>
      <c r="B1933" s="246">
        <v>2000</v>
      </c>
      <c r="C1933" s="247" t="s">
        <v>25</v>
      </c>
      <c r="D1933" s="247" t="s">
        <v>1965</v>
      </c>
      <c r="E1933" s="248" t="s">
        <v>1265</v>
      </c>
      <c r="F1933" s="248" t="s">
        <v>3752</v>
      </c>
      <c r="G1933" s="248" t="s">
        <v>2579</v>
      </c>
      <c r="H1933" s="249">
        <v>0.25</v>
      </c>
      <c r="I1933" s="249">
        <v>3</v>
      </c>
      <c r="J1933" s="246">
        <v>1</v>
      </c>
      <c r="K1933" s="250" t="s">
        <v>3764</v>
      </c>
      <c r="L1933" s="248"/>
      <c r="M1933" s="276" t="str">
        <f t="shared" si="61"/>
        <v>Photo</v>
      </c>
      <c r="N1933" s="279" t="s">
        <v>25</v>
      </c>
      <c r="O1933" t="str">
        <f t="shared" si="62"/>
        <v>2000-P Washington Quarter</v>
      </c>
      <c r="S1933" t="str" cm="1">
        <f t="array" ref="S1933">_xlfn.REGEXEXTRACT(E1933, "[0-9]{1,5}")</f>
        <v>2000</v>
      </c>
      <c r="T1933" t="s">
        <v>4229</v>
      </c>
      <c r="U1933" t="s">
        <v>3898</v>
      </c>
    </row>
    <row r="1934" spans="1:21">
      <c r="A1934" s="136">
        <v>4</v>
      </c>
      <c r="B1934" s="246">
        <v>2000</v>
      </c>
      <c r="C1934" s="247" t="s">
        <v>25</v>
      </c>
      <c r="D1934" s="247" t="s">
        <v>1965</v>
      </c>
      <c r="E1934" s="248" t="s">
        <v>1266</v>
      </c>
      <c r="F1934" s="248" t="s">
        <v>3752</v>
      </c>
      <c r="G1934" s="248" t="s">
        <v>2579</v>
      </c>
      <c r="H1934" s="249">
        <v>0.25</v>
      </c>
      <c r="I1934" s="249">
        <v>0.25</v>
      </c>
      <c r="J1934" s="246">
        <v>1</v>
      </c>
      <c r="K1934" s="250" t="s">
        <v>3765</v>
      </c>
      <c r="L1934" s="248"/>
      <c r="M1934" s="276" t="str">
        <f t="shared" ref="M1934:M1965" si="63">HYPERLINK($Y$2&amp;E1934&amp;$AA$2,"Photo")</f>
        <v>Photo</v>
      </c>
      <c r="N1934" s="279" t="s">
        <v>25</v>
      </c>
      <c r="O1934" t="str">
        <f t="shared" si="62"/>
        <v>2000-P Washington Quarter</v>
      </c>
      <c r="S1934" t="str" cm="1">
        <f t="array" ref="S1934">_xlfn.REGEXEXTRACT(E1934, "[0-9]{1,5}")</f>
        <v>2000</v>
      </c>
      <c r="T1934" t="s">
        <v>4229</v>
      </c>
      <c r="U1934" t="s">
        <v>3898</v>
      </c>
    </row>
    <row r="1935" spans="1:21">
      <c r="A1935" s="136">
        <v>4</v>
      </c>
      <c r="B1935" s="246">
        <v>2000</v>
      </c>
      <c r="C1935" s="247" t="s">
        <v>25</v>
      </c>
      <c r="D1935" s="247" t="s">
        <v>1965</v>
      </c>
      <c r="E1935" s="248" t="s">
        <v>1268</v>
      </c>
      <c r="F1935" s="248" t="s">
        <v>3752</v>
      </c>
      <c r="G1935" s="248" t="s">
        <v>2579</v>
      </c>
      <c r="H1935" s="249">
        <v>0.25</v>
      </c>
      <c r="I1935" s="249">
        <v>0.25</v>
      </c>
      <c r="J1935" s="246">
        <v>1</v>
      </c>
      <c r="K1935" s="250" t="s">
        <v>3765</v>
      </c>
      <c r="L1935" s="248"/>
      <c r="M1935" s="276" t="str">
        <f t="shared" si="63"/>
        <v>Photo</v>
      </c>
      <c r="N1935" s="279" t="s">
        <v>25</v>
      </c>
      <c r="O1935" t="str">
        <f t="shared" si="62"/>
        <v>2000-P Washington Quarter</v>
      </c>
      <c r="S1935" t="str" cm="1">
        <f t="array" ref="S1935">_xlfn.REGEXEXTRACT(E1935, "[0-9]{1,5}")</f>
        <v>2000</v>
      </c>
      <c r="T1935" t="s">
        <v>4229</v>
      </c>
      <c r="U1935" t="s">
        <v>3898</v>
      </c>
    </row>
    <row r="1936" spans="1:21">
      <c r="A1936" s="136">
        <v>4</v>
      </c>
      <c r="B1936" s="246">
        <v>2001</v>
      </c>
      <c r="C1936" s="247" t="s">
        <v>25</v>
      </c>
      <c r="D1936" s="247" t="s">
        <v>1965</v>
      </c>
      <c r="E1936" s="248" t="s">
        <v>1269</v>
      </c>
      <c r="F1936" s="248" t="s">
        <v>3752</v>
      </c>
      <c r="G1936" s="248" t="s">
        <v>2579</v>
      </c>
      <c r="H1936" s="249">
        <v>0.25</v>
      </c>
      <c r="I1936" s="249">
        <v>0.25</v>
      </c>
      <c r="J1936" s="246">
        <v>1</v>
      </c>
      <c r="K1936" s="250" t="s">
        <v>3766</v>
      </c>
      <c r="L1936" s="248"/>
      <c r="M1936" s="276" t="str">
        <f t="shared" si="63"/>
        <v>Photo</v>
      </c>
      <c r="N1936" s="279" t="s">
        <v>25</v>
      </c>
      <c r="O1936" t="str">
        <f t="shared" si="62"/>
        <v>2001-P Washington Quarter</v>
      </c>
      <c r="S1936" t="str" cm="1">
        <f t="array" ref="S1936">_xlfn.REGEXEXTRACT(E1936, "[0-9]{1,5}")</f>
        <v>2001</v>
      </c>
      <c r="T1936" t="s">
        <v>4229</v>
      </c>
      <c r="U1936" t="s">
        <v>3898</v>
      </c>
    </row>
    <row r="1937" spans="1:21">
      <c r="A1937" s="136">
        <v>4</v>
      </c>
      <c r="B1937" s="246">
        <v>2001</v>
      </c>
      <c r="C1937" s="247" t="s">
        <v>25</v>
      </c>
      <c r="D1937" s="247" t="s">
        <v>1965</v>
      </c>
      <c r="E1937" s="248" t="s">
        <v>1271</v>
      </c>
      <c r="F1937" s="248" t="s">
        <v>3752</v>
      </c>
      <c r="G1937" s="248" t="s">
        <v>2579</v>
      </c>
      <c r="H1937" s="249">
        <v>0.25</v>
      </c>
      <c r="I1937" s="249">
        <v>0.25</v>
      </c>
      <c r="J1937" s="246">
        <v>1</v>
      </c>
      <c r="K1937" s="250" t="s">
        <v>3767</v>
      </c>
      <c r="L1937" s="248"/>
      <c r="M1937" s="276" t="str">
        <f t="shared" si="63"/>
        <v>Photo</v>
      </c>
      <c r="N1937" s="279" t="s">
        <v>25</v>
      </c>
      <c r="O1937" t="str">
        <f t="shared" si="62"/>
        <v>2001-P Washington Quarter</v>
      </c>
      <c r="S1937" t="str" cm="1">
        <f t="array" ref="S1937">_xlfn.REGEXEXTRACT(E1937, "[0-9]{1,5}")</f>
        <v>2001</v>
      </c>
      <c r="T1937" t="s">
        <v>4229</v>
      </c>
      <c r="U1937" t="s">
        <v>3898</v>
      </c>
    </row>
    <row r="1938" spans="1:21">
      <c r="A1938" s="136">
        <v>4</v>
      </c>
      <c r="B1938" s="246">
        <v>2001</v>
      </c>
      <c r="C1938" s="247" t="s">
        <v>25</v>
      </c>
      <c r="D1938" s="247" t="s">
        <v>1965</v>
      </c>
      <c r="E1938" s="248" t="s">
        <v>1273</v>
      </c>
      <c r="F1938" s="248" t="s">
        <v>3752</v>
      </c>
      <c r="G1938" s="248" t="s">
        <v>2579</v>
      </c>
      <c r="H1938" s="249">
        <v>0.25</v>
      </c>
      <c r="I1938" s="249">
        <v>0.25</v>
      </c>
      <c r="J1938" s="246">
        <v>1</v>
      </c>
      <c r="K1938" s="250" t="s">
        <v>3768</v>
      </c>
      <c r="L1938" s="248"/>
      <c r="M1938" s="276" t="str">
        <f t="shared" si="63"/>
        <v>Photo</v>
      </c>
      <c r="N1938" s="279" t="s">
        <v>25</v>
      </c>
      <c r="O1938" t="str">
        <f t="shared" si="62"/>
        <v>2001-P Washington Quarter</v>
      </c>
      <c r="S1938" t="str" cm="1">
        <f t="array" ref="S1938">_xlfn.REGEXEXTRACT(E1938, "[0-9]{1,5}")</f>
        <v>2001</v>
      </c>
      <c r="T1938" t="s">
        <v>4229</v>
      </c>
      <c r="U1938" t="s">
        <v>3898</v>
      </c>
    </row>
    <row r="1939" spans="1:21">
      <c r="A1939" s="136">
        <v>4</v>
      </c>
      <c r="B1939" s="246">
        <v>2001</v>
      </c>
      <c r="C1939" s="247" t="s">
        <v>25</v>
      </c>
      <c r="D1939" s="247" t="s">
        <v>1965</v>
      </c>
      <c r="E1939" s="248" t="s">
        <v>1275</v>
      </c>
      <c r="F1939" s="248" t="s">
        <v>3752</v>
      </c>
      <c r="G1939" s="248" t="s">
        <v>2579</v>
      </c>
      <c r="H1939" s="249">
        <v>0.25</v>
      </c>
      <c r="I1939" s="249">
        <v>0.25</v>
      </c>
      <c r="J1939" s="246">
        <v>1</v>
      </c>
      <c r="K1939" s="250" t="s">
        <v>3769</v>
      </c>
      <c r="L1939" s="248"/>
      <c r="M1939" s="276" t="str">
        <f t="shared" si="63"/>
        <v>Photo</v>
      </c>
      <c r="N1939" s="279" t="s">
        <v>25</v>
      </c>
      <c r="O1939" t="str">
        <f t="shared" si="62"/>
        <v>2001-P Washington Quarter</v>
      </c>
      <c r="S1939" t="str" cm="1">
        <f t="array" ref="S1939">_xlfn.REGEXEXTRACT(E1939, "[0-9]{1,5}")</f>
        <v>2001</v>
      </c>
      <c r="T1939" t="s">
        <v>4229</v>
      </c>
      <c r="U1939" t="s">
        <v>3898</v>
      </c>
    </row>
    <row r="1940" spans="1:21">
      <c r="A1940" s="136">
        <v>4</v>
      </c>
      <c r="B1940" s="246">
        <v>2001</v>
      </c>
      <c r="C1940" s="247" t="s">
        <v>25</v>
      </c>
      <c r="D1940" s="247" t="s">
        <v>1965</v>
      </c>
      <c r="E1940" s="248" t="s">
        <v>1277</v>
      </c>
      <c r="F1940" s="248" t="s">
        <v>3752</v>
      </c>
      <c r="G1940" s="248" t="s">
        <v>2579</v>
      </c>
      <c r="H1940" s="249">
        <v>0.25</v>
      </c>
      <c r="I1940" s="249">
        <v>0.25</v>
      </c>
      <c r="J1940" s="246">
        <v>1</v>
      </c>
      <c r="K1940" s="250" t="s">
        <v>3770</v>
      </c>
      <c r="L1940" s="248"/>
      <c r="M1940" s="276" t="str">
        <f t="shared" si="63"/>
        <v>Photo</v>
      </c>
      <c r="N1940" s="279" t="s">
        <v>25</v>
      </c>
      <c r="O1940" t="str">
        <f t="shared" si="62"/>
        <v>2001-P Washington Quarter</v>
      </c>
      <c r="S1940" t="str" cm="1">
        <f t="array" ref="S1940">_xlfn.REGEXEXTRACT(E1940, "[0-9]{1,5}")</f>
        <v>2001</v>
      </c>
      <c r="T1940" t="s">
        <v>4230</v>
      </c>
      <c r="U1940" t="s">
        <v>3898</v>
      </c>
    </row>
    <row r="1941" spans="1:21">
      <c r="A1941" s="136">
        <v>4</v>
      </c>
      <c r="B1941" s="246">
        <v>2002</v>
      </c>
      <c r="C1941" s="247" t="s">
        <v>25</v>
      </c>
      <c r="D1941" s="247" t="s">
        <v>1965</v>
      </c>
      <c r="E1941" s="248" t="s">
        <v>1279</v>
      </c>
      <c r="F1941" s="248" t="s">
        <v>3752</v>
      </c>
      <c r="G1941" s="248" t="s">
        <v>2579</v>
      </c>
      <c r="H1941" s="249">
        <v>0.25</v>
      </c>
      <c r="I1941" s="249">
        <v>0.25</v>
      </c>
      <c r="J1941" s="246">
        <v>1</v>
      </c>
      <c r="K1941" s="250" t="s">
        <v>3771</v>
      </c>
      <c r="L1941" s="248"/>
      <c r="M1941" s="276" t="str">
        <f t="shared" si="63"/>
        <v>Photo</v>
      </c>
      <c r="N1941" s="279" t="s">
        <v>25</v>
      </c>
      <c r="O1941" t="str">
        <f t="shared" si="62"/>
        <v>2002-P Washington Quarter</v>
      </c>
      <c r="S1941" t="str" cm="1">
        <f t="array" ref="S1941">_xlfn.REGEXEXTRACT(E1941, "[0-9]{1,5}")</f>
        <v>2002</v>
      </c>
      <c r="T1941" t="s">
        <v>4230</v>
      </c>
      <c r="U1941" t="s">
        <v>3898</v>
      </c>
    </row>
    <row r="1942" spans="1:21">
      <c r="A1942" s="136">
        <v>4</v>
      </c>
      <c r="B1942" s="246">
        <v>2003</v>
      </c>
      <c r="C1942" s="247" t="s">
        <v>25</v>
      </c>
      <c r="D1942" s="247" t="s">
        <v>1965</v>
      </c>
      <c r="E1942" s="248" t="s">
        <v>4639</v>
      </c>
      <c r="F1942" s="248" t="s">
        <v>3752</v>
      </c>
      <c r="G1942" s="248" t="s">
        <v>2579</v>
      </c>
      <c r="H1942" s="249">
        <v>0.25</v>
      </c>
      <c r="I1942" s="249">
        <v>0.25</v>
      </c>
      <c r="J1942" s="246">
        <v>1</v>
      </c>
      <c r="K1942" s="250" t="s">
        <v>4640</v>
      </c>
      <c r="L1942" s="248"/>
      <c r="M1942" s="276" t="str">
        <f t="shared" si="63"/>
        <v>Photo</v>
      </c>
      <c r="N1942" s="279" t="s">
        <v>25</v>
      </c>
      <c r="O1942" t="str">
        <f t="shared" si="62"/>
        <v>2003-P Washington Quarter</v>
      </c>
      <c r="S1942" t="str" cm="1">
        <f t="array" ref="S1942">_xlfn.REGEXEXTRACT(E1942, "[0-9]{1,5}")</f>
        <v>2003</v>
      </c>
      <c r="T1942" t="s">
        <v>4230</v>
      </c>
      <c r="U1942" t="s">
        <v>3898</v>
      </c>
    </row>
    <row r="1943" spans="1:21">
      <c r="A1943" s="136">
        <v>4</v>
      </c>
      <c r="B1943" s="246">
        <v>2006</v>
      </c>
      <c r="C1943" s="247" t="s">
        <v>25</v>
      </c>
      <c r="D1943" s="247" t="s">
        <v>1965</v>
      </c>
      <c r="E1943" s="248" t="s">
        <v>1281</v>
      </c>
      <c r="F1943" s="248" t="s">
        <v>3752</v>
      </c>
      <c r="G1943" s="248" t="s">
        <v>2579</v>
      </c>
      <c r="H1943" s="249">
        <v>0.25</v>
      </c>
      <c r="I1943" s="249">
        <v>0.25</v>
      </c>
      <c r="J1943" s="246">
        <v>1</v>
      </c>
      <c r="K1943" s="250" t="s">
        <v>3772</v>
      </c>
      <c r="L1943" s="248"/>
      <c r="M1943" s="276" t="str">
        <f t="shared" si="63"/>
        <v>Photo</v>
      </c>
      <c r="N1943" s="279" t="s">
        <v>25</v>
      </c>
      <c r="O1943" t="str">
        <f t="shared" si="62"/>
        <v>2006-P Washington Quarter</v>
      </c>
      <c r="S1943" t="str" cm="1">
        <f t="array" ref="S1943">_xlfn.REGEXEXTRACT(E1943, "[0-9]{1,5}")</f>
        <v>2006</v>
      </c>
      <c r="T1943" t="s">
        <v>4230</v>
      </c>
      <c r="U1943" t="s">
        <v>3898</v>
      </c>
    </row>
    <row r="1944" spans="1:21">
      <c r="A1944" s="136">
        <v>4</v>
      </c>
      <c r="B1944" s="246">
        <v>2006</v>
      </c>
      <c r="C1944" s="247" t="s">
        <v>25</v>
      </c>
      <c r="D1944" s="247" t="s">
        <v>1965</v>
      </c>
      <c r="E1944" s="248" t="s">
        <v>1283</v>
      </c>
      <c r="F1944" s="248" t="s">
        <v>3752</v>
      </c>
      <c r="G1944" s="248" t="s">
        <v>2579</v>
      </c>
      <c r="H1944" s="249">
        <v>0.25</v>
      </c>
      <c r="I1944" s="249">
        <v>0.25</v>
      </c>
      <c r="J1944" s="246">
        <v>1</v>
      </c>
      <c r="K1944" s="250" t="s">
        <v>3772</v>
      </c>
      <c r="L1944" s="248"/>
      <c r="M1944" s="276" t="str">
        <f t="shared" si="63"/>
        <v>Photo</v>
      </c>
      <c r="N1944" s="279" t="s">
        <v>25</v>
      </c>
      <c r="O1944" t="str">
        <f t="shared" si="62"/>
        <v>2006-P Washington Quarter</v>
      </c>
      <c r="S1944" t="str" cm="1">
        <f t="array" ref="S1944">_xlfn.REGEXEXTRACT(E1944, "[0-9]{1,5}")</f>
        <v>2006</v>
      </c>
      <c r="T1944" t="s">
        <v>4230</v>
      </c>
      <c r="U1944" t="s">
        <v>3898</v>
      </c>
    </row>
    <row r="1945" spans="1:21">
      <c r="A1945" s="136">
        <v>4</v>
      </c>
      <c r="B1945" s="246">
        <v>2006</v>
      </c>
      <c r="C1945" s="247" t="s">
        <v>25</v>
      </c>
      <c r="D1945" s="247" t="s">
        <v>1965</v>
      </c>
      <c r="E1945" s="248" t="s">
        <v>1284</v>
      </c>
      <c r="F1945" s="248" t="s">
        <v>3752</v>
      </c>
      <c r="G1945" s="248" t="s">
        <v>2579</v>
      </c>
      <c r="H1945" s="249">
        <v>0.25</v>
      </c>
      <c r="I1945" s="249">
        <v>0.25</v>
      </c>
      <c r="J1945" s="246">
        <v>1</v>
      </c>
      <c r="K1945" s="250" t="s">
        <v>3773</v>
      </c>
      <c r="L1945" s="248"/>
      <c r="M1945" s="276" t="str">
        <f t="shared" si="63"/>
        <v>Photo</v>
      </c>
      <c r="N1945" s="279" t="s">
        <v>25</v>
      </c>
      <c r="O1945" t="str">
        <f t="shared" si="62"/>
        <v>2006-P Washington Quarter</v>
      </c>
      <c r="S1945" t="str" cm="1">
        <f t="array" ref="S1945">_xlfn.REGEXEXTRACT(E1945, "[0-9]{1,5}")</f>
        <v>2006</v>
      </c>
      <c r="T1945" t="s">
        <v>4230</v>
      </c>
      <c r="U1945" t="s">
        <v>3898</v>
      </c>
    </row>
    <row r="1946" spans="1:21">
      <c r="A1946" s="136">
        <v>4</v>
      </c>
      <c r="B1946" s="246">
        <v>2006</v>
      </c>
      <c r="C1946" s="247" t="s">
        <v>25</v>
      </c>
      <c r="D1946" s="247" t="s">
        <v>1965</v>
      </c>
      <c r="E1946" s="248" t="s">
        <v>1286</v>
      </c>
      <c r="F1946" s="248" t="s">
        <v>3752</v>
      </c>
      <c r="G1946" s="248" t="s">
        <v>2579</v>
      </c>
      <c r="H1946" s="249">
        <v>0.25</v>
      </c>
      <c r="I1946" s="249">
        <v>0.25</v>
      </c>
      <c r="J1946" s="246">
        <v>1</v>
      </c>
      <c r="K1946" s="250" t="s">
        <v>3773</v>
      </c>
      <c r="L1946" s="248"/>
      <c r="M1946" s="276" t="str">
        <f t="shared" si="63"/>
        <v>Photo</v>
      </c>
      <c r="N1946" s="279" t="s">
        <v>25</v>
      </c>
      <c r="O1946" t="str">
        <f t="shared" si="62"/>
        <v>2006-P Washington Quarter</v>
      </c>
      <c r="S1946" t="str" cm="1">
        <f t="array" ref="S1946">_xlfn.REGEXEXTRACT(E1946, "[0-9]{1,5}")</f>
        <v>2006</v>
      </c>
      <c r="T1946" t="s">
        <v>4230</v>
      </c>
      <c r="U1946" t="s">
        <v>3898</v>
      </c>
    </row>
    <row r="1947" spans="1:21">
      <c r="A1947" s="136">
        <v>4</v>
      </c>
      <c r="B1947" s="246">
        <v>2009</v>
      </c>
      <c r="C1947" s="247" t="s">
        <v>25</v>
      </c>
      <c r="D1947" s="247" t="s">
        <v>1965</v>
      </c>
      <c r="E1947" s="248" t="s">
        <v>1287</v>
      </c>
      <c r="F1947" s="248" t="s">
        <v>3752</v>
      </c>
      <c r="G1947" s="248" t="s">
        <v>2579</v>
      </c>
      <c r="H1947" s="249">
        <v>0.25</v>
      </c>
      <c r="I1947" s="249">
        <v>0.25</v>
      </c>
      <c r="J1947" s="246">
        <v>1</v>
      </c>
      <c r="K1947" s="250" t="s">
        <v>3774</v>
      </c>
      <c r="L1947" s="248"/>
      <c r="M1947" s="276" t="str">
        <f t="shared" si="63"/>
        <v>Photo</v>
      </c>
      <c r="N1947" s="279" t="s">
        <v>25</v>
      </c>
      <c r="O1947" t="str">
        <f t="shared" si="62"/>
        <v>2009-P Washington Quarter</v>
      </c>
      <c r="S1947" t="str" cm="1">
        <f t="array" ref="S1947">_xlfn.REGEXEXTRACT(E1947, "[0-9]{1,5}")</f>
        <v>2009</v>
      </c>
      <c r="T1947" t="s">
        <v>4230</v>
      </c>
      <c r="U1947" t="s">
        <v>3898</v>
      </c>
    </row>
    <row r="1948" spans="1:21">
      <c r="A1948" s="136">
        <v>4</v>
      </c>
      <c r="B1948" s="246">
        <v>2011</v>
      </c>
      <c r="C1948" s="247" t="s">
        <v>25</v>
      </c>
      <c r="D1948" s="247" t="s">
        <v>1965</v>
      </c>
      <c r="E1948" s="248" t="s">
        <v>1289</v>
      </c>
      <c r="F1948" s="248" t="s">
        <v>3752</v>
      </c>
      <c r="G1948" s="248" t="s">
        <v>2579</v>
      </c>
      <c r="H1948" s="249">
        <v>0.25</v>
      </c>
      <c r="I1948" s="249">
        <v>0.25</v>
      </c>
      <c r="J1948" s="246">
        <v>1</v>
      </c>
      <c r="K1948" s="250" t="s">
        <v>3775</v>
      </c>
      <c r="L1948" s="248"/>
      <c r="M1948" s="276" t="str">
        <f t="shared" si="63"/>
        <v>Photo</v>
      </c>
      <c r="N1948" s="279" t="s">
        <v>25</v>
      </c>
      <c r="O1948" t="str">
        <f t="shared" si="62"/>
        <v>2011-P Washington Quarter</v>
      </c>
      <c r="S1948" t="str" cm="1">
        <f t="array" ref="S1948">_xlfn.REGEXEXTRACT(E1948, "[0-9]{1,5}")</f>
        <v>2011</v>
      </c>
      <c r="T1948" t="s">
        <v>4230</v>
      </c>
      <c r="U1948" t="s">
        <v>3898</v>
      </c>
    </row>
    <row r="1949" spans="1:21">
      <c r="A1949" s="136">
        <v>4</v>
      </c>
      <c r="B1949" s="246">
        <v>2012</v>
      </c>
      <c r="C1949" s="247" t="s">
        <v>25</v>
      </c>
      <c r="D1949" s="247" t="s">
        <v>1965</v>
      </c>
      <c r="E1949" s="248" t="s">
        <v>1291</v>
      </c>
      <c r="F1949" s="248" t="s">
        <v>3752</v>
      </c>
      <c r="G1949" s="248" t="s">
        <v>2579</v>
      </c>
      <c r="H1949" s="249">
        <v>0.25</v>
      </c>
      <c r="I1949" s="249">
        <v>0.25</v>
      </c>
      <c r="J1949" s="246">
        <v>1</v>
      </c>
      <c r="K1949" s="250" t="s">
        <v>3776</v>
      </c>
      <c r="L1949" s="248"/>
      <c r="M1949" s="276" t="str">
        <f t="shared" si="63"/>
        <v>Photo</v>
      </c>
      <c r="N1949" s="279" t="s">
        <v>25</v>
      </c>
      <c r="O1949" t="str">
        <f t="shared" si="62"/>
        <v>2012-P Washington Quarter</v>
      </c>
      <c r="S1949" t="str" cm="1">
        <f t="array" ref="S1949">_xlfn.REGEXEXTRACT(E1949, "[0-9]{1,5}")</f>
        <v>2012</v>
      </c>
      <c r="T1949" t="s">
        <v>4230</v>
      </c>
      <c r="U1949" t="s">
        <v>3898</v>
      </c>
    </row>
    <row r="1950" spans="1:21">
      <c r="A1950" s="136">
        <v>4</v>
      </c>
      <c r="B1950" s="246">
        <v>2012</v>
      </c>
      <c r="C1950" s="247" t="s">
        <v>25</v>
      </c>
      <c r="D1950" s="247" t="s">
        <v>1965</v>
      </c>
      <c r="E1950" s="248" t="s">
        <v>1293</v>
      </c>
      <c r="F1950" s="248" t="s">
        <v>3752</v>
      </c>
      <c r="G1950" s="248" t="s">
        <v>2579</v>
      </c>
      <c r="H1950" s="249">
        <v>0.25</v>
      </c>
      <c r="I1950" s="249">
        <v>0.25</v>
      </c>
      <c r="J1950" s="246">
        <v>1</v>
      </c>
      <c r="K1950" s="250" t="s">
        <v>3777</v>
      </c>
      <c r="L1950" s="248"/>
      <c r="M1950" s="276" t="str">
        <f t="shared" si="63"/>
        <v>Photo</v>
      </c>
      <c r="N1950" s="279" t="s">
        <v>25</v>
      </c>
      <c r="O1950" t="str">
        <f t="shared" si="62"/>
        <v>2012-P Washington Quarter</v>
      </c>
      <c r="S1950" t="str" cm="1">
        <f t="array" ref="S1950">_xlfn.REGEXEXTRACT(E1950, "[0-9]{1,5}")</f>
        <v>2012</v>
      </c>
      <c r="T1950" t="s">
        <v>4230</v>
      </c>
      <c r="U1950" t="s">
        <v>3898</v>
      </c>
    </row>
    <row r="1951" spans="1:21">
      <c r="A1951" s="136">
        <v>4</v>
      </c>
      <c r="B1951" s="246">
        <v>2012</v>
      </c>
      <c r="C1951" s="247" t="s">
        <v>25</v>
      </c>
      <c r="D1951" s="247" t="s">
        <v>1965</v>
      </c>
      <c r="E1951" s="248" t="s">
        <v>3845</v>
      </c>
      <c r="F1951" s="248" t="s">
        <v>3752</v>
      </c>
      <c r="G1951" s="248" t="s">
        <v>2579</v>
      </c>
      <c r="H1951" s="249">
        <v>0.25</v>
      </c>
      <c r="I1951" s="249">
        <v>0.25</v>
      </c>
      <c r="J1951" s="246">
        <v>1</v>
      </c>
      <c r="K1951" s="250" t="s">
        <v>3777</v>
      </c>
      <c r="L1951" s="248"/>
      <c r="M1951" s="276" t="str">
        <f t="shared" si="63"/>
        <v>Photo</v>
      </c>
      <c r="N1951" s="279" t="s">
        <v>25</v>
      </c>
      <c r="O1951" t="str">
        <f t="shared" si="62"/>
        <v>2012-P Washington Quarter</v>
      </c>
      <c r="S1951" t="str" cm="1">
        <f t="array" ref="S1951">_xlfn.REGEXEXTRACT(E1951, "[0-9]{1,5}")</f>
        <v>2012</v>
      </c>
      <c r="T1951" t="s">
        <v>4230</v>
      </c>
      <c r="U1951" t="s">
        <v>3898</v>
      </c>
    </row>
    <row r="1952" spans="1:21">
      <c r="A1952" s="136">
        <v>4</v>
      </c>
      <c r="B1952" s="246">
        <v>2012</v>
      </c>
      <c r="C1952" s="247" t="s">
        <v>25</v>
      </c>
      <c r="D1952" s="247" t="s">
        <v>1965</v>
      </c>
      <c r="E1952" s="248" t="s">
        <v>3922</v>
      </c>
      <c r="F1952" s="248" t="s">
        <v>3752</v>
      </c>
      <c r="G1952" s="248" t="s">
        <v>2579</v>
      </c>
      <c r="H1952" s="249">
        <v>0.25</v>
      </c>
      <c r="I1952" s="249">
        <v>0.25</v>
      </c>
      <c r="J1952" s="246">
        <v>1</v>
      </c>
      <c r="K1952" s="250" t="s">
        <v>3777</v>
      </c>
      <c r="L1952" s="248"/>
      <c r="M1952" s="276" t="str">
        <f t="shared" si="63"/>
        <v>Photo</v>
      </c>
      <c r="N1952" s="279" t="s">
        <v>25</v>
      </c>
      <c r="O1952" t="str">
        <f t="shared" si="62"/>
        <v>2012-P Washington Quarter</v>
      </c>
      <c r="S1952" t="str" cm="1">
        <f t="array" ref="S1952">_xlfn.REGEXEXTRACT(E1952, "[0-9]{1,5}")</f>
        <v>2012</v>
      </c>
      <c r="T1952" t="s">
        <v>4228</v>
      </c>
      <c r="U1952" t="s">
        <v>3898</v>
      </c>
    </row>
    <row r="1953" spans="1:21">
      <c r="A1953" s="136">
        <v>4</v>
      </c>
      <c r="B1953" s="246">
        <v>2013</v>
      </c>
      <c r="C1953" s="247" t="s">
        <v>13</v>
      </c>
      <c r="D1953" s="247" t="s">
        <v>1965</v>
      </c>
      <c r="E1953" s="248" t="s">
        <v>1295</v>
      </c>
      <c r="F1953" s="248" t="s">
        <v>3752</v>
      </c>
      <c r="G1953" s="248" t="s">
        <v>2579</v>
      </c>
      <c r="H1953" s="249">
        <v>0.25</v>
      </c>
      <c r="I1953" s="249">
        <v>0.25</v>
      </c>
      <c r="J1953" s="246">
        <v>1</v>
      </c>
      <c r="K1953" s="250" t="s">
        <v>3778</v>
      </c>
      <c r="L1953" s="248"/>
      <c r="M1953" s="276" t="str">
        <f t="shared" si="63"/>
        <v>Photo</v>
      </c>
      <c r="N1953" s="279" t="s">
        <v>25</v>
      </c>
      <c r="O1953" t="str">
        <f t="shared" si="62"/>
        <v>2013-D Washington Quarter</v>
      </c>
      <c r="S1953" t="str" cm="1">
        <f t="array" ref="S1953">_xlfn.REGEXEXTRACT(E1953, "[0-9]{1,5}")</f>
        <v>2013</v>
      </c>
      <c r="T1953" t="s">
        <v>4228</v>
      </c>
      <c r="U1953" t="s">
        <v>3898</v>
      </c>
    </row>
    <row r="1954" spans="1:21">
      <c r="A1954" s="136">
        <v>4</v>
      </c>
      <c r="B1954" s="246">
        <v>2013</v>
      </c>
      <c r="C1954" s="247" t="s">
        <v>25</v>
      </c>
      <c r="D1954" s="247" t="s">
        <v>1965</v>
      </c>
      <c r="E1954" s="248" t="s">
        <v>1297</v>
      </c>
      <c r="F1954" s="248" t="s">
        <v>3752</v>
      </c>
      <c r="G1954" s="248" t="s">
        <v>2579</v>
      </c>
      <c r="H1954" s="249">
        <v>0.25</v>
      </c>
      <c r="I1954" s="249">
        <v>0.25</v>
      </c>
      <c r="J1954" s="246">
        <v>1</v>
      </c>
      <c r="K1954" s="250" t="s">
        <v>3779</v>
      </c>
      <c r="L1954" s="248"/>
      <c r="M1954" s="276" t="str">
        <f t="shared" si="63"/>
        <v>Photo</v>
      </c>
      <c r="N1954" s="279" t="s">
        <v>25</v>
      </c>
      <c r="O1954" t="str">
        <f t="shared" si="62"/>
        <v>2013-P Washington Quarter</v>
      </c>
      <c r="S1954" t="str" cm="1">
        <f t="array" ref="S1954">_xlfn.REGEXEXTRACT(E1954, "[0-9]{1,5}")</f>
        <v>2013</v>
      </c>
      <c r="T1954" t="s">
        <v>4228</v>
      </c>
      <c r="U1954" t="s">
        <v>3898</v>
      </c>
    </row>
    <row r="1955" spans="1:21">
      <c r="A1955" s="136">
        <v>4</v>
      </c>
      <c r="B1955" s="246">
        <v>2013</v>
      </c>
      <c r="C1955" s="247" t="s">
        <v>1183</v>
      </c>
      <c r="D1955" s="247" t="s">
        <v>1965</v>
      </c>
      <c r="E1955" s="248" t="s">
        <v>1299</v>
      </c>
      <c r="F1955" s="248" t="s">
        <v>3752</v>
      </c>
      <c r="G1955" s="248" t="s">
        <v>2579</v>
      </c>
      <c r="H1955" s="249">
        <v>0.25</v>
      </c>
      <c r="I1955" s="249">
        <v>0.25</v>
      </c>
      <c r="J1955" s="246">
        <v>1</v>
      </c>
      <c r="K1955" s="250" t="s">
        <v>3780</v>
      </c>
      <c r="L1955" s="248"/>
      <c r="M1955" s="276" t="str">
        <f t="shared" si="63"/>
        <v>Photo</v>
      </c>
      <c r="N1955" s="279" t="s">
        <v>25</v>
      </c>
      <c r="O1955" t="str">
        <f t="shared" si="62"/>
        <v>2013 Washington Quarter</v>
      </c>
      <c r="S1955" t="str" cm="1">
        <f t="array" ref="S1955">_xlfn.REGEXEXTRACT(E1955, "[0-9]{1,5}")</f>
        <v>2013</v>
      </c>
      <c r="T1955" t="s">
        <v>4228</v>
      </c>
      <c r="U1955" t="s">
        <v>3898</v>
      </c>
    </row>
    <row r="1956" spans="1:21">
      <c r="A1956" s="136">
        <v>4</v>
      </c>
      <c r="B1956" s="246">
        <v>2014</v>
      </c>
      <c r="C1956" s="247" t="s">
        <v>25</v>
      </c>
      <c r="D1956" s="247" t="s">
        <v>1965</v>
      </c>
      <c r="E1956" s="248" t="s">
        <v>1301</v>
      </c>
      <c r="F1956" s="248" t="s">
        <v>3752</v>
      </c>
      <c r="G1956" s="248" t="s">
        <v>2579</v>
      </c>
      <c r="H1956" s="249">
        <v>0.25</v>
      </c>
      <c r="I1956" s="249">
        <v>0.25</v>
      </c>
      <c r="J1956" s="246">
        <v>1</v>
      </c>
      <c r="K1956" s="250" t="s">
        <v>3781</v>
      </c>
      <c r="L1956" s="248"/>
      <c r="M1956" s="276" t="str">
        <f t="shared" si="63"/>
        <v>Photo</v>
      </c>
      <c r="N1956" s="279" t="s">
        <v>25</v>
      </c>
      <c r="O1956" t="str">
        <f t="shared" si="62"/>
        <v>2014-P Washington Quarter</v>
      </c>
      <c r="S1956" t="str" cm="1">
        <f t="array" ref="S1956">_xlfn.REGEXEXTRACT(E1956, "[0-9]{1,5}")</f>
        <v>2014</v>
      </c>
      <c r="T1956" t="s">
        <v>4228</v>
      </c>
      <c r="U1956" t="s">
        <v>3898</v>
      </c>
    </row>
    <row r="1957" spans="1:21">
      <c r="A1957" s="136">
        <v>4</v>
      </c>
      <c r="B1957" s="246">
        <v>2014</v>
      </c>
      <c r="C1957" s="247" t="s">
        <v>25</v>
      </c>
      <c r="D1957" s="247" t="s">
        <v>1965</v>
      </c>
      <c r="E1957" s="248" t="s">
        <v>1303</v>
      </c>
      <c r="F1957" s="248" t="s">
        <v>3752</v>
      </c>
      <c r="G1957" s="248" t="s">
        <v>2579</v>
      </c>
      <c r="H1957" s="249">
        <v>0.25</v>
      </c>
      <c r="I1957" s="249">
        <v>0.25</v>
      </c>
      <c r="J1957" s="246">
        <v>1</v>
      </c>
      <c r="K1957" s="250" t="s">
        <v>3782</v>
      </c>
      <c r="L1957" s="248"/>
      <c r="M1957" s="276" t="str">
        <f t="shared" si="63"/>
        <v>Photo</v>
      </c>
      <c r="N1957" s="279" t="s">
        <v>25</v>
      </c>
      <c r="O1957" t="str">
        <f t="shared" si="62"/>
        <v>2014-P Washington Quarter</v>
      </c>
      <c r="S1957" t="str" cm="1">
        <f t="array" ref="S1957">_xlfn.REGEXEXTRACT(E1957, "[0-9]{1,5}")</f>
        <v>2014</v>
      </c>
      <c r="T1957" t="s">
        <v>2465</v>
      </c>
      <c r="U1957" t="s">
        <v>3899</v>
      </c>
    </row>
    <row r="1958" spans="1:21">
      <c r="A1958" s="136">
        <v>4</v>
      </c>
      <c r="B1958" s="246">
        <v>2014</v>
      </c>
      <c r="C1958" s="247" t="s">
        <v>25</v>
      </c>
      <c r="D1958" s="247" t="s">
        <v>1965</v>
      </c>
      <c r="E1958" s="248" t="s">
        <v>1305</v>
      </c>
      <c r="F1958" s="248" t="s">
        <v>3752</v>
      </c>
      <c r="G1958" s="248" t="s">
        <v>2579</v>
      </c>
      <c r="H1958" s="249">
        <v>0.25</v>
      </c>
      <c r="I1958" s="249">
        <v>0.25</v>
      </c>
      <c r="J1958" s="246">
        <v>1</v>
      </c>
      <c r="K1958" s="250" t="s">
        <v>3782</v>
      </c>
      <c r="L1958" s="248"/>
      <c r="M1958" s="276" t="str">
        <f t="shared" si="63"/>
        <v>Photo</v>
      </c>
      <c r="N1958" s="279" t="s">
        <v>25</v>
      </c>
      <c r="O1958" t="str">
        <f t="shared" si="62"/>
        <v>2014-P Washington Quarter</v>
      </c>
      <c r="S1958" t="str" cm="1">
        <f t="array" ref="S1958">_xlfn.REGEXEXTRACT(E1958, "[0-9]{1,5}")</f>
        <v>2014</v>
      </c>
      <c r="T1958" t="s">
        <v>2468</v>
      </c>
      <c r="U1958" t="s">
        <v>3899</v>
      </c>
    </row>
    <row r="1959" spans="1:21">
      <c r="A1959" s="136">
        <v>4</v>
      </c>
      <c r="B1959" s="246">
        <v>2014</v>
      </c>
      <c r="C1959" s="247" t="s">
        <v>25</v>
      </c>
      <c r="D1959" s="247" t="s">
        <v>1965</v>
      </c>
      <c r="E1959" s="248" t="s">
        <v>1306</v>
      </c>
      <c r="F1959" s="248" t="s">
        <v>3752</v>
      </c>
      <c r="G1959" s="248" t="s">
        <v>2579</v>
      </c>
      <c r="H1959" s="249">
        <v>0.25</v>
      </c>
      <c r="I1959" s="249">
        <v>0.25</v>
      </c>
      <c r="J1959" s="246">
        <v>1</v>
      </c>
      <c r="K1959" s="250" t="s">
        <v>3783</v>
      </c>
      <c r="L1959" s="248"/>
      <c r="M1959" s="276" t="str">
        <f t="shared" si="63"/>
        <v>Photo</v>
      </c>
      <c r="N1959" s="279" t="s">
        <v>25</v>
      </c>
      <c r="O1959" t="str">
        <f t="shared" si="62"/>
        <v>2014-P Washington Quarter</v>
      </c>
      <c r="S1959" t="str" cm="1">
        <f t="array" ref="S1959">_xlfn.REGEXEXTRACT(E1959, "[0-9]{1,5}")</f>
        <v>2014</v>
      </c>
      <c r="T1959" t="s">
        <v>2471</v>
      </c>
      <c r="U1959" t="s">
        <v>3899</v>
      </c>
    </row>
    <row r="1960" spans="1:21">
      <c r="A1960" s="136">
        <v>4</v>
      </c>
      <c r="B1960" s="246">
        <v>2015</v>
      </c>
      <c r="C1960" s="247" t="s">
        <v>25</v>
      </c>
      <c r="D1960" s="247" t="s">
        <v>1965</v>
      </c>
      <c r="E1960" s="248" t="s">
        <v>1308</v>
      </c>
      <c r="F1960" s="248" t="s">
        <v>3752</v>
      </c>
      <c r="G1960" s="248" t="s">
        <v>2579</v>
      </c>
      <c r="H1960" s="249">
        <v>0.25</v>
      </c>
      <c r="I1960" s="249">
        <v>0.25</v>
      </c>
      <c r="J1960" s="246">
        <v>1</v>
      </c>
      <c r="K1960" s="250" t="s">
        <v>3784</v>
      </c>
      <c r="L1960" s="248"/>
      <c r="M1960" s="276" t="str">
        <f t="shared" si="63"/>
        <v>Photo</v>
      </c>
      <c r="N1960" s="279" t="s">
        <v>25</v>
      </c>
      <c r="O1960" t="str">
        <f t="shared" si="62"/>
        <v>2015-P Washington Quarter</v>
      </c>
      <c r="S1960" t="str" cm="1">
        <f t="array" ref="S1960">_xlfn.REGEXEXTRACT(E1960, "[0-9]{1,5}")</f>
        <v>2015</v>
      </c>
      <c r="T1960" t="s">
        <v>2471</v>
      </c>
      <c r="U1960" t="s">
        <v>3899</v>
      </c>
    </row>
    <row r="1961" spans="1:21">
      <c r="A1961" s="136">
        <v>4</v>
      </c>
      <c r="B1961" s="246">
        <v>2015</v>
      </c>
      <c r="C1961" s="247" t="s">
        <v>25</v>
      </c>
      <c r="D1961" s="247" t="s">
        <v>1965</v>
      </c>
      <c r="E1961" s="248" t="s">
        <v>1310</v>
      </c>
      <c r="F1961" s="248" t="s">
        <v>3752</v>
      </c>
      <c r="G1961" s="248" t="s">
        <v>2579</v>
      </c>
      <c r="H1961" s="249">
        <v>0.25</v>
      </c>
      <c r="I1961" s="249">
        <v>0.25</v>
      </c>
      <c r="J1961" s="246">
        <v>1</v>
      </c>
      <c r="K1961" s="250" t="s">
        <v>3785</v>
      </c>
      <c r="L1961" s="248"/>
      <c r="M1961" s="276" t="str">
        <f t="shared" si="63"/>
        <v>Photo</v>
      </c>
      <c r="N1961" s="279" t="s">
        <v>25</v>
      </c>
      <c r="O1961" t="str">
        <f t="shared" si="62"/>
        <v>2015-P Washington Quarter</v>
      </c>
      <c r="S1961" t="str" cm="1">
        <f t="array" ref="S1961">_xlfn.REGEXEXTRACT(E1961, "[0-9]{1,5}")</f>
        <v>2015</v>
      </c>
      <c r="T1961" t="s">
        <v>2472</v>
      </c>
      <c r="U1961" t="s">
        <v>3899</v>
      </c>
    </row>
    <row r="1962" spans="1:21">
      <c r="A1962" s="136">
        <v>4</v>
      </c>
      <c r="B1962" s="246">
        <v>2015</v>
      </c>
      <c r="C1962" s="247" t="s">
        <v>25</v>
      </c>
      <c r="D1962" s="247" t="s">
        <v>1965</v>
      </c>
      <c r="E1962" s="248" t="s">
        <v>1312</v>
      </c>
      <c r="F1962" s="248" t="s">
        <v>3752</v>
      </c>
      <c r="G1962" s="248" t="s">
        <v>2579</v>
      </c>
      <c r="H1962" s="249">
        <v>0.25</v>
      </c>
      <c r="I1962" s="249">
        <v>0.25</v>
      </c>
      <c r="J1962" s="246">
        <v>1</v>
      </c>
      <c r="K1962" s="250" t="s">
        <v>3786</v>
      </c>
      <c r="L1962" s="248"/>
      <c r="M1962" s="276" t="str">
        <f t="shared" si="63"/>
        <v>Photo</v>
      </c>
      <c r="N1962" s="279" t="s">
        <v>25</v>
      </c>
      <c r="O1962" t="str">
        <f t="shared" si="62"/>
        <v>2015-P Washington Quarter</v>
      </c>
      <c r="S1962" t="str" cm="1">
        <f t="array" ref="S1962">_xlfn.REGEXEXTRACT(E1962, "[0-9]{1,5}")</f>
        <v>2015</v>
      </c>
      <c r="T1962" t="s">
        <v>2473</v>
      </c>
      <c r="U1962" t="s">
        <v>3899</v>
      </c>
    </row>
    <row r="1963" spans="1:21">
      <c r="A1963" s="136">
        <v>4</v>
      </c>
      <c r="B1963" s="246">
        <v>2015</v>
      </c>
      <c r="C1963" s="247" t="s">
        <v>25</v>
      </c>
      <c r="D1963" s="247" t="s">
        <v>1965</v>
      </c>
      <c r="E1963" s="248" t="s">
        <v>1314</v>
      </c>
      <c r="F1963" s="248" t="s">
        <v>3752</v>
      </c>
      <c r="G1963" s="248" t="s">
        <v>2579</v>
      </c>
      <c r="H1963" s="249">
        <v>0.25</v>
      </c>
      <c r="I1963" s="249">
        <v>0.25</v>
      </c>
      <c r="J1963" s="246">
        <v>1</v>
      </c>
      <c r="K1963" s="250" t="s">
        <v>3787</v>
      </c>
      <c r="L1963" s="248"/>
      <c r="M1963" s="276" t="str">
        <f t="shared" si="63"/>
        <v>Photo</v>
      </c>
      <c r="N1963" s="279" t="s">
        <v>25</v>
      </c>
      <c r="O1963" t="str">
        <f t="shared" si="62"/>
        <v>2015-P Washington Quarter</v>
      </c>
      <c r="S1963" t="str" cm="1">
        <f t="array" ref="S1963">_xlfn.REGEXEXTRACT(E1963, "[0-9]{1,5}")</f>
        <v>2015</v>
      </c>
      <c r="T1963" t="s">
        <v>2474</v>
      </c>
      <c r="U1963" t="s">
        <v>3899</v>
      </c>
    </row>
    <row r="1964" spans="1:21">
      <c r="A1964" s="136">
        <v>4</v>
      </c>
      <c r="B1964" s="246">
        <v>2015</v>
      </c>
      <c r="C1964" s="247" t="s">
        <v>25</v>
      </c>
      <c r="D1964" s="247" t="s">
        <v>1965</v>
      </c>
      <c r="E1964" s="248" t="s">
        <v>1316</v>
      </c>
      <c r="F1964" s="248" t="s">
        <v>3752</v>
      </c>
      <c r="G1964" s="248" t="s">
        <v>2579</v>
      </c>
      <c r="H1964" s="249">
        <v>0.25</v>
      </c>
      <c r="I1964" s="249">
        <v>0.25</v>
      </c>
      <c r="J1964" s="246">
        <v>1</v>
      </c>
      <c r="K1964" s="250" t="s">
        <v>3787</v>
      </c>
      <c r="L1964" s="248"/>
      <c r="M1964" s="276" t="str">
        <f t="shared" si="63"/>
        <v>Photo</v>
      </c>
      <c r="N1964" s="279" t="s">
        <v>25</v>
      </c>
      <c r="O1964" t="str">
        <f t="shared" si="62"/>
        <v>2015-P Washington Quarter</v>
      </c>
      <c r="S1964" t="str" cm="1">
        <f t="array" ref="S1964">_xlfn.REGEXEXTRACT(E1964, "[0-9]{1,5}")</f>
        <v>2015</v>
      </c>
      <c r="T1964" t="s">
        <v>2475</v>
      </c>
      <c r="U1964" t="s">
        <v>3899</v>
      </c>
    </row>
    <row r="1965" spans="1:21">
      <c r="A1965" s="136">
        <v>4</v>
      </c>
      <c r="B1965" s="246">
        <v>2015</v>
      </c>
      <c r="C1965" s="247" t="s">
        <v>25</v>
      </c>
      <c r="D1965" s="247" t="s">
        <v>1965</v>
      </c>
      <c r="E1965" s="248" t="s">
        <v>1317</v>
      </c>
      <c r="F1965" s="248" t="s">
        <v>3752</v>
      </c>
      <c r="G1965" s="248" t="s">
        <v>2579</v>
      </c>
      <c r="H1965" s="249">
        <v>0.25</v>
      </c>
      <c r="I1965" s="249">
        <v>0.25</v>
      </c>
      <c r="J1965" s="246">
        <v>1</v>
      </c>
      <c r="K1965" s="250" t="s">
        <v>3787</v>
      </c>
      <c r="L1965" s="248"/>
      <c r="M1965" s="276" t="str">
        <f t="shared" si="63"/>
        <v>Photo</v>
      </c>
      <c r="N1965" s="279" t="s">
        <v>25</v>
      </c>
      <c r="O1965" t="str">
        <f t="shared" si="62"/>
        <v>2015-P Washington Quarter</v>
      </c>
      <c r="S1965" t="str" cm="1">
        <f t="array" ref="S1965">_xlfn.REGEXEXTRACT(E1965, "[0-9]{1,5}")</f>
        <v>2015</v>
      </c>
      <c r="T1965" t="s">
        <v>4181</v>
      </c>
      <c r="U1965" t="s">
        <v>3899</v>
      </c>
    </row>
    <row r="1966" spans="1:21">
      <c r="A1966" s="136">
        <v>4</v>
      </c>
      <c r="B1966" s="246">
        <v>2015</v>
      </c>
      <c r="C1966" s="247" t="s">
        <v>25</v>
      </c>
      <c r="D1966" s="247" t="s">
        <v>1965</v>
      </c>
      <c r="E1966" s="248" t="s">
        <v>1318</v>
      </c>
      <c r="F1966" s="248" t="s">
        <v>3752</v>
      </c>
      <c r="G1966" s="248" t="s">
        <v>2579</v>
      </c>
      <c r="H1966" s="249">
        <v>0.25</v>
      </c>
      <c r="I1966" s="249">
        <v>0.25</v>
      </c>
      <c r="J1966" s="246">
        <v>1</v>
      </c>
      <c r="K1966" s="250" t="s">
        <v>3785</v>
      </c>
      <c r="L1966" s="248"/>
      <c r="M1966" s="276" t="str">
        <f t="shared" ref="M1966:M1997" si="64">HYPERLINK($Y$2&amp;E1966&amp;$AA$2,"Photo")</f>
        <v>Photo</v>
      </c>
      <c r="N1966" s="279" t="s">
        <v>25</v>
      </c>
      <c r="O1966" t="str">
        <f t="shared" si="62"/>
        <v>2015-P Washington Quarter</v>
      </c>
      <c r="S1966" t="str" cm="1">
        <f t="array" ref="S1966">_xlfn.REGEXEXTRACT(E1966, "[0-9]{1,5}")</f>
        <v>2015</v>
      </c>
      <c r="T1966" t="s">
        <v>4181</v>
      </c>
      <c r="U1966" t="s">
        <v>3899</v>
      </c>
    </row>
    <row r="1967" spans="1:21">
      <c r="A1967" s="136">
        <v>4</v>
      </c>
      <c r="B1967" s="246">
        <v>2015</v>
      </c>
      <c r="C1967" s="247" t="s">
        <v>13</v>
      </c>
      <c r="D1967" s="247" t="s">
        <v>1965</v>
      </c>
      <c r="E1967" s="248" t="s">
        <v>1319</v>
      </c>
      <c r="F1967" s="248" t="s">
        <v>3752</v>
      </c>
      <c r="G1967" s="248" t="s">
        <v>2579</v>
      </c>
      <c r="H1967" s="249">
        <v>0.25</v>
      </c>
      <c r="I1967" s="249">
        <v>0.25</v>
      </c>
      <c r="J1967" s="246">
        <v>1</v>
      </c>
      <c r="K1967" s="250" t="s">
        <v>3784</v>
      </c>
      <c r="L1967" s="248"/>
      <c r="M1967" s="276" t="str">
        <f t="shared" si="64"/>
        <v>Photo</v>
      </c>
      <c r="N1967" s="279" t="s">
        <v>25</v>
      </c>
      <c r="O1967" t="str">
        <f t="shared" si="62"/>
        <v>2015-D Washington Quarter</v>
      </c>
      <c r="S1967" t="str" cm="1">
        <f t="array" ref="S1967">_xlfn.REGEXEXTRACT(E1967, "[0-9]{1,5}")</f>
        <v>2015</v>
      </c>
      <c r="T1967" t="s">
        <v>4182</v>
      </c>
      <c r="U1967" t="s">
        <v>3899</v>
      </c>
    </row>
    <row r="1968" spans="1:21">
      <c r="A1968" s="136">
        <v>4</v>
      </c>
      <c r="B1968" s="246">
        <v>2016</v>
      </c>
      <c r="C1968" s="247" t="s">
        <v>25</v>
      </c>
      <c r="D1968" s="247" t="s">
        <v>1965</v>
      </c>
      <c r="E1968" s="248" t="s">
        <v>1322</v>
      </c>
      <c r="F1968" s="248" t="s">
        <v>3752</v>
      </c>
      <c r="G1968" s="248" t="s">
        <v>2579</v>
      </c>
      <c r="H1968" s="249">
        <v>0.25</v>
      </c>
      <c r="I1968" s="249">
        <v>0.25</v>
      </c>
      <c r="J1968" s="246">
        <v>1</v>
      </c>
      <c r="K1968" s="250" t="s">
        <v>3789</v>
      </c>
      <c r="L1968" s="248"/>
      <c r="M1968" s="276" t="str">
        <f t="shared" si="64"/>
        <v>Photo</v>
      </c>
      <c r="N1968" s="279" t="s">
        <v>25</v>
      </c>
      <c r="O1968" t="str">
        <f t="shared" si="62"/>
        <v>2016-P Washington Quarter</v>
      </c>
      <c r="S1968" t="str" cm="1">
        <f t="array" ref="S1968">_xlfn.REGEXEXTRACT(E1968, "[0-9]{1,5}")</f>
        <v>2016</v>
      </c>
      <c r="T1968" t="s">
        <v>4183</v>
      </c>
      <c r="U1968" t="s">
        <v>3899</v>
      </c>
    </row>
    <row r="1969" spans="1:21">
      <c r="A1969" s="136">
        <v>4</v>
      </c>
      <c r="B1969" s="246">
        <v>2016</v>
      </c>
      <c r="C1969" s="247" t="s">
        <v>25</v>
      </c>
      <c r="D1969" s="247" t="s">
        <v>1965</v>
      </c>
      <c r="E1969" s="248" t="s">
        <v>1324</v>
      </c>
      <c r="F1969" s="248" t="s">
        <v>3752</v>
      </c>
      <c r="G1969" s="248" t="s">
        <v>2579</v>
      </c>
      <c r="H1969" s="249">
        <v>0.25</v>
      </c>
      <c r="I1969" s="249">
        <v>0.25</v>
      </c>
      <c r="J1969" s="246">
        <v>1</v>
      </c>
      <c r="K1969" s="250" t="s">
        <v>3790</v>
      </c>
      <c r="L1969" s="248"/>
      <c r="M1969" s="276" t="str">
        <f t="shared" si="64"/>
        <v>Photo</v>
      </c>
      <c r="N1969" s="279" t="s">
        <v>25</v>
      </c>
      <c r="O1969" t="str">
        <f t="shared" si="62"/>
        <v>2016-P Washington Quarter</v>
      </c>
      <c r="S1969" t="str" cm="1">
        <f t="array" ref="S1969">_xlfn.REGEXEXTRACT(E1969, "[0-9]{1,5}")</f>
        <v>2016</v>
      </c>
      <c r="T1969" t="s">
        <v>992</v>
      </c>
      <c r="U1969" t="s">
        <v>3899</v>
      </c>
    </row>
    <row r="1970" spans="1:21">
      <c r="A1970" s="136">
        <v>4</v>
      </c>
      <c r="B1970" s="246">
        <v>2016</v>
      </c>
      <c r="C1970" s="247" t="s">
        <v>25</v>
      </c>
      <c r="D1970" s="247" t="s">
        <v>1965</v>
      </c>
      <c r="E1970" s="248" t="s">
        <v>1326</v>
      </c>
      <c r="F1970" s="248" t="s">
        <v>3752</v>
      </c>
      <c r="G1970" s="248" t="s">
        <v>2579</v>
      </c>
      <c r="H1970" s="249">
        <v>0.25</v>
      </c>
      <c r="I1970" s="249">
        <v>0.25</v>
      </c>
      <c r="J1970" s="246">
        <v>1</v>
      </c>
      <c r="K1970" s="250" t="s">
        <v>3788</v>
      </c>
      <c r="L1970" s="248"/>
      <c r="M1970" s="276" t="str">
        <f t="shared" si="64"/>
        <v>Photo</v>
      </c>
      <c r="N1970" s="279" t="s">
        <v>25</v>
      </c>
      <c r="O1970" t="str">
        <f t="shared" si="62"/>
        <v>2016-P Washington Quarter</v>
      </c>
      <c r="S1970" t="str" cm="1">
        <f t="array" ref="S1970">_xlfn.REGEXEXTRACT(E1970, "[0-9]{1,5}")</f>
        <v>2016</v>
      </c>
      <c r="T1970" t="s">
        <v>2477</v>
      </c>
      <c r="U1970" t="s">
        <v>3899</v>
      </c>
    </row>
    <row r="1971" spans="1:21">
      <c r="A1971" s="136">
        <v>4</v>
      </c>
      <c r="B1971" s="246">
        <v>2016</v>
      </c>
      <c r="C1971" s="247" t="s">
        <v>25</v>
      </c>
      <c r="D1971" s="247" t="s">
        <v>1965</v>
      </c>
      <c r="E1971" s="248" t="s">
        <v>1327</v>
      </c>
      <c r="F1971" s="248" t="s">
        <v>3752</v>
      </c>
      <c r="G1971" s="248" t="s">
        <v>2579</v>
      </c>
      <c r="H1971" s="249">
        <v>0.25</v>
      </c>
      <c r="I1971" s="249">
        <v>0.25</v>
      </c>
      <c r="J1971" s="246">
        <v>1</v>
      </c>
      <c r="K1971" s="250" t="s">
        <v>3791</v>
      </c>
      <c r="L1971" s="248"/>
      <c r="M1971" s="276" t="str">
        <f t="shared" si="64"/>
        <v>Photo</v>
      </c>
      <c r="N1971" s="279" t="s">
        <v>25</v>
      </c>
      <c r="O1971" t="str">
        <f t="shared" si="62"/>
        <v>2016-P Washington Quarter</v>
      </c>
      <c r="S1971" t="str" cm="1">
        <f t="array" ref="S1971">_xlfn.REGEXEXTRACT(E1971, "[0-9]{1,5}")</f>
        <v>2016</v>
      </c>
      <c r="T1971" t="s">
        <v>2478</v>
      </c>
      <c r="U1971" t="s">
        <v>3899</v>
      </c>
    </row>
    <row r="1972" spans="1:21">
      <c r="A1972" s="136">
        <v>4</v>
      </c>
      <c r="B1972" s="246">
        <v>2016</v>
      </c>
      <c r="C1972" s="247" t="s">
        <v>25</v>
      </c>
      <c r="D1972" s="247" t="s">
        <v>1965</v>
      </c>
      <c r="E1972" s="248" t="s">
        <v>1329</v>
      </c>
      <c r="F1972" s="248" t="s">
        <v>3752</v>
      </c>
      <c r="G1972" s="248" t="s">
        <v>2579</v>
      </c>
      <c r="H1972" s="249">
        <v>0.25</v>
      </c>
      <c r="I1972" s="249">
        <v>0.25</v>
      </c>
      <c r="J1972" s="246">
        <v>1</v>
      </c>
      <c r="K1972" s="250" t="s">
        <v>3789</v>
      </c>
      <c r="L1972" s="248"/>
      <c r="M1972" s="276" t="str">
        <f t="shared" si="64"/>
        <v>Photo</v>
      </c>
      <c r="N1972" s="279" t="s">
        <v>25</v>
      </c>
      <c r="O1972" t="str">
        <f t="shared" si="62"/>
        <v>2016-P Washington Quarter</v>
      </c>
      <c r="S1972" t="str" cm="1">
        <f t="array" ref="S1972">_xlfn.REGEXEXTRACT(E1972, "[0-9]{1,5}")</f>
        <v>2016</v>
      </c>
      <c r="T1972" t="s">
        <v>2479</v>
      </c>
      <c r="U1972" t="s">
        <v>3899</v>
      </c>
    </row>
    <row r="1973" spans="1:21">
      <c r="A1973" s="136">
        <v>4</v>
      </c>
      <c r="B1973" s="246">
        <v>2016</v>
      </c>
      <c r="C1973" s="247" t="s">
        <v>25</v>
      </c>
      <c r="D1973" s="247" t="s">
        <v>1965</v>
      </c>
      <c r="E1973" s="248" t="s">
        <v>1330</v>
      </c>
      <c r="F1973" s="248" t="s">
        <v>3752</v>
      </c>
      <c r="G1973" s="248" t="s">
        <v>2579</v>
      </c>
      <c r="H1973" s="249">
        <v>0.25</v>
      </c>
      <c r="I1973" s="249">
        <v>0.25</v>
      </c>
      <c r="J1973" s="246">
        <v>1</v>
      </c>
      <c r="K1973" s="250" t="s">
        <v>3788</v>
      </c>
      <c r="L1973" s="248"/>
      <c r="M1973" s="276" t="str">
        <f t="shared" si="64"/>
        <v>Photo</v>
      </c>
      <c r="N1973" s="279" t="s">
        <v>25</v>
      </c>
      <c r="O1973" t="str">
        <f t="shared" si="62"/>
        <v>2016-P Washington Quarter</v>
      </c>
      <c r="S1973" t="str" cm="1">
        <f t="array" ref="S1973">_xlfn.REGEXEXTRACT(E1973, "[0-9]{1,5}")</f>
        <v>2016</v>
      </c>
      <c r="T1973" t="s">
        <v>2479</v>
      </c>
      <c r="U1973" t="s">
        <v>3899</v>
      </c>
    </row>
    <row r="1974" spans="1:21">
      <c r="A1974" s="136">
        <v>4</v>
      </c>
      <c r="B1974" s="246">
        <v>2016</v>
      </c>
      <c r="C1974" s="247" t="s">
        <v>25</v>
      </c>
      <c r="D1974" s="247" t="s">
        <v>1965</v>
      </c>
      <c r="E1974" s="248" t="s">
        <v>3849</v>
      </c>
      <c r="F1974" s="248" t="s">
        <v>3752</v>
      </c>
      <c r="G1974" s="248" t="s">
        <v>2579</v>
      </c>
      <c r="H1974" s="249">
        <v>0.25</v>
      </c>
      <c r="I1974" s="249">
        <v>0.25</v>
      </c>
      <c r="J1974" s="246">
        <v>1</v>
      </c>
      <c r="K1974" s="250" t="s">
        <v>3788</v>
      </c>
      <c r="L1974" s="248"/>
      <c r="M1974" s="276" t="str">
        <f t="shared" si="64"/>
        <v>Photo</v>
      </c>
      <c r="N1974" s="279" t="s">
        <v>25</v>
      </c>
      <c r="O1974" t="str">
        <f t="shared" si="62"/>
        <v>2016-P Washington Quarter</v>
      </c>
      <c r="S1974" t="str" cm="1">
        <f t="array" ref="S1974">_xlfn.REGEXEXTRACT(E1974, "[0-9]{1,5}")</f>
        <v>2016</v>
      </c>
      <c r="T1974" t="s">
        <v>2480</v>
      </c>
      <c r="U1974" t="s">
        <v>3899</v>
      </c>
    </row>
    <row r="1975" spans="1:21">
      <c r="A1975" s="136">
        <v>4</v>
      </c>
      <c r="B1975" s="246">
        <v>2016</v>
      </c>
      <c r="C1975" s="247" t="s">
        <v>25</v>
      </c>
      <c r="D1975" s="247" t="s">
        <v>1965</v>
      </c>
      <c r="E1975" s="248" t="s">
        <v>1331</v>
      </c>
      <c r="F1975" s="248" t="s">
        <v>3752</v>
      </c>
      <c r="G1975" s="248" t="s">
        <v>2579</v>
      </c>
      <c r="H1975" s="249">
        <v>0.25</v>
      </c>
      <c r="I1975" s="249">
        <v>0.25</v>
      </c>
      <c r="J1975" s="246">
        <v>1</v>
      </c>
      <c r="K1975" s="250" t="s">
        <v>3788</v>
      </c>
      <c r="L1975" s="248"/>
      <c r="M1975" s="276" t="str">
        <f t="shared" si="64"/>
        <v>Photo</v>
      </c>
      <c r="N1975" s="279" t="s">
        <v>25</v>
      </c>
      <c r="O1975" t="str">
        <f t="shared" si="62"/>
        <v>2016-P Washington Quarter</v>
      </c>
      <c r="S1975" t="str" cm="1">
        <f t="array" ref="S1975">_xlfn.REGEXEXTRACT(E1975, "[0-9]{1,5}")</f>
        <v>2016</v>
      </c>
      <c r="T1975" t="s">
        <v>2480</v>
      </c>
      <c r="U1975" t="s">
        <v>3899</v>
      </c>
    </row>
    <row r="1976" spans="1:21">
      <c r="A1976" s="136">
        <v>4</v>
      </c>
      <c r="B1976" s="246">
        <v>2016</v>
      </c>
      <c r="C1976" s="247" t="s">
        <v>25</v>
      </c>
      <c r="D1976" s="247" t="s">
        <v>1965</v>
      </c>
      <c r="E1976" s="248" t="s">
        <v>3844</v>
      </c>
      <c r="F1976" s="248" t="s">
        <v>3752</v>
      </c>
      <c r="G1976" s="248" t="s">
        <v>2579</v>
      </c>
      <c r="H1976" s="249">
        <v>0.25</v>
      </c>
      <c r="I1976" s="249">
        <v>0.25</v>
      </c>
      <c r="J1976" s="246">
        <v>1</v>
      </c>
      <c r="K1976" s="250" t="s">
        <v>3791</v>
      </c>
      <c r="L1976" s="248"/>
      <c r="M1976" s="276" t="str">
        <f t="shared" si="64"/>
        <v>Photo</v>
      </c>
      <c r="N1976" s="279" t="s">
        <v>25</v>
      </c>
      <c r="O1976" t="str">
        <f t="shared" si="62"/>
        <v>2016-P Washington Quarter</v>
      </c>
      <c r="S1976" t="str" cm="1">
        <f t="array" ref="S1976">_xlfn.REGEXEXTRACT(E1976, "[0-9]{1,5}")</f>
        <v>2016</v>
      </c>
      <c r="T1976" t="s">
        <v>2481</v>
      </c>
      <c r="U1976" t="s">
        <v>3899</v>
      </c>
    </row>
    <row r="1977" spans="1:21">
      <c r="A1977" s="136">
        <v>4</v>
      </c>
      <c r="B1977" s="246">
        <v>2017</v>
      </c>
      <c r="C1977" s="247" t="s">
        <v>25</v>
      </c>
      <c r="D1977" s="247" t="s">
        <v>1965</v>
      </c>
      <c r="E1977" s="248" t="s">
        <v>3935</v>
      </c>
      <c r="F1977" s="248" t="s">
        <v>3752</v>
      </c>
      <c r="G1977" s="248" t="s">
        <v>2579</v>
      </c>
      <c r="H1977" s="249">
        <v>0.25</v>
      </c>
      <c r="I1977" s="249">
        <v>0.25</v>
      </c>
      <c r="J1977" s="246">
        <v>1</v>
      </c>
      <c r="K1977" s="250" t="s">
        <v>3792</v>
      </c>
      <c r="L1977" s="248"/>
      <c r="M1977" s="276" t="str">
        <f t="shared" si="64"/>
        <v>Photo</v>
      </c>
      <c r="N1977" s="279" t="s">
        <v>25</v>
      </c>
      <c r="O1977" t="str">
        <f t="shared" si="62"/>
        <v>2017-P Washington Quarter</v>
      </c>
      <c r="S1977" t="str" cm="1">
        <f t="array" ref="S1977">_xlfn.REGEXEXTRACT(E1977, "[0-9]{1,5}")</f>
        <v>2017</v>
      </c>
      <c r="T1977" t="s">
        <v>2481</v>
      </c>
      <c r="U1977" t="s">
        <v>3899</v>
      </c>
    </row>
    <row r="1978" spans="1:21">
      <c r="A1978" s="136">
        <v>4</v>
      </c>
      <c r="B1978" s="246">
        <v>2017</v>
      </c>
      <c r="C1978" s="247" t="s">
        <v>25</v>
      </c>
      <c r="D1978" s="247" t="s">
        <v>1965</v>
      </c>
      <c r="E1978" s="248" t="s">
        <v>1333</v>
      </c>
      <c r="F1978" s="248" t="s">
        <v>3752</v>
      </c>
      <c r="G1978" s="248" t="s">
        <v>2579</v>
      </c>
      <c r="H1978" s="249">
        <v>0.25</v>
      </c>
      <c r="I1978" s="249">
        <v>0.25</v>
      </c>
      <c r="J1978" s="246">
        <v>1</v>
      </c>
      <c r="K1978" s="250" t="s">
        <v>3792</v>
      </c>
      <c r="L1978" s="248"/>
      <c r="M1978" s="276" t="str">
        <f t="shared" si="64"/>
        <v>Photo</v>
      </c>
      <c r="N1978" s="279" t="s">
        <v>25</v>
      </c>
      <c r="O1978" t="str">
        <f t="shared" si="62"/>
        <v>2017-P Washington Quarter</v>
      </c>
      <c r="S1978" t="str" cm="1">
        <f t="array" ref="S1978">_xlfn.REGEXEXTRACT(E1978, "[0-9]{1,5}")</f>
        <v>2017</v>
      </c>
      <c r="T1978" t="s">
        <v>2481</v>
      </c>
      <c r="U1978" t="s">
        <v>3899</v>
      </c>
    </row>
    <row r="1979" spans="1:21">
      <c r="A1979" s="136">
        <v>4</v>
      </c>
      <c r="B1979" s="246">
        <v>2017</v>
      </c>
      <c r="C1979" s="247" t="s">
        <v>25</v>
      </c>
      <c r="D1979" s="247" t="s">
        <v>1965</v>
      </c>
      <c r="E1979" s="248" t="s">
        <v>1334</v>
      </c>
      <c r="F1979" s="248" t="s">
        <v>3752</v>
      </c>
      <c r="G1979" s="248" t="s">
        <v>2579</v>
      </c>
      <c r="H1979" s="249">
        <v>0.25</v>
      </c>
      <c r="I1979" s="249">
        <v>0.25</v>
      </c>
      <c r="J1979" s="246">
        <v>1</v>
      </c>
      <c r="K1979" s="250" t="s">
        <v>3793</v>
      </c>
      <c r="L1979" s="248"/>
      <c r="M1979" s="276" t="str">
        <f t="shared" si="64"/>
        <v>Photo</v>
      </c>
      <c r="N1979" s="279" t="s">
        <v>25</v>
      </c>
      <c r="O1979" t="str">
        <f t="shared" si="62"/>
        <v>2017-P Washington Quarter</v>
      </c>
      <c r="S1979" t="str" cm="1">
        <f t="array" ref="S1979">_xlfn.REGEXEXTRACT(E1979, "[0-9]{1,5}")</f>
        <v>2017</v>
      </c>
      <c r="T1979" t="s">
        <v>2482</v>
      </c>
      <c r="U1979" t="s">
        <v>3899</v>
      </c>
    </row>
    <row r="1980" spans="1:21">
      <c r="A1980" s="136">
        <v>4</v>
      </c>
      <c r="B1980" s="246">
        <v>2017</v>
      </c>
      <c r="C1980" s="247" t="s">
        <v>25</v>
      </c>
      <c r="D1980" s="247" t="s">
        <v>1965</v>
      </c>
      <c r="E1980" s="248" t="s">
        <v>1336</v>
      </c>
      <c r="F1980" s="248" t="s">
        <v>3752</v>
      </c>
      <c r="G1980" s="248" t="s">
        <v>2579</v>
      </c>
      <c r="H1980" s="249">
        <v>0.25</v>
      </c>
      <c r="I1980" s="249">
        <v>0.25</v>
      </c>
      <c r="J1980" s="246">
        <v>1</v>
      </c>
      <c r="K1980" s="250" t="s">
        <v>3793</v>
      </c>
      <c r="L1980" s="248"/>
      <c r="M1980" s="276" t="str">
        <f t="shared" si="64"/>
        <v>Photo</v>
      </c>
      <c r="N1980" s="279" t="s">
        <v>25</v>
      </c>
      <c r="O1980" t="str">
        <f t="shared" si="62"/>
        <v>2017-P Washington Quarter</v>
      </c>
      <c r="S1980" t="str" cm="1">
        <f t="array" ref="S1980">_xlfn.REGEXEXTRACT(E1980, "[0-9]{1,5}")</f>
        <v>2017</v>
      </c>
      <c r="T1980" t="s">
        <v>2483</v>
      </c>
      <c r="U1980" t="s">
        <v>3899</v>
      </c>
    </row>
    <row r="1981" spans="1:21">
      <c r="A1981" s="136">
        <v>4</v>
      </c>
      <c r="B1981" s="246">
        <v>2017</v>
      </c>
      <c r="C1981" s="247" t="s">
        <v>1183</v>
      </c>
      <c r="D1981" s="247" t="s">
        <v>1965</v>
      </c>
      <c r="E1981" s="248" t="s">
        <v>1337</v>
      </c>
      <c r="F1981" s="248" t="s">
        <v>3752</v>
      </c>
      <c r="G1981" s="248" t="s">
        <v>2579</v>
      </c>
      <c r="H1981" s="249">
        <v>0.25</v>
      </c>
      <c r="I1981" s="249">
        <v>0.25</v>
      </c>
      <c r="J1981" s="246">
        <v>1</v>
      </c>
      <c r="K1981" s="250" t="s">
        <v>3794</v>
      </c>
      <c r="L1981" s="248"/>
      <c r="M1981" s="276" t="str">
        <f t="shared" si="64"/>
        <v>Photo</v>
      </c>
      <c r="N1981" s="279" t="s">
        <v>25</v>
      </c>
      <c r="O1981" t="str">
        <f t="shared" si="62"/>
        <v>2017 Washington Quarter</v>
      </c>
      <c r="S1981" t="str" cm="1">
        <f t="array" ref="S1981">_xlfn.REGEXEXTRACT(E1981, "[0-9]{1,5}")</f>
        <v>2017</v>
      </c>
      <c r="T1981" t="s">
        <v>2484</v>
      </c>
      <c r="U1981" t="s">
        <v>3899</v>
      </c>
    </row>
    <row r="1982" spans="1:21">
      <c r="A1982" s="136">
        <v>4</v>
      </c>
      <c r="B1982" s="246">
        <v>2017</v>
      </c>
      <c r="C1982" s="247" t="s">
        <v>25</v>
      </c>
      <c r="D1982" s="247" t="s">
        <v>1965</v>
      </c>
      <c r="E1982" s="248" t="s">
        <v>1339</v>
      </c>
      <c r="F1982" s="248" t="s">
        <v>3752</v>
      </c>
      <c r="G1982" s="248" t="s">
        <v>2579</v>
      </c>
      <c r="H1982" s="249">
        <v>0.25</v>
      </c>
      <c r="I1982" s="249">
        <v>0.25</v>
      </c>
      <c r="J1982" s="246">
        <v>1</v>
      </c>
      <c r="K1982" s="250" t="s">
        <v>3795</v>
      </c>
      <c r="L1982" s="248"/>
      <c r="M1982" s="276" t="str">
        <f t="shared" si="64"/>
        <v>Photo</v>
      </c>
      <c r="N1982" s="279" t="s">
        <v>25</v>
      </c>
      <c r="O1982" t="str">
        <f t="shared" si="62"/>
        <v>2017-P Washington Quarter</v>
      </c>
      <c r="S1982" t="str" cm="1">
        <f t="array" ref="S1982">_xlfn.REGEXEXTRACT(E1982, "[0-9]{1,5}")</f>
        <v>2017</v>
      </c>
      <c r="T1982" t="s">
        <v>2485</v>
      </c>
      <c r="U1982" t="s">
        <v>3899</v>
      </c>
    </row>
    <row r="1983" spans="1:21">
      <c r="A1983" s="136">
        <v>4</v>
      </c>
      <c r="B1983" s="246">
        <v>2017</v>
      </c>
      <c r="C1983" s="247" t="s">
        <v>25</v>
      </c>
      <c r="D1983" s="247" t="s">
        <v>1965</v>
      </c>
      <c r="E1983" s="248" t="s">
        <v>1341</v>
      </c>
      <c r="F1983" s="248" t="s">
        <v>3752</v>
      </c>
      <c r="G1983" s="248" t="s">
        <v>2579</v>
      </c>
      <c r="H1983" s="249">
        <v>0.25</v>
      </c>
      <c r="I1983" s="249">
        <v>0.25</v>
      </c>
      <c r="J1983" s="246">
        <v>1</v>
      </c>
      <c r="K1983" s="250" t="s">
        <v>3792</v>
      </c>
      <c r="L1983" s="248"/>
      <c r="M1983" s="276" t="str">
        <f t="shared" si="64"/>
        <v>Photo</v>
      </c>
      <c r="N1983" s="279" t="s">
        <v>25</v>
      </c>
      <c r="O1983" t="str">
        <f t="shared" si="62"/>
        <v>2017-P Washington Quarter</v>
      </c>
      <c r="S1983" t="str" cm="1">
        <f t="array" ref="S1983">_xlfn.REGEXEXTRACT(E1983, "[0-9]{1,5}")</f>
        <v>2017</v>
      </c>
      <c r="T1983" t="s">
        <v>2486</v>
      </c>
      <c r="U1983" t="s">
        <v>3899</v>
      </c>
    </row>
    <row r="1984" spans="1:21">
      <c r="A1984" s="136">
        <v>4</v>
      </c>
      <c r="B1984" s="246">
        <v>2017</v>
      </c>
      <c r="C1984" s="247" t="s">
        <v>25</v>
      </c>
      <c r="D1984" s="247" t="s">
        <v>1965</v>
      </c>
      <c r="E1984" s="248" t="s">
        <v>1342</v>
      </c>
      <c r="F1984" s="248" t="s">
        <v>3752</v>
      </c>
      <c r="G1984" s="248" t="s">
        <v>2579</v>
      </c>
      <c r="H1984" s="249">
        <v>0.25</v>
      </c>
      <c r="I1984" s="249">
        <v>0.25</v>
      </c>
      <c r="J1984" s="246">
        <v>1</v>
      </c>
      <c r="K1984" s="250" t="s">
        <v>3796</v>
      </c>
      <c r="L1984" s="248"/>
      <c r="M1984" s="276" t="str">
        <f t="shared" si="64"/>
        <v>Photo</v>
      </c>
      <c r="N1984" s="279" t="s">
        <v>25</v>
      </c>
      <c r="O1984" t="str">
        <f t="shared" si="62"/>
        <v>2017-P Washington Quarter</v>
      </c>
      <c r="S1984" t="str" cm="1">
        <f t="array" ref="S1984">_xlfn.REGEXEXTRACT(E1984, "[0-9]{1,5}")</f>
        <v>2017</v>
      </c>
      <c r="T1984" t="s">
        <v>2486</v>
      </c>
      <c r="U1984" t="s">
        <v>3899</v>
      </c>
    </row>
    <row r="1985" spans="1:21">
      <c r="A1985" s="136">
        <v>4</v>
      </c>
      <c r="B1985" s="246">
        <v>2017</v>
      </c>
      <c r="C1985" s="247" t="s">
        <v>25</v>
      </c>
      <c r="D1985" s="247" t="s">
        <v>1965</v>
      </c>
      <c r="E1985" s="248" t="s">
        <v>1344</v>
      </c>
      <c r="F1985" s="248" t="s">
        <v>3752</v>
      </c>
      <c r="G1985" s="248" t="s">
        <v>2579</v>
      </c>
      <c r="H1985" s="249">
        <v>0.25</v>
      </c>
      <c r="I1985" s="249">
        <v>0.25</v>
      </c>
      <c r="J1985" s="246">
        <v>1</v>
      </c>
      <c r="K1985" s="250" t="s">
        <v>3797</v>
      </c>
      <c r="L1985" s="248"/>
      <c r="M1985" s="276" t="str">
        <f t="shared" si="64"/>
        <v>Photo</v>
      </c>
      <c r="N1985" s="279" t="s">
        <v>25</v>
      </c>
      <c r="O1985" t="str">
        <f t="shared" si="62"/>
        <v>2017-P Washington Quarter</v>
      </c>
      <c r="S1985" t="str" cm="1">
        <f t="array" ref="S1985">_xlfn.REGEXEXTRACT(E1985, "[0-9]{1,5}")</f>
        <v>2017</v>
      </c>
      <c r="T1985" t="s">
        <v>2487</v>
      </c>
      <c r="U1985" t="s">
        <v>3899</v>
      </c>
    </row>
    <row r="1986" spans="1:21">
      <c r="A1986" s="136">
        <v>4</v>
      </c>
      <c r="B1986" s="246">
        <v>2017</v>
      </c>
      <c r="C1986" s="247" t="s">
        <v>25</v>
      </c>
      <c r="D1986" s="247" t="s">
        <v>1965</v>
      </c>
      <c r="E1986" s="248" t="s">
        <v>1346</v>
      </c>
      <c r="F1986" s="248" t="s">
        <v>3752</v>
      </c>
      <c r="G1986" s="248" t="s">
        <v>2579</v>
      </c>
      <c r="H1986" s="249">
        <v>0.25</v>
      </c>
      <c r="I1986" s="249">
        <v>0.25</v>
      </c>
      <c r="J1986" s="246">
        <v>1</v>
      </c>
      <c r="K1986" s="250" t="s">
        <v>3797</v>
      </c>
      <c r="L1986" s="248"/>
      <c r="M1986" s="276" t="str">
        <f t="shared" si="64"/>
        <v>Photo</v>
      </c>
      <c r="N1986" s="279" t="s">
        <v>25</v>
      </c>
      <c r="O1986" t="str">
        <f t="shared" si="62"/>
        <v>2017-P Washington Quarter</v>
      </c>
      <c r="S1986" t="str" cm="1">
        <f t="array" ref="S1986">_xlfn.REGEXEXTRACT(E1986, "[0-9]{1,5}")</f>
        <v>2017</v>
      </c>
      <c r="T1986" t="s">
        <v>2487</v>
      </c>
      <c r="U1986" t="s">
        <v>3899</v>
      </c>
    </row>
    <row r="1987" spans="1:21">
      <c r="A1987" s="136">
        <v>4</v>
      </c>
      <c r="B1987" s="246">
        <v>2017</v>
      </c>
      <c r="C1987" s="247" t="s">
        <v>13</v>
      </c>
      <c r="D1987" s="247" t="s">
        <v>1965</v>
      </c>
      <c r="E1987" s="248" t="s">
        <v>3924</v>
      </c>
      <c r="F1987" s="248" t="s">
        <v>3752</v>
      </c>
      <c r="G1987" s="248" t="s">
        <v>2579</v>
      </c>
      <c r="H1987" s="249">
        <v>0.25</v>
      </c>
      <c r="I1987" s="249">
        <v>0.25</v>
      </c>
      <c r="J1987" s="246">
        <v>1</v>
      </c>
      <c r="K1987" s="250" t="s">
        <v>3797</v>
      </c>
      <c r="L1987" s="248"/>
      <c r="M1987" s="276" t="str">
        <f t="shared" si="64"/>
        <v>Photo</v>
      </c>
      <c r="N1987" s="279" t="s">
        <v>25</v>
      </c>
      <c r="O1987" t="str">
        <f t="shared" si="62"/>
        <v>2017-D Washington Quarter</v>
      </c>
      <c r="S1987" t="str" cm="1">
        <f t="array" ref="S1987">_xlfn.REGEXEXTRACT(E1987, "[0-9]{1,5}")</f>
        <v>2017</v>
      </c>
      <c r="T1987" t="s">
        <v>2488</v>
      </c>
      <c r="U1987" t="s">
        <v>3899</v>
      </c>
    </row>
    <row r="1988" spans="1:21">
      <c r="A1988" s="136">
        <v>4</v>
      </c>
      <c r="B1988" s="246">
        <v>2018</v>
      </c>
      <c r="C1988" s="247" t="s">
        <v>25</v>
      </c>
      <c r="D1988" s="247" t="s">
        <v>1965</v>
      </c>
      <c r="E1988" s="248" t="s">
        <v>1347</v>
      </c>
      <c r="F1988" s="248" t="s">
        <v>3752</v>
      </c>
      <c r="G1988" s="248" t="s">
        <v>2579</v>
      </c>
      <c r="H1988" s="249">
        <v>0.25</v>
      </c>
      <c r="I1988" s="249">
        <v>0.25</v>
      </c>
      <c r="J1988" s="246">
        <v>1</v>
      </c>
      <c r="K1988" s="250" t="s">
        <v>3798</v>
      </c>
      <c r="L1988" s="248"/>
      <c r="M1988" s="276" t="str">
        <f t="shared" si="64"/>
        <v>Photo</v>
      </c>
      <c r="N1988" s="279" t="s">
        <v>25</v>
      </c>
      <c r="O1988" t="str">
        <f t="shared" ref="O1988:O2051" si="65">IF(C1988&lt;&gt;"",B1988&amp;"-"&amp;C1988&amp;" "&amp;F1988,B1988&amp;" "&amp;F1988)</f>
        <v>2018-P Washington Quarter</v>
      </c>
      <c r="S1988" t="str" cm="1">
        <f t="array" ref="S1988">_xlfn.REGEXEXTRACT(E1988, "[0-9]{1,5}")</f>
        <v>2018</v>
      </c>
      <c r="T1988" t="s">
        <v>2489</v>
      </c>
      <c r="U1988" t="s">
        <v>3899</v>
      </c>
    </row>
    <row r="1989" spans="1:21">
      <c r="A1989" s="136">
        <v>4</v>
      </c>
      <c r="B1989" s="246">
        <v>2018</v>
      </c>
      <c r="C1989" s="247" t="s">
        <v>25</v>
      </c>
      <c r="D1989" s="247" t="s">
        <v>1965</v>
      </c>
      <c r="E1989" s="248" t="s">
        <v>1349</v>
      </c>
      <c r="F1989" s="248" t="s">
        <v>3752</v>
      </c>
      <c r="G1989" s="248" t="s">
        <v>2579</v>
      </c>
      <c r="H1989" s="249">
        <v>0.25</v>
      </c>
      <c r="I1989" s="249">
        <v>0.25</v>
      </c>
      <c r="J1989" s="246">
        <v>1</v>
      </c>
      <c r="K1989" s="250" t="s">
        <v>3798</v>
      </c>
      <c r="L1989" s="248"/>
      <c r="M1989" s="276" t="str">
        <f t="shared" si="64"/>
        <v>Photo</v>
      </c>
      <c r="N1989" s="279" t="s">
        <v>25</v>
      </c>
      <c r="O1989" t="str">
        <f t="shared" si="65"/>
        <v>2018-P Washington Quarter</v>
      </c>
      <c r="S1989" t="str" cm="1">
        <f t="array" ref="S1989">_xlfn.REGEXEXTRACT(E1989, "[0-9]{1,5}")</f>
        <v>2018</v>
      </c>
      <c r="T1989" t="s">
        <v>2489</v>
      </c>
      <c r="U1989" t="s">
        <v>3899</v>
      </c>
    </row>
    <row r="1990" spans="1:21">
      <c r="A1990" s="136">
        <v>4</v>
      </c>
      <c r="B1990" s="246">
        <v>2018</v>
      </c>
      <c r="C1990" s="247" t="s">
        <v>25</v>
      </c>
      <c r="D1990" s="247" t="s">
        <v>1965</v>
      </c>
      <c r="E1990" s="248" t="s">
        <v>1350</v>
      </c>
      <c r="F1990" s="248" t="s">
        <v>3752</v>
      </c>
      <c r="G1990" s="248" t="s">
        <v>2579</v>
      </c>
      <c r="H1990" s="249">
        <v>0.25</v>
      </c>
      <c r="I1990" s="249">
        <v>0.25</v>
      </c>
      <c r="J1990" s="246">
        <v>1</v>
      </c>
      <c r="K1990" s="250" t="s">
        <v>3798</v>
      </c>
      <c r="L1990" s="248"/>
      <c r="M1990" s="276" t="str">
        <f t="shared" si="64"/>
        <v>Photo</v>
      </c>
      <c r="N1990" s="279" t="s">
        <v>25</v>
      </c>
      <c r="O1990" t="str">
        <f t="shared" si="65"/>
        <v>2018-P Washington Quarter</v>
      </c>
      <c r="S1990" t="str" cm="1">
        <f t="array" ref="S1990">_xlfn.REGEXEXTRACT(E1990, "[0-9]{1,5}")</f>
        <v>2018</v>
      </c>
      <c r="T1990" t="s">
        <v>2490</v>
      </c>
      <c r="U1990" t="s">
        <v>3899</v>
      </c>
    </row>
    <row r="1991" spans="1:21">
      <c r="A1991" s="136">
        <v>4</v>
      </c>
      <c r="B1991" s="246">
        <v>2018</v>
      </c>
      <c r="C1991" s="247" t="s">
        <v>25</v>
      </c>
      <c r="D1991" s="247" t="s">
        <v>1965</v>
      </c>
      <c r="E1991" s="248" t="s">
        <v>1351</v>
      </c>
      <c r="F1991" s="248" t="s">
        <v>3752</v>
      </c>
      <c r="G1991" s="248" t="s">
        <v>2579</v>
      </c>
      <c r="H1991" s="249">
        <v>0.25</v>
      </c>
      <c r="I1991" s="249">
        <v>0.25</v>
      </c>
      <c r="J1991" s="246">
        <v>1</v>
      </c>
      <c r="K1991" s="250" t="s">
        <v>3798</v>
      </c>
      <c r="L1991" s="248"/>
      <c r="M1991" s="276" t="str">
        <f t="shared" si="64"/>
        <v>Photo</v>
      </c>
      <c r="N1991" s="279" t="s">
        <v>25</v>
      </c>
      <c r="O1991" t="str">
        <f t="shared" si="65"/>
        <v>2018-P Washington Quarter</v>
      </c>
      <c r="S1991" t="str" cm="1">
        <f t="array" ref="S1991">_xlfn.REGEXEXTRACT(E1991, "[0-9]{1,5}")</f>
        <v>2018</v>
      </c>
      <c r="T1991" t="s">
        <v>2490</v>
      </c>
      <c r="U1991" t="s">
        <v>3899</v>
      </c>
    </row>
    <row r="1992" spans="1:21">
      <c r="A1992" s="136">
        <v>4</v>
      </c>
      <c r="B1992" s="246">
        <v>2018</v>
      </c>
      <c r="C1992" s="247" t="s">
        <v>25</v>
      </c>
      <c r="D1992" s="247" t="s">
        <v>1965</v>
      </c>
      <c r="E1992" s="248" t="s">
        <v>1352</v>
      </c>
      <c r="F1992" s="248" t="s">
        <v>3752</v>
      </c>
      <c r="G1992" s="248" t="s">
        <v>2579</v>
      </c>
      <c r="H1992" s="249">
        <v>0.25</v>
      </c>
      <c r="I1992" s="249">
        <v>0.25</v>
      </c>
      <c r="J1992" s="246">
        <v>1</v>
      </c>
      <c r="K1992" s="250" t="s">
        <v>3798</v>
      </c>
      <c r="L1992" s="248"/>
      <c r="M1992" s="276" t="str">
        <f t="shared" si="64"/>
        <v>Photo</v>
      </c>
      <c r="N1992" s="279" t="s">
        <v>25</v>
      </c>
      <c r="O1992" t="str">
        <f t="shared" si="65"/>
        <v>2018-P Washington Quarter</v>
      </c>
      <c r="S1992" t="str" cm="1">
        <f t="array" ref="S1992">_xlfn.REGEXEXTRACT(E1992, "[0-9]{1,5}")</f>
        <v>2018</v>
      </c>
      <c r="T1992" t="s">
        <v>2491</v>
      </c>
      <c r="U1992" t="s">
        <v>3899</v>
      </c>
    </row>
    <row r="1993" spans="1:21">
      <c r="A1993" s="136">
        <v>4</v>
      </c>
      <c r="B1993" s="246">
        <v>2018</v>
      </c>
      <c r="C1993" s="247" t="s">
        <v>25</v>
      </c>
      <c r="D1993" s="247" t="s">
        <v>1965</v>
      </c>
      <c r="E1993" s="248" t="s">
        <v>1353</v>
      </c>
      <c r="F1993" s="248" t="s">
        <v>3752</v>
      </c>
      <c r="G1993" s="248" t="s">
        <v>2579</v>
      </c>
      <c r="H1993" s="249">
        <v>0.25</v>
      </c>
      <c r="I1993" s="249">
        <v>0.25</v>
      </c>
      <c r="J1993" s="246">
        <v>1</v>
      </c>
      <c r="K1993" s="250" t="s">
        <v>3798</v>
      </c>
      <c r="L1993" s="248"/>
      <c r="M1993" s="276" t="str">
        <f t="shared" si="64"/>
        <v>Photo</v>
      </c>
      <c r="N1993" s="279" t="s">
        <v>25</v>
      </c>
      <c r="O1993" t="str">
        <f t="shared" si="65"/>
        <v>2018-P Washington Quarter</v>
      </c>
      <c r="S1993" t="str" cm="1">
        <f t="array" ref="S1993">_xlfn.REGEXEXTRACT(E1993, "[0-9]{1,5}")</f>
        <v>2018</v>
      </c>
      <c r="T1993" t="s">
        <v>2492</v>
      </c>
      <c r="U1993" t="s">
        <v>3899</v>
      </c>
    </row>
    <row r="1994" spans="1:21">
      <c r="A1994" s="136">
        <v>4</v>
      </c>
      <c r="B1994" s="246">
        <v>2018</v>
      </c>
      <c r="C1994" s="247" t="s">
        <v>25</v>
      </c>
      <c r="D1994" s="247" t="s">
        <v>1965</v>
      </c>
      <c r="E1994" s="248" t="s">
        <v>1354</v>
      </c>
      <c r="F1994" s="248" t="s">
        <v>3752</v>
      </c>
      <c r="G1994" s="248" t="s">
        <v>2579</v>
      </c>
      <c r="H1994" s="249">
        <v>0.25</v>
      </c>
      <c r="I1994" s="249">
        <v>0.25</v>
      </c>
      <c r="J1994" s="246">
        <v>1</v>
      </c>
      <c r="K1994" s="250" t="s">
        <v>3799</v>
      </c>
      <c r="L1994" s="248"/>
      <c r="M1994" s="276" t="str">
        <f t="shared" si="64"/>
        <v>Photo</v>
      </c>
      <c r="N1994" s="279" t="s">
        <v>25</v>
      </c>
      <c r="O1994" t="str">
        <f t="shared" si="65"/>
        <v>2018-P Washington Quarter</v>
      </c>
      <c r="S1994" t="str" cm="1">
        <f t="array" ref="S1994">_xlfn.REGEXEXTRACT(E1994, "[0-9]{1,5}")</f>
        <v>2018</v>
      </c>
      <c r="T1994" t="s">
        <v>2492</v>
      </c>
      <c r="U1994" t="s">
        <v>3899</v>
      </c>
    </row>
    <row r="1995" spans="1:21">
      <c r="A1995" s="136">
        <v>4</v>
      </c>
      <c r="B1995" s="246">
        <v>2018</v>
      </c>
      <c r="C1995" s="247" t="s">
        <v>25</v>
      </c>
      <c r="D1995" s="247" t="s">
        <v>1965</v>
      </c>
      <c r="E1995" s="248" t="s">
        <v>1356</v>
      </c>
      <c r="F1995" s="248" t="s">
        <v>3752</v>
      </c>
      <c r="G1995" s="248" t="s">
        <v>2579</v>
      </c>
      <c r="H1995" s="249"/>
      <c r="I1995" s="249"/>
      <c r="J1995" s="246"/>
      <c r="K1995" s="250" t="s">
        <v>3798</v>
      </c>
      <c r="L1995" s="248"/>
      <c r="M1995" s="276" t="str">
        <f t="shared" si="64"/>
        <v>Photo</v>
      </c>
      <c r="N1995" s="279"/>
      <c r="O1995" t="str">
        <f t="shared" si="65"/>
        <v>2018-P Washington Quarter</v>
      </c>
      <c r="S1995" t="str" cm="1">
        <f t="array" ref="S1995">_xlfn.REGEXEXTRACT(E1995, "[0-9]{1,5}")</f>
        <v>2018</v>
      </c>
      <c r="T1995" t="s">
        <v>2492</v>
      </c>
      <c r="U1995" t="s">
        <v>3899</v>
      </c>
    </row>
    <row r="1996" spans="1:21">
      <c r="A1996" s="136">
        <v>4</v>
      </c>
      <c r="B1996" s="246">
        <v>2018</v>
      </c>
      <c r="C1996" s="247" t="s">
        <v>25</v>
      </c>
      <c r="D1996" s="247" t="s">
        <v>1965</v>
      </c>
      <c r="E1996" s="248" t="s">
        <v>1357</v>
      </c>
      <c r="F1996" s="248" t="s">
        <v>3752</v>
      </c>
      <c r="G1996" s="248" t="s">
        <v>2579</v>
      </c>
      <c r="H1996" s="249">
        <v>0.25</v>
      </c>
      <c r="I1996" s="249">
        <v>0.25</v>
      </c>
      <c r="J1996" s="246">
        <v>1</v>
      </c>
      <c r="K1996" s="250" t="s">
        <v>3799</v>
      </c>
      <c r="L1996" s="248"/>
      <c r="M1996" s="276" t="str">
        <f t="shared" si="64"/>
        <v>Photo</v>
      </c>
      <c r="N1996" s="279" t="s">
        <v>25</v>
      </c>
      <c r="O1996" t="str">
        <f t="shared" si="65"/>
        <v>2018-P Washington Quarter</v>
      </c>
      <c r="S1996" t="str" cm="1">
        <f t="array" ref="S1996">_xlfn.REGEXEXTRACT(E1996, "[0-9]{1,5}")</f>
        <v>2018</v>
      </c>
      <c r="T1996" t="s">
        <v>2493</v>
      </c>
      <c r="U1996" t="s">
        <v>3899</v>
      </c>
    </row>
    <row r="1997" spans="1:21">
      <c r="A1997" s="136">
        <v>4</v>
      </c>
      <c r="B1997" s="246">
        <v>2019</v>
      </c>
      <c r="C1997" s="247" t="s">
        <v>25</v>
      </c>
      <c r="D1997" s="247" t="s">
        <v>1965</v>
      </c>
      <c r="E1997" s="248" t="s">
        <v>1358</v>
      </c>
      <c r="F1997" s="248" t="s">
        <v>3752</v>
      </c>
      <c r="G1997" s="248" t="s">
        <v>2579</v>
      </c>
      <c r="H1997" s="249">
        <v>0.25</v>
      </c>
      <c r="I1997" s="249">
        <v>0.25</v>
      </c>
      <c r="J1997" s="246">
        <v>1</v>
      </c>
      <c r="K1997" s="250" t="s">
        <v>3800</v>
      </c>
      <c r="L1997" s="248"/>
      <c r="M1997" s="276" t="str">
        <f t="shared" si="64"/>
        <v>Photo</v>
      </c>
      <c r="N1997" s="279" t="s">
        <v>25</v>
      </c>
      <c r="O1997" t="str">
        <f t="shared" si="65"/>
        <v>2019-P Washington Quarter</v>
      </c>
      <c r="S1997" t="str" cm="1">
        <f t="array" ref="S1997">_xlfn.REGEXEXTRACT(E1997, "[0-9]{1,5}")</f>
        <v>2019</v>
      </c>
      <c r="T1997" t="s">
        <v>2493</v>
      </c>
      <c r="U1997" t="s">
        <v>3899</v>
      </c>
    </row>
    <row r="1998" spans="1:21">
      <c r="A1998" s="136">
        <v>4</v>
      </c>
      <c r="B1998" s="246">
        <v>2019</v>
      </c>
      <c r="C1998" s="247" t="s">
        <v>25</v>
      </c>
      <c r="D1998" s="247" t="s">
        <v>1965</v>
      </c>
      <c r="E1998" s="248" t="s">
        <v>1360</v>
      </c>
      <c r="F1998" s="248" t="s">
        <v>3752</v>
      </c>
      <c r="G1998" s="248" t="s">
        <v>2579</v>
      </c>
      <c r="H1998" s="249">
        <v>0.25</v>
      </c>
      <c r="I1998" s="249">
        <v>0.25</v>
      </c>
      <c r="J1998" s="246">
        <v>1</v>
      </c>
      <c r="K1998" s="250" t="s">
        <v>3800</v>
      </c>
      <c r="L1998" s="248"/>
      <c r="M1998" s="276" t="str">
        <f t="shared" ref="M1998:M2019" si="66">HYPERLINK($Y$2&amp;E1998&amp;$AA$2,"Photo")</f>
        <v>Photo</v>
      </c>
      <c r="N1998" s="279" t="s">
        <v>25</v>
      </c>
      <c r="O1998" t="str">
        <f t="shared" si="65"/>
        <v>2019-P Washington Quarter</v>
      </c>
      <c r="S1998" t="str" cm="1">
        <f t="array" ref="S1998">_xlfn.REGEXEXTRACT(E1998, "[0-9]{1,5}")</f>
        <v>2019</v>
      </c>
      <c r="T1998" t="s">
        <v>2493</v>
      </c>
      <c r="U1998" t="s">
        <v>3899</v>
      </c>
    </row>
    <row r="1999" spans="1:21">
      <c r="A1999" s="136">
        <v>4</v>
      </c>
      <c r="B1999" s="246">
        <v>2019</v>
      </c>
      <c r="C1999" s="247" t="s">
        <v>25</v>
      </c>
      <c r="D1999" s="247" t="s">
        <v>1965</v>
      </c>
      <c r="E1999" s="248" t="s">
        <v>1361</v>
      </c>
      <c r="F1999" s="248" t="s">
        <v>3752</v>
      </c>
      <c r="G1999" s="248" t="s">
        <v>2579</v>
      </c>
      <c r="H1999" s="249">
        <v>0.25</v>
      </c>
      <c r="I1999" s="249">
        <v>0.25</v>
      </c>
      <c r="J1999" s="246">
        <v>1</v>
      </c>
      <c r="K1999" s="250" t="s">
        <v>3801</v>
      </c>
      <c r="L1999" s="248"/>
      <c r="M1999" s="276" t="str">
        <f t="shared" si="66"/>
        <v>Photo</v>
      </c>
      <c r="N1999" s="279" t="s">
        <v>25</v>
      </c>
      <c r="O1999" t="str">
        <f t="shared" si="65"/>
        <v>2019-P Washington Quarter</v>
      </c>
      <c r="S1999" t="str" cm="1">
        <f t="array" ref="S1999">_xlfn.REGEXEXTRACT(E1999, "[0-9]{1,5}")</f>
        <v>2019</v>
      </c>
      <c r="T1999" t="s">
        <v>2494</v>
      </c>
      <c r="U1999" t="s">
        <v>3899</v>
      </c>
    </row>
    <row r="2000" spans="1:21">
      <c r="A2000" s="136">
        <v>4</v>
      </c>
      <c r="B2000" s="246">
        <v>2019</v>
      </c>
      <c r="C2000" s="247" t="s">
        <v>13</v>
      </c>
      <c r="D2000" s="247" t="s">
        <v>1965</v>
      </c>
      <c r="E2000" s="248" t="s">
        <v>1363</v>
      </c>
      <c r="F2000" s="248" t="s">
        <v>3752</v>
      </c>
      <c r="G2000" s="248" t="s">
        <v>2579</v>
      </c>
      <c r="H2000" s="249">
        <v>0.25</v>
      </c>
      <c r="I2000" s="249">
        <v>0.25</v>
      </c>
      <c r="J2000" s="246">
        <v>1</v>
      </c>
      <c r="K2000" s="250" t="s">
        <v>3802</v>
      </c>
      <c r="L2000" s="248"/>
      <c r="M2000" s="276" t="str">
        <f t="shared" si="66"/>
        <v>Photo</v>
      </c>
      <c r="N2000" s="279" t="s">
        <v>25</v>
      </c>
      <c r="O2000" t="str">
        <f t="shared" si="65"/>
        <v>2019-D Washington Quarter</v>
      </c>
      <c r="S2000" t="str" cm="1">
        <f t="array" ref="S2000">_xlfn.REGEXEXTRACT(E2000, "[0-9]{1,5}")</f>
        <v>2019</v>
      </c>
      <c r="T2000" t="s">
        <v>2494</v>
      </c>
      <c r="U2000" t="s">
        <v>3899</v>
      </c>
    </row>
    <row r="2001" spans="1:21">
      <c r="A2001" s="136">
        <v>4</v>
      </c>
      <c r="B2001" s="246">
        <v>2019</v>
      </c>
      <c r="C2001" s="247" t="s">
        <v>25</v>
      </c>
      <c r="D2001" s="247" t="s">
        <v>1965</v>
      </c>
      <c r="E2001" s="248" t="s">
        <v>1365</v>
      </c>
      <c r="F2001" s="248" t="s">
        <v>3752</v>
      </c>
      <c r="G2001" s="248" t="s">
        <v>2579</v>
      </c>
      <c r="H2001" s="249">
        <v>0.25</v>
      </c>
      <c r="I2001" s="249">
        <v>0.25</v>
      </c>
      <c r="J2001" s="246">
        <v>1</v>
      </c>
      <c r="K2001" s="250" t="s">
        <v>3801</v>
      </c>
      <c r="L2001" s="248"/>
      <c r="M2001" s="276" t="str">
        <f t="shared" si="66"/>
        <v>Photo</v>
      </c>
      <c r="N2001" s="279" t="s">
        <v>25</v>
      </c>
      <c r="O2001" t="str">
        <f t="shared" si="65"/>
        <v>2019-P Washington Quarter</v>
      </c>
      <c r="S2001" t="str" cm="1">
        <f t="array" ref="S2001">_xlfn.REGEXEXTRACT(E2001, "[0-9]{1,5}")</f>
        <v>2019</v>
      </c>
      <c r="T2001" t="s">
        <v>2494</v>
      </c>
      <c r="U2001" t="s">
        <v>3899</v>
      </c>
    </row>
    <row r="2002" spans="1:21">
      <c r="A2002" s="136">
        <v>4</v>
      </c>
      <c r="B2002" s="246">
        <v>2019</v>
      </c>
      <c r="C2002" s="247" t="s">
        <v>25</v>
      </c>
      <c r="D2002" s="247" t="s">
        <v>1965</v>
      </c>
      <c r="E2002" s="248" t="s">
        <v>3843</v>
      </c>
      <c r="F2002" s="248" t="s">
        <v>3752</v>
      </c>
      <c r="G2002" s="248" t="s">
        <v>2579</v>
      </c>
      <c r="H2002" s="249">
        <v>0.25</v>
      </c>
      <c r="I2002" s="249">
        <v>0.25</v>
      </c>
      <c r="J2002" s="246">
        <v>1</v>
      </c>
      <c r="K2002" s="250" t="s">
        <v>3801</v>
      </c>
      <c r="L2002" s="248"/>
      <c r="M2002" s="276" t="str">
        <f t="shared" si="66"/>
        <v>Photo</v>
      </c>
      <c r="N2002" s="279" t="s">
        <v>25</v>
      </c>
      <c r="O2002" t="str">
        <f t="shared" si="65"/>
        <v>2019-P Washington Quarter</v>
      </c>
      <c r="S2002" t="str" cm="1">
        <f t="array" ref="S2002">_xlfn.REGEXEXTRACT(E2002, "[0-9]{1,5}")</f>
        <v>2019</v>
      </c>
      <c r="T2002" t="s">
        <v>2494</v>
      </c>
      <c r="U2002" t="s">
        <v>3899</v>
      </c>
    </row>
    <row r="2003" spans="1:21">
      <c r="A2003" s="136">
        <v>4</v>
      </c>
      <c r="B2003" s="246">
        <v>2020</v>
      </c>
      <c r="C2003" s="247" t="s">
        <v>25</v>
      </c>
      <c r="D2003" s="247" t="s">
        <v>1965</v>
      </c>
      <c r="E2003" s="248" t="s">
        <v>4641</v>
      </c>
      <c r="F2003" s="248" t="s">
        <v>3752</v>
      </c>
      <c r="G2003" s="248" t="s">
        <v>2579</v>
      </c>
      <c r="H2003" s="249">
        <v>0.25</v>
      </c>
      <c r="I2003" s="249">
        <v>0.25</v>
      </c>
      <c r="J2003" s="246">
        <v>1</v>
      </c>
      <c r="K2003" s="250" t="s">
        <v>4642</v>
      </c>
      <c r="L2003" s="248"/>
      <c r="M2003" s="276" t="str">
        <f t="shared" si="66"/>
        <v>Photo</v>
      </c>
      <c r="N2003" s="279" t="s">
        <v>25</v>
      </c>
      <c r="O2003" t="str">
        <f t="shared" si="65"/>
        <v>2020-P Washington Quarter</v>
      </c>
      <c r="S2003" t="str" cm="1">
        <f t="array" ref="S2003">_xlfn.REGEXEXTRACT(E2003, "[0-9]{1,5}")</f>
        <v>2020</v>
      </c>
      <c r="T2003" t="s">
        <v>2494</v>
      </c>
      <c r="U2003" t="s">
        <v>3899</v>
      </c>
    </row>
    <row r="2004" spans="1:21">
      <c r="A2004" s="136">
        <v>4</v>
      </c>
      <c r="B2004" s="246">
        <v>2021</v>
      </c>
      <c r="C2004" s="247" t="s">
        <v>25</v>
      </c>
      <c r="D2004" s="247" t="s">
        <v>1965</v>
      </c>
      <c r="E2004" s="248" t="s">
        <v>1366</v>
      </c>
      <c r="F2004" s="248" t="s">
        <v>3752</v>
      </c>
      <c r="G2004" s="248" t="s">
        <v>2579</v>
      </c>
      <c r="H2004" s="249"/>
      <c r="I2004" s="249"/>
      <c r="J2004" s="246"/>
      <c r="K2004" s="250"/>
      <c r="L2004" s="248"/>
      <c r="M2004" s="283" t="str">
        <f t="shared" si="66"/>
        <v>Photo</v>
      </c>
      <c r="N2004" s="279"/>
      <c r="O2004" t="str">
        <f t="shared" si="65"/>
        <v>2021-P Washington Quarter</v>
      </c>
      <c r="S2004" t="str" cm="1">
        <f t="array" ref="S2004">_xlfn.REGEXEXTRACT(E2004, "[0-9]{1,5}")</f>
        <v>2021</v>
      </c>
      <c r="T2004" t="s">
        <v>2495</v>
      </c>
      <c r="U2004" t="s">
        <v>3899</v>
      </c>
    </row>
    <row r="2005" spans="1:21">
      <c r="A2005" s="136">
        <v>4</v>
      </c>
      <c r="B2005" s="246">
        <v>2021</v>
      </c>
      <c r="C2005" s="247" t="s">
        <v>25</v>
      </c>
      <c r="D2005" s="247" t="s">
        <v>1965</v>
      </c>
      <c r="E2005" s="248" t="s">
        <v>1368</v>
      </c>
      <c r="F2005" s="248" t="s">
        <v>3752</v>
      </c>
      <c r="G2005" s="248" t="s">
        <v>2579</v>
      </c>
      <c r="H2005" s="249">
        <v>0.25</v>
      </c>
      <c r="I2005" s="249">
        <v>0.25</v>
      </c>
      <c r="J2005" s="246">
        <v>1</v>
      </c>
      <c r="K2005" s="250" t="s">
        <v>3803</v>
      </c>
      <c r="L2005" s="248"/>
      <c r="M2005" s="276" t="str">
        <f t="shared" si="66"/>
        <v>Photo</v>
      </c>
      <c r="N2005" s="279" t="s">
        <v>25</v>
      </c>
      <c r="O2005" t="str">
        <f t="shared" si="65"/>
        <v>2021-P Washington Quarter</v>
      </c>
      <c r="S2005" t="str" cm="1">
        <f t="array" ref="S2005">_xlfn.REGEXEXTRACT(E2005, "[0-9]{1,5}")</f>
        <v>2021</v>
      </c>
      <c r="T2005" t="s">
        <v>2495</v>
      </c>
      <c r="U2005" t="s">
        <v>3899</v>
      </c>
    </row>
    <row r="2006" spans="1:21">
      <c r="A2006" s="136">
        <v>4</v>
      </c>
      <c r="B2006" s="246">
        <v>2021</v>
      </c>
      <c r="C2006" s="247" t="s">
        <v>25</v>
      </c>
      <c r="D2006" s="247" t="s">
        <v>1965</v>
      </c>
      <c r="E2006" s="248" t="s">
        <v>1369</v>
      </c>
      <c r="F2006" s="248" t="s">
        <v>3752</v>
      </c>
      <c r="G2006" s="248" t="s">
        <v>2579</v>
      </c>
      <c r="H2006" s="249">
        <v>0.25</v>
      </c>
      <c r="I2006" s="249">
        <v>0.25</v>
      </c>
      <c r="J2006" s="246">
        <v>1</v>
      </c>
      <c r="K2006" s="250" t="s">
        <v>3804</v>
      </c>
      <c r="L2006" s="248"/>
      <c r="M2006" s="276" t="str">
        <f t="shared" si="66"/>
        <v>Photo</v>
      </c>
      <c r="N2006" s="279" t="s">
        <v>25</v>
      </c>
      <c r="O2006" t="str">
        <f t="shared" si="65"/>
        <v>2021-P Washington Quarter</v>
      </c>
      <c r="S2006" t="str" cm="1">
        <f t="array" ref="S2006">_xlfn.REGEXEXTRACT(E2006, "[0-9]{1,5}")</f>
        <v>2021</v>
      </c>
      <c r="T2006" t="s">
        <v>2495</v>
      </c>
      <c r="U2006" t="s">
        <v>3899</v>
      </c>
    </row>
    <row r="2007" spans="1:21">
      <c r="A2007" s="136">
        <v>4</v>
      </c>
      <c r="B2007" s="246">
        <v>2021</v>
      </c>
      <c r="C2007" s="247" t="s">
        <v>25</v>
      </c>
      <c r="D2007" s="247" t="s">
        <v>1965</v>
      </c>
      <c r="E2007" s="248" t="s">
        <v>3925</v>
      </c>
      <c r="F2007" s="248" t="s">
        <v>3752</v>
      </c>
      <c r="G2007" s="248" t="s">
        <v>2579</v>
      </c>
      <c r="H2007" s="249">
        <v>0.25</v>
      </c>
      <c r="I2007" s="249">
        <v>0.25</v>
      </c>
      <c r="J2007" s="246">
        <v>1</v>
      </c>
      <c r="K2007" s="250" t="s">
        <v>3804</v>
      </c>
      <c r="L2007" s="248"/>
      <c r="M2007" s="276" t="str">
        <f t="shared" si="66"/>
        <v>Photo</v>
      </c>
      <c r="N2007" s="279" t="s">
        <v>25</v>
      </c>
      <c r="O2007" t="str">
        <f t="shared" si="65"/>
        <v>2021-P Washington Quarter</v>
      </c>
      <c r="S2007" t="str" cm="1">
        <f t="array" ref="S2007">_xlfn.REGEXEXTRACT(E2007, "[0-9]{1,5}")</f>
        <v>2021</v>
      </c>
      <c r="T2007" t="s">
        <v>2496</v>
      </c>
      <c r="U2007" t="s">
        <v>3899</v>
      </c>
    </row>
    <row r="2008" spans="1:21">
      <c r="A2008" s="136">
        <v>4</v>
      </c>
      <c r="B2008" s="246">
        <v>2021</v>
      </c>
      <c r="C2008" s="247" t="s">
        <v>13</v>
      </c>
      <c r="D2008" s="247" t="s">
        <v>1965</v>
      </c>
      <c r="E2008" s="248" t="s">
        <v>3985</v>
      </c>
      <c r="F2008" s="248" t="s">
        <v>3752</v>
      </c>
      <c r="G2008" s="248" t="s">
        <v>2579</v>
      </c>
      <c r="H2008" s="249">
        <v>0.25</v>
      </c>
      <c r="I2008" s="249">
        <v>0.25</v>
      </c>
      <c r="J2008" s="246">
        <v>1</v>
      </c>
      <c r="K2008" s="250" t="s">
        <v>3803</v>
      </c>
      <c r="L2008" s="248"/>
      <c r="M2008" s="276" t="str">
        <f t="shared" si="66"/>
        <v>Photo</v>
      </c>
      <c r="N2008" s="279" t="s">
        <v>25</v>
      </c>
      <c r="O2008" t="str">
        <f t="shared" si="65"/>
        <v>2021-D Washington Quarter</v>
      </c>
      <c r="S2008" t="str" cm="1">
        <f t="array" ref="S2008">_xlfn.REGEXEXTRACT(E2008, "[0-9]{1,5}")</f>
        <v>2021</v>
      </c>
      <c r="T2008" t="s">
        <v>2496</v>
      </c>
      <c r="U2008" t="s">
        <v>3899</v>
      </c>
    </row>
    <row r="2009" spans="1:21">
      <c r="A2009" s="136">
        <v>4</v>
      </c>
      <c r="B2009" s="246">
        <v>2021</v>
      </c>
      <c r="C2009" s="247" t="s">
        <v>25</v>
      </c>
      <c r="D2009" s="247" t="s">
        <v>1965</v>
      </c>
      <c r="E2009" s="248" t="s">
        <v>3986</v>
      </c>
      <c r="F2009" s="248" t="s">
        <v>3752</v>
      </c>
      <c r="G2009" s="248" t="s">
        <v>2579</v>
      </c>
      <c r="H2009" s="249">
        <v>0.25</v>
      </c>
      <c r="I2009" s="249">
        <v>0.25</v>
      </c>
      <c r="J2009" s="246">
        <v>1</v>
      </c>
      <c r="K2009" s="250" t="s">
        <v>3803</v>
      </c>
      <c r="L2009" s="248"/>
      <c r="M2009" s="276" t="str">
        <f t="shared" si="66"/>
        <v>Photo</v>
      </c>
      <c r="N2009" s="279" t="s">
        <v>25</v>
      </c>
      <c r="O2009" t="str">
        <f t="shared" si="65"/>
        <v>2021-P Washington Quarter</v>
      </c>
      <c r="S2009" t="str" cm="1">
        <f t="array" ref="S2009">_xlfn.REGEXEXTRACT(E2009, "[0-9]{1,5}")</f>
        <v>2021</v>
      </c>
      <c r="T2009" t="s">
        <v>2496</v>
      </c>
      <c r="U2009" t="s">
        <v>3899</v>
      </c>
    </row>
    <row r="2010" spans="1:21">
      <c r="A2010" s="136">
        <v>4</v>
      </c>
      <c r="B2010" s="246">
        <v>2022</v>
      </c>
      <c r="C2010" s="247" t="s">
        <v>25</v>
      </c>
      <c r="D2010" s="247" t="s">
        <v>1965</v>
      </c>
      <c r="E2010" s="248" t="s">
        <v>1371</v>
      </c>
      <c r="F2010" s="248" t="s">
        <v>3752</v>
      </c>
      <c r="G2010" s="248" t="s">
        <v>2579</v>
      </c>
      <c r="H2010" s="249">
        <v>0.25</v>
      </c>
      <c r="I2010" s="249">
        <v>0.25</v>
      </c>
      <c r="J2010" s="246">
        <v>1</v>
      </c>
      <c r="K2010" s="250" t="s">
        <v>3805</v>
      </c>
      <c r="L2010" s="248"/>
      <c r="M2010" s="276" t="str">
        <f t="shared" si="66"/>
        <v>Photo</v>
      </c>
      <c r="N2010" s="279" t="s">
        <v>25</v>
      </c>
      <c r="O2010" t="str">
        <f t="shared" si="65"/>
        <v>2022-P Washington Quarter</v>
      </c>
      <c r="S2010" t="str" cm="1">
        <f t="array" ref="S2010">_xlfn.REGEXEXTRACT(E2010, "[0-9]{1,5}")</f>
        <v>2022</v>
      </c>
      <c r="T2010" t="s">
        <v>2497</v>
      </c>
      <c r="U2010" t="s">
        <v>3899</v>
      </c>
    </row>
    <row r="2011" spans="1:21">
      <c r="A2011" s="136">
        <v>4</v>
      </c>
      <c r="B2011" s="246">
        <v>2022</v>
      </c>
      <c r="C2011" s="247" t="s">
        <v>25</v>
      </c>
      <c r="D2011" s="247" t="s">
        <v>1965</v>
      </c>
      <c r="E2011" s="248" t="s">
        <v>1373</v>
      </c>
      <c r="F2011" s="248" t="s">
        <v>3752</v>
      </c>
      <c r="G2011" s="248" t="s">
        <v>2579</v>
      </c>
      <c r="H2011" s="249">
        <v>0.25</v>
      </c>
      <c r="I2011" s="249">
        <v>0.25</v>
      </c>
      <c r="J2011" s="246">
        <v>1</v>
      </c>
      <c r="K2011" s="250" t="s">
        <v>3806</v>
      </c>
      <c r="L2011" s="248"/>
      <c r="M2011" s="276" t="str">
        <f t="shared" si="66"/>
        <v>Photo</v>
      </c>
      <c r="N2011" s="279" t="s">
        <v>25</v>
      </c>
      <c r="O2011" t="str">
        <f t="shared" si="65"/>
        <v>2022-P Washington Quarter</v>
      </c>
      <c r="S2011" t="str" cm="1">
        <f t="array" ref="S2011">_xlfn.REGEXEXTRACT(E2011, "[0-9]{1,5}")</f>
        <v>2022</v>
      </c>
      <c r="T2011" t="s">
        <v>2497</v>
      </c>
      <c r="U2011" t="s">
        <v>3899</v>
      </c>
    </row>
    <row r="2012" spans="1:21">
      <c r="A2012" s="136">
        <v>4</v>
      </c>
      <c r="B2012" s="246">
        <v>2022</v>
      </c>
      <c r="C2012" s="247" t="s">
        <v>25</v>
      </c>
      <c r="D2012" s="247" t="s">
        <v>1965</v>
      </c>
      <c r="E2012" s="248" t="s">
        <v>2171</v>
      </c>
      <c r="F2012" s="248" t="s">
        <v>3752</v>
      </c>
      <c r="G2012" s="248" t="s">
        <v>2579</v>
      </c>
      <c r="H2012" s="249">
        <v>0.25</v>
      </c>
      <c r="I2012" s="249">
        <v>0.25</v>
      </c>
      <c r="J2012" s="246">
        <v>1</v>
      </c>
      <c r="K2012" s="250" t="s">
        <v>3806</v>
      </c>
      <c r="L2012" s="248"/>
      <c r="M2012" s="276" t="str">
        <f t="shared" si="66"/>
        <v>Photo</v>
      </c>
      <c r="N2012" s="279" t="s">
        <v>25</v>
      </c>
      <c r="O2012" t="str">
        <f t="shared" si="65"/>
        <v>2022-P Washington Quarter</v>
      </c>
      <c r="S2012" t="str" cm="1">
        <f t="array" ref="S2012">_xlfn.REGEXEXTRACT(E2012, "[0-9]{1,5}")</f>
        <v>2022</v>
      </c>
      <c r="T2012" t="s">
        <v>2497</v>
      </c>
      <c r="U2012" t="s">
        <v>3899</v>
      </c>
    </row>
    <row r="2013" spans="1:21">
      <c r="A2013" s="136">
        <v>4</v>
      </c>
      <c r="B2013" s="246">
        <v>2022</v>
      </c>
      <c r="C2013" s="247" t="s">
        <v>25</v>
      </c>
      <c r="D2013" s="247" t="s">
        <v>1965</v>
      </c>
      <c r="E2013" s="248" t="s">
        <v>2303</v>
      </c>
      <c r="F2013" s="248" t="s">
        <v>3752</v>
      </c>
      <c r="G2013" s="248" t="s">
        <v>2579</v>
      </c>
      <c r="H2013" s="249">
        <v>0.25</v>
      </c>
      <c r="I2013" s="249">
        <v>0.25</v>
      </c>
      <c r="J2013" s="246">
        <v>1</v>
      </c>
      <c r="K2013" s="250" t="s">
        <v>3807</v>
      </c>
      <c r="L2013" s="248"/>
      <c r="M2013" s="276" t="str">
        <f t="shared" si="66"/>
        <v>Photo</v>
      </c>
      <c r="N2013" s="279" t="s">
        <v>25</v>
      </c>
      <c r="O2013" t="str">
        <f t="shared" si="65"/>
        <v>2022-P Washington Quarter</v>
      </c>
      <c r="S2013" t="str" cm="1">
        <f t="array" ref="S2013">_xlfn.REGEXEXTRACT(E2013, "[0-9]{1,5}")</f>
        <v>2022</v>
      </c>
      <c r="T2013" t="s">
        <v>2497</v>
      </c>
      <c r="U2013" t="s">
        <v>3899</v>
      </c>
    </row>
    <row r="2014" spans="1:21">
      <c r="A2014" s="136">
        <v>4</v>
      </c>
      <c r="B2014" s="246">
        <v>2022</v>
      </c>
      <c r="C2014" s="247" t="s">
        <v>25</v>
      </c>
      <c r="D2014" s="247" t="s">
        <v>1965</v>
      </c>
      <c r="E2014" s="248" t="s">
        <v>3835</v>
      </c>
      <c r="F2014" s="248" t="s">
        <v>3752</v>
      </c>
      <c r="G2014" s="248" t="s">
        <v>2579</v>
      </c>
      <c r="H2014" s="249">
        <v>0.25</v>
      </c>
      <c r="I2014" s="249">
        <v>0.25</v>
      </c>
      <c r="J2014" s="246">
        <v>1</v>
      </c>
      <c r="K2014" s="250" t="s">
        <v>3805</v>
      </c>
      <c r="L2014" s="248"/>
      <c r="M2014" s="276" t="str">
        <f t="shared" si="66"/>
        <v>Photo</v>
      </c>
      <c r="N2014" s="279" t="s">
        <v>25</v>
      </c>
      <c r="O2014" t="str">
        <f t="shared" si="65"/>
        <v>2022-P Washington Quarter</v>
      </c>
      <c r="S2014" t="str" cm="1">
        <f t="array" ref="S2014">_xlfn.REGEXEXTRACT(E2014, "[0-9]{1,5}")</f>
        <v>2022</v>
      </c>
      <c r="T2014" t="s">
        <v>2497</v>
      </c>
      <c r="U2014" t="s">
        <v>3899</v>
      </c>
    </row>
    <row r="2015" spans="1:21">
      <c r="A2015" s="136">
        <v>4</v>
      </c>
      <c r="B2015" s="246">
        <v>2022</v>
      </c>
      <c r="C2015" s="247" t="s">
        <v>3839</v>
      </c>
      <c r="D2015" s="247" t="s">
        <v>1965</v>
      </c>
      <c r="E2015" s="248" t="s">
        <v>3840</v>
      </c>
      <c r="F2015" s="248" t="s">
        <v>3752</v>
      </c>
      <c r="G2015" s="248" t="s">
        <v>2579</v>
      </c>
      <c r="H2015" s="249">
        <v>0.25</v>
      </c>
      <c r="I2015" s="249">
        <v>0.25</v>
      </c>
      <c r="J2015" s="246">
        <v>1</v>
      </c>
      <c r="K2015" s="250" t="s">
        <v>3807</v>
      </c>
      <c r="L2015" s="248"/>
      <c r="M2015" s="276" t="str">
        <f t="shared" si="66"/>
        <v>Photo</v>
      </c>
      <c r="N2015" s="279" t="s">
        <v>25</v>
      </c>
      <c r="O2015" t="str">
        <f t="shared" si="65"/>
        <v>2022-p Washington Quarter</v>
      </c>
      <c r="S2015" t="str" cm="1">
        <f t="array" ref="S2015">_xlfn.REGEXEXTRACT(E2015, "[0-9]{1,5}")</f>
        <v>2022</v>
      </c>
      <c r="T2015" t="s">
        <v>2497</v>
      </c>
      <c r="U2015" t="s">
        <v>3899</v>
      </c>
    </row>
    <row r="2016" spans="1:21">
      <c r="A2016" s="136">
        <v>4</v>
      </c>
      <c r="B2016" s="246">
        <v>2022</v>
      </c>
      <c r="C2016" s="247" t="s">
        <v>25</v>
      </c>
      <c r="D2016" s="247" t="s">
        <v>1965</v>
      </c>
      <c r="E2016" s="248" t="s">
        <v>3841</v>
      </c>
      <c r="F2016" s="248" t="s">
        <v>3752</v>
      </c>
      <c r="G2016" s="248" t="s">
        <v>2579</v>
      </c>
      <c r="H2016" s="249">
        <v>0.25</v>
      </c>
      <c r="I2016" s="249">
        <v>0.25</v>
      </c>
      <c r="J2016" s="246">
        <v>1</v>
      </c>
      <c r="K2016" s="250" t="s">
        <v>3921</v>
      </c>
      <c r="L2016" s="248"/>
      <c r="M2016" s="276" t="str">
        <f t="shared" si="66"/>
        <v>Photo</v>
      </c>
      <c r="N2016" s="279" t="s">
        <v>25</v>
      </c>
      <c r="O2016" t="str">
        <f t="shared" si="65"/>
        <v>2022-P Washington Quarter</v>
      </c>
      <c r="S2016" t="str" cm="1">
        <f t="array" ref="S2016">_xlfn.REGEXEXTRACT(E2016, "[0-9]{1,5}")</f>
        <v>2022</v>
      </c>
      <c r="T2016" t="s">
        <v>2497</v>
      </c>
      <c r="U2016" t="s">
        <v>3899</v>
      </c>
    </row>
    <row r="2017" spans="1:21">
      <c r="A2017" s="136">
        <v>4</v>
      </c>
      <c r="B2017" s="246">
        <v>2022</v>
      </c>
      <c r="C2017" s="247" t="s">
        <v>25</v>
      </c>
      <c r="D2017" s="247" t="s">
        <v>1965</v>
      </c>
      <c r="E2017" s="248" t="s">
        <v>3842</v>
      </c>
      <c r="F2017" s="248" t="s">
        <v>3752</v>
      </c>
      <c r="G2017" s="248" t="s">
        <v>2579</v>
      </c>
      <c r="H2017" s="249">
        <v>0.25</v>
      </c>
      <c r="I2017" s="249">
        <v>0.25</v>
      </c>
      <c r="J2017" s="246">
        <v>1</v>
      </c>
      <c r="K2017" s="250" t="s">
        <v>3805</v>
      </c>
      <c r="L2017" s="248"/>
      <c r="M2017" s="276" t="str">
        <f t="shared" si="66"/>
        <v>Photo</v>
      </c>
      <c r="N2017" s="279" t="s">
        <v>25</v>
      </c>
      <c r="O2017" t="str">
        <f t="shared" si="65"/>
        <v>2022-P Washington Quarter</v>
      </c>
      <c r="S2017" t="str" cm="1">
        <f t="array" ref="S2017">_xlfn.REGEXEXTRACT(E2017, "[0-9]{1,5}")</f>
        <v>2022</v>
      </c>
      <c r="T2017" t="s">
        <v>4235</v>
      </c>
      <c r="U2017" t="s">
        <v>3899</v>
      </c>
    </row>
    <row r="2018" spans="1:21">
      <c r="A2018" s="136">
        <v>4</v>
      </c>
      <c r="B2018" s="246">
        <v>2022</v>
      </c>
      <c r="C2018" s="247" t="s">
        <v>13</v>
      </c>
      <c r="D2018" s="247" t="s">
        <v>1965</v>
      </c>
      <c r="E2018" s="248" t="s">
        <v>3917</v>
      </c>
      <c r="F2018" s="248" t="s">
        <v>3752</v>
      </c>
      <c r="G2018" s="248" t="s">
        <v>2579</v>
      </c>
      <c r="H2018" s="249">
        <v>0.25</v>
      </c>
      <c r="I2018" s="249">
        <v>0.25</v>
      </c>
      <c r="J2018" s="246">
        <v>1</v>
      </c>
      <c r="K2018" s="250" t="s">
        <v>3806</v>
      </c>
      <c r="L2018" s="248"/>
      <c r="M2018" s="276" t="str">
        <f t="shared" si="66"/>
        <v>Photo</v>
      </c>
      <c r="N2018" s="279" t="s">
        <v>25</v>
      </c>
      <c r="O2018" t="str">
        <f t="shared" si="65"/>
        <v>2022-D Washington Quarter</v>
      </c>
      <c r="S2018" t="str" cm="1">
        <f t="array" ref="S2018">_xlfn.REGEXEXTRACT(E2018, "[0-9]{1,5}")</f>
        <v>2022</v>
      </c>
      <c r="T2018" t="s">
        <v>4184</v>
      </c>
      <c r="U2018" t="s">
        <v>3899</v>
      </c>
    </row>
    <row r="2019" spans="1:21">
      <c r="A2019" s="136">
        <v>4</v>
      </c>
      <c r="B2019" s="246">
        <v>2022</v>
      </c>
      <c r="C2019" s="247" t="s">
        <v>25</v>
      </c>
      <c r="D2019" s="247" t="s">
        <v>1965</v>
      </c>
      <c r="E2019" s="248" t="s">
        <v>3918</v>
      </c>
      <c r="F2019" s="248" t="s">
        <v>3752</v>
      </c>
      <c r="G2019" s="248" t="s">
        <v>2579</v>
      </c>
      <c r="H2019" s="249">
        <v>0.25</v>
      </c>
      <c r="I2019" s="249">
        <v>0.25</v>
      </c>
      <c r="J2019" s="246">
        <v>1</v>
      </c>
      <c r="K2019" s="250" t="s">
        <v>3806</v>
      </c>
      <c r="L2019" s="248"/>
      <c r="M2019" s="276" t="str">
        <f t="shared" si="66"/>
        <v>Photo</v>
      </c>
      <c r="N2019" s="279" t="s">
        <v>25</v>
      </c>
      <c r="O2019" t="str">
        <f t="shared" si="65"/>
        <v>2022-P Washington Quarter</v>
      </c>
      <c r="S2019" t="str" cm="1">
        <f t="array" ref="S2019">_xlfn.REGEXEXTRACT(E2019, "[0-9]{1,5}")</f>
        <v>2022</v>
      </c>
      <c r="T2019" t="s">
        <v>4184</v>
      </c>
      <c r="U2019" t="s">
        <v>3899</v>
      </c>
    </row>
    <row r="2020" spans="1:21">
      <c r="A2020" s="136">
        <v>4</v>
      </c>
      <c r="B2020" s="233">
        <v>2023</v>
      </c>
      <c r="C2020" s="234" t="s">
        <v>25</v>
      </c>
      <c r="D2020" s="234" t="s">
        <v>1965</v>
      </c>
      <c r="E2020" s="235" t="s">
        <v>3936</v>
      </c>
      <c r="F2020" s="235" t="s">
        <v>3752</v>
      </c>
      <c r="G2020" s="235" t="s">
        <v>2579</v>
      </c>
      <c r="H2020" s="236">
        <v>0.25</v>
      </c>
      <c r="I2020" s="236">
        <v>0.25</v>
      </c>
      <c r="J2020" s="233">
        <v>1</v>
      </c>
      <c r="K2020" s="237" t="s">
        <v>3836</v>
      </c>
      <c r="L2020" s="235"/>
      <c r="M2020" s="276"/>
      <c r="N2020" s="279" t="s">
        <v>25</v>
      </c>
      <c r="O2020" t="str">
        <f t="shared" si="65"/>
        <v>2023-P Washington Quarter</v>
      </c>
      <c r="S2020" t="str" cm="1">
        <f t="array" ref="S2020">_xlfn.REGEXEXTRACT(E2020, "[0-9]{1,5}")</f>
        <v>2023</v>
      </c>
      <c r="T2020" t="s">
        <v>4185</v>
      </c>
      <c r="U2020" t="s">
        <v>3899</v>
      </c>
    </row>
    <row r="2021" spans="1:21">
      <c r="A2021" s="136">
        <v>4</v>
      </c>
      <c r="B2021" s="246">
        <v>2023</v>
      </c>
      <c r="C2021" s="247" t="s">
        <v>12</v>
      </c>
      <c r="D2021" s="247" t="s">
        <v>1965</v>
      </c>
      <c r="E2021" s="248" t="s">
        <v>1379</v>
      </c>
      <c r="F2021" s="248" t="s">
        <v>3752</v>
      </c>
      <c r="G2021" s="248" t="s">
        <v>2579</v>
      </c>
      <c r="H2021" s="249">
        <v>0.9</v>
      </c>
      <c r="I2021" s="249">
        <v>3.38</v>
      </c>
      <c r="J2021" s="246">
        <v>1</v>
      </c>
      <c r="K2021" s="250" t="s">
        <v>3808</v>
      </c>
      <c r="L2021" s="248"/>
      <c r="M2021" s="276" t="str">
        <f t="shared" ref="M2021:M2026" si="67">HYPERLINK($Y$2&amp;E2021&amp;$AA$2,"Photo")</f>
        <v>Photo</v>
      </c>
      <c r="N2021" s="279" t="s">
        <v>25</v>
      </c>
      <c r="O2021" t="str">
        <f t="shared" si="65"/>
        <v>2023-S Washington Quarter</v>
      </c>
      <c r="S2021" t="str" cm="1">
        <f t="array" ref="S2021">_xlfn.REGEXEXTRACT(E2021, "[0-9]{1,5}")</f>
        <v>2023</v>
      </c>
      <c r="T2021" t="s">
        <v>4185</v>
      </c>
      <c r="U2021" t="s">
        <v>3899</v>
      </c>
    </row>
    <row r="2022" spans="1:21">
      <c r="A2022" s="136">
        <v>4</v>
      </c>
      <c r="B2022" s="246">
        <v>2023</v>
      </c>
      <c r="C2022" s="247" t="s">
        <v>25</v>
      </c>
      <c r="D2022" s="247" t="s">
        <v>1965</v>
      </c>
      <c r="E2022" s="248" t="s">
        <v>1381</v>
      </c>
      <c r="F2022" s="248" t="s">
        <v>3752</v>
      </c>
      <c r="G2022" s="248" t="s">
        <v>2579</v>
      </c>
      <c r="H2022" s="249">
        <v>0.25</v>
      </c>
      <c r="I2022" s="249">
        <v>0.25</v>
      </c>
      <c r="J2022" s="246">
        <v>1</v>
      </c>
      <c r="K2022" s="250" t="s">
        <v>3809</v>
      </c>
      <c r="L2022" s="248"/>
      <c r="M2022" s="276" t="str">
        <f t="shared" si="67"/>
        <v>Photo</v>
      </c>
      <c r="N2022" s="279" t="s">
        <v>25</v>
      </c>
      <c r="O2022" t="str">
        <f t="shared" si="65"/>
        <v>2023-P Washington Quarter</v>
      </c>
      <c r="S2022" t="str" cm="1">
        <f t="array" ref="S2022">_xlfn.REGEXEXTRACT(E2022, "[0-9]{1,5}")</f>
        <v>2023</v>
      </c>
      <c r="T2022" t="s">
        <v>4185</v>
      </c>
      <c r="U2022" t="s">
        <v>3899</v>
      </c>
    </row>
    <row r="2023" spans="1:21">
      <c r="A2023" s="136">
        <v>4</v>
      </c>
      <c r="B2023" s="246">
        <v>2023</v>
      </c>
      <c r="C2023" s="247" t="s">
        <v>25</v>
      </c>
      <c r="D2023" s="247" t="s">
        <v>1965</v>
      </c>
      <c r="E2023" s="248" t="s">
        <v>1375</v>
      </c>
      <c r="F2023" s="248" t="s">
        <v>3752</v>
      </c>
      <c r="G2023" s="248" t="s">
        <v>2579</v>
      </c>
      <c r="H2023" s="249">
        <v>0.25</v>
      </c>
      <c r="I2023" s="249">
        <v>0.25</v>
      </c>
      <c r="J2023" s="246">
        <v>1</v>
      </c>
      <c r="K2023" s="250" t="s">
        <v>3809</v>
      </c>
      <c r="L2023" s="248"/>
      <c r="M2023" s="276" t="str">
        <f t="shared" si="67"/>
        <v>Photo</v>
      </c>
      <c r="N2023" s="279" t="s">
        <v>25</v>
      </c>
      <c r="O2023" t="str">
        <f t="shared" si="65"/>
        <v>2023-P Washington Quarter</v>
      </c>
      <c r="S2023" t="str" cm="1">
        <f t="array" ref="S2023">_xlfn.REGEXEXTRACT(E2023, "[0-9]{1,5}")</f>
        <v>2023</v>
      </c>
      <c r="T2023" t="s">
        <v>4185</v>
      </c>
      <c r="U2023" t="s">
        <v>3899</v>
      </c>
    </row>
    <row r="2024" spans="1:21">
      <c r="A2024" s="136">
        <v>4</v>
      </c>
      <c r="B2024" s="233">
        <v>2023</v>
      </c>
      <c r="C2024" s="234" t="s">
        <v>25</v>
      </c>
      <c r="D2024" s="234" t="s">
        <v>1965</v>
      </c>
      <c r="E2024" s="235" t="s">
        <v>1376</v>
      </c>
      <c r="F2024" s="235" t="s">
        <v>3752</v>
      </c>
      <c r="G2024" s="235" t="s">
        <v>2579</v>
      </c>
      <c r="H2024" s="236">
        <v>0.25</v>
      </c>
      <c r="I2024" s="236">
        <v>0.25</v>
      </c>
      <c r="J2024" s="233">
        <v>1</v>
      </c>
      <c r="K2024" s="237" t="s">
        <v>3926</v>
      </c>
      <c r="L2024" s="235"/>
      <c r="M2024" s="276" t="str">
        <f t="shared" si="67"/>
        <v>Photo</v>
      </c>
      <c r="N2024" s="279" t="s">
        <v>25</v>
      </c>
      <c r="O2024" t="str">
        <f t="shared" si="65"/>
        <v>2023-P Washington Quarter</v>
      </c>
      <c r="S2024" t="str" cm="1">
        <f t="array" ref="S2024">_xlfn.REGEXEXTRACT(E2024, "[0-9]{1,5}")</f>
        <v>2023</v>
      </c>
      <c r="T2024" t="s">
        <v>4185</v>
      </c>
      <c r="U2024" t="s">
        <v>3899</v>
      </c>
    </row>
    <row r="2025" spans="1:21">
      <c r="A2025" s="136">
        <v>4</v>
      </c>
      <c r="B2025" s="233">
        <v>2023</v>
      </c>
      <c r="C2025" s="234" t="s">
        <v>25</v>
      </c>
      <c r="D2025" s="234" t="s">
        <v>1965</v>
      </c>
      <c r="E2025" s="235" t="s">
        <v>1378</v>
      </c>
      <c r="F2025" s="235" t="s">
        <v>3752</v>
      </c>
      <c r="G2025" s="235" t="s">
        <v>2579</v>
      </c>
      <c r="H2025" s="236">
        <v>0.25</v>
      </c>
      <c r="I2025" s="236">
        <v>0.25</v>
      </c>
      <c r="J2025" s="233">
        <v>1</v>
      </c>
      <c r="K2025" s="237" t="s">
        <v>3836</v>
      </c>
      <c r="L2025" s="235"/>
      <c r="M2025" s="276" t="str">
        <f t="shared" si="67"/>
        <v>Photo</v>
      </c>
      <c r="N2025" s="279" t="s">
        <v>25</v>
      </c>
      <c r="O2025" t="str">
        <f t="shared" si="65"/>
        <v>2023-P Washington Quarter</v>
      </c>
      <c r="S2025" t="str" cm="1">
        <f t="array" ref="S2025">_xlfn.REGEXEXTRACT(E2025, "[0-9]{1,5}")</f>
        <v>2023</v>
      </c>
      <c r="T2025" t="s">
        <v>4185</v>
      </c>
      <c r="U2025" t="s">
        <v>3899</v>
      </c>
    </row>
    <row r="2026" spans="1:21">
      <c r="A2026" s="136">
        <v>4</v>
      </c>
      <c r="B2026" s="233">
        <v>2023</v>
      </c>
      <c r="C2026" s="234" t="s">
        <v>13</v>
      </c>
      <c r="D2026" s="234" t="s">
        <v>1965</v>
      </c>
      <c r="E2026" s="235" t="s">
        <v>3919</v>
      </c>
      <c r="F2026" s="235" t="s">
        <v>3752</v>
      </c>
      <c r="G2026" s="235" t="s">
        <v>2579</v>
      </c>
      <c r="H2026" s="236">
        <v>0.25</v>
      </c>
      <c r="I2026" s="236">
        <v>0.25</v>
      </c>
      <c r="J2026" s="233">
        <v>1</v>
      </c>
      <c r="K2026" s="237" t="s">
        <v>3806</v>
      </c>
      <c r="L2026" s="235"/>
      <c r="M2026" s="276" t="str">
        <f t="shared" si="67"/>
        <v>Photo</v>
      </c>
      <c r="N2026" s="279" t="s">
        <v>25</v>
      </c>
      <c r="O2026" t="str">
        <f t="shared" si="65"/>
        <v>2023-D Washington Quarter</v>
      </c>
      <c r="S2026" t="str" cm="1">
        <f t="array" ref="S2026">_xlfn.REGEXEXTRACT(E2026, "[0-9]{1,5}")</f>
        <v>2023</v>
      </c>
      <c r="T2026" t="s">
        <v>4185</v>
      </c>
      <c r="U2026" t="s">
        <v>3899</v>
      </c>
    </row>
    <row r="2027" spans="1:21">
      <c r="A2027" s="136">
        <v>4</v>
      </c>
      <c r="B2027" s="233">
        <v>2023</v>
      </c>
      <c r="C2027" s="234" t="s">
        <v>25</v>
      </c>
      <c r="D2027" s="234" t="s">
        <v>1965</v>
      </c>
      <c r="E2027" s="235" t="s">
        <v>3920</v>
      </c>
      <c r="F2027" s="235" t="s">
        <v>3752</v>
      </c>
      <c r="G2027" s="235" t="s">
        <v>2579</v>
      </c>
      <c r="H2027" s="236">
        <v>0.25</v>
      </c>
      <c r="I2027" s="236">
        <v>0.25</v>
      </c>
      <c r="J2027" s="233">
        <v>1</v>
      </c>
      <c r="K2027" s="237" t="s">
        <v>3921</v>
      </c>
      <c r="L2027" s="235"/>
      <c r="M2027" s="276"/>
      <c r="N2027" s="279" t="s">
        <v>25</v>
      </c>
      <c r="O2027" t="str">
        <f t="shared" si="65"/>
        <v>2023-P Washington Quarter</v>
      </c>
      <c r="S2027" t="str" cm="1">
        <f t="array" ref="S2027">_xlfn.REGEXEXTRACT(E2027, "[0-9]{1,5}")</f>
        <v>2023</v>
      </c>
      <c r="T2027" t="s">
        <v>4185</v>
      </c>
      <c r="U2027" t="s">
        <v>3899</v>
      </c>
    </row>
    <row r="2028" spans="1:21">
      <c r="A2028" s="136">
        <v>4</v>
      </c>
      <c r="B2028" s="233">
        <v>2023</v>
      </c>
      <c r="C2028" s="234" t="s">
        <v>25</v>
      </c>
      <c r="D2028" s="234" t="s">
        <v>1965</v>
      </c>
      <c r="E2028" s="235" t="s">
        <v>3927</v>
      </c>
      <c r="F2028" s="235" t="s">
        <v>3752</v>
      </c>
      <c r="G2028" s="235" t="s">
        <v>2579</v>
      </c>
      <c r="H2028" s="236">
        <v>0.25</v>
      </c>
      <c r="I2028" s="236">
        <v>0.25</v>
      </c>
      <c r="J2028" s="233">
        <v>1</v>
      </c>
      <c r="K2028" s="237" t="s">
        <v>3836</v>
      </c>
      <c r="L2028" s="235"/>
      <c r="M2028" s="276"/>
      <c r="N2028" s="279" t="s">
        <v>25</v>
      </c>
      <c r="O2028" t="str">
        <f t="shared" si="65"/>
        <v>2023-P Washington Quarter</v>
      </c>
      <c r="S2028" t="str" cm="1">
        <f t="array" ref="S2028">_xlfn.REGEXEXTRACT(E2028, "[0-9]{1,5}")</f>
        <v>2023</v>
      </c>
      <c r="T2028" t="s">
        <v>2498</v>
      </c>
      <c r="U2028" t="s">
        <v>3899</v>
      </c>
    </row>
    <row r="2029" spans="1:21">
      <c r="A2029" s="136">
        <v>4</v>
      </c>
      <c r="B2029" s="233">
        <v>2023</v>
      </c>
      <c r="C2029" s="234" t="s">
        <v>25</v>
      </c>
      <c r="D2029" s="234" t="s">
        <v>1965</v>
      </c>
      <c r="E2029" s="235" t="s">
        <v>3928</v>
      </c>
      <c r="F2029" s="235" t="s">
        <v>3752</v>
      </c>
      <c r="G2029" s="235" t="s">
        <v>2579</v>
      </c>
      <c r="H2029" s="236">
        <v>0.25</v>
      </c>
      <c r="I2029" s="236">
        <v>0.25</v>
      </c>
      <c r="J2029" s="233">
        <v>1</v>
      </c>
      <c r="K2029" s="237" t="s">
        <v>3836</v>
      </c>
      <c r="L2029" s="235"/>
      <c r="M2029" s="276"/>
      <c r="N2029" s="279" t="s">
        <v>25</v>
      </c>
      <c r="O2029" t="str">
        <f t="shared" si="65"/>
        <v>2023-P Washington Quarter</v>
      </c>
      <c r="S2029" t="str" cm="1">
        <f t="array" ref="S2029">_xlfn.REGEXEXTRACT(E2029, "[0-9]{1,5}")</f>
        <v>2023</v>
      </c>
      <c r="T2029" t="s">
        <v>2498</v>
      </c>
      <c r="U2029" t="s">
        <v>3899</v>
      </c>
    </row>
    <row r="2030" spans="1:21">
      <c r="A2030" s="136">
        <v>4</v>
      </c>
      <c r="B2030" s="233">
        <v>2023</v>
      </c>
      <c r="C2030" s="234" t="s">
        <v>25</v>
      </c>
      <c r="D2030" s="234" t="s">
        <v>1965</v>
      </c>
      <c r="E2030" s="235" t="s">
        <v>3929</v>
      </c>
      <c r="F2030" s="235" t="s">
        <v>3752</v>
      </c>
      <c r="G2030" s="235" t="s">
        <v>2579</v>
      </c>
      <c r="H2030" s="236">
        <v>0.25</v>
      </c>
      <c r="I2030" s="236">
        <v>0.25</v>
      </c>
      <c r="J2030" s="233">
        <v>1</v>
      </c>
      <c r="K2030" s="237" t="s">
        <v>3836</v>
      </c>
      <c r="L2030" s="235"/>
      <c r="M2030" s="276"/>
      <c r="N2030" s="279" t="s">
        <v>25</v>
      </c>
      <c r="O2030" t="str">
        <f t="shared" si="65"/>
        <v>2023-P Washington Quarter</v>
      </c>
      <c r="S2030" t="str" cm="1">
        <f t="array" ref="S2030">_xlfn.REGEXEXTRACT(E2030, "[0-9]{1,5}")</f>
        <v>2023</v>
      </c>
      <c r="T2030" t="s">
        <v>2498</v>
      </c>
      <c r="U2030" t="s">
        <v>3899</v>
      </c>
    </row>
    <row r="2031" spans="1:21">
      <c r="A2031" s="136">
        <v>4</v>
      </c>
      <c r="B2031" s="233">
        <v>2023</v>
      </c>
      <c r="C2031" s="234" t="s">
        <v>25</v>
      </c>
      <c r="D2031" s="234" t="s">
        <v>1965</v>
      </c>
      <c r="E2031" s="235" t="s">
        <v>3930</v>
      </c>
      <c r="F2031" s="235" t="s">
        <v>3752</v>
      </c>
      <c r="G2031" s="235" t="s">
        <v>2579</v>
      </c>
      <c r="H2031" s="236">
        <v>0.25</v>
      </c>
      <c r="I2031" s="236">
        <v>0.25</v>
      </c>
      <c r="J2031" s="233">
        <v>1</v>
      </c>
      <c r="K2031" s="237" t="s">
        <v>3931</v>
      </c>
      <c r="L2031" s="235"/>
      <c r="M2031" s="276"/>
      <c r="N2031" s="279" t="s">
        <v>25</v>
      </c>
      <c r="O2031" t="str">
        <f t="shared" si="65"/>
        <v>2023-P Washington Quarter</v>
      </c>
      <c r="S2031" t="str" cm="1">
        <f t="array" ref="S2031">_xlfn.REGEXEXTRACT(E2031, "[0-9]{1,5}")</f>
        <v>2023</v>
      </c>
      <c r="T2031" t="s">
        <v>2498</v>
      </c>
      <c r="U2031" t="s">
        <v>3899</v>
      </c>
    </row>
    <row r="2032" spans="1:21">
      <c r="A2032" s="136">
        <v>4</v>
      </c>
      <c r="B2032" s="246">
        <v>2024</v>
      </c>
      <c r="C2032" s="247" t="s">
        <v>25</v>
      </c>
      <c r="D2032" s="247" t="s">
        <v>1965</v>
      </c>
      <c r="E2032" s="248" t="s">
        <v>1383</v>
      </c>
      <c r="F2032" s="248" t="s">
        <v>3752</v>
      </c>
      <c r="G2032" s="248" t="s">
        <v>2579</v>
      </c>
      <c r="H2032" s="249">
        <v>0.25</v>
      </c>
      <c r="I2032" s="249">
        <v>0.25</v>
      </c>
      <c r="J2032" s="246">
        <v>1</v>
      </c>
      <c r="K2032" s="250" t="s">
        <v>3783</v>
      </c>
      <c r="L2032" s="248"/>
      <c r="M2032" s="276" t="str">
        <f t="shared" ref="M2032:M2073" si="68">HYPERLINK($Y$2&amp;E2032&amp;$AA$2,"Photo")</f>
        <v>Photo</v>
      </c>
      <c r="N2032" s="279" t="s">
        <v>25</v>
      </c>
      <c r="O2032" t="str">
        <f t="shared" si="65"/>
        <v>2024-P Washington Quarter</v>
      </c>
      <c r="S2032" t="str" cm="1">
        <f t="array" ref="S2032">_xlfn.REGEXEXTRACT(E2032, "[0-9]{1,5}")</f>
        <v>2024</v>
      </c>
      <c r="T2032" t="s">
        <v>2498</v>
      </c>
      <c r="U2032" t="s">
        <v>3899</v>
      </c>
    </row>
    <row r="2033" spans="1:21">
      <c r="A2033" s="136">
        <v>4</v>
      </c>
      <c r="B2033" s="246">
        <v>2024</v>
      </c>
      <c r="C2033" s="247" t="s">
        <v>25</v>
      </c>
      <c r="D2033" s="247" t="s">
        <v>1965</v>
      </c>
      <c r="E2033" s="248" t="s">
        <v>3826</v>
      </c>
      <c r="F2033" s="248" t="s">
        <v>3752</v>
      </c>
      <c r="G2033" s="248" t="s">
        <v>2579</v>
      </c>
      <c r="H2033" s="249">
        <v>0.25</v>
      </c>
      <c r="I2033" s="249">
        <v>0.25</v>
      </c>
      <c r="J2033" s="246">
        <v>1</v>
      </c>
      <c r="K2033" s="250" t="s">
        <v>3827</v>
      </c>
      <c r="L2033" s="248"/>
      <c r="M2033" s="276" t="str">
        <f t="shared" si="68"/>
        <v>Photo</v>
      </c>
      <c r="N2033" s="279" t="s">
        <v>25</v>
      </c>
      <c r="O2033" t="str">
        <f t="shared" si="65"/>
        <v>2024-P Washington Quarter</v>
      </c>
      <c r="S2033" t="str" cm="1">
        <f t="array" ref="S2033">_xlfn.REGEXEXTRACT(E2033, "[0-9]{1,5}")</f>
        <v>2024</v>
      </c>
      <c r="T2033" t="s">
        <v>2498</v>
      </c>
      <c r="U2033" t="s">
        <v>3899</v>
      </c>
    </row>
    <row r="2034" spans="1:21">
      <c r="A2034" s="136">
        <v>4</v>
      </c>
      <c r="B2034" s="246">
        <v>2024</v>
      </c>
      <c r="C2034" s="247" t="s">
        <v>25</v>
      </c>
      <c r="D2034" s="247" t="s">
        <v>1965</v>
      </c>
      <c r="E2034" s="248" t="s">
        <v>3832</v>
      </c>
      <c r="F2034" s="248" t="s">
        <v>3752</v>
      </c>
      <c r="G2034" s="248" t="s">
        <v>2579</v>
      </c>
      <c r="H2034" s="249">
        <v>0.25</v>
      </c>
      <c r="I2034" s="249">
        <v>0.25</v>
      </c>
      <c r="J2034" s="246">
        <v>1</v>
      </c>
      <c r="K2034" s="250" t="s">
        <v>3783</v>
      </c>
      <c r="L2034" s="248"/>
      <c r="M2034" s="276" t="str">
        <f t="shared" si="68"/>
        <v>Photo</v>
      </c>
      <c r="N2034" s="279" t="s">
        <v>25</v>
      </c>
      <c r="O2034" t="str">
        <f t="shared" si="65"/>
        <v>2024-P Washington Quarter</v>
      </c>
      <c r="S2034" t="str" cm="1">
        <f t="array" ref="S2034">_xlfn.REGEXEXTRACT(E2034, "[0-9]{1,5}")</f>
        <v>2024</v>
      </c>
      <c r="T2034" t="s">
        <v>2498</v>
      </c>
      <c r="U2034" t="s">
        <v>3899</v>
      </c>
    </row>
    <row r="2035" spans="1:21">
      <c r="A2035" s="136">
        <v>4</v>
      </c>
      <c r="B2035" s="246">
        <v>2024</v>
      </c>
      <c r="C2035" s="247" t="s">
        <v>25</v>
      </c>
      <c r="D2035" s="247" t="s">
        <v>1965</v>
      </c>
      <c r="E2035" s="248" t="s">
        <v>3833</v>
      </c>
      <c r="F2035" s="248" t="s">
        <v>3752</v>
      </c>
      <c r="G2035" s="248" t="s">
        <v>2579</v>
      </c>
      <c r="H2035" s="249">
        <v>0.25</v>
      </c>
      <c r="I2035" s="249">
        <v>0.25</v>
      </c>
      <c r="J2035" s="246">
        <v>1</v>
      </c>
      <c r="K2035" s="250" t="s">
        <v>3834</v>
      </c>
      <c r="L2035" s="248"/>
      <c r="M2035" s="276" t="str">
        <f t="shared" si="68"/>
        <v>Photo</v>
      </c>
      <c r="N2035" s="279" t="s">
        <v>25</v>
      </c>
      <c r="O2035" t="str">
        <f t="shared" si="65"/>
        <v>2024-P Washington Quarter</v>
      </c>
      <c r="S2035" t="str" cm="1">
        <f t="array" ref="S2035">_xlfn.REGEXEXTRACT(E2035, "[0-9]{1,5}")</f>
        <v>2024</v>
      </c>
      <c r="T2035" t="s">
        <v>2498</v>
      </c>
      <c r="U2035" t="s">
        <v>3899</v>
      </c>
    </row>
    <row r="2036" spans="1:21">
      <c r="A2036" s="136">
        <v>4</v>
      </c>
      <c r="B2036" s="246">
        <v>2024</v>
      </c>
      <c r="C2036" s="247" t="s">
        <v>25</v>
      </c>
      <c r="D2036" s="247" t="s">
        <v>1965</v>
      </c>
      <c r="E2036" s="248" t="s">
        <v>3837</v>
      </c>
      <c r="F2036" s="248" t="s">
        <v>3752</v>
      </c>
      <c r="G2036" s="248" t="s">
        <v>2579</v>
      </c>
      <c r="H2036" s="249">
        <v>0.25</v>
      </c>
      <c r="I2036" s="249">
        <v>0.25</v>
      </c>
      <c r="J2036" s="246">
        <v>1</v>
      </c>
      <c r="K2036" s="250" t="s">
        <v>3838</v>
      </c>
      <c r="L2036" s="248"/>
      <c r="M2036" s="276" t="str">
        <f t="shared" si="68"/>
        <v>Photo</v>
      </c>
      <c r="N2036" s="279" t="s">
        <v>25</v>
      </c>
      <c r="O2036" t="str">
        <f t="shared" si="65"/>
        <v>2024-P Washington Quarter</v>
      </c>
      <c r="S2036" t="str" cm="1">
        <f t="array" ref="S2036">_xlfn.REGEXEXTRACT(E2036, "[0-9]{1,5}")</f>
        <v>2024</v>
      </c>
      <c r="T2036" t="s">
        <v>2498</v>
      </c>
      <c r="U2036" t="s">
        <v>3899</v>
      </c>
    </row>
    <row r="2037" spans="1:21">
      <c r="A2037" s="136">
        <v>5</v>
      </c>
      <c r="B2037" s="256">
        <v>1936</v>
      </c>
      <c r="C2037" s="257"/>
      <c r="D2037" s="257" t="s">
        <v>1966</v>
      </c>
      <c r="E2037" s="258" t="s">
        <v>3988</v>
      </c>
      <c r="F2037" s="258" t="s">
        <v>2609</v>
      </c>
      <c r="G2037" s="258" t="s">
        <v>2579</v>
      </c>
      <c r="H2037" s="259">
        <v>20</v>
      </c>
      <c r="I2037" s="259">
        <v>22</v>
      </c>
      <c r="J2037" s="256">
        <v>1</v>
      </c>
      <c r="K2037" s="260"/>
      <c r="L2037" s="261"/>
      <c r="M2037" s="276" t="str">
        <f t="shared" si="68"/>
        <v>Photo</v>
      </c>
      <c r="N2037" s="279" t="s">
        <v>25</v>
      </c>
      <c r="O2037" t="str">
        <f t="shared" si="65"/>
        <v>1936 Standing Liberty Half</v>
      </c>
      <c r="S2037" t="str" cm="1">
        <f t="array" ref="S2037">_xlfn.REGEXEXTRACT(E2037, "[0-9]{1,5}")</f>
        <v>1936</v>
      </c>
      <c r="T2037" t="s">
        <v>2498</v>
      </c>
      <c r="U2037" t="s">
        <v>3899</v>
      </c>
    </row>
    <row r="2038" spans="1:21">
      <c r="A2038" s="136">
        <v>5</v>
      </c>
      <c r="B2038" s="256">
        <v>1937</v>
      </c>
      <c r="C2038" s="257"/>
      <c r="D2038" s="257" t="s">
        <v>1966</v>
      </c>
      <c r="E2038" s="258" t="s">
        <v>3989</v>
      </c>
      <c r="F2038" s="258" t="s">
        <v>2609</v>
      </c>
      <c r="G2038" s="258" t="s">
        <v>2579</v>
      </c>
      <c r="H2038" s="259">
        <v>9</v>
      </c>
      <c r="I2038" s="259">
        <v>22</v>
      </c>
      <c r="J2038" s="256">
        <v>1</v>
      </c>
      <c r="K2038" s="262"/>
      <c r="L2038" s="261"/>
      <c r="M2038" s="276" t="str">
        <f t="shared" si="68"/>
        <v>Photo</v>
      </c>
      <c r="N2038" s="279" t="s">
        <v>25</v>
      </c>
      <c r="O2038" t="str">
        <f t="shared" si="65"/>
        <v>1937 Standing Liberty Half</v>
      </c>
      <c r="S2038" t="str" cm="1">
        <f t="array" ref="S2038">_xlfn.REGEXEXTRACT(E2038, "[0-9]{1,5}")</f>
        <v>1937</v>
      </c>
      <c r="T2038" t="s">
        <v>2498</v>
      </c>
      <c r="U2038" t="s">
        <v>3899</v>
      </c>
    </row>
    <row r="2039" spans="1:21">
      <c r="A2039" s="136">
        <v>5</v>
      </c>
      <c r="B2039" s="256">
        <v>1938</v>
      </c>
      <c r="C2039" s="257"/>
      <c r="D2039" s="257" t="s">
        <v>1966</v>
      </c>
      <c r="E2039" s="258" t="s">
        <v>3990</v>
      </c>
      <c r="F2039" s="258" t="s">
        <v>2609</v>
      </c>
      <c r="G2039" s="258" t="s">
        <v>2579</v>
      </c>
      <c r="H2039" s="259">
        <v>13</v>
      </c>
      <c r="I2039" s="259">
        <v>28</v>
      </c>
      <c r="J2039" s="256">
        <v>1</v>
      </c>
      <c r="K2039" s="262"/>
      <c r="L2039" s="261"/>
      <c r="M2039" s="276" t="str">
        <f t="shared" si="68"/>
        <v>Photo</v>
      </c>
      <c r="N2039" s="279" t="s">
        <v>25</v>
      </c>
      <c r="O2039" t="str">
        <f t="shared" si="65"/>
        <v>1938 Standing Liberty Half</v>
      </c>
      <c r="S2039" t="str" cm="1">
        <f t="array" ref="S2039">_xlfn.REGEXEXTRACT(E2039, "[0-9]{1,5}")</f>
        <v>1938</v>
      </c>
      <c r="T2039" t="s">
        <v>2498</v>
      </c>
      <c r="U2039" t="s">
        <v>3899</v>
      </c>
    </row>
    <row r="2040" spans="1:21">
      <c r="A2040" s="136">
        <v>5</v>
      </c>
      <c r="B2040" s="256">
        <v>1938</v>
      </c>
      <c r="C2040" s="257"/>
      <c r="D2040" s="257" t="s">
        <v>1966</v>
      </c>
      <c r="E2040" s="258" t="s">
        <v>3991</v>
      </c>
      <c r="F2040" s="258" t="s">
        <v>2609</v>
      </c>
      <c r="G2040" s="258" t="s">
        <v>2579</v>
      </c>
      <c r="H2040" s="259">
        <v>13</v>
      </c>
      <c r="I2040" s="259">
        <v>28</v>
      </c>
      <c r="J2040" s="256">
        <v>1</v>
      </c>
      <c r="K2040" s="260"/>
      <c r="L2040" s="261"/>
      <c r="M2040" s="276" t="str">
        <f t="shared" si="68"/>
        <v>Photo</v>
      </c>
      <c r="N2040" s="279" t="s">
        <v>25</v>
      </c>
      <c r="O2040" t="str">
        <f t="shared" si="65"/>
        <v>1938 Standing Liberty Half</v>
      </c>
      <c r="S2040" t="str" cm="1">
        <f t="array" ref="S2040">_xlfn.REGEXEXTRACT(E2040, "[0-9]{1,5}")</f>
        <v>1938</v>
      </c>
      <c r="T2040" t="s">
        <v>2498</v>
      </c>
      <c r="U2040" t="s">
        <v>3899</v>
      </c>
    </row>
    <row r="2041" spans="1:21">
      <c r="A2041" s="136">
        <v>5</v>
      </c>
      <c r="B2041" s="256">
        <v>1939</v>
      </c>
      <c r="C2041" s="257"/>
      <c r="D2041" s="257" t="s">
        <v>1966</v>
      </c>
      <c r="E2041" s="258" t="s">
        <v>3992</v>
      </c>
      <c r="F2041" s="258" t="s">
        <v>2609</v>
      </c>
      <c r="G2041" s="258" t="s">
        <v>2579</v>
      </c>
      <c r="H2041" s="259">
        <v>12</v>
      </c>
      <c r="I2041" s="259">
        <v>22</v>
      </c>
      <c r="J2041" s="256">
        <v>1</v>
      </c>
      <c r="K2041" s="262"/>
      <c r="L2041" s="261"/>
      <c r="M2041" s="276" t="str">
        <f t="shared" si="68"/>
        <v>Photo</v>
      </c>
      <c r="N2041" s="279" t="s">
        <v>25</v>
      </c>
      <c r="O2041" t="str">
        <f t="shared" si="65"/>
        <v>1939 Standing Liberty Half</v>
      </c>
      <c r="S2041" t="str" cm="1">
        <f t="array" ref="S2041">_xlfn.REGEXEXTRACT(E2041, "[0-9]{1,5}")</f>
        <v>1939</v>
      </c>
      <c r="T2041" t="s">
        <v>2498</v>
      </c>
      <c r="U2041" t="s">
        <v>3899</v>
      </c>
    </row>
    <row r="2042" spans="1:21">
      <c r="A2042" s="136">
        <v>5</v>
      </c>
      <c r="B2042" s="256">
        <v>1940</v>
      </c>
      <c r="C2042" s="257"/>
      <c r="D2042" s="257" t="s">
        <v>1966</v>
      </c>
      <c r="E2042" s="258" t="s">
        <v>3993</v>
      </c>
      <c r="F2042" s="258" t="s">
        <v>2609</v>
      </c>
      <c r="G2042" s="258" t="s">
        <v>2579</v>
      </c>
      <c r="H2042" s="259">
        <v>10</v>
      </c>
      <c r="I2042" s="259">
        <v>22</v>
      </c>
      <c r="J2042" s="256">
        <v>1</v>
      </c>
      <c r="K2042" s="262"/>
      <c r="L2042" s="261"/>
      <c r="M2042" s="276" t="str">
        <f t="shared" si="68"/>
        <v>Photo</v>
      </c>
      <c r="N2042" s="279" t="s">
        <v>25</v>
      </c>
      <c r="O2042" t="str">
        <f t="shared" si="65"/>
        <v>1940 Standing Liberty Half</v>
      </c>
      <c r="S2042" t="str" cm="1">
        <f t="array" ref="S2042">_xlfn.REGEXEXTRACT(E2042, "[0-9]{1,5}")</f>
        <v>1940</v>
      </c>
      <c r="T2042" t="s">
        <v>2498</v>
      </c>
      <c r="U2042" t="s">
        <v>3899</v>
      </c>
    </row>
    <row r="2043" spans="1:21">
      <c r="A2043" s="136">
        <v>5</v>
      </c>
      <c r="B2043" s="256">
        <v>1941</v>
      </c>
      <c r="C2043" s="257" t="s">
        <v>13</v>
      </c>
      <c r="D2043" s="257" t="s">
        <v>1966</v>
      </c>
      <c r="E2043" s="258" t="s">
        <v>3994</v>
      </c>
      <c r="F2043" s="258" t="s">
        <v>2609</v>
      </c>
      <c r="G2043" s="258" t="s">
        <v>2579</v>
      </c>
      <c r="H2043" s="259">
        <v>30</v>
      </c>
      <c r="I2043" s="259">
        <v>22</v>
      </c>
      <c r="J2043" s="256">
        <v>1</v>
      </c>
      <c r="K2043" s="260"/>
      <c r="L2043" s="261"/>
      <c r="M2043" s="276" t="str">
        <f t="shared" si="68"/>
        <v>Photo</v>
      </c>
      <c r="N2043" s="279" t="s">
        <v>25</v>
      </c>
      <c r="O2043" t="str">
        <f t="shared" si="65"/>
        <v>1941-D Standing Liberty Half</v>
      </c>
      <c r="S2043" t="str" cm="1">
        <f t="array" ref="S2043">_xlfn.REGEXEXTRACT(E2043, "[0-9]{1,5}")</f>
        <v>1941</v>
      </c>
      <c r="T2043" t="s">
        <v>2498</v>
      </c>
      <c r="U2043" t="s">
        <v>3899</v>
      </c>
    </row>
    <row r="2044" spans="1:21">
      <c r="A2044" s="136">
        <v>5</v>
      </c>
      <c r="B2044" s="256">
        <v>1942</v>
      </c>
      <c r="C2044" s="257"/>
      <c r="D2044" s="257" t="s">
        <v>1966</v>
      </c>
      <c r="E2044" s="258" t="s">
        <v>3995</v>
      </c>
      <c r="F2044" s="258" t="s">
        <v>2609</v>
      </c>
      <c r="G2044" s="258" t="s">
        <v>2579</v>
      </c>
      <c r="H2044" s="259">
        <v>13</v>
      </c>
      <c r="I2044" s="259">
        <v>22</v>
      </c>
      <c r="J2044" s="256">
        <v>1</v>
      </c>
      <c r="K2044" s="260"/>
      <c r="L2044" s="261"/>
      <c r="M2044" s="276" t="str">
        <f t="shared" si="68"/>
        <v>Photo</v>
      </c>
      <c r="N2044" s="279" t="s">
        <v>25</v>
      </c>
      <c r="O2044" t="str">
        <f t="shared" si="65"/>
        <v>1942 Standing Liberty Half</v>
      </c>
      <c r="S2044" t="str" cm="1">
        <f t="array" ref="S2044">_xlfn.REGEXEXTRACT(E2044, "[0-9]{1,5}")</f>
        <v>1942</v>
      </c>
      <c r="T2044" t="s">
        <v>2498</v>
      </c>
      <c r="U2044" t="s">
        <v>3899</v>
      </c>
    </row>
    <row r="2045" spans="1:21">
      <c r="A2045" s="136">
        <v>5</v>
      </c>
      <c r="B2045" s="256">
        <v>1943</v>
      </c>
      <c r="C2045" s="257" t="s">
        <v>12</v>
      </c>
      <c r="D2045" s="257" t="s">
        <v>1966</v>
      </c>
      <c r="E2045" s="258" t="s">
        <v>3996</v>
      </c>
      <c r="F2045" s="258" t="s">
        <v>2609</v>
      </c>
      <c r="G2045" s="258" t="s">
        <v>2579</v>
      </c>
      <c r="H2045" s="259">
        <v>28</v>
      </c>
      <c r="I2045" s="259">
        <v>22</v>
      </c>
      <c r="J2045" s="256">
        <v>1</v>
      </c>
      <c r="K2045" s="260"/>
      <c r="L2045" s="261"/>
      <c r="M2045" s="276" t="str">
        <f t="shared" si="68"/>
        <v>Photo</v>
      </c>
      <c r="N2045" s="279" t="s">
        <v>25</v>
      </c>
      <c r="O2045" t="str">
        <f t="shared" si="65"/>
        <v>1943-S Standing Liberty Half</v>
      </c>
      <c r="S2045" t="str" cm="1">
        <f t="array" ref="S2045">_xlfn.REGEXEXTRACT(E2045, "[0-9]{1,5}")</f>
        <v>1943</v>
      </c>
      <c r="T2045" t="s">
        <v>2498</v>
      </c>
      <c r="U2045" t="s">
        <v>3899</v>
      </c>
    </row>
    <row r="2046" spans="1:21">
      <c r="A2046" s="136">
        <v>5</v>
      </c>
      <c r="B2046" s="256">
        <v>1943</v>
      </c>
      <c r="C2046" s="257"/>
      <c r="D2046" s="257" t="s">
        <v>1966</v>
      </c>
      <c r="E2046" s="258" t="s">
        <v>3997</v>
      </c>
      <c r="F2046" s="258" t="s">
        <v>2609</v>
      </c>
      <c r="G2046" s="258" t="s">
        <v>2579</v>
      </c>
      <c r="H2046" s="259">
        <v>13</v>
      </c>
      <c r="I2046" s="259">
        <v>22</v>
      </c>
      <c r="J2046" s="256">
        <v>1</v>
      </c>
      <c r="K2046" s="260"/>
      <c r="L2046" s="261"/>
      <c r="M2046" s="276" t="str">
        <f t="shared" si="68"/>
        <v>Photo</v>
      </c>
      <c r="N2046" s="279" t="s">
        <v>25</v>
      </c>
      <c r="O2046" t="str">
        <f t="shared" si="65"/>
        <v>1943 Standing Liberty Half</v>
      </c>
      <c r="S2046" t="str" cm="1">
        <f t="array" ref="S2046">_xlfn.REGEXEXTRACT(E2046, "[0-9]{1,5}")</f>
        <v>1943</v>
      </c>
      <c r="T2046" t="s">
        <v>2498</v>
      </c>
      <c r="U2046" t="s">
        <v>3899</v>
      </c>
    </row>
    <row r="2047" spans="1:21">
      <c r="A2047" s="136">
        <v>5</v>
      </c>
      <c r="B2047" s="256">
        <v>1944</v>
      </c>
      <c r="C2047" s="257"/>
      <c r="D2047" s="257" t="s">
        <v>1966</v>
      </c>
      <c r="E2047" s="258" t="s">
        <v>3998</v>
      </c>
      <c r="F2047" s="258" t="s">
        <v>2609</v>
      </c>
      <c r="G2047" s="258" t="s">
        <v>2579</v>
      </c>
      <c r="H2047" s="259">
        <v>19</v>
      </c>
      <c r="I2047" s="259">
        <v>22</v>
      </c>
      <c r="J2047" s="256">
        <v>1</v>
      </c>
      <c r="K2047" s="260"/>
      <c r="L2047" s="261"/>
      <c r="M2047" s="276" t="str">
        <f t="shared" si="68"/>
        <v>Photo</v>
      </c>
      <c r="N2047" s="279" t="s">
        <v>25</v>
      </c>
      <c r="O2047" t="str">
        <f t="shared" si="65"/>
        <v>1944 Standing Liberty Half</v>
      </c>
      <c r="S2047" t="str" cm="1">
        <f t="array" ref="S2047">_xlfn.REGEXEXTRACT(E2047, "[0-9]{1,5}")</f>
        <v>1944</v>
      </c>
      <c r="T2047" t="s">
        <v>2498</v>
      </c>
      <c r="U2047" t="s">
        <v>3899</v>
      </c>
    </row>
    <row r="2048" spans="1:21">
      <c r="A2048" s="136">
        <v>5</v>
      </c>
      <c r="B2048" s="256">
        <v>1945</v>
      </c>
      <c r="C2048" s="257"/>
      <c r="D2048" s="257" t="s">
        <v>1966</v>
      </c>
      <c r="E2048" s="258" t="s">
        <v>3999</v>
      </c>
      <c r="F2048" s="258" t="s">
        <v>2609</v>
      </c>
      <c r="G2048" s="258" t="s">
        <v>2579</v>
      </c>
      <c r="H2048" s="259">
        <v>23</v>
      </c>
      <c r="I2048" s="259">
        <v>22</v>
      </c>
      <c r="J2048" s="256">
        <v>1</v>
      </c>
      <c r="K2048" s="260"/>
      <c r="L2048" s="261"/>
      <c r="M2048" s="276" t="str">
        <f t="shared" si="68"/>
        <v>Photo</v>
      </c>
      <c r="N2048" s="279" t="s">
        <v>25</v>
      </c>
      <c r="O2048" t="str">
        <f t="shared" si="65"/>
        <v>1945 Standing Liberty Half</v>
      </c>
      <c r="S2048" t="str" cm="1">
        <f t="array" ref="S2048">_xlfn.REGEXEXTRACT(E2048, "[0-9]{1,5}")</f>
        <v>1945</v>
      </c>
      <c r="T2048" t="s">
        <v>2500</v>
      </c>
      <c r="U2048" t="s">
        <v>3899</v>
      </c>
    </row>
    <row r="2049" spans="1:21">
      <c r="A2049" s="136">
        <v>5</v>
      </c>
      <c r="B2049" s="256">
        <v>1946</v>
      </c>
      <c r="C2049" s="257"/>
      <c r="D2049" s="257" t="s">
        <v>1966</v>
      </c>
      <c r="E2049" s="258" t="s">
        <v>4000</v>
      </c>
      <c r="F2049" s="258" t="s">
        <v>2609</v>
      </c>
      <c r="G2049" s="258" t="s">
        <v>2579</v>
      </c>
      <c r="H2049" s="259">
        <v>19</v>
      </c>
      <c r="I2049" s="259">
        <v>22</v>
      </c>
      <c r="J2049" s="256">
        <v>1</v>
      </c>
      <c r="K2049" s="260"/>
      <c r="L2049" s="261"/>
      <c r="M2049" s="276" t="str">
        <f t="shared" si="68"/>
        <v>Photo</v>
      </c>
      <c r="N2049" s="279" t="s">
        <v>25</v>
      </c>
      <c r="O2049" t="str">
        <f t="shared" si="65"/>
        <v>1946 Standing Liberty Half</v>
      </c>
      <c r="S2049" t="str" cm="1">
        <f t="array" ref="S2049">_xlfn.REGEXEXTRACT(E2049, "[0-9]{1,5}")</f>
        <v>1946</v>
      </c>
      <c r="T2049" t="s">
        <v>2500</v>
      </c>
      <c r="U2049" t="s">
        <v>3899</v>
      </c>
    </row>
    <row r="2050" spans="1:21">
      <c r="A2050" s="136">
        <v>5</v>
      </c>
      <c r="B2050" s="256">
        <v>1947</v>
      </c>
      <c r="C2050" s="257"/>
      <c r="D2050" s="257" t="s">
        <v>1966</v>
      </c>
      <c r="E2050" s="258" t="s">
        <v>4001</v>
      </c>
      <c r="F2050" s="258" t="s">
        <v>2609</v>
      </c>
      <c r="G2050" s="258" t="s">
        <v>2579</v>
      </c>
      <c r="H2050" s="259">
        <v>7</v>
      </c>
      <c r="I2050" s="259">
        <v>26</v>
      </c>
      <c r="J2050" s="256">
        <v>1</v>
      </c>
      <c r="K2050" s="260"/>
      <c r="L2050" s="261"/>
      <c r="M2050" s="276" t="str">
        <f t="shared" si="68"/>
        <v>Photo</v>
      </c>
      <c r="N2050" s="279" t="s">
        <v>25</v>
      </c>
      <c r="O2050" t="str">
        <f t="shared" si="65"/>
        <v>1947 Standing Liberty Half</v>
      </c>
      <c r="S2050" t="str" cm="1">
        <f t="array" ref="S2050">_xlfn.REGEXEXTRACT(E2050, "[0-9]{1,5}")</f>
        <v>1947</v>
      </c>
      <c r="T2050" t="s">
        <v>2500</v>
      </c>
      <c r="U2050" t="s">
        <v>3899</v>
      </c>
    </row>
    <row r="2051" spans="1:21">
      <c r="A2051" s="136">
        <v>5</v>
      </c>
      <c r="B2051" s="256">
        <v>1948</v>
      </c>
      <c r="C2051" s="257" t="s">
        <v>13</v>
      </c>
      <c r="D2051" s="257" t="s">
        <v>1966</v>
      </c>
      <c r="E2051" s="258" t="s">
        <v>4002</v>
      </c>
      <c r="F2051" s="258" t="s">
        <v>2590</v>
      </c>
      <c r="G2051" s="258" t="s">
        <v>2579</v>
      </c>
      <c r="H2051" s="259">
        <v>18.98</v>
      </c>
      <c r="I2051" s="259">
        <v>29</v>
      </c>
      <c r="J2051" s="256">
        <v>1</v>
      </c>
      <c r="K2051" s="263"/>
      <c r="L2051" s="264"/>
      <c r="M2051" s="276" t="str">
        <f t="shared" si="68"/>
        <v>Photo</v>
      </c>
      <c r="N2051" s="279" t="s">
        <v>25</v>
      </c>
      <c r="O2051" t="str">
        <f t="shared" si="65"/>
        <v>1948-D Franklin Half</v>
      </c>
      <c r="S2051" t="str" cm="1">
        <f t="array" ref="S2051">_xlfn.REGEXEXTRACT(E2051, "[0-9]{1,5}")</f>
        <v>1948</v>
      </c>
      <c r="T2051" t="s">
        <v>2500</v>
      </c>
      <c r="U2051" t="s">
        <v>3899</v>
      </c>
    </row>
    <row r="2052" spans="1:21">
      <c r="A2052" s="136">
        <v>5</v>
      </c>
      <c r="B2052" s="256">
        <v>1949</v>
      </c>
      <c r="C2052" s="257"/>
      <c r="D2052" s="257" t="s">
        <v>1966</v>
      </c>
      <c r="E2052" s="258" t="s">
        <v>4003</v>
      </c>
      <c r="F2052" s="258" t="s">
        <v>2590</v>
      </c>
      <c r="G2052" s="258" t="s">
        <v>2579</v>
      </c>
      <c r="H2052" s="259">
        <v>19.489999999999998</v>
      </c>
      <c r="I2052" s="259">
        <v>21</v>
      </c>
      <c r="J2052" s="256">
        <v>1</v>
      </c>
      <c r="K2052" s="262"/>
      <c r="L2052" s="261"/>
      <c r="M2052" s="276" t="str">
        <f t="shared" si="68"/>
        <v>Photo</v>
      </c>
      <c r="N2052" s="279" t="s">
        <v>25</v>
      </c>
      <c r="O2052" t="str">
        <f t="shared" ref="O2052:O2115" si="69">IF(C2052&lt;&gt;"",B2052&amp;"-"&amp;C2052&amp;" "&amp;F2052,B2052&amp;" "&amp;F2052)</f>
        <v>1949 Franklin Half</v>
      </c>
      <c r="S2052" t="str" cm="1">
        <f t="array" ref="S2052">_xlfn.REGEXEXTRACT(E2052, "[0-9]{1,5}")</f>
        <v>1949</v>
      </c>
      <c r="T2052" t="s">
        <v>2500</v>
      </c>
      <c r="U2052" t="s">
        <v>3899</v>
      </c>
    </row>
    <row r="2053" spans="1:21">
      <c r="A2053" s="136">
        <v>5</v>
      </c>
      <c r="B2053" s="256">
        <v>1949</v>
      </c>
      <c r="C2053" s="257"/>
      <c r="D2053" s="257" t="s">
        <v>1966</v>
      </c>
      <c r="E2053" s="258" t="s">
        <v>4004</v>
      </c>
      <c r="F2053" s="258" t="s">
        <v>2590</v>
      </c>
      <c r="G2053" s="258" t="s">
        <v>2579</v>
      </c>
      <c r="H2053" s="259">
        <v>19.489999999999998</v>
      </c>
      <c r="I2053" s="259">
        <v>69</v>
      </c>
      <c r="J2053" s="256">
        <v>1</v>
      </c>
      <c r="K2053" s="262"/>
      <c r="L2053" s="261"/>
      <c r="M2053" s="276" t="str">
        <f t="shared" si="68"/>
        <v>Photo</v>
      </c>
      <c r="N2053" s="279" t="s">
        <v>25</v>
      </c>
      <c r="O2053" t="str">
        <f t="shared" si="69"/>
        <v>1949 Franklin Half</v>
      </c>
      <c r="S2053" t="str" cm="1">
        <f t="array" ref="S2053">_xlfn.REGEXEXTRACT(E2053, "[0-9]{1,5}")</f>
        <v>1949</v>
      </c>
      <c r="T2053" t="s">
        <v>2500</v>
      </c>
      <c r="U2053" t="s">
        <v>3899</v>
      </c>
    </row>
    <row r="2054" spans="1:21">
      <c r="A2054" s="136">
        <v>5</v>
      </c>
      <c r="B2054" s="256">
        <v>1950</v>
      </c>
      <c r="C2054" s="257"/>
      <c r="D2054" s="257" t="s">
        <v>1966</v>
      </c>
      <c r="E2054" s="258" t="s">
        <v>4005</v>
      </c>
      <c r="F2054" s="258" t="s">
        <v>2590</v>
      </c>
      <c r="G2054" s="258" t="s">
        <v>2579</v>
      </c>
      <c r="H2054" s="259">
        <v>18.489999999999998</v>
      </c>
      <c r="I2054" s="259">
        <v>19</v>
      </c>
      <c r="J2054" s="256">
        <v>1</v>
      </c>
      <c r="K2054" s="262"/>
      <c r="L2054" s="261"/>
      <c r="M2054" s="276" t="str">
        <f t="shared" si="68"/>
        <v>Photo</v>
      </c>
      <c r="N2054" s="279" t="s">
        <v>25</v>
      </c>
      <c r="O2054" t="str">
        <f t="shared" si="69"/>
        <v>1950 Franklin Half</v>
      </c>
      <c r="S2054" t="str" cm="1">
        <f t="array" ref="S2054">_xlfn.REGEXEXTRACT(E2054, "[0-9]{1,5}")</f>
        <v>1950</v>
      </c>
      <c r="T2054" t="s">
        <v>2502</v>
      </c>
      <c r="U2054" t="s">
        <v>3899</v>
      </c>
    </row>
    <row r="2055" spans="1:21">
      <c r="A2055" s="136">
        <v>5</v>
      </c>
      <c r="B2055" s="256">
        <v>1950</v>
      </c>
      <c r="C2055" s="257" t="s">
        <v>13</v>
      </c>
      <c r="D2055" s="257" t="s">
        <v>1966</v>
      </c>
      <c r="E2055" s="258" t="s">
        <v>4006</v>
      </c>
      <c r="F2055" s="258" t="s">
        <v>2590</v>
      </c>
      <c r="G2055" s="258" t="s">
        <v>2579</v>
      </c>
      <c r="H2055" s="259">
        <v>17.489999999999998</v>
      </c>
      <c r="I2055" s="259">
        <v>34</v>
      </c>
      <c r="J2055" s="256">
        <v>1</v>
      </c>
      <c r="K2055" s="262"/>
      <c r="L2055" s="261"/>
      <c r="M2055" s="276" t="str">
        <f t="shared" si="68"/>
        <v>Photo</v>
      </c>
      <c r="N2055" s="279" t="s">
        <v>25</v>
      </c>
      <c r="O2055" t="str">
        <f t="shared" si="69"/>
        <v>1950-D Franklin Half</v>
      </c>
      <c r="S2055" t="str" cm="1">
        <f t="array" ref="S2055">_xlfn.REGEXEXTRACT(E2055, "[0-9]{1,5}")</f>
        <v>1950</v>
      </c>
      <c r="T2055" t="s">
        <v>2502</v>
      </c>
      <c r="U2055" t="s">
        <v>3899</v>
      </c>
    </row>
    <row r="2056" spans="1:21">
      <c r="A2056" s="136">
        <v>5</v>
      </c>
      <c r="B2056" s="256">
        <v>1951</v>
      </c>
      <c r="C2056" s="257"/>
      <c r="D2056" s="257" t="s">
        <v>1966</v>
      </c>
      <c r="E2056" s="258" t="s">
        <v>4007</v>
      </c>
      <c r="F2056" s="258" t="s">
        <v>2590</v>
      </c>
      <c r="G2056" s="258" t="s">
        <v>2579</v>
      </c>
      <c r="H2056" s="259">
        <v>16.29</v>
      </c>
      <c r="I2056" s="259">
        <v>19</v>
      </c>
      <c r="J2056" s="256">
        <v>1</v>
      </c>
      <c r="K2056" s="262"/>
      <c r="L2056" s="261"/>
      <c r="M2056" s="276" t="str">
        <f t="shared" si="68"/>
        <v>Photo</v>
      </c>
      <c r="N2056" s="279" t="s">
        <v>25</v>
      </c>
      <c r="O2056" t="str">
        <f t="shared" si="69"/>
        <v>1951 Franklin Half</v>
      </c>
      <c r="S2056" t="str" cm="1">
        <f t="array" ref="S2056">_xlfn.REGEXEXTRACT(E2056, "[0-9]{1,5}")</f>
        <v>1951</v>
      </c>
      <c r="T2056" t="s">
        <v>2502</v>
      </c>
      <c r="U2056" t="s">
        <v>3899</v>
      </c>
    </row>
    <row r="2057" spans="1:21">
      <c r="A2057" s="136">
        <v>5</v>
      </c>
      <c r="B2057" s="256">
        <v>1951</v>
      </c>
      <c r="C2057" s="257" t="s">
        <v>13</v>
      </c>
      <c r="D2057" s="257" t="s">
        <v>1966</v>
      </c>
      <c r="E2057" s="258" t="s">
        <v>4008</v>
      </c>
      <c r="F2057" s="258" t="s">
        <v>2590</v>
      </c>
      <c r="G2057" s="258" t="s">
        <v>2579</v>
      </c>
      <c r="H2057" s="259">
        <v>17</v>
      </c>
      <c r="I2057" s="259">
        <v>44</v>
      </c>
      <c r="J2057" s="256">
        <v>1</v>
      </c>
      <c r="K2057" s="262"/>
      <c r="L2057" s="261"/>
      <c r="M2057" s="276" t="str">
        <f t="shared" si="68"/>
        <v>Photo</v>
      </c>
      <c r="N2057" s="279" t="s">
        <v>25</v>
      </c>
      <c r="O2057" t="str">
        <f t="shared" si="69"/>
        <v>1951-D Franklin Half</v>
      </c>
      <c r="S2057" t="str" cm="1">
        <f t="array" ref="S2057">_xlfn.REGEXEXTRACT(E2057, "[0-9]{1,5}")</f>
        <v>1951</v>
      </c>
      <c r="T2057" t="s">
        <v>2502</v>
      </c>
      <c r="U2057" t="s">
        <v>3899</v>
      </c>
    </row>
    <row r="2058" spans="1:21">
      <c r="A2058" s="136">
        <v>5</v>
      </c>
      <c r="B2058" s="256">
        <v>1951</v>
      </c>
      <c r="C2058" s="257" t="s">
        <v>12</v>
      </c>
      <c r="D2058" s="257" t="s">
        <v>1966</v>
      </c>
      <c r="E2058" s="258" t="s">
        <v>4009</v>
      </c>
      <c r="F2058" s="258" t="s">
        <v>2590</v>
      </c>
      <c r="G2058" s="258" t="s">
        <v>2579</v>
      </c>
      <c r="H2058" s="259">
        <v>17</v>
      </c>
      <c r="I2058" s="259">
        <v>27</v>
      </c>
      <c r="J2058" s="256">
        <v>1</v>
      </c>
      <c r="K2058" s="262"/>
      <c r="L2058" s="261"/>
      <c r="M2058" s="276" t="str">
        <f t="shared" si="68"/>
        <v>Photo</v>
      </c>
      <c r="N2058" s="279" t="s">
        <v>25</v>
      </c>
      <c r="O2058" t="str">
        <f t="shared" si="69"/>
        <v>1951-S Franklin Half</v>
      </c>
      <c r="S2058" t="str" cm="1">
        <f t="array" ref="S2058">_xlfn.REGEXEXTRACT(E2058, "[0-9]{1,5}")</f>
        <v>1951</v>
      </c>
      <c r="T2058" t="s">
        <v>2502</v>
      </c>
      <c r="U2058" t="s">
        <v>3899</v>
      </c>
    </row>
    <row r="2059" spans="1:21">
      <c r="A2059" s="136">
        <v>5</v>
      </c>
      <c r="B2059" s="256">
        <v>1952</v>
      </c>
      <c r="C2059" s="257"/>
      <c r="D2059" s="257" t="s">
        <v>1966</v>
      </c>
      <c r="E2059" s="258" t="s">
        <v>4010</v>
      </c>
      <c r="F2059" s="258" t="s">
        <v>2590</v>
      </c>
      <c r="G2059" s="258" t="s">
        <v>2579</v>
      </c>
      <c r="H2059" s="259">
        <v>14.5</v>
      </c>
      <c r="I2059" s="259">
        <v>21</v>
      </c>
      <c r="J2059" s="256">
        <v>1</v>
      </c>
      <c r="K2059" s="262"/>
      <c r="L2059" s="261"/>
      <c r="M2059" s="276" t="str">
        <f t="shared" si="68"/>
        <v>Photo</v>
      </c>
      <c r="N2059" s="279" t="s">
        <v>25</v>
      </c>
      <c r="O2059" t="str">
        <f t="shared" si="69"/>
        <v>1952 Franklin Half</v>
      </c>
      <c r="S2059" t="str" cm="1">
        <f t="array" ref="S2059">_xlfn.REGEXEXTRACT(E2059, "[0-9]{1,5}")</f>
        <v>1952</v>
      </c>
      <c r="T2059" t="s">
        <v>2502</v>
      </c>
      <c r="U2059" t="s">
        <v>3899</v>
      </c>
    </row>
    <row r="2060" spans="1:21">
      <c r="A2060" s="136">
        <v>5</v>
      </c>
      <c r="B2060" s="256">
        <v>1953</v>
      </c>
      <c r="C2060" s="257" t="s">
        <v>13</v>
      </c>
      <c r="D2060" s="257" t="s">
        <v>1966</v>
      </c>
      <c r="E2060" s="258" t="s">
        <v>4011</v>
      </c>
      <c r="F2060" s="258" t="s">
        <v>2590</v>
      </c>
      <c r="G2060" s="258" t="s">
        <v>2579</v>
      </c>
      <c r="H2060" s="259">
        <v>12.13</v>
      </c>
      <c r="I2060" s="259">
        <v>21</v>
      </c>
      <c r="J2060" s="256">
        <v>1</v>
      </c>
      <c r="K2060" s="262"/>
      <c r="L2060" s="261"/>
      <c r="M2060" s="276" t="str">
        <f t="shared" si="68"/>
        <v>Photo</v>
      </c>
      <c r="N2060" s="279" t="s">
        <v>25</v>
      </c>
      <c r="O2060" t="str">
        <f t="shared" si="69"/>
        <v>1953-D Franklin Half</v>
      </c>
      <c r="S2060" t="str" cm="1">
        <f t="array" ref="S2060">_xlfn.REGEXEXTRACT(E2060, "[0-9]{1,5}")</f>
        <v>1953</v>
      </c>
      <c r="T2060" t="s">
        <v>2504</v>
      </c>
      <c r="U2060" t="s">
        <v>3899</v>
      </c>
    </row>
    <row r="2061" spans="1:21">
      <c r="A2061" s="136">
        <v>5</v>
      </c>
      <c r="B2061" s="256">
        <v>1954</v>
      </c>
      <c r="C2061" s="257"/>
      <c r="D2061" s="257" t="s">
        <v>1966</v>
      </c>
      <c r="E2061" s="258" t="s">
        <v>4012</v>
      </c>
      <c r="F2061" s="258" t="s">
        <v>2590</v>
      </c>
      <c r="G2061" s="258" t="s">
        <v>2579</v>
      </c>
      <c r="H2061" s="259">
        <v>13.02</v>
      </c>
      <c r="I2061" s="259">
        <v>21</v>
      </c>
      <c r="J2061" s="256">
        <v>1</v>
      </c>
      <c r="K2061" s="262"/>
      <c r="L2061" s="261"/>
      <c r="M2061" s="276" t="str">
        <f t="shared" si="68"/>
        <v>Photo</v>
      </c>
      <c r="N2061" s="279" t="s">
        <v>25</v>
      </c>
      <c r="O2061" t="str">
        <f t="shared" si="69"/>
        <v>1954 Franklin Half</v>
      </c>
      <c r="S2061" t="str" cm="1">
        <f t="array" ref="S2061">_xlfn.REGEXEXTRACT(E2061, "[0-9]{1,5}")</f>
        <v>1954</v>
      </c>
      <c r="T2061" t="s">
        <v>2504</v>
      </c>
      <c r="U2061" t="s">
        <v>3899</v>
      </c>
    </row>
    <row r="2062" spans="1:21">
      <c r="A2062" s="136">
        <v>5</v>
      </c>
      <c r="B2062" s="256">
        <v>1955</v>
      </c>
      <c r="C2062" s="257"/>
      <c r="D2062" s="257" t="s">
        <v>1966</v>
      </c>
      <c r="E2062" s="258" t="s">
        <v>4013</v>
      </c>
      <c r="F2062" s="258" t="s">
        <v>2590</v>
      </c>
      <c r="G2062" s="258" t="s">
        <v>2579</v>
      </c>
      <c r="H2062" s="259">
        <v>19.350000000000001</v>
      </c>
      <c r="I2062" s="259">
        <v>32</v>
      </c>
      <c r="J2062" s="256">
        <v>1</v>
      </c>
      <c r="K2062" s="262"/>
      <c r="L2062" s="261"/>
      <c r="M2062" s="276" t="str">
        <f t="shared" si="68"/>
        <v>Photo</v>
      </c>
      <c r="N2062" s="279" t="s">
        <v>25</v>
      </c>
      <c r="O2062" t="str">
        <f t="shared" si="69"/>
        <v>1955 Franklin Half</v>
      </c>
      <c r="S2062" t="str" cm="1">
        <f t="array" ref="S2062">_xlfn.REGEXEXTRACT(E2062, "[0-9]{1,5}")</f>
        <v>1955</v>
      </c>
      <c r="T2062" t="s">
        <v>2504</v>
      </c>
      <c r="U2062" t="s">
        <v>3899</v>
      </c>
    </row>
    <row r="2063" spans="1:21">
      <c r="A2063" s="136">
        <v>5</v>
      </c>
      <c r="B2063" s="256">
        <v>1956</v>
      </c>
      <c r="C2063" s="257"/>
      <c r="D2063" s="257" t="s">
        <v>1966</v>
      </c>
      <c r="E2063" s="258" t="s">
        <v>4014</v>
      </c>
      <c r="F2063" s="258" t="s">
        <v>2590</v>
      </c>
      <c r="G2063" s="258" t="s">
        <v>2579</v>
      </c>
      <c r="H2063" s="259">
        <v>20.28</v>
      </c>
      <c r="I2063" s="259">
        <v>21</v>
      </c>
      <c r="J2063" s="256">
        <v>1</v>
      </c>
      <c r="K2063" s="262"/>
      <c r="L2063" s="261"/>
      <c r="M2063" s="276" t="str">
        <f t="shared" si="68"/>
        <v>Photo</v>
      </c>
      <c r="N2063" s="279" t="s">
        <v>25</v>
      </c>
      <c r="O2063" t="str">
        <f t="shared" si="69"/>
        <v>1956 Franklin Half</v>
      </c>
      <c r="S2063" t="str" cm="1">
        <f t="array" ref="S2063">_xlfn.REGEXEXTRACT(E2063, "[0-9]{1,5}")</f>
        <v>1956</v>
      </c>
      <c r="T2063" t="s">
        <v>2504</v>
      </c>
      <c r="U2063" t="s">
        <v>3899</v>
      </c>
    </row>
    <row r="2064" spans="1:21">
      <c r="A2064" s="136">
        <v>5</v>
      </c>
      <c r="B2064" s="256">
        <v>1956</v>
      </c>
      <c r="C2064" s="257"/>
      <c r="D2064" s="257" t="s">
        <v>1966</v>
      </c>
      <c r="E2064" s="258" t="s">
        <v>4015</v>
      </c>
      <c r="F2064" s="258" t="s">
        <v>2590</v>
      </c>
      <c r="G2064" s="258" t="s">
        <v>2579</v>
      </c>
      <c r="H2064" s="259">
        <v>20.28</v>
      </c>
      <c r="I2064" s="259">
        <v>21</v>
      </c>
      <c r="J2064" s="256">
        <v>1</v>
      </c>
      <c r="K2064" s="262"/>
      <c r="L2064" s="261"/>
      <c r="M2064" s="276" t="str">
        <f t="shared" si="68"/>
        <v>Photo</v>
      </c>
      <c r="N2064" s="279" t="s">
        <v>25</v>
      </c>
      <c r="O2064" t="str">
        <f t="shared" si="69"/>
        <v>1956 Franklin Half</v>
      </c>
      <c r="S2064" t="str" cm="1">
        <f t="array" ref="S2064">_xlfn.REGEXEXTRACT(E2064, "[0-9]{1,5}")</f>
        <v>1956</v>
      </c>
      <c r="T2064" t="s">
        <v>2504</v>
      </c>
      <c r="U2064" t="s">
        <v>3899</v>
      </c>
    </row>
    <row r="2065" spans="1:21">
      <c r="A2065" s="136">
        <v>5</v>
      </c>
      <c r="B2065" s="256">
        <v>1957</v>
      </c>
      <c r="C2065" s="257" t="s">
        <v>13</v>
      </c>
      <c r="D2065" s="257" t="s">
        <v>1966</v>
      </c>
      <c r="E2065" s="258" t="s">
        <v>4016</v>
      </c>
      <c r="F2065" s="258" t="s">
        <v>2590</v>
      </c>
      <c r="G2065" s="258" t="s">
        <v>2579</v>
      </c>
      <c r="H2065" s="259">
        <v>14.64</v>
      </c>
      <c r="I2065" s="259">
        <v>21</v>
      </c>
      <c r="J2065" s="256">
        <v>1</v>
      </c>
      <c r="K2065" s="262"/>
      <c r="L2065" s="261"/>
      <c r="M2065" s="276" t="str">
        <f t="shared" si="68"/>
        <v>Photo</v>
      </c>
      <c r="N2065" s="279" t="s">
        <v>25</v>
      </c>
      <c r="O2065" t="str">
        <f t="shared" si="69"/>
        <v>1957-D Franklin Half</v>
      </c>
      <c r="S2065" t="str" cm="1">
        <f t="array" ref="S2065">_xlfn.REGEXEXTRACT(E2065, "[0-9]{1,5}")</f>
        <v>1957</v>
      </c>
      <c r="T2065" t="s">
        <v>2504</v>
      </c>
      <c r="U2065" t="s">
        <v>3899</v>
      </c>
    </row>
    <row r="2066" spans="1:21">
      <c r="A2066" s="136">
        <v>5</v>
      </c>
      <c r="B2066" s="256">
        <v>1957</v>
      </c>
      <c r="C2066" s="257"/>
      <c r="D2066" s="257" t="s">
        <v>1966</v>
      </c>
      <c r="E2066" s="258" t="s">
        <v>4017</v>
      </c>
      <c r="F2066" s="258" t="s">
        <v>2590</v>
      </c>
      <c r="G2066" s="258" t="s">
        <v>2579</v>
      </c>
      <c r="H2066" s="259">
        <v>14.75</v>
      </c>
      <c r="I2066" s="259">
        <v>21</v>
      </c>
      <c r="J2066" s="256">
        <v>1</v>
      </c>
      <c r="K2066" s="262"/>
      <c r="L2066" s="261"/>
      <c r="M2066" s="276" t="str">
        <f t="shared" si="68"/>
        <v>Photo</v>
      </c>
      <c r="N2066" s="279" t="s">
        <v>25</v>
      </c>
      <c r="O2066" t="str">
        <f t="shared" si="69"/>
        <v>1957 Franklin Half</v>
      </c>
      <c r="S2066" t="str" cm="1">
        <f t="array" ref="S2066">_xlfn.REGEXEXTRACT(E2066, "[0-9]{1,5}")</f>
        <v>1957</v>
      </c>
      <c r="T2066" t="s">
        <v>2504</v>
      </c>
      <c r="U2066" t="s">
        <v>3899</v>
      </c>
    </row>
    <row r="2067" spans="1:21">
      <c r="A2067" s="136">
        <v>5</v>
      </c>
      <c r="B2067" s="256">
        <v>1958</v>
      </c>
      <c r="C2067" s="257" t="s">
        <v>13</v>
      </c>
      <c r="D2067" s="257" t="s">
        <v>1966</v>
      </c>
      <c r="E2067" s="258" t="s">
        <v>4018</v>
      </c>
      <c r="F2067" s="258" t="s">
        <v>2590</v>
      </c>
      <c r="G2067" s="258" t="s">
        <v>2579</v>
      </c>
      <c r="H2067" s="259">
        <v>14</v>
      </c>
      <c r="I2067" s="259">
        <v>21</v>
      </c>
      <c r="J2067" s="256">
        <v>1</v>
      </c>
      <c r="K2067" s="262"/>
      <c r="L2067" s="261"/>
      <c r="M2067" s="276" t="str">
        <f t="shared" si="68"/>
        <v>Photo</v>
      </c>
      <c r="N2067" s="279" t="s">
        <v>25</v>
      </c>
      <c r="O2067" t="str">
        <f t="shared" si="69"/>
        <v>1958-D Franklin Half</v>
      </c>
      <c r="S2067" t="str" cm="1">
        <f t="array" ref="S2067">_xlfn.REGEXEXTRACT(E2067, "[0-9]{1,5}")</f>
        <v>1958</v>
      </c>
      <c r="T2067" t="s">
        <v>2504</v>
      </c>
      <c r="U2067" t="s">
        <v>3899</v>
      </c>
    </row>
    <row r="2068" spans="1:21">
      <c r="A2068" s="136">
        <v>5</v>
      </c>
      <c r="B2068" s="256">
        <v>1959</v>
      </c>
      <c r="C2068" s="257"/>
      <c r="D2068" s="257" t="s">
        <v>1966</v>
      </c>
      <c r="E2068" s="258" t="s">
        <v>4019</v>
      </c>
      <c r="F2068" s="258" t="s">
        <v>2590</v>
      </c>
      <c r="G2068" s="258" t="s">
        <v>2579</v>
      </c>
      <c r="H2068" s="259">
        <v>14.19</v>
      </c>
      <c r="I2068" s="259">
        <v>21</v>
      </c>
      <c r="J2068" s="256">
        <v>1</v>
      </c>
      <c r="K2068" s="262"/>
      <c r="L2068" s="261"/>
      <c r="M2068" s="276" t="str">
        <f t="shared" si="68"/>
        <v>Photo</v>
      </c>
      <c r="N2068" s="279" t="s">
        <v>25</v>
      </c>
      <c r="O2068" t="str">
        <f t="shared" si="69"/>
        <v>1959 Franklin Half</v>
      </c>
      <c r="S2068" t="str" cm="1">
        <f t="array" ref="S2068">_xlfn.REGEXEXTRACT(E2068, "[0-9]{1,5}")</f>
        <v>1959</v>
      </c>
      <c r="T2068" t="s">
        <v>2504</v>
      </c>
      <c r="U2068" t="s">
        <v>3899</v>
      </c>
    </row>
    <row r="2069" spans="1:21">
      <c r="A2069" s="136">
        <v>5</v>
      </c>
      <c r="B2069" s="256">
        <v>1959</v>
      </c>
      <c r="C2069" s="257"/>
      <c r="D2069" s="257" t="s">
        <v>1966</v>
      </c>
      <c r="E2069" s="258" t="s">
        <v>4020</v>
      </c>
      <c r="F2069" s="258" t="s">
        <v>2590</v>
      </c>
      <c r="G2069" s="258" t="s">
        <v>2579</v>
      </c>
      <c r="H2069" s="259">
        <v>12.93</v>
      </c>
      <c r="I2069" s="259">
        <v>21</v>
      </c>
      <c r="J2069" s="256">
        <v>1</v>
      </c>
      <c r="K2069" s="262"/>
      <c r="L2069" s="261"/>
      <c r="M2069" s="276" t="str">
        <f t="shared" si="68"/>
        <v>Photo</v>
      </c>
      <c r="N2069" s="279" t="s">
        <v>25</v>
      </c>
      <c r="O2069" t="str">
        <f t="shared" si="69"/>
        <v>1959 Franklin Half</v>
      </c>
      <c r="S2069" t="str" cm="1">
        <f t="array" ref="S2069">_xlfn.REGEXEXTRACT(E2069, "[0-9]{1,5}")</f>
        <v>1959</v>
      </c>
      <c r="T2069" t="s">
        <v>2504</v>
      </c>
      <c r="U2069" t="s">
        <v>3899</v>
      </c>
    </row>
    <row r="2070" spans="1:21">
      <c r="A2070" s="136">
        <v>5</v>
      </c>
      <c r="B2070" s="256">
        <v>1960</v>
      </c>
      <c r="C2070" s="257"/>
      <c r="D2070" s="257" t="s">
        <v>1966</v>
      </c>
      <c r="E2070" s="258" t="s">
        <v>4021</v>
      </c>
      <c r="F2070" s="258" t="s">
        <v>2590</v>
      </c>
      <c r="G2070" s="258" t="s">
        <v>2579</v>
      </c>
      <c r="H2070" s="259">
        <v>14.19</v>
      </c>
      <c r="I2070" s="259">
        <v>21</v>
      </c>
      <c r="J2070" s="256">
        <v>1</v>
      </c>
      <c r="K2070" s="262"/>
      <c r="L2070" s="261"/>
      <c r="M2070" s="276" t="str">
        <f t="shared" si="68"/>
        <v>Photo</v>
      </c>
      <c r="N2070" s="279" t="s">
        <v>25</v>
      </c>
      <c r="O2070" t="str">
        <f t="shared" si="69"/>
        <v>1960 Franklin Half</v>
      </c>
      <c r="S2070" t="str" cm="1">
        <f t="array" ref="S2070">_xlfn.REGEXEXTRACT(E2070, "[0-9]{1,5}")</f>
        <v>1960</v>
      </c>
      <c r="T2070" t="s">
        <v>2504</v>
      </c>
      <c r="U2070" t="s">
        <v>3899</v>
      </c>
    </row>
    <row r="2071" spans="1:21">
      <c r="A2071" s="136">
        <v>5</v>
      </c>
      <c r="B2071" s="256">
        <v>1960</v>
      </c>
      <c r="C2071" s="257"/>
      <c r="D2071" s="257" t="s">
        <v>1966</v>
      </c>
      <c r="E2071" s="258" t="s">
        <v>4022</v>
      </c>
      <c r="F2071" s="258" t="s">
        <v>2590</v>
      </c>
      <c r="G2071" s="258" t="s">
        <v>2579</v>
      </c>
      <c r="H2071" s="259">
        <v>11</v>
      </c>
      <c r="I2071" s="259">
        <v>21</v>
      </c>
      <c r="J2071" s="256">
        <v>1</v>
      </c>
      <c r="K2071" s="262"/>
      <c r="L2071" s="261"/>
      <c r="M2071" s="276" t="str">
        <f t="shared" si="68"/>
        <v>Photo</v>
      </c>
      <c r="N2071" s="279" t="s">
        <v>25</v>
      </c>
      <c r="O2071" t="str">
        <f t="shared" si="69"/>
        <v>1960 Franklin Half</v>
      </c>
      <c r="S2071" t="str" cm="1">
        <f t="array" ref="S2071">_xlfn.REGEXEXTRACT(E2071, "[0-9]{1,5}")</f>
        <v>1960</v>
      </c>
      <c r="T2071" t="s">
        <v>2506</v>
      </c>
      <c r="U2071" t="s">
        <v>3899</v>
      </c>
    </row>
    <row r="2072" spans="1:21">
      <c r="A2072" s="136">
        <v>5</v>
      </c>
      <c r="B2072" s="256">
        <v>1961</v>
      </c>
      <c r="C2072" s="257"/>
      <c r="D2072" s="257" t="s">
        <v>1966</v>
      </c>
      <c r="E2072" s="258" t="s">
        <v>4023</v>
      </c>
      <c r="F2072" s="258" t="s">
        <v>2590</v>
      </c>
      <c r="G2072" s="258" t="s">
        <v>2579</v>
      </c>
      <c r="H2072" s="259">
        <v>13.75</v>
      </c>
      <c r="I2072" s="259">
        <v>21</v>
      </c>
      <c r="J2072" s="256">
        <v>1</v>
      </c>
      <c r="K2072" s="262"/>
      <c r="L2072" s="261"/>
      <c r="M2072" s="276" t="str">
        <f t="shared" si="68"/>
        <v>Photo</v>
      </c>
      <c r="N2072" s="279" t="s">
        <v>25</v>
      </c>
      <c r="O2072" t="str">
        <f t="shared" si="69"/>
        <v>1961 Franklin Half</v>
      </c>
      <c r="S2072" t="str" cm="1">
        <f t="array" ref="S2072">_xlfn.REGEXEXTRACT(E2072, "[0-9]{1,5}")</f>
        <v>1961</v>
      </c>
      <c r="T2072" t="s">
        <v>2508</v>
      </c>
      <c r="U2072" t="s">
        <v>3899</v>
      </c>
    </row>
    <row r="2073" spans="1:21">
      <c r="A2073" s="136">
        <v>5</v>
      </c>
      <c r="B2073" s="256">
        <v>1962</v>
      </c>
      <c r="C2073" s="257"/>
      <c r="D2073" s="257" t="s">
        <v>1966</v>
      </c>
      <c r="E2073" s="258" t="s">
        <v>4024</v>
      </c>
      <c r="F2073" s="258" t="s">
        <v>2590</v>
      </c>
      <c r="G2073" s="258" t="s">
        <v>2579</v>
      </c>
      <c r="H2073" s="259">
        <v>13.98</v>
      </c>
      <c r="I2073" s="259">
        <v>21</v>
      </c>
      <c r="J2073" s="256">
        <v>1</v>
      </c>
      <c r="K2073" s="262"/>
      <c r="L2073" s="261"/>
      <c r="M2073" s="276" t="str">
        <f t="shared" si="68"/>
        <v>Photo</v>
      </c>
      <c r="N2073" s="279" t="s">
        <v>25</v>
      </c>
      <c r="O2073" t="str">
        <f t="shared" si="69"/>
        <v>1962 Franklin Half</v>
      </c>
      <c r="S2073" t="str" cm="1">
        <f t="array" ref="S2073">_xlfn.REGEXEXTRACT(E2073, "[0-9]{1,5}")</f>
        <v>1962</v>
      </c>
      <c r="T2073" t="s">
        <v>2508</v>
      </c>
      <c r="U2073" t="s">
        <v>3899</v>
      </c>
    </row>
    <row r="2074" spans="1:21">
      <c r="A2074" s="136">
        <v>5</v>
      </c>
      <c r="B2074" s="256">
        <v>1962</v>
      </c>
      <c r="C2074" s="257"/>
      <c r="D2074" s="257" t="s">
        <v>1966</v>
      </c>
      <c r="E2074" s="258" t="s">
        <v>4025</v>
      </c>
      <c r="F2074" s="258" t="s">
        <v>2590</v>
      </c>
      <c r="G2074" s="258" t="s">
        <v>2579</v>
      </c>
      <c r="H2074" s="259">
        <v>13.98</v>
      </c>
      <c r="I2074" s="259">
        <v>21</v>
      </c>
      <c r="J2074" s="256">
        <v>1</v>
      </c>
      <c r="K2074" s="262"/>
      <c r="L2074" s="261"/>
      <c r="M2074" s="277"/>
      <c r="N2074" s="279" t="s">
        <v>25</v>
      </c>
      <c r="O2074" t="str">
        <f t="shared" si="69"/>
        <v>1962 Franklin Half</v>
      </c>
      <c r="S2074" t="str" cm="1">
        <f t="array" ref="S2074">_xlfn.REGEXEXTRACT(E2074, "[0-9]{1,5}")</f>
        <v>1962</v>
      </c>
      <c r="T2074" t="s">
        <v>2508</v>
      </c>
      <c r="U2074" t="s">
        <v>3899</v>
      </c>
    </row>
    <row r="2075" spans="1:21">
      <c r="A2075" s="136">
        <v>5</v>
      </c>
      <c r="B2075" s="256">
        <v>1962</v>
      </c>
      <c r="C2075" s="257"/>
      <c r="D2075" s="257" t="s">
        <v>1966</v>
      </c>
      <c r="E2075" s="258" t="s">
        <v>4026</v>
      </c>
      <c r="F2075" s="258" t="s">
        <v>2590</v>
      </c>
      <c r="G2075" s="258" t="s">
        <v>2579</v>
      </c>
      <c r="H2075" s="259">
        <v>13.98</v>
      </c>
      <c r="I2075" s="259">
        <v>21</v>
      </c>
      <c r="J2075" s="256">
        <v>1</v>
      </c>
      <c r="K2075" s="262"/>
      <c r="L2075" s="261"/>
      <c r="M2075" s="277"/>
      <c r="N2075" s="279" t="s">
        <v>25</v>
      </c>
      <c r="O2075" t="str">
        <f t="shared" si="69"/>
        <v>1962 Franklin Half</v>
      </c>
      <c r="S2075" t="str" cm="1">
        <f t="array" ref="S2075">_xlfn.REGEXEXTRACT(E2075, "[0-9]{1,5}")</f>
        <v>1962</v>
      </c>
      <c r="T2075" t="s">
        <v>2508</v>
      </c>
      <c r="U2075" t="s">
        <v>3899</v>
      </c>
    </row>
    <row r="2076" spans="1:21">
      <c r="A2076" s="136">
        <v>5</v>
      </c>
      <c r="B2076" s="256">
        <v>1963</v>
      </c>
      <c r="C2076" s="257"/>
      <c r="D2076" s="257" t="s">
        <v>1966</v>
      </c>
      <c r="E2076" s="258" t="s">
        <v>4027</v>
      </c>
      <c r="F2076" s="258" t="s">
        <v>2590</v>
      </c>
      <c r="G2076" s="258" t="s">
        <v>2579</v>
      </c>
      <c r="H2076" s="259">
        <v>11.92</v>
      </c>
      <c r="I2076" s="259">
        <v>19</v>
      </c>
      <c r="J2076" s="256">
        <v>1</v>
      </c>
      <c r="K2076" s="262"/>
      <c r="L2076" s="261"/>
      <c r="M2076" s="277"/>
      <c r="N2076" s="279" t="s">
        <v>25</v>
      </c>
      <c r="O2076" t="str">
        <f t="shared" si="69"/>
        <v>1963 Franklin Half</v>
      </c>
      <c r="S2076" t="str" cm="1">
        <f t="array" ref="S2076">_xlfn.REGEXEXTRACT(E2076, "[0-9]{1,5}")</f>
        <v>1963</v>
      </c>
      <c r="T2076" t="s">
        <v>2508</v>
      </c>
      <c r="U2076" t="s">
        <v>3899</v>
      </c>
    </row>
    <row r="2077" spans="1:21">
      <c r="A2077" s="136">
        <v>5</v>
      </c>
      <c r="B2077" s="256">
        <v>1963</v>
      </c>
      <c r="C2077" s="257" t="s">
        <v>13</v>
      </c>
      <c r="D2077" s="257" t="s">
        <v>1966</v>
      </c>
      <c r="E2077" s="258" t="s">
        <v>4028</v>
      </c>
      <c r="F2077" s="258" t="s">
        <v>2590</v>
      </c>
      <c r="G2077" s="258" t="s">
        <v>2579</v>
      </c>
      <c r="H2077" s="259">
        <v>11.92</v>
      </c>
      <c r="I2077" s="259">
        <v>21</v>
      </c>
      <c r="J2077" s="256">
        <v>1</v>
      </c>
      <c r="K2077" s="262"/>
      <c r="L2077" s="261"/>
      <c r="M2077" s="277"/>
      <c r="N2077" s="279" t="s">
        <v>25</v>
      </c>
      <c r="O2077" t="str">
        <f t="shared" si="69"/>
        <v>1963-D Franklin Half</v>
      </c>
      <c r="S2077" t="str" cm="1">
        <f t="array" ref="S2077">_xlfn.REGEXEXTRACT(E2077, "[0-9]{1,5}")</f>
        <v>1963</v>
      </c>
      <c r="T2077" t="s">
        <v>2508</v>
      </c>
      <c r="U2077" t="s">
        <v>3899</v>
      </c>
    </row>
    <row r="2078" spans="1:21">
      <c r="A2078" s="136">
        <v>5</v>
      </c>
      <c r="B2078" s="256">
        <v>1963</v>
      </c>
      <c r="C2078" s="257"/>
      <c r="D2078" s="257" t="s">
        <v>1966</v>
      </c>
      <c r="E2078" s="258" t="s">
        <v>4029</v>
      </c>
      <c r="F2078" s="258" t="s">
        <v>2590</v>
      </c>
      <c r="G2078" s="258" t="s">
        <v>2579</v>
      </c>
      <c r="H2078" s="259">
        <v>11.92</v>
      </c>
      <c r="I2078" s="259">
        <v>21</v>
      </c>
      <c r="J2078" s="256">
        <v>1</v>
      </c>
      <c r="K2078" s="262"/>
      <c r="L2078" s="261"/>
      <c r="M2078" s="277"/>
      <c r="N2078" s="279" t="s">
        <v>25</v>
      </c>
      <c r="O2078" t="str">
        <f t="shared" si="69"/>
        <v>1963 Franklin Half</v>
      </c>
      <c r="S2078" t="str" cm="1">
        <f t="array" ref="S2078">_xlfn.REGEXEXTRACT(E2078, "[0-9]{1,5}")</f>
        <v>1963</v>
      </c>
      <c r="T2078" t="s">
        <v>2508</v>
      </c>
      <c r="U2078" t="s">
        <v>3899</v>
      </c>
    </row>
    <row r="2079" spans="1:21">
      <c r="A2079" s="136">
        <v>5</v>
      </c>
      <c r="B2079" s="256">
        <v>1964</v>
      </c>
      <c r="C2079" s="257"/>
      <c r="D2079" s="257" t="s">
        <v>1966</v>
      </c>
      <c r="E2079" s="258" t="s">
        <v>4030</v>
      </c>
      <c r="F2079" s="258" t="s">
        <v>2041</v>
      </c>
      <c r="G2079" s="258" t="s">
        <v>2579</v>
      </c>
      <c r="H2079" s="259">
        <v>0.5</v>
      </c>
      <c r="I2079" s="259">
        <v>12.56</v>
      </c>
      <c r="J2079" s="256">
        <v>1</v>
      </c>
      <c r="K2079" s="262"/>
      <c r="L2079" s="261"/>
      <c r="M2079" s="277"/>
      <c r="N2079" s="279" t="s">
        <v>25</v>
      </c>
      <c r="O2079" t="str">
        <f t="shared" si="69"/>
        <v>1964 Kennedy Half Dollar</v>
      </c>
      <c r="S2079" t="str" cm="1">
        <f t="array" ref="S2079">_xlfn.REGEXEXTRACT(E2079, "[0-9]{1,5}")</f>
        <v>1964</v>
      </c>
      <c r="T2079" t="s">
        <v>2508</v>
      </c>
      <c r="U2079" t="s">
        <v>3899</v>
      </c>
    </row>
    <row r="2080" spans="1:21">
      <c r="A2080" s="136">
        <v>5</v>
      </c>
      <c r="B2080" s="256">
        <v>1964</v>
      </c>
      <c r="C2080" s="257"/>
      <c r="D2080" s="257" t="s">
        <v>1966</v>
      </c>
      <c r="E2080" s="258" t="s">
        <v>4031</v>
      </c>
      <c r="F2080" s="258" t="s">
        <v>2041</v>
      </c>
      <c r="G2080" s="258" t="s">
        <v>2579</v>
      </c>
      <c r="H2080" s="259">
        <v>0.5</v>
      </c>
      <c r="I2080" s="259">
        <v>12.56</v>
      </c>
      <c r="J2080" s="256">
        <v>1</v>
      </c>
      <c r="K2080" s="262"/>
      <c r="L2080" s="261"/>
      <c r="M2080" s="277"/>
      <c r="N2080" s="279" t="s">
        <v>25</v>
      </c>
      <c r="O2080" t="str">
        <f t="shared" si="69"/>
        <v>1964 Kennedy Half Dollar</v>
      </c>
      <c r="S2080" t="str" cm="1">
        <f t="array" ref="S2080">_xlfn.REGEXEXTRACT(E2080, "[0-9]{1,5}")</f>
        <v>1964</v>
      </c>
      <c r="T2080" t="s">
        <v>2508</v>
      </c>
      <c r="U2080" t="s">
        <v>3899</v>
      </c>
    </row>
    <row r="2081" spans="1:21">
      <c r="A2081" s="136">
        <v>5</v>
      </c>
      <c r="B2081" s="256">
        <v>1964</v>
      </c>
      <c r="C2081" s="257"/>
      <c r="D2081" s="257" t="s">
        <v>1966</v>
      </c>
      <c r="E2081" s="258" t="s">
        <v>4032</v>
      </c>
      <c r="F2081" s="258" t="s">
        <v>2041</v>
      </c>
      <c r="G2081" s="258" t="s">
        <v>2579</v>
      </c>
      <c r="H2081" s="259">
        <v>0.5</v>
      </c>
      <c r="I2081" s="259">
        <v>12.56</v>
      </c>
      <c r="J2081" s="256">
        <v>1</v>
      </c>
      <c r="K2081" s="262"/>
      <c r="L2081" s="261"/>
      <c r="M2081" s="277"/>
      <c r="N2081" s="279" t="s">
        <v>25</v>
      </c>
      <c r="O2081" t="str">
        <f t="shared" si="69"/>
        <v>1964 Kennedy Half Dollar</v>
      </c>
      <c r="S2081" t="str" cm="1">
        <f t="array" ref="S2081">_xlfn.REGEXEXTRACT(E2081, "[0-9]{1,5}")</f>
        <v>1964</v>
      </c>
      <c r="T2081" t="s">
        <v>2508</v>
      </c>
      <c r="U2081" t="s">
        <v>3899</v>
      </c>
    </row>
    <row r="2082" spans="1:21">
      <c r="A2082" s="136">
        <v>5</v>
      </c>
      <c r="B2082" s="256">
        <v>1964</v>
      </c>
      <c r="C2082" s="257"/>
      <c r="D2082" s="257" t="s">
        <v>1966</v>
      </c>
      <c r="E2082" s="258" t="s">
        <v>4033</v>
      </c>
      <c r="F2082" s="258" t="s">
        <v>2041</v>
      </c>
      <c r="G2082" s="258" t="s">
        <v>2579</v>
      </c>
      <c r="H2082" s="259">
        <v>0.5</v>
      </c>
      <c r="I2082" s="259">
        <v>12.56</v>
      </c>
      <c r="J2082" s="256">
        <v>1</v>
      </c>
      <c r="K2082" s="262"/>
      <c r="L2082" s="261"/>
      <c r="M2082" s="277"/>
      <c r="N2082" s="279" t="s">
        <v>25</v>
      </c>
      <c r="O2082" t="str">
        <f t="shared" si="69"/>
        <v>1964 Kennedy Half Dollar</v>
      </c>
      <c r="S2082" t="str" cm="1">
        <f t="array" ref="S2082">_xlfn.REGEXEXTRACT(E2082, "[0-9]{1,5}")</f>
        <v>1964</v>
      </c>
      <c r="T2082" t="s">
        <v>2508</v>
      </c>
      <c r="U2082" t="s">
        <v>3899</v>
      </c>
    </row>
    <row r="2083" spans="1:21">
      <c r="A2083" s="136">
        <v>5</v>
      </c>
      <c r="B2083" s="256">
        <v>1964</v>
      </c>
      <c r="C2083" s="257"/>
      <c r="D2083" s="257" t="s">
        <v>1966</v>
      </c>
      <c r="E2083" s="258" t="s">
        <v>4034</v>
      </c>
      <c r="F2083" s="258" t="s">
        <v>2041</v>
      </c>
      <c r="G2083" s="258" t="s">
        <v>2579</v>
      </c>
      <c r="H2083" s="259">
        <v>0.5</v>
      </c>
      <c r="I2083" s="259">
        <v>12.56</v>
      </c>
      <c r="J2083" s="256">
        <v>1</v>
      </c>
      <c r="K2083" s="262"/>
      <c r="L2083" s="261"/>
      <c r="M2083" s="277"/>
      <c r="N2083" s="279" t="s">
        <v>25</v>
      </c>
      <c r="O2083" t="str">
        <f t="shared" si="69"/>
        <v>1964 Kennedy Half Dollar</v>
      </c>
      <c r="S2083" t="str" cm="1">
        <f t="array" ref="S2083">_xlfn.REGEXEXTRACT(E2083, "[0-9]{1,5}")</f>
        <v>1964</v>
      </c>
      <c r="T2083" t="s">
        <v>2508</v>
      </c>
      <c r="U2083" t="s">
        <v>3899</v>
      </c>
    </row>
    <row r="2084" spans="1:21">
      <c r="A2084" s="136">
        <v>5</v>
      </c>
      <c r="B2084" s="256">
        <v>1965</v>
      </c>
      <c r="C2084" s="257"/>
      <c r="D2084" s="257" t="s">
        <v>1966</v>
      </c>
      <c r="E2084" s="258" t="s">
        <v>4035</v>
      </c>
      <c r="F2084" s="258" t="s">
        <v>2041</v>
      </c>
      <c r="G2084" s="258" t="s">
        <v>2579</v>
      </c>
      <c r="H2084" s="259">
        <v>0.5</v>
      </c>
      <c r="I2084" s="259">
        <v>5.01</v>
      </c>
      <c r="J2084" s="256">
        <v>1</v>
      </c>
      <c r="K2084" s="262"/>
      <c r="L2084" s="261"/>
      <c r="M2084" s="277"/>
      <c r="N2084" s="279" t="s">
        <v>25</v>
      </c>
      <c r="O2084" t="str">
        <f t="shared" si="69"/>
        <v>1965 Kennedy Half Dollar</v>
      </c>
      <c r="S2084" t="str" cm="1">
        <f t="array" ref="S2084">_xlfn.REGEXEXTRACT(E2084, "[0-9]{1,5}")</f>
        <v>1965</v>
      </c>
      <c r="T2084" t="s">
        <v>2508</v>
      </c>
      <c r="U2084" t="s">
        <v>3899</v>
      </c>
    </row>
    <row r="2085" spans="1:21">
      <c r="A2085" s="136">
        <v>5</v>
      </c>
      <c r="B2085" s="256">
        <v>1965</v>
      </c>
      <c r="C2085" s="257"/>
      <c r="D2085" s="257" t="s">
        <v>1966</v>
      </c>
      <c r="E2085" s="258" t="s">
        <v>4036</v>
      </c>
      <c r="F2085" s="258" t="s">
        <v>2041</v>
      </c>
      <c r="G2085" s="258" t="s">
        <v>2579</v>
      </c>
      <c r="H2085" s="259">
        <v>0.5</v>
      </c>
      <c r="I2085" s="259">
        <v>5.01</v>
      </c>
      <c r="J2085" s="256">
        <v>1</v>
      </c>
      <c r="K2085" s="262"/>
      <c r="L2085" s="261"/>
      <c r="M2085" s="277"/>
      <c r="N2085" s="279" t="s">
        <v>25</v>
      </c>
      <c r="O2085" t="str">
        <f t="shared" si="69"/>
        <v>1965 Kennedy Half Dollar</v>
      </c>
      <c r="S2085" t="str" cm="1">
        <f t="array" ref="S2085">_xlfn.REGEXEXTRACT(E2085, "[0-9]{1,5}")</f>
        <v>1965</v>
      </c>
      <c r="T2085" t="s">
        <v>2508</v>
      </c>
      <c r="U2085" t="s">
        <v>3899</v>
      </c>
    </row>
    <row r="2086" spans="1:21">
      <c r="A2086" s="136">
        <v>5</v>
      </c>
      <c r="B2086" s="256">
        <v>1965</v>
      </c>
      <c r="C2086" s="257"/>
      <c r="D2086" s="257" t="s">
        <v>1966</v>
      </c>
      <c r="E2086" s="258" t="s">
        <v>4037</v>
      </c>
      <c r="F2086" s="258" t="s">
        <v>2041</v>
      </c>
      <c r="G2086" s="258" t="s">
        <v>2579</v>
      </c>
      <c r="H2086" s="259">
        <v>0.5</v>
      </c>
      <c r="I2086" s="259">
        <v>5.01</v>
      </c>
      <c r="J2086" s="256">
        <v>1</v>
      </c>
      <c r="K2086" s="262"/>
      <c r="L2086" s="261"/>
      <c r="M2086" s="277"/>
      <c r="N2086" s="279" t="s">
        <v>25</v>
      </c>
      <c r="O2086" t="str">
        <f t="shared" si="69"/>
        <v>1965 Kennedy Half Dollar</v>
      </c>
      <c r="S2086" t="str" cm="1">
        <f t="array" ref="S2086">_xlfn.REGEXEXTRACT(E2086, "[0-9]{1,5}")</f>
        <v>1965</v>
      </c>
      <c r="T2086" t="s">
        <v>2508</v>
      </c>
      <c r="U2086" t="s">
        <v>3899</v>
      </c>
    </row>
    <row r="2087" spans="1:21">
      <c r="A2087" s="136">
        <v>5</v>
      </c>
      <c r="B2087" s="256">
        <v>1966</v>
      </c>
      <c r="C2087" s="257"/>
      <c r="D2087" s="257" t="s">
        <v>1966</v>
      </c>
      <c r="E2087" s="258" t="s">
        <v>4038</v>
      </c>
      <c r="F2087" s="258" t="s">
        <v>2041</v>
      </c>
      <c r="G2087" s="258" t="s">
        <v>2579</v>
      </c>
      <c r="H2087" s="259">
        <v>0.5</v>
      </c>
      <c r="I2087" s="259">
        <v>4.9000000000000004</v>
      </c>
      <c r="J2087" s="256">
        <v>1</v>
      </c>
      <c r="K2087" s="262"/>
      <c r="L2087" s="261"/>
      <c r="M2087" s="277"/>
      <c r="N2087" s="279" t="s">
        <v>25</v>
      </c>
      <c r="O2087" t="str">
        <f t="shared" si="69"/>
        <v>1966 Kennedy Half Dollar</v>
      </c>
      <c r="S2087" t="str" cm="1">
        <f t="array" ref="S2087">_xlfn.REGEXEXTRACT(E2087, "[0-9]{1,5}")</f>
        <v>1966</v>
      </c>
      <c r="T2087" t="s">
        <v>2508</v>
      </c>
      <c r="U2087" t="s">
        <v>3899</v>
      </c>
    </row>
    <row r="2088" spans="1:21">
      <c r="A2088" s="136">
        <v>5</v>
      </c>
      <c r="B2088" s="256">
        <v>1966</v>
      </c>
      <c r="C2088" s="257"/>
      <c r="D2088" s="257" t="s">
        <v>1966</v>
      </c>
      <c r="E2088" s="258" t="s">
        <v>4039</v>
      </c>
      <c r="F2088" s="258" t="s">
        <v>2041</v>
      </c>
      <c r="G2088" s="258" t="s">
        <v>2579</v>
      </c>
      <c r="H2088" s="259">
        <v>0.5</v>
      </c>
      <c r="I2088" s="259">
        <v>4.9000000000000004</v>
      </c>
      <c r="J2088" s="256">
        <v>1</v>
      </c>
      <c r="K2088" s="262"/>
      <c r="L2088" s="261"/>
      <c r="M2088" s="277"/>
      <c r="N2088" s="279" t="s">
        <v>25</v>
      </c>
      <c r="O2088" t="str">
        <f t="shared" si="69"/>
        <v>1966 Kennedy Half Dollar</v>
      </c>
      <c r="S2088" t="str" cm="1">
        <f t="array" ref="S2088">_xlfn.REGEXEXTRACT(E2088, "[0-9]{1,5}")</f>
        <v>1966</v>
      </c>
      <c r="T2088" t="s">
        <v>2508</v>
      </c>
      <c r="U2088" t="s">
        <v>3899</v>
      </c>
    </row>
    <row r="2089" spans="1:21">
      <c r="A2089" s="136">
        <v>5</v>
      </c>
      <c r="B2089" s="256">
        <v>1966</v>
      </c>
      <c r="C2089" s="257"/>
      <c r="D2089" s="257" t="s">
        <v>1966</v>
      </c>
      <c r="E2089" s="258" t="s">
        <v>4040</v>
      </c>
      <c r="F2089" s="258" t="s">
        <v>2041</v>
      </c>
      <c r="G2089" s="258" t="s">
        <v>2579</v>
      </c>
      <c r="H2089" s="259">
        <v>0.5</v>
      </c>
      <c r="I2089" s="259">
        <v>4.9000000000000004</v>
      </c>
      <c r="J2089" s="256">
        <v>1</v>
      </c>
      <c r="K2089" s="262"/>
      <c r="L2089" s="261"/>
      <c r="M2089" s="277"/>
      <c r="N2089" s="279" t="s">
        <v>25</v>
      </c>
      <c r="O2089" t="str">
        <f t="shared" si="69"/>
        <v>1966 Kennedy Half Dollar</v>
      </c>
      <c r="S2089" t="str" cm="1">
        <f t="array" ref="S2089">_xlfn.REGEXEXTRACT(E2089, "[0-9]{1,5}")</f>
        <v>1966</v>
      </c>
      <c r="T2089" t="s">
        <v>2508</v>
      </c>
      <c r="U2089" t="s">
        <v>3899</v>
      </c>
    </row>
    <row r="2090" spans="1:21">
      <c r="A2090" s="136">
        <v>5</v>
      </c>
      <c r="B2090" s="256">
        <v>1967</v>
      </c>
      <c r="C2090" s="257"/>
      <c r="D2090" s="257" t="s">
        <v>1966</v>
      </c>
      <c r="E2090" s="258" t="s">
        <v>4041</v>
      </c>
      <c r="F2090" s="258" t="s">
        <v>2041</v>
      </c>
      <c r="G2090" s="258" t="s">
        <v>2579</v>
      </c>
      <c r="H2090" s="259">
        <v>0.5</v>
      </c>
      <c r="I2090" s="259">
        <v>5.2</v>
      </c>
      <c r="J2090" s="256">
        <v>1</v>
      </c>
      <c r="K2090" s="262"/>
      <c r="L2090" s="261"/>
      <c r="M2090" s="277"/>
      <c r="N2090" s="279" t="s">
        <v>25</v>
      </c>
      <c r="O2090" t="str">
        <f t="shared" si="69"/>
        <v>1967 Kennedy Half Dollar</v>
      </c>
      <c r="S2090" t="str" cm="1">
        <f t="array" ref="S2090">_xlfn.REGEXEXTRACT(E2090, "[0-9]{1,5}")</f>
        <v>1967</v>
      </c>
      <c r="T2090" t="s">
        <v>2508</v>
      </c>
      <c r="U2090" t="s">
        <v>3899</v>
      </c>
    </row>
    <row r="2091" spans="1:21">
      <c r="A2091" s="136">
        <v>5</v>
      </c>
      <c r="B2091" s="256">
        <v>1967</v>
      </c>
      <c r="C2091" s="257"/>
      <c r="D2091" s="257" t="s">
        <v>1966</v>
      </c>
      <c r="E2091" s="258" t="s">
        <v>4042</v>
      </c>
      <c r="F2091" s="258" t="s">
        <v>2041</v>
      </c>
      <c r="G2091" s="258" t="s">
        <v>2579</v>
      </c>
      <c r="H2091" s="259">
        <v>0.5</v>
      </c>
      <c r="I2091" s="259">
        <v>5.2</v>
      </c>
      <c r="J2091" s="256">
        <v>1</v>
      </c>
      <c r="K2091" s="262"/>
      <c r="L2091" s="261"/>
      <c r="M2091" s="277"/>
      <c r="N2091" s="279" t="s">
        <v>25</v>
      </c>
      <c r="O2091" t="str">
        <f t="shared" si="69"/>
        <v>1967 Kennedy Half Dollar</v>
      </c>
      <c r="S2091" t="str" cm="1">
        <f t="array" ref="S2091">_xlfn.REGEXEXTRACT(E2091, "[0-9]{1,5}")</f>
        <v>1967</v>
      </c>
      <c r="T2091" t="s">
        <v>2510</v>
      </c>
      <c r="U2091" t="s">
        <v>3899</v>
      </c>
    </row>
    <row r="2092" spans="1:21">
      <c r="A2092" s="136">
        <v>5</v>
      </c>
      <c r="B2092" s="256">
        <v>1967</v>
      </c>
      <c r="C2092" s="257"/>
      <c r="D2092" s="257" t="s">
        <v>1966</v>
      </c>
      <c r="E2092" s="258" t="s">
        <v>4043</v>
      </c>
      <c r="F2092" s="258" t="s">
        <v>2041</v>
      </c>
      <c r="G2092" s="258" t="s">
        <v>2579</v>
      </c>
      <c r="H2092" s="259">
        <v>0.5</v>
      </c>
      <c r="I2092" s="259">
        <v>5.2</v>
      </c>
      <c r="J2092" s="256">
        <v>1</v>
      </c>
      <c r="K2092" s="262"/>
      <c r="L2092" s="261"/>
      <c r="M2092" s="277"/>
      <c r="N2092" s="279" t="s">
        <v>25</v>
      </c>
      <c r="O2092" t="str">
        <f t="shared" si="69"/>
        <v>1967 Kennedy Half Dollar</v>
      </c>
      <c r="S2092" t="str" cm="1">
        <f t="array" ref="S2092">_xlfn.REGEXEXTRACT(E2092, "[0-9]{1,5}")</f>
        <v>1967</v>
      </c>
      <c r="T2092" t="s">
        <v>2510</v>
      </c>
      <c r="U2092" t="s">
        <v>3899</v>
      </c>
    </row>
    <row r="2093" spans="1:21">
      <c r="A2093" s="136">
        <v>5</v>
      </c>
      <c r="B2093" s="256">
        <v>1967</v>
      </c>
      <c r="C2093" s="257"/>
      <c r="D2093" s="257" t="s">
        <v>1966</v>
      </c>
      <c r="E2093" s="258" t="s">
        <v>4044</v>
      </c>
      <c r="F2093" s="258" t="s">
        <v>2041</v>
      </c>
      <c r="G2093" s="258" t="s">
        <v>2579</v>
      </c>
      <c r="H2093" s="259">
        <v>0.5</v>
      </c>
      <c r="I2093" s="259">
        <v>5.2</v>
      </c>
      <c r="J2093" s="256">
        <v>1</v>
      </c>
      <c r="K2093" s="262"/>
      <c r="L2093" s="261"/>
      <c r="M2093" s="277"/>
      <c r="N2093" s="279" t="s">
        <v>25</v>
      </c>
      <c r="O2093" t="str">
        <f t="shared" si="69"/>
        <v>1967 Kennedy Half Dollar</v>
      </c>
      <c r="S2093" t="str" cm="1">
        <f t="array" ref="S2093">_xlfn.REGEXEXTRACT(E2093, "[0-9]{1,5}")</f>
        <v>1967</v>
      </c>
      <c r="T2093" t="s">
        <v>2510</v>
      </c>
      <c r="U2093" t="s">
        <v>3899</v>
      </c>
    </row>
    <row r="2094" spans="1:21">
      <c r="A2094" s="136">
        <v>5</v>
      </c>
      <c r="B2094" s="256">
        <v>1967</v>
      </c>
      <c r="C2094" s="257"/>
      <c r="D2094" s="257" t="s">
        <v>1966</v>
      </c>
      <c r="E2094" s="258" t="s">
        <v>4045</v>
      </c>
      <c r="F2094" s="258" t="s">
        <v>2041</v>
      </c>
      <c r="G2094" s="258" t="s">
        <v>2579</v>
      </c>
      <c r="H2094" s="259">
        <v>0.5</v>
      </c>
      <c r="I2094" s="259">
        <v>5.2</v>
      </c>
      <c r="J2094" s="256">
        <v>1</v>
      </c>
      <c r="K2094" s="262"/>
      <c r="L2094" s="261"/>
      <c r="M2094" s="277"/>
      <c r="N2094" s="279" t="s">
        <v>25</v>
      </c>
      <c r="O2094" t="str">
        <f t="shared" si="69"/>
        <v>1967 Kennedy Half Dollar</v>
      </c>
      <c r="S2094" t="str" cm="1">
        <f t="array" ref="S2094">_xlfn.REGEXEXTRACT(E2094, "[0-9]{1,5}")</f>
        <v>1967</v>
      </c>
      <c r="T2094" t="s">
        <v>2510</v>
      </c>
      <c r="U2094" t="s">
        <v>3899</v>
      </c>
    </row>
    <row r="2095" spans="1:21">
      <c r="A2095" s="136">
        <v>5</v>
      </c>
      <c r="B2095" s="256">
        <v>1967</v>
      </c>
      <c r="C2095" s="257"/>
      <c r="D2095" s="257" t="s">
        <v>1966</v>
      </c>
      <c r="E2095" s="258" t="s">
        <v>4046</v>
      </c>
      <c r="F2095" s="258" t="s">
        <v>2041</v>
      </c>
      <c r="G2095" s="258" t="s">
        <v>2579</v>
      </c>
      <c r="H2095" s="259">
        <v>0.5</v>
      </c>
      <c r="I2095" s="259">
        <v>5.2</v>
      </c>
      <c r="J2095" s="256">
        <v>1</v>
      </c>
      <c r="K2095" s="262"/>
      <c r="L2095" s="261"/>
      <c r="M2095" s="277"/>
      <c r="N2095" s="279" t="s">
        <v>25</v>
      </c>
      <c r="O2095" t="str">
        <f t="shared" si="69"/>
        <v>1967 Kennedy Half Dollar</v>
      </c>
      <c r="S2095" t="str" cm="1">
        <f t="array" ref="S2095">_xlfn.REGEXEXTRACT(E2095, "[0-9]{1,5}")</f>
        <v>1967</v>
      </c>
      <c r="T2095" t="s">
        <v>2510</v>
      </c>
      <c r="U2095" t="s">
        <v>3899</v>
      </c>
    </row>
    <row r="2096" spans="1:21">
      <c r="A2096" s="136">
        <v>5</v>
      </c>
      <c r="B2096" s="256">
        <v>1967</v>
      </c>
      <c r="C2096" s="257"/>
      <c r="D2096" s="257" t="s">
        <v>1966</v>
      </c>
      <c r="E2096" s="258" t="s">
        <v>4047</v>
      </c>
      <c r="F2096" s="258" t="s">
        <v>2041</v>
      </c>
      <c r="G2096" s="258" t="s">
        <v>2579</v>
      </c>
      <c r="H2096" s="259">
        <v>0.5</v>
      </c>
      <c r="I2096" s="259">
        <v>7.56</v>
      </c>
      <c r="J2096" s="256">
        <v>1</v>
      </c>
      <c r="K2096" s="3" t="s">
        <v>3909</v>
      </c>
      <c r="L2096" s="262" t="s">
        <v>2305</v>
      </c>
      <c r="M2096" s="277"/>
      <c r="N2096" s="279" t="s">
        <v>25</v>
      </c>
      <c r="O2096" t="str">
        <f t="shared" si="69"/>
        <v>1967 Kennedy Half Dollar</v>
      </c>
      <c r="S2096" t="str" cm="1">
        <f t="array" ref="S2096">_xlfn.REGEXEXTRACT(E2096, "[0-9]{1,5}")</f>
        <v>1967</v>
      </c>
      <c r="T2096" t="s">
        <v>2510</v>
      </c>
      <c r="U2096" t="s">
        <v>3899</v>
      </c>
    </row>
    <row r="2097" spans="1:21">
      <c r="A2097" s="136">
        <v>5</v>
      </c>
      <c r="B2097" s="256">
        <v>1968</v>
      </c>
      <c r="C2097" s="257" t="s">
        <v>13</v>
      </c>
      <c r="D2097" s="257" t="s">
        <v>1966</v>
      </c>
      <c r="E2097" s="258" t="s">
        <v>4048</v>
      </c>
      <c r="F2097" s="258" t="s">
        <v>2041</v>
      </c>
      <c r="G2097" s="258" t="s">
        <v>2579</v>
      </c>
      <c r="H2097" s="259">
        <v>0.5</v>
      </c>
      <c r="I2097" s="259">
        <v>4.57</v>
      </c>
      <c r="J2097" s="256">
        <v>1</v>
      </c>
      <c r="K2097" s="262"/>
      <c r="L2097" s="261"/>
      <c r="M2097" s="277"/>
      <c r="N2097" s="279" t="s">
        <v>25</v>
      </c>
      <c r="O2097" t="str">
        <f t="shared" si="69"/>
        <v>1968-D Kennedy Half Dollar</v>
      </c>
      <c r="S2097" t="str" cm="1">
        <f t="array" ref="S2097">_xlfn.REGEXEXTRACT(E2097, "[0-9]{1,5}")</f>
        <v>1868</v>
      </c>
      <c r="T2097" t="s">
        <v>2512</v>
      </c>
      <c r="U2097" t="s">
        <v>3899</v>
      </c>
    </row>
    <row r="2098" spans="1:21">
      <c r="A2098" s="136">
        <v>5</v>
      </c>
      <c r="B2098" s="256">
        <v>1968</v>
      </c>
      <c r="C2098" s="257" t="s">
        <v>13</v>
      </c>
      <c r="D2098" s="257" t="s">
        <v>1966</v>
      </c>
      <c r="E2098" s="258" t="s">
        <v>4049</v>
      </c>
      <c r="F2098" s="258" t="s">
        <v>2041</v>
      </c>
      <c r="G2098" s="258" t="s">
        <v>2579</v>
      </c>
      <c r="H2098" s="259">
        <v>0.5</v>
      </c>
      <c r="I2098" s="259">
        <v>4.57</v>
      </c>
      <c r="J2098" s="256">
        <v>1</v>
      </c>
      <c r="K2098" s="262"/>
      <c r="L2098" s="261"/>
      <c r="M2098" s="277"/>
      <c r="N2098" s="279" t="s">
        <v>25</v>
      </c>
      <c r="O2098" t="str">
        <f t="shared" si="69"/>
        <v>1968-D Kennedy Half Dollar</v>
      </c>
      <c r="S2098" t="str" cm="1">
        <f t="array" ref="S2098">_xlfn.REGEXEXTRACT(E2098, "[0-9]{1,5}")</f>
        <v>1968</v>
      </c>
      <c r="T2098" t="s">
        <v>2512</v>
      </c>
      <c r="U2098" t="s">
        <v>3899</v>
      </c>
    </row>
    <row r="2099" spans="1:21">
      <c r="A2099" s="136">
        <v>5</v>
      </c>
      <c r="B2099" s="256">
        <v>1968</v>
      </c>
      <c r="C2099" s="257" t="s">
        <v>13</v>
      </c>
      <c r="D2099" s="257" t="s">
        <v>1966</v>
      </c>
      <c r="E2099" s="258" t="s">
        <v>4050</v>
      </c>
      <c r="F2099" s="258" t="s">
        <v>2041</v>
      </c>
      <c r="G2099" s="258" t="s">
        <v>2579</v>
      </c>
      <c r="H2099" s="259">
        <v>0.5</v>
      </c>
      <c r="I2099" s="259">
        <v>4.57</v>
      </c>
      <c r="J2099" s="256">
        <v>1</v>
      </c>
      <c r="K2099" s="262"/>
      <c r="L2099" s="261"/>
      <c r="M2099" s="277"/>
      <c r="N2099" s="279" t="s">
        <v>25</v>
      </c>
      <c r="O2099" t="str">
        <f t="shared" si="69"/>
        <v>1968-D Kennedy Half Dollar</v>
      </c>
      <c r="S2099" t="str" cm="1">
        <f t="array" ref="S2099">_xlfn.REGEXEXTRACT(E2099, "[0-9]{1,5}")</f>
        <v>1968</v>
      </c>
      <c r="T2099" t="s">
        <v>1627</v>
      </c>
      <c r="U2099" t="s">
        <v>3899</v>
      </c>
    </row>
    <row r="2100" spans="1:21">
      <c r="A2100" s="136">
        <v>5</v>
      </c>
      <c r="B2100" s="256">
        <v>1969</v>
      </c>
      <c r="C2100" s="257" t="s">
        <v>13</v>
      </c>
      <c r="D2100" s="257" t="s">
        <v>1966</v>
      </c>
      <c r="E2100" s="258" t="s">
        <v>4051</v>
      </c>
      <c r="F2100" s="258" t="s">
        <v>2041</v>
      </c>
      <c r="G2100" s="258" t="s">
        <v>2579</v>
      </c>
      <c r="H2100" s="259">
        <v>0.5</v>
      </c>
      <c r="I2100" s="259">
        <v>4.99</v>
      </c>
      <c r="J2100" s="256">
        <v>1</v>
      </c>
      <c r="K2100" s="262"/>
      <c r="L2100" s="261"/>
      <c r="M2100" s="277"/>
      <c r="N2100" s="279" t="s">
        <v>25</v>
      </c>
      <c r="O2100" t="str">
        <f t="shared" si="69"/>
        <v>1969-D Kennedy Half Dollar</v>
      </c>
      <c r="S2100" t="str" cm="1">
        <f t="array" ref="S2100">_xlfn.REGEXEXTRACT(E2100, "[0-9]{1,5}")</f>
        <v>1969</v>
      </c>
      <c r="T2100" t="s">
        <v>1627</v>
      </c>
      <c r="U2100" t="s">
        <v>3899</v>
      </c>
    </row>
    <row r="2101" spans="1:21">
      <c r="A2101" s="136">
        <v>5</v>
      </c>
      <c r="B2101" s="256">
        <v>1969</v>
      </c>
      <c r="C2101" s="257" t="s">
        <v>13</v>
      </c>
      <c r="D2101" s="257" t="s">
        <v>1966</v>
      </c>
      <c r="E2101" s="258" t="s">
        <v>4052</v>
      </c>
      <c r="F2101" s="258" t="s">
        <v>2041</v>
      </c>
      <c r="G2101" s="258" t="s">
        <v>2579</v>
      </c>
      <c r="H2101" s="259">
        <v>0.5</v>
      </c>
      <c r="I2101" s="259">
        <v>4.99</v>
      </c>
      <c r="J2101" s="256">
        <v>1</v>
      </c>
      <c r="K2101" s="262"/>
      <c r="L2101" s="261"/>
      <c r="M2101" s="277"/>
      <c r="N2101" s="279" t="s">
        <v>25</v>
      </c>
      <c r="O2101" t="str">
        <f t="shared" si="69"/>
        <v>1969-D Kennedy Half Dollar</v>
      </c>
      <c r="S2101" t="str" cm="1">
        <f t="array" ref="S2101">_xlfn.REGEXEXTRACT(E2101, "[0-9]{1,5}")</f>
        <v>1969</v>
      </c>
      <c r="T2101" t="s">
        <v>1627</v>
      </c>
      <c r="U2101" t="s">
        <v>3899</v>
      </c>
    </row>
    <row r="2102" spans="1:21">
      <c r="A2102" s="136">
        <v>5</v>
      </c>
      <c r="B2102" s="256">
        <v>1969</v>
      </c>
      <c r="C2102" s="257" t="s">
        <v>13</v>
      </c>
      <c r="D2102" s="257" t="s">
        <v>1966</v>
      </c>
      <c r="E2102" s="258" t="s">
        <v>4053</v>
      </c>
      <c r="F2102" s="258" t="s">
        <v>2041</v>
      </c>
      <c r="G2102" s="258" t="s">
        <v>2579</v>
      </c>
      <c r="H2102" s="259">
        <v>0.5</v>
      </c>
      <c r="I2102" s="259">
        <v>4.99</v>
      </c>
      <c r="J2102" s="256">
        <v>1</v>
      </c>
      <c r="K2102" s="262"/>
      <c r="L2102" s="261"/>
      <c r="M2102" s="277"/>
      <c r="N2102" s="279" t="s">
        <v>25</v>
      </c>
      <c r="O2102" t="str">
        <f t="shared" si="69"/>
        <v>1969-D Kennedy Half Dollar</v>
      </c>
      <c r="S2102" t="str" cm="1">
        <f t="array" ref="S2102">_xlfn.REGEXEXTRACT(E2102, "[0-9]{1,5}")</f>
        <v>1969</v>
      </c>
      <c r="T2102" t="s">
        <v>1627</v>
      </c>
      <c r="U2102" t="s">
        <v>3899</v>
      </c>
    </row>
    <row r="2103" spans="1:21">
      <c r="A2103" s="136">
        <v>5</v>
      </c>
      <c r="B2103" s="256">
        <v>1969</v>
      </c>
      <c r="C2103" s="257" t="s">
        <v>13</v>
      </c>
      <c r="D2103" s="257" t="s">
        <v>1966</v>
      </c>
      <c r="E2103" s="258" t="s">
        <v>4054</v>
      </c>
      <c r="F2103" s="258" t="s">
        <v>2041</v>
      </c>
      <c r="G2103" s="258" t="s">
        <v>2579</v>
      </c>
      <c r="H2103" s="259">
        <v>0.5</v>
      </c>
      <c r="I2103" s="259">
        <v>4.99</v>
      </c>
      <c r="J2103" s="256">
        <v>1</v>
      </c>
      <c r="K2103" s="262"/>
      <c r="L2103" s="261"/>
      <c r="M2103" s="277"/>
      <c r="N2103" s="279" t="s">
        <v>25</v>
      </c>
      <c r="O2103" t="str">
        <f t="shared" si="69"/>
        <v>1969-D Kennedy Half Dollar</v>
      </c>
      <c r="S2103" t="str" cm="1">
        <f t="array" ref="S2103">_xlfn.REGEXEXTRACT(E2103, "[0-9]{1,5}")</f>
        <v>1969</v>
      </c>
      <c r="T2103" t="s">
        <v>1627</v>
      </c>
      <c r="U2103" t="s">
        <v>3899</v>
      </c>
    </row>
    <row r="2104" spans="1:21">
      <c r="A2104" s="136">
        <v>5</v>
      </c>
      <c r="B2104" s="256">
        <v>1969</v>
      </c>
      <c r="C2104" s="257" t="s">
        <v>13</v>
      </c>
      <c r="D2104" s="257" t="s">
        <v>1966</v>
      </c>
      <c r="E2104" s="258" t="s">
        <v>4055</v>
      </c>
      <c r="F2104" s="258" t="s">
        <v>2041</v>
      </c>
      <c r="G2104" s="258" t="s">
        <v>2579</v>
      </c>
      <c r="H2104" s="259">
        <v>0.5</v>
      </c>
      <c r="I2104" s="259">
        <v>4.99</v>
      </c>
      <c r="J2104" s="256">
        <v>1</v>
      </c>
      <c r="K2104" s="262"/>
      <c r="L2104" s="261"/>
      <c r="M2104" s="277"/>
      <c r="N2104" s="279" t="s">
        <v>25</v>
      </c>
      <c r="O2104" t="str">
        <f t="shared" si="69"/>
        <v>1969-D Kennedy Half Dollar</v>
      </c>
      <c r="S2104" t="str" cm="1">
        <f t="array" ref="S2104">_xlfn.REGEXEXTRACT(E2104, "[0-9]{1,5}")</f>
        <v>1969</v>
      </c>
      <c r="T2104" t="s">
        <v>1627</v>
      </c>
      <c r="U2104" t="s">
        <v>3899</v>
      </c>
    </row>
    <row r="2105" spans="1:21">
      <c r="A2105" s="136">
        <v>5</v>
      </c>
      <c r="B2105" s="256">
        <v>1969</v>
      </c>
      <c r="C2105" s="257" t="s">
        <v>13</v>
      </c>
      <c r="D2105" s="257" t="s">
        <v>1966</v>
      </c>
      <c r="E2105" s="258" t="s">
        <v>4056</v>
      </c>
      <c r="F2105" s="258" t="s">
        <v>2041</v>
      </c>
      <c r="G2105" s="258" t="s">
        <v>2579</v>
      </c>
      <c r="H2105" s="259">
        <v>0.5</v>
      </c>
      <c r="I2105" s="259">
        <v>4.99</v>
      </c>
      <c r="J2105" s="256">
        <v>1</v>
      </c>
      <c r="K2105" s="262"/>
      <c r="L2105" s="261"/>
      <c r="M2105" s="277"/>
      <c r="N2105" s="279" t="s">
        <v>25</v>
      </c>
      <c r="O2105" t="str">
        <f t="shared" si="69"/>
        <v>1969-D Kennedy Half Dollar</v>
      </c>
      <c r="S2105" t="str" cm="1">
        <f t="array" ref="S2105">_xlfn.REGEXEXTRACT(E2105, "[0-9]{1,5}")</f>
        <v>1969</v>
      </c>
      <c r="T2105" t="s">
        <v>1627</v>
      </c>
      <c r="U2105" t="s">
        <v>3899</v>
      </c>
    </row>
    <row r="2106" spans="1:21">
      <c r="A2106" s="136">
        <v>5</v>
      </c>
      <c r="B2106" s="256">
        <v>1969</v>
      </c>
      <c r="C2106" s="257" t="s">
        <v>13</v>
      </c>
      <c r="D2106" s="257" t="s">
        <v>1966</v>
      </c>
      <c r="E2106" s="258" t="s">
        <v>4057</v>
      </c>
      <c r="F2106" s="258" t="s">
        <v>2041</v>
      </c>
      <c r="G2106" s="258" t="s">
        <v>2579</v>
      </c>
      <c r="H2106" s="259">
        <v>0.5</v>
      </c>
      <c r="I2106" s="259">
        <v>4.99</v>
      </c>
      <c r="J2106" s="256">
        <v>1</v>
      </c>
      <c r="K2106" s="262"/>
      <c r="L2106" s="261"/>
      <c r="M2106" s="277"/>
      <c r="N2106" s="279" t="s">
        <v>25</v>
      </c>
      <c r="O2106" t="str">
        <f t="shared" si="69"/>
        <v>1969-D Kennedy Half Dollar</v>
      </c>
      <c r="S2106" t="str" cm="1">
        <f t="array" ref="S2106">_xlfn.REGEXEXTRACT(E2106, "[0-9]{1,5}")</f>
        <v>1969</v>
      </c>
      <c r="T2106" t="s">
        <v>1649</v>
      </c>
      <c r="U2106" t="s">
        <v>3899</v>
      </c>
    </row>
    <row r="2107" spans="1:21">
      <c r="A2107" s="136">
        <v>5</v>
      </c>
      <c r="B2107" s="256">
        <v>1969</v>
      </c>
      <c r="C2107" s="257"/>
      <c r="D2107" s="257" t="s">
        <v>1966</v>
      </c>
      <c r="E2107" s="258" t="s">
        <v>4058</v>
      </c>
      <c r="F2107" s="258" t="s">
        <v>2041</v>
      </c>
      <c r="G2107" s="258" t="s">
        <v>2579</v>
      </c>
      <c r="H2107" s="259">
        <v>0.5</v>
      </c>
      <c r="I2107" s="259">
        <v>7.56</v>
      </c>
      <c r="J2107" s="256">
        <v>1</v>
      </c>
      <c r="K2107" s="262" t="s">
        <v>3909</v>
      </c>
      <c r="L2107" s="261" t="s">
        <v>2305</v>
      </c>
      <c r="M2107" s="277"/>
      <c r="N2107" s="279" t="s">
        <v>25</v>
      </c>
      <c r="O2107" t="str">
        <f t="shared" si="69"/>
        <v>1969 Kennedy Half Dollar</v>
      </c>
      <c r="S2107" t="str" cm="1">
        <f t="array" ref="S2107">_xlfn.REGEXEXTRACT(E2107, "[0-9]{1,5}")</f>
        <v>1969</v>
      </c>
      <c r="T2107" t="s">
        <v>1649</v>
      </c>
      <c r="U2107" t="s">
        <v>3899</v>
      </c>
    </row>
    <row r="2108" spans="1:21">
      <c r="A2108" s="136">
        <v>5</v>
      </c>
      <c r="B2108" s="256">
        <v>1971</v>
      </c>
      <c r="C2108" s="257"/>
      <c r="D2108" s="257" t="s">
        <v>1966</v>
      </c>
      <c r="E2108" s="258" t="s">
        <v>4059</v>
      </c>
      <c r="F2108" s="258" t="s">
        <v>2041</v>
      </c>
      <c r="G2108" s="258" t="s">
        <v>2579</v>
      </c>
      <c r="H2108" s="259">
        <v>0.5</v>
      </c>
      <c r="I2108" s="259">
        <v>2.87</v>
      </c>
      <c r="J2108" s="256">
        <v>1</v>
      </c>
      <c r="K2108" s="262"/>
      <c r="L2108" s="261"/>
      <c r="M2108" s="277"/>
      <c r="N2108" s="279" t="s">
        <v>25</v>
      </c>
      <c r="O2108" t="str">
        <f t="shared" si="69"/>
        <v>1971 Kennedy Half Dollar</v>
      </c>
      <c r="S2108" t="str" cm="1">
        <f t="array" ref="S2108">_xlfn.REGEXEXTRACT(E2108, "[0-9]{1,5}")</f>
        <v>1971</v>
      </c>
      <c r="T2108" t="s">
        <v>1649</v>
      </c>
      <c r="U2108" t="s">
        <v>3899</v>
      </c>
    </row>
    <row r="2109" spans="1:21">
      <c r="A2109" s="136">
        <v>5</v>
      </c>
      <c r="B2109" s="256">
        <v>1971</v>
      </c>
      <c r="C2109" s="257"/>
      <c r="D2109" s="257" t="s">
        <v>1966</v>
      </c>
      <c r="E2109" s="258" t="s">
        <v>4060</v>
      </c>
      <c r="F2109" s="258" t="s">
        <v>2041</v>
      </c>
      <c r="G2109" s="258" t="s">
        <v>2579</v>
      </c>
      <c r="H2109" s="259">
        <v>0.5</v>
      </c>
      <c r="I2109" s="259">
        <v>2.87</v>
      </c>
      <c r="J2109" s="256">
        <v>1</v>
      </c>
      <c r="K2109" s="262"/>
      <c r="L2109" s="261"/>
      <c r="M2109" s="277"/>
      <c r="N2109" s="279" t="s">
        <v>25</v>
      </c>
      <c r="O2109" t="str">
        <f t="shared" si="69"/>
        <v>1971 Kennedy Half Dollar</v>
      </c>
      <c r="S2109" t="str" cm="1">
        <f t="array" ref="S2109">_xlfn.REGEXEXTRACT(E2109, "[0-9]{1,5}")</f>
        <v>1971</v>
      </c>
      <c r="T2109" t="s">
        <v>1649</v>
      </c>
      <c r="U2109" t="s">
        <v>3899</v>
      </c>
    </row>
    <row r="2110" spans="1:21">
      <c r="A2110" s="136">
        <v>5</v>
      </c>
      <c r="B2110" s="256">
        <v>1971</v>
      </c>
      <c r="C2110" s="257"/>
      <c r="D2110" s="257" t="s">
        <v>1966</v>
      </c>
      <c r="E2110" s="258" t="s">
        <v>4061</v>
      </c>
      <c r="F2110" s="258" t="s">
        <v>2041</v>
      </c>
      <c r="G2110" s="258" t="s">
        <v>2579</v>
      </c>
      <c r="H2110" s="259">
        <v>0.5</v>
      </c>
      <c r="I2110" s="259">
        <v>2.87</v>
      </c>
      <c r="J2110" s="256">
        <v>1</v>
      </c>
      <c r="K2110" s="262"/>
      <c r="L2110" s="261"/>
      <c r="M2110" s="277"/>
      <c r="N2110" s="279" t="s">
        <v>25</v>
      </c>
      <c r="O2110" t="str">
        <f t="shared" si="69"/>
        <v>1971 Kennedy Half Dollar</v>
      </c>
      <c r="S2110" t="str" cm="1">
        <f t="array" ref="S2110">_xlfn.REGEXEXTRACT(E2110, "[0-9]{1,5}")</f>
        <v>1971</v>
      </c>
      <c r="T2110" t="s">
        <v>1649</v>
      </c>
      <c r="U2110" t="s">
        <v>3899</v>
      </c>
    </row>
    <row r="2111" spans="1:21">
      <c r="A2111" s="136">
        <v>5</v>
      </c>
      <c r="B2111" s="256">
        <v>1971</v>
      </c>
      <c r="C2111" s="257"/>
      <c r="D2111" s="257" t="s">
        <v>1966</v>
      </c>
      <c r="E2111" s="258" t="s">
        <v>4062</v>
      </c>
      <c r="F2111" s="258" t="s">
        <v>2041</v>
      </c>
      <c r="G2111" s="258" t="s">
        <v>2579</v>
      </c>
      <c r="H2111" s="259">
        <v>0.5</v>
      </c>
      <c r="I2111" s="259">
        <v>2.87</v>
      </c>
      <c r="J2111" s="256">
        <v>1</v>
      </c>
      <c r="K2111" s="262"/>
      <c r="L2111" s="261"/>
      <c r="M2111" s="277"/>
      <c r="N2111" s="279" t="s">
        <v>25</v>
      </c>
      <c r="O2111" t="str">
        <f t="shared" si="69"/>
        <v>1971 Kennedy Half Dollar</v>
      </c>
      <c r="S2111" t="str" cm="1">
        <f t="array" ref="S2111">_xlfn.REGEXEXTRACT(E2111, "[0-9]{1,5}")</f>
        <v>1971</v>
      </c>
      <c r="T2111" t="s">
        <v>4187</v>
      </c>
      <c r="U2111" t="s">
        <v>3899</v>
      </c>
    </row>
    <row r="2112" spans="1:21">
      <c r="A2112" s="136">
        <v>5</v>
      </c>
      <c r="B2112" s="256">
        <v>1971</v>
      </c>
      <c r="C2112" s="257" t="s">
        <v>13</v>
      </c>
      <c r="D2112" s="257" t="s">
        <v>1966</v>
      </c>
      <c r="E2112" s="258" t="s">
        <v>4063</v>
      </c>
      <c r="F2112" s="258" t="s">
        <v>2041</v>
      </c>
      <c r="G2112" s="258" t="s">
        <v>2579</v>
      </c>
      <c r="H2112" s="259">
        <v>0.5</v>
      </c>
      <c r="I2112" s="259">
        <v>3.19</v>
      </c>
      <c r="J2112" s="256">
        <v>1</v>
      </c>
      <c r="K2112" s="262"/>
      <c r="L2112" s="261"/>
      <c r="M2112" s="277"/>
      <c r="N2112" s="279" t="s">
        <v>25</v>
      </c>
      <c r="O2112" t="str">
        <f t="shared" si="69"/>
        <v>1971-D Kennedy Half Dollar</v>
      </c>
      <c r="S2112" t="str" cm="1">
        <f t="array" ref="S2112">_xlfn.REGEXEXTRACT(E2112, "[0-9]{1,5}")</f>
        <v>1971</v>
      </c>
      <c r="T2112" t="s">
        <v>4187</v>
      </c>
      <c r="U2112" t="s">
        <v>3899</v>
      </c>
    </row>
    <row r="2113" spans="1:21">
      <c r="A2113" s="136">
        <v>5</v>
      </c>
      <c r="B2113" s="256">
        <v>1971</v>
      </c>
      <c r="C2113" s="257"/>
      <c r="D2113" s="257" t="s">
        <v>1966</v>
      </c>
      <c r="E2113" s="258" t="s">
        <v>4064</v>
      </c>
      <c r="F2113" s="258" t="s">
        <v>2041</v>
      </c>
      <c r="G2113" s="258" t="s">
        <v>2579</v>
      </c>
      <c r="H2113" s="259">
        <v>0.5</v>
      </c>
      <c r="I2113" s="259">
        <v>2.87</v>
      </c>
      <c r="J2113" s="256">
        <v>1</v>
      </c>
      <c r="K2113" s="262"/>
      <c r="L2113" s="261"/>
      <c r="M2113" s="277"/>
      <c r="N2113" s="279" t="s">
        <v>25</v>
      </c>
      <c r="O2113" t="str">
        <f t="shared" si="69"/>
        <v>1971 Kennedy Half Dollar</v>
      </c>
      <c r="S2113" t="str" cm="1">
        <f t="array" ref="S2113">_xlfn.REGEXEXTRACT(E2113, "[0-9]{1,5}")</f>
        <v>1971</v>
      </c>
      <c r="T2113" t="s">
        <v>4187</v>
      </c>
      <c r="U2113" t="s">
        <v>3899</v>
      </c>
    </row>
    <row r="2114" spans="1:21">
      <c r="A2114" s="136">
        <v>5</v>
      </c>
      <c r="B2114" s="256">
        <v>1971</v>
      </c>
      <c r="C2114" s="257"/>
      <c r="D2114" s="257" t="s">
        <v>1966</v>
      </c>
      <c r="E2114" s="258" t="s">
        <v>4065</v>
      </c>
      <c r="F2114" s="258" t="s">
        <v>2041</v>
      </c>
      <c r="G2114" s="258" t="s">
        <v>2579</v>
      </c>
      <c r="H2114" s="259">
        <v>0.5</v>
      </c>
      <c r="I2114" s="259">
        <v>2.87</v>
      </c>
      <c r="J2114" s="256">
        <v>1</v>
      </c>
      <c r="K2114" s="262"/>
      <c r="L2114" s="261"/>
      <c r="M2114" s="277"/>
      <c r="N2114" s="279" t="s">
        <v>25</v>
      </c>
      <c r="O2114" t="str">
        <f t="shared" si="69"/>
        <v>1971 Kennedy Half Dollar</v>
      </c>
      <c r="S2114" t="str" cm="1">
        <f t="array" ref="S2114">_xlfn.REGEXEXTRACT(E2114, "[0-9]{1,5}")</f>
        <v>1971</v>
      </c>
      <c r="T2114" t="s">
        <v>4189</v>
      </c>
      <c r="U2114" t="s">
        <v>3899</v>
      </c>
    </row>
    <row r="2115" spans="1:21">
      <c r="A2115" s="136">
        <v>5</v>
      </c>
      <c r="B2115" s="256">
        <v>1971</v>
      </c>
      <c r="C2115" s="257"/>
      <c r="D2115" s="257" t="s">
        <v>1966</v>
      </c>
      <c r="E2115" s="258" t="s">
        <v>4066</v>
      </c>
      <c r="F2115" s="258" t="s">
        <v>2041</v>
      </c>
      <c r="G2115" s="258" t="s">
        <v>2579</v>
      </c>
      <c r="H2115" s="259">
        <v>0.5</v>
      </c>
      <c r="I2115" s="259">
        <v>2.87</v>
      </c>
      <c r="J2115" s="256">
        <v>1</v>
      </c>
      <c r="K2115" s="262"/>
      <c r="L2115" s="261"/>
      <c r="M2115" s="277"/>
      <c r="N2115" s="279" t="s">
        <v>25</v>
      </c>
      <c r="O2115" t="str">
        <f t="shared" si="69"/>
        <v>1971 Kennedy Half Dollar</v>
      </c>
      <c r="S2115" t="str" cm="1">
        <f t="array" ref="S2115">_xlfn.REGEXEXTRACT(E2115, "[0-9]{1,5}")</f>
        <v>1971</v>
      </c>
      <c r="T2115" t="s">
        <v>4189</v>
      </c>
      <c r="U2115" t="s">
        <v>3899</v>
      </c>
    </row>
    <row r="2116" spans="1:21">
      <c r="A2116" s="136">
        <v>5</v>
      </c>
      <c r="B2116" s="256">
        <v>1971</v>
      </c>
      <c r="C2116" s="257"/>
      <c r="D2116" s="257" t="s">
        <v>1966</v>
      </c>
      <c r="E2116" s="258" t="s">
        <v>4067</v>
      </c>
      <c r="F2116" s="258" t="s">
        <v>2041</v>
      </c>
      <c r="G2116" s="258" t="s">
        <v>2579</v>
      </c>
      <c r="H2116" s="259">
        <v>0.5</v>
      </c>
      <c r="I2116" s="259">
        <v>2.87</v>
      </c>
      <c r="J2116" s="256">
        <v>1</v>
      </c>
      <c r="K2116" s="262"/>
      <c r="L2116" s="261"/>
      <c r="M2116" s="277"/>
      <c r="N2116" s="279" t="s">
        <v>25</v>
      </c>
      <c r="O2116" t="str">
        <f t="shared" ref="O2116:O2179" si="70">IF(C2116&lt;&gt;"",B2116&amp;"-"&amp;C2116&amp;" "&amp;F2116,B2116&amp;" "&amp;F2116)</f>
        <v>1971 Kennedy Half Dollar</v>
      </c>
      <c r="S2116" t="str" cm="1">
        <f t="array" ref="S2116">_xlfn.REGEXEXTRACT(E2116, "[0-9]{1,5}")</f>
        <v>1971</v>
      </c>
      <c r="T2116" t="s">
        <v>4189</v>
      </c>
      <c r="U2116" t="s">
        <v>3899</v>
      </c>
    </row>
    <row r="2117" spans="1:21">
      <c r="A2117" s="136">
        <v>5</v>
      </c>
      <c r="B2117" s="256">
        <v>1971</v>
      </c>
      <c r="C2117" s="257"/>
      <c r="D2117" s="257" t="s">
        <v>1966</v>
      </c>
      <c r="E2117" s="258" t="s">
        <v>4068</v>
      </c>
      <c r="F2117" s="258" t="s">
        <v>2041</v>
      </c>
      <c r="G2117" s="258" t="s">
        <v>2579</v>
      </c>
      <c r="H2117" s="259">
        <v>0.5</v>
      </c>
      <c r="I2117" s="259">
        <v>2.87</v>
      </c>
      <c r="J2117" s="256">
        <v>1</v>
      </c>
      <c r="K2117" s="262"/>
      <c r="L2117" s="261"/>
      <c r="M2117" s="277"/>
      <c r="N2117" s="279" t="s">
        <v>25</v>
      </c>
      <c r="O2117" t="str">
        <f t="shared" si="70"/>
        <v>1971 Kennedy Half Dollar</v>
      </c>
      <c r="S2117" t="str" cm="1">
        <f t="array" ref="S2117">_xlfn.REGEXEXTRACT(E2117, "[0-9]{1,5}")</f>
        <v>1971</v>
      </c>
      <c r="T2117" t="s">
        <v>4189</v>
      </c>
      <c r="U2117" t="s">
        <v>3899</v>
      </c>
    </row>
    <row r="2118" spans="1:21">
      <c r="A2118" s="136">
        <v>5</v>
      </c>
      <c r="B2118" s="256">
        <v>1971</v>
      </c>
      <c r="C2118" s="257"/>
      <c r="D2118" s="257" t="s">
        <v>1966</v>
      </c>
      <c r="E2118" s="258" t="s">
        <v>4069</v>
      </c>
      <c r="F2118" s="258" t="s">
        <v>2041</v>
      </c>
      <c r="G2118" s="258" t="s">
        <v>2579</v>
      </c>
      <c r="H2118" s="259">
        <v>0.5</v>
      </c>
      <c r="I2118" s="259">
        <v>2.87</v>
      </c>
      <c r="J2118" s="256">
        <v>1</v>
      </c>
      <c r="K2118" s="262"/>
      <c r="L2118" s="261"/>
      <c r="M2118" s="277"/>
      <c r="N2118" s="279" t="s">
        <v>25</v>
      </c>
      <c r="O2118" t="str">
        <f t="shared" si="70"/>
        <v>1971 Kennedy Half Dollar</v>
      </c>
      <c r="S2118" t="str" cm="1">
        <f t="array" ref="S2118">_xlfn.REGEXEXTRACT(E2118, "[0-9]{1,5}")</f>
        <v>1971</v>
      </c>
      <c r="T2118" t="s">
        <v>4189</v>
      </c>
      <c r="U2118" t="s">
        <v>3899</v>
      </c>
    </row>
    <row r="2119" spans="1:21">
      <c r="A2119" s="136">
        <v>5</v>
      </c>
      <c r="B2119" s="256">
        <v>1971</v>
      </c>
      <c r="C2119" s="257" t="s">
        <v>13</v>
      </c>
      <c r="D2119" s="257" t="s">
        <v>1966</v>
      </c>
      <c r="E2119" s="258" t="s">
        <v>4070</v>
      </c>
      <c r="F2119" s="258" t="s">
        <v>2041</v>
      </c>
      <c r="G2119" s="258" t="s">
        <v>2579</v>
      </c>
      <c r="H2119" s="259">
        <v>0.5</v>
      </c>
      <c r="I2119" s="259">
        <v>3.19</v>
      </c>
      <c r="J2119" s="256">
        <v>1</v>
      </c>
      <c r="K2119" s="262"/>
      <c r="L2119" s="261"/>
      <c r="M2119" s="277"/>
      <c r="N2119" s="279" t="s">
        <v>25</v>
      </c>
      <c r="O2119" t="str">
        <f t="shared" si="70"/>
        <v>1971-D Kennedy Half Dollar</v>
      </c>
      <c r="S2119" t="str" cm="1">
        <f t="array" ref="S2119">_xlfn.REGEXEXTRACT(E2119, "[0-9]{1,5}")</f>
        <v>1971</v>
      </c>
      <c r="T2119" t="s">
        <v>4189</v>
      </c>
      <c r="U2119" t="s">
        <v>3899</v>
      </c>
    </row>
    <row r="2120" spans="1:21">
      <c r="A2120" s="136">
        <v>5</v>
      </c>
      <c r="B2120" s="256">
        <v>1971</v>
      </c>
      <c r="C2120" s="257" t="s">
        <v>13</v>
      </c>
      <c r="D2120" s="257" t="s">
        <v>1966</v>
      </c>
      <c r="E2120" s="258" t="s">
        <v>4071</v>
      </c>
      <c r="F2120" s="258" t="s">
        <v>2041</v>
      </c>
      <c r="G2120" s="258" t="s">
        <v>2579</v>
      </c>
      <c r="H2120" s="259">
        <v>0.5</v>
      </c>
      <c r="I2120" s="259">
        <v>3.19</v>
      </c>
      <c r="J2120" s="256">
        <v>1</v>
      </c>
      <c r="K2120" s="262"/>
      <c r="L2120" s="261"/>
      <c r="M2120" s="277"/>
      <c r="N2120" s="279" t="s">
        <v>25</v>
      </c>
      <c r="O2120" t="str">
        <f t="shared" si="70"/>
        <v>1971-D Kennedy Half Dollar</v>
      </c>
      <c r="S2120" t="str" cm="1">
        <f t="array" ref="S2120">_xlfn.REGEXEXTRACT(E2120, "[0-9]{1,5}")</f>
        <v>1971</v>
      </c>
      <c r="T2120" t="s">
        <v>4189</v>
      </c>
      <c r="U2120" t="s">
        <v>3899</v>
      </c>
    </row>
    <row r="2121" spans="1:21">
      <c r="A2121" s="136">
        <v>5</v>
      </c>
      <c r="B2121" s="256">
        <v>1971</v>
      </c>
      <c r="C2121" s="257" t="s">
        <v>13</v>
      </c>
      <c r="D2121" s="257" t="s">
        <v>1966</v>
      </c>
      <c r="E2121" s="258" t="s">
        <v>4072</v>
      </c>
      <c r="F2121" s="258" t="s">
        <v>2041</v>
      </c>
      <c r="G2121" s="258" t="s">
        <v>2579</v>
      </c>
      <c r="H2121" s="259">
        <v>0.5</v>
      </c>
      <c r="I2121" s="259">
        <v>3.19</v>
      </c>
      <c r="J2121" s="256">
        <v>1</v>
      </c>
      <c r="K2121" s="262"/>
      <c r="L2121" s="261"/>
      <c r="M2121" s="277"/>
      <c r="N2121" s="279" t="s">
        <v>25</v>
      </c>
      <c r="O2121" t="str">
        <f t="shared" si="70"/>
        <v>1971-D Kennedy Half Dollar</v>
      </c>
      <c r="S2121" t="str" cm="1">
        <f t="array" ref="S2121">_xlfn.REGEXEXTRACT(E2121, "[0-9]{1,5}")</f>
        <v>1971</v>
      </c>
      <c r="T2121" t="s">
        <v>4190</v>
      </c>
      <c r="U2121" t="s">
        <v>3899</v>
      </c>
    </row>
    <row r="2122" spans="1:21">
      <c r="A2122" s="136">
        <v>5</v>
      </c>
      <c r="B2122" s="256">
        <v>1971</v>
      </c>
      <c r="C2122" s="257"/>
      <c r="D2122" s="257" t="s">
        <v>1966</v>
      </c>
      <c r="E2122" s="258" t="s">
        <v>4073</v>
      </c>
      <c r="F2122" s="258" t="s">
        <v>2041</v>
      </c>
      <c r="G2122" s="258" t="s">
        <v>2579</v>
      </c>
      <c r="H2122" s="259">
        <v>0.5</v>
      </c>
      <c r="I2122" s="259">
        <v>2.87</v>
      </c>
      <c r="J2122" s="256">
        <v>1</v>
      </c>
      <c r="K2122" s="262"/>
      <c r="L2122" s="261"/>
      <c r="M2122" s="277"/>
      <c r="N2122" s="279" t="s">
        <v>25</v>
      </c>
      <c r="O2122" t="str">
        <f t="shared" si="70"/>
        <v>1971 Kennedy Half Dollar</v>
      </c>
      <c r="S2122" t="str" cm="1">
        <f t="array" ref="S2122">_xlfn.REGEXEXTRACT(E2122, "[0-9]{1,5}")</f>
        <v>1971</v>
      </c>
      <c r="T2122" t="s">
        <v>4190</v>
      </c>
      <c r="U2122" t="s">
        <v>3899</v>
      </c>
    </row>
    <row r="2123" spans="1:21">
      <c r="A2123" s="136">
        <v>5</v>
      </c>
      <c r="B2123" s="256">
        <v>1971</v>
      </c>
      <c r="C2123" s="257" t="s">
        <v>13</v>
      </c>
      <c r="D2123" s="257" t="s">
        <v>1966</v>
      </c>
      <c r="E2123" s="258" t="s">
        <v>4074</v>
      </c>
      <c r="F2123" s="258" t="s">
        <v>2041</v>
      </c>
      <c r="G2123" s="258" t="s">
        <v>2579</v>
      </c>
      <c r="H2123" s="259">
        <v>0.5</v>
      </c>
      <c r="I2123" s="259">
        <v>3.19</v>
      </c>
      <c r="J2123" s="256">
        <v>1</v>
      </c>
      <c r="K2123" s="262"/>
      <c r="L2123" s="261"/>
      <c r="M2123" s="277"/>
      <c r="N2123" s="279" t="s">
        <v>25</v>
      </c>
      <c r="O2123" t="str">
        <f t="shared" si="70"/>
        <v>1971-D Kennedy Half Dollar</v>
      </c>
      <c r="S2123" t="str" cm="1">
        <f t="array" ref="S2123">_xlfn.REGEXEXTRACT(E2123, "[0-9]{1,5}")</f>
        <v>1971</v>
      </c>
      <c r="T2123" t="s">
        <v>4190</v>
      </c>
      <c r="U2123" t="s">
        <v>3899</v>
      </c>
    </row>
    <row r="2124" spans="1:21">
      <c r="A2124" s="136">
        <v>5</v>
      </c>
      <c r="B2124" s="256">
        <v>1971</v>
      </c>
      <c r="C2124" s="257"/>
      <c r="D2124" s="257" t="s">
        <v>1966</v>
      </c>
      <c r="E2124" s="258" t="s">
        <v>4075</v>
      </c>
      <c r="F2124" s="258" t="s">
        <v>2041</v>
      </c>
      <c r="G2124" s="258" t="s">
        <v>2579</v>
      </c>
      <c r="H2124" s="259">
        <v>0.5</v>
      </c>
      <c r="I2124" s="259">
        <v>2.87</v>
      </c>
      <c r="J2124" s="256">
        <v>1</v>
      </c>
      <c r="K2124" s="262"/>
      <c r="L2124" s="261"/>
      <c r="M2124" s="277"/>
      <c r="N2124" s="279" t="s">
        <v>25</v>
      </c>
      <c r="O2124" t="str">
        <f t="shared" si="70"/>
        <v>1971 Kennedy Half Dollar</v>
      </c>
      <c r="S2124" t="str" cm="1">
        <f t="array" ref="S2124">_xlfn.REGEXEXTRACT(E2124, "[0-9]{1,5}")</f>
        <v>1971</v>
      </c>
      <c r="T2124" t="s">
        <v>4191</v>
      </c>
      <c r="U2124" t="s">
        <v>3899</v>
      </c>
    </row>
    <row r="2125" spans="1:21">
      <c r="A2125" s="136">
        <v>5</v>
      </c>
      <c r="B2125" s="256">
        <v>1971</v>
      </c>
      <c r="C2125" s="257"/>
      <c r="D2125" s="257" t="s">
        <v>1966</v>
      </c>
      <c r="E2125" s="258" t="s">
        <v>4076</v>
      </c>
      <c r="F2125" s="258" t="s">
        <v>2041</v>
      </c>
      <c r="G2125" s="258" t="s">
        <v>2579</v>
      </c>
      <c r="H2125" s="259">
        <v>0.5</v>
      </c>
      <c r="I2125" s="259">
        <v>2.87</v>
      </c>
      <c r="J2125" s="256">
        <v>1</v>
      </c>
      <c r="K2125" s="262"/>
      <c r="L2125" s="261"/>
      <c r="M2125" s="277"/>
      <c r="N2125" s="279" t="s">
        <v>25</v>
      </c>
      <c r="O2125" t="str">
        <f t="shared" si="70"/>
        <v>1971 Kennedy Half Dollar</v>
      </c>
      <c r="S2125" t="str" cm="1">
        <f t="array" ref="S2125">_xlfn.REGEXEXTRACT(E2125, "[0-9]{1,5}")</f>
        <v>1971</v>
      </c>
      <c r="T2125" t="s">
        <v>4191</v>
      </c>
      <c r="U2125" t="s">
        <v>3899</v>
      </c>
    </row>
    <row r="2126" spans="1:21">
      <c r="A2126" s="136">
        <v>5</v>
      </c>
      <c r="B2126" s="256">
        <v>1971</v>
      </c>
      <c r="C2126" s="257"/>
      <c r="D2126" s="257" t="s">
        <v>1966</v>
      </c>
      <c r="E2126" s="258" t="s">
        <v>4077</v>
      </c>
      <c r="F2126" s="258" t="s">
        <v>2041</v>
      </c>
      <c r="G2126" s="258" t="s">
        <v>2579</v>
      </c>
      <c r="H2126" s="259">
        <v>0.5</v>
      </c>
      <c r="I2126" s="259">
        <v>3.38</v>
      </c>
      <c r="J2126" s="256">
        <v>1</v>
      </c>
      <c r="K2126" s="262" t="s">
        <v>3909</v>
      </c>
      <c r="L2126" s="261"/>
      <c r="M2126" s="277"/>
      <c r="N2126" s="279" t="s">
        <v>25</v>
      </c>
      <c r="O2126" t="str">
        <f t="shared" si="70"/>
        <v>1971 Kennedy Half Dollar</v>
      </c>
      <c r="S2126" t="str" cm="1">
        <f t="array" ref="S2126">_xlfn.REGEXEXTRACT(E2126, "[0-9]{1,5}")</f>
        <v>1971</v>
      </c>
      <c r="T2126" t="s">
        <v>4194</v>
      </c>
      <c r="U2126" t="s">
        <v>3899</v>
      </c>
    </row>
    <row r="2127" spans="1:21">
      <c r="A2127" s="136">
        <v>5</v>
      </c>
      <c r="B2127" s="256">
        <v>1971</v>
      </c>
      <c r="C2127" s="257"/>
      <c r="D2127" s="257" t="s">
        <v>1966</v>
      </c>
      <c r="E2127" s="258" t="s">
        <v>4078</v>
      </c>
      <c r="F2127" s="258" t="s">
        <v>2041</v>
      </c>
      <c r="G2127" s="258" t="s">
        <v>2579</v>
      </c>
      <c r="H2127" s="259">
        <v>0.5</v>
      </c>
      <c r="I2127" s="259">
        <v>3.38</v>
      </c>
      <c r="J2127" s="256">
        <v>1</v>
      </c>
      <c r="K2127" s="262" t="s">
        <v>3909</v>
      </c>
      <c r="L2127" s="261"/>
      <c r="M2127" s="277"/>
      <c r="N2127" s="279" t="s">
        <v>25</v>
      </c>
      <c r="O2127" t="str">
        <f t="shared" si="70"/>
        <v>1971 Kennedy Half Dollar</v>
      </c>
      <c r="S2127" t="str" cm="1">
        <f t="array" ref="S2127">_xlfn.REGEXEXTRACT(E2127, "[0-9]{1,5}")</f>
        <v>1971</v>
      </c>
      <c r="T2127" t="s">
        <v>4194</v>
      </c>
      <c r="U2127" t="s">
        <v>3899</v>
      </c>
    </row>
    <row r="2128" spans="1:21">
      <c r="A2128" s="136">
        <v>5</v>
      </c>
      <c r="B2128" s="256">
        <v>1972</v>
      </c>
      <c r="C2128" s="257"/>
      <c r="D2128" s="257" t="s">
        <v>1966</v>
      </c>
      <c r="E2128" s="258" t="s">
        <v>4079</v>
      </c>
      <c r="F2128" s="258" t="s">
        <v>2041</v>
      </c>
      <c r="G2128" s="258" t="s">
        <v>2579</v>
      </c>
      <c r="H2128" s="259">
        <v>0.5</v>
      </c>
      <c r="I2128" s="259">
        <v>3</v>
      </c>
      <c r="J2128" s="256">
        <v>1</v>
      </c>
      <c r="K2128" s="262"/>
      <c r="L2128" s="261"/>
      <c r="M2128" s="277"/>
      <c r="N2128" s="279" t="s">
        <v>25</v>
      </c>
      <c r="O2128" t="str">
        <f t="shared" si="70"/>
        <v>1972 Kennedy Half Dollar</v>
      </c>
      <c r="S2128" t="str" cm="1">
        <f t="array" ref="S2128">_xlfn.REGEXEXTRACT(E2128, "[0-9]{1,5}")</f>
        <v>1972</v>
      </c>
      <c r="T2128" t="s">
        <v>4194</v>
      </c>
      <c r="U2128" t="s">
        <v>3899</v>
      </c>
    </row>
    <row r="2129" spans="1:21">
      <c r="A2129" s="136">
        <v>5</v>
      </c>
      <c r="B2129" s="256">
        <v>1972</v>
      </c>
      <c r="C2129" s="257"/>
      <c r="D2129" s="257" t="s">
        <v>1966</v>
      </c>
      <c r="E2129" s="258" t="s">
        <v>4080</v>
      </c>
      <c r="F2129" s="258" t="s">
        <v>2041</v>
      </c>
      <c r="G2129" s="258" t="s">
        <v>2579</v>
      </c>
      <c r="H2129" s="259">
        <v>0.5</v>
      </c>
      <c r="I2129" s="259">
        <v>3</v>
      </c>
      <c r="J2129" s="256">
        <v>1</v>
      </c>
      <c r="K2129" s="262"/>
      <c r="L2129" s="261"/>
      <c r="M2129" s="277"/>
      <c r="N2129" s="279" t="s">
        <v>25</v>
      </c>
      <c r="O2129" t="str">
        <f t="shared" si="70"/>
        <v>1972 Kennedy Half Dollar</v>
      </c>
      <c r="S2129" t="str" cm="1">
        <f t="array" ref="S2129">_xlfn.REGEXEXTRACT(E2129, "[0-9]{1,5}")</f>
        <v>1972</v>
      </c>
      <c r="T2129" t="s">
        <v>2396</v>
      </c>
      <c r="U2129" t="s">
        <v>3899</v>
      </c>
    </row>
    <row r="2130" spans="1:21">
      <c r="A2130" s="136">
        <v>5</v>
      </c>
      <c r="B2130" s="256">
        <v>1972</v>
      </c>
      <c r="C2130" s="257"/>
      <c r="D2130" s="257" t="s">
        <v>1966</v>
      </c>
      <c r="E2130" s="258" t="s">
        <v>4081</v>
      </c>
      <c r="F2130" s="258" t="s">
        <v>2041</v>
      </c>
      <c r="G2130" s="258" t="s">
        <v>2579</v>
      </c>
      <c r="H2130" s="259">
        <v>0.5</v>
      </c>
      <c r="I2130" s="259">
        <v>3</v>
      </c>
      <c r="J2130" s="256">
        <v>1</v>
      </c>
      <c r="K2130" s="262"/>
      <c r="L2130" s="261"/>
      <c r="M2130" s="277"/>
      <c r="N2130" s="279" t="s">
        <v>25</v>
      </c>
      <c r="O2130" t="str">
        <f t="shared" si="70"/>
        <v>1972 Kennedy Half Dollar</v>
      </c>
      <c r="S2130" t="str" cm="1">
        <f t="array" ref="S2130">_xlfn.REGEXEXTRACT(E2130, "[0-9]{1,5}")</f>
        <v>1972</v>
      </c>
      <c r="T2130" t="s">
        <v>4196</v>
      </c>
      <c r="U2130" t="s">
        <v>3899</v>
      </c>
    </row>
    <row r="2131" spans="1:21">
      <c r="A2131" s="136">
        <v>5</v>
      </c>
      <c r="B2131" s="256">
        <v>1972</v>
      </c>
      <c r="C2131" s="257"/>
      <c r="D2131" s="257" t="s">
        <v>1966</v>
      </c>
      <c r="E2131" s="258" t="s">
        <v>4082</v>
      </c>
      <c r="F2131" s="258" t="s">
        <v>2041</v>
      </c>
      <c r="G2131" s="258" t="s">
        <v>2579</v>
      </c>
      <c r="H2131" s="259">
        <v>0.5</v>
      </c>
      <c r="I2131" s="259">
        <v>3</v>
      </c>
      <c r="J2131" s="256">
        <v>1</v>
      </c>
      <c r="K2131" s="262"/>
      <c r="L2131" s="261"/>
      <c r="M2131" s="277"/>
      <c r="N2131" s="279" t="s">
        <v>25</v>
      </c>
      <c r="O2131" t="str">
        <f t="shared" si="70"/>
        <v>1972 Kennedy Half Dollar</v>
      </c>
      <c r="S2131" t="str" cm="1">
        <f t="array" ref="S2131">_xlfn.REGEXEXTRACT(E2131, "[0-9]{1,5}")</f>
        <v>1972</v>
      </c>
      <c r="T2131" t="s">
        <v>4196</v>
      </c>
      <c r="U2131" t="s">
        <v>3899</v>
      </c>
    </row>
    <row r="2132" spans="1:21">
      <c r="A2132" s="136">
        <v>5</v>
      </c>
      <c r="B2132" s="256">
        <v>1972</v>
      </c>
      <c r="C2132" s="257"/>
      <c r="D2132" s="257" t="s">
        <v>1966</v>
      </c>
      <c r="E2132" s="258" t="s">
        <v>4083</v>
      </c>
      <c r="F2132" s="258" t="s">
        <v>2041</v>
      </c>
      <c r="G2132" s="258" t="s">
        <v>2579</v>
      </c>
      <c r="H2132" s="259">
        <v>0.5</v>
      </c>
      <c r="I2132" s="259">
        <v>3</v>
      </c>
      <c r="J2132" s="256">
        <v>1</v>
      </c>
      <c r="K2132" s="262"/>
      <c r="L2132" s="261"/>
      <c r="M2132" s="277"/>
      <c r="N2132" s="279" t="s">
        <v>25</v>
      </c>
      <c r="O2132" t="str">
        <f t="shared" si="70"/>
        <v>1972 Kennedy Half Dollar</v>
      </c>
      <c r="S2132" t="str" cm="1">
        <f t="array" ref="S2132">_xlfn.REGEXEXTRACT(E2132, "[0-9]{1,5}")</f>
        <v>1972</v>
      </c>
      <c r="T2132" t="s">
        <v>4196</v>
      </c>
      <c r="U2132" t="s">
        <v>3899</v>
      </c>
    </row>
    <row r="2133" spans="1:21">
      <c r="A2133" s="136">
        <v>5</v>
      </c>
      <c r="B2133" s="256">
        <v>1972</v>
      </c>
      <c r="C2133" s="257"/>
      <c r="D2133" s="257" t="s">
        <v>1966</v>
      </c>
      <c r="E2133" s="258" t="s">
        <v>4084</v>
      </c>
      <c r="F2133" s="258" t="s">
        <v>2041</v>
      </c>
      <c r="G2133" s="258" t="s">
        <v>2579</v>
      </c>
      <c r="H2133" s="259">
        <v>0.5</v>
      </c>
      <c r="I2133" s="259">
        <v>3</v>
      </c>
      <c r="J2133" s="256">
        <v>1</v>
      </c>
      <c r="K2133" s="262"/>
      <c r="L2133" s="261"/>
      <c r="M2133" s="277"/>
      <c r="N2133" s="279" t="s">
        <v>25</v>
      </c>
      <c r="O2133" t="str">
        <f t="shared" si="70"/>
        <v>1972 Kennedy Half Dollar</v>
      </c>
      <c r="S2133" t="str" cm="1">
        <f t="array" ref="S2133">_xlfn.REGEXEXTRACT(E2133, "[0-9]{1,5}")</f>
        <v>1972</v>
      </c>
      <c r="T2133" t="s">
        <v>4197</v>
      </c>
      <c r="U2133" t="s">
        <v>3899</v>
      </c>
    </row>
    <row r="2134" spans="1:21">
      <c r="A2134" s="136">
        <v>5</v>
      </c>
      <c r="B2134" s="256">
        <v>1973</v>
      </c>
      <c r="C2134" s="257"/>
      <c r="D2134" s="257" t="s">
        <v>1966</v>
      </c>
      <c r="E2134" s="258" t="s">
        <v>4085</v>
      </c>
      <c r="F2134" s="258" t="s">
        <v>2041</v>
      </c>
      <c r="G2134" s="258" t="s">
        <v>2579</v>
      </c>
      <c r="H2134" s="259">
        <v>0.5</v>
      </c>
      <c r="I2134" s="259">
        <v>2.14</v>
      </c>
      <c r="J2134" s="256">
        <v>1</v>
      </c>
      <c r="K2134" s="262"/>
      <c r="L2134" s="261"/>
      <c r="M2134" s="277"/>
      <c r="N2134" s="279" t="s">
        <v>25</v>
      </c>
      <c r="O2134" t="str">
        <f t="shared" si="70"/>
        <v>1973 Kennedy Half Dollar</v>
      </c>
      <c r="S2134" t="str" cm="1">
        <f t="array" ref="S2134">_xlfn.REGEXEXTRACT(E2134, "[0-9]{1,5}")</f>
        <v>1973</v>
      </c>
      <c r="T2134" t="s">
        <v>4198</v>
      </c>
      <c r="U2134" t="s">
        <v>3899</v>
      </c>
    </row>
    <row r="2135" spans="1:21">
      <c r="A2135" s="136">
        <v>5</v>
      </c>
      <c r="B2135" s="256">
        <v>1973</v>
      </c>
      <c r="C2135" s="257"/>
      <c r="D2135" s="257" t="s">
        <v>1966</v>
      </c>
      <c r="E2135" s="258" t="s">
        <v>4086</v>
      </c>
      <c r="F2135" s="258" t="s">
        <v>2041</v>
      </c>
      <c r="G2135" s="258" t="s">
        <v>2579</v>
      </c>
      <c r="H2135" s="259">
        <v>0.5</v>
      </c>
      <c r="I2135" s="259">
        <v>2.14</v>
      </c>
      <c r="J2135" s="256">
        <v>1</v>
      </c>
      <c r="K2135" s="262"/>
      <c r="L2135" s="261"/>
      <c r="M2135" s="277"/>
      <c r="N2135" s="279" t="s">
        <v>25</v>
      </c>
      <c r="O2135" t="str">
        <f t="shared" si="70"/>
        <v>1973 Kennedy Half Dollar</v>
      </c>
      <c r="S2135" t="str" cm="1">
        <f t="array" ref="S2135">_xlfn.REGEXEXTRACT(E2135, "[0-9]{1,5}")</f>
        <v>1973</v>
      </c>
      <c r="T2135" t="s">
        <v>4198</v>
      </c>
      <c r="U2135" t="s">
        <v>3899</v>
      </c>
    </row>
    <row r="2136" spans="1:21">
      <c r="A2136" s="136">
        <v>5</v>
      </c>
      <c r="B2136" s="256">
        <v>1973</v>
      </c>
      <c r="C2136" s="257"/>
      <c r="D2136" s="257" t="s">
        <v>1966</v>
      </c>
      <c r="E2136" s="258" t="s">
        <v>4087</v>
      </c>
      <c r="F2136" s="258" t="s">
        <v>2041</v>
      </c>
      <c r="G2136" s="258" t="s">
        <v>2579</v>
      </c>
      <c r="H2136" s="259">
        <v>0.5</v>
      </c>
      <c r="I2136" s="259">
        <v>2.14</v>
      </c>
      <c r="J2136" s="256">
        <v>1</v>
      </c>
      <c r="K2136" s="262"/>
      <c r="L2136" s="261"/>
      <c r="M2136" s="277"/>
      <c r="N2136" s="279" t="s">
        <v>25</v>
      </c>
      <c r="O2136" t="str">
        <f t="shared" si="70"/>
        <v>1973 Kennedy Half Dollar</v>
      </c>
      <c r="S2136" t="str" cm="1">
        <f t="array" ref="S2136">_xlfn.REGEXEXTRACT(E2136, "[0-9]{1,5}")</f>
        <v>1973</v>
      </c>
      <c r="T2136" t="s">
        <v>4198</v>
      </c>
      <c r="U2136" t="s">
        <v>3899</v>
      </c>
    </row>
    <row r="2137" spans="1:21">
      <c r="A2137" s="136">
        <v>5</v>
      </c>
      <c r="B2137" s="256">
        <v>1973</v>
      </c>
      <c r="C2137" s="257"/>
      <c r="D2137" s="257" t="s">
        <v>1966</v>
      </c>
      <c r="E2137" s="258" t="s">
        <v>4088</v>
      </c>
      <c r="F2137" s="258" t="s">
        <v>2041</v>
      </c>
      <c r="G2137" s="258" t="s">
        <v>2579</v>
      </c>
      <c r="H2137" s="259">
        <v>0.5</v>
      </c>
      <c r="I2137" s="259">
        <v>2.14</v>
      </c>
      <c r="J2137" s="256">
        <v>1</v>
      </c>
      <c r="K2137" s="262"/>
      <c r="L2137" s="261"/>
      <c r="M2137" s="277"/>
      <c r="N2137" s="279" t="s">
        <v>25</v>
      </c>
      <c r="O2137" t="str">
        <f t="shared" si="70"/>
        <v>1973 Kennedy Half Dollar</v>
      </c>
      <c r="S2137" t="str" cm="1">
        <f t="array" ref="S2137">_xlfn.REGEXEXTRACT(E2137, "[0-9]{1,5}")</f>
        <v>1973</v>
      </c>
      <c r="T2137" t="s">
        <v>4198</v>
      </c>
      <c r="U2137" t="s">
        <v>3899</v>
      </c>
    </row>
    <row r="2138" spans="1:21">
      <c r="A2138" s="136">
        <v>5</v>
      </c>
      <c r="B2138" s="256">
        <v>1973</v>
      </c>
      <c r="C2138" s="257"/>
      <c r="D2138" s="257" t="s">
        <v>1966</v>
      </c>
      <c r="E2138" s="258" t="s">
        <v>4089</v>
      </c>
      <c r="F2138" s="258" t="s">
        <v>2041</v>
      </c>
      <c r="G2138" s="258" t="s">
        <v>2579</v>
      </c>
      <c r="H2138" s="259">
        <v>0.5</v>
      </c>
      <c r="I2138" s="259">
        <v>2.14</v>
      </c>
      <c r="J2138" s="256">
        <v>1</v>
      </c>
      <c r="K2138" s="262"/>
      <c r="L2138" s="261"/>
      <c r="M2138" s="277"/>
      <c r="N2138" s="279" t="s">
        <v>25</v>
      </c>
      <c r="O2138" t="str">
        <f t="shared" si="70"/>
        <v>1973 Kennedy Half Dollar</v>
      </c>
      <c r="S2138" t="str" cm="1">
        <f t="array" ref="S2138">_xlfn.REGEXEXTRACT(E2138, "[0-9]{1,5}")</f>
        <v>1973</v>
      </c>
      <c r="T2138" t="s">
        <v>4199</v>
      </c>
      <c r="U2138" t="s">
        <v>3899</v>
      </c>
    </row>
    <row r="2139" spans="1:21">
      <c r="A2139" s="136">
        <v>5</v>
      </c>
      <c r="B2139" s="256">
        <v>1973</v>
      </c>
      <c r="C2139" s="257"/>
      <c r="D2139" s="257" t="s">
        <v>1966</v>
      </c>
      <c r="E2139" s="258" t="s">
        <v>4090</v>
      </c>
      <c r="F2139" s="258" t="s">
        <v>2041</v>
      </c>
      <c r="G2139" s="258" t="s">
        <v>2579</v>
      </c>
      <c r="H2139" s="259">
        <v>0.5</v>
      </c>
      <c r="I2139" s="259">
        <v>3.38</v>
      </c>
      <c r="J2139" s="256">
        <v>1</v>
      </c>
      <c r="K2139" s="262" t="s">
        <v>3909</v>
      </c>
      <c r="L2139" s="261"/>
      <c r="M2139" s="277"/>
      <c r="N2139" s="279" t="s">
        <v>25</v>
      </c>
      <c r="O2139" t="str">
        <f t="shared" si="70"/>
        <v>1973 Kennedy Half Dollar</v>
      </c>
      <c r="S2139" t="str" cm="1">
        <f t="array" ref="S2139">_xlfn.REGEXEXTRACT(E2139, "[0-9]{1,5}")</f>
        <v>1973</v>
      </c>
      <c r="T2139" t="s">
        <v>4236</v>
      </c>
      <c r="U2139" t="s">
        <v>3899</v>
      </c>
    </row>
    <row r="2140" spans="1:21">
      <c r="A2140" s="136">
        <v>5</v>
      </c>
      <c r="B2140" s="256">
        <v>1974</v>
      </c>
      <c r="C2140" s="257"/>
      <c r="D2140" s="257" t="s">
        <v>1966</v>
      </c>
      <c r="E2140" s="258" t="s">
        <v>4091</v>
      </c>
      <c r="F2140" s="258" t="s">
        <v>2041</v>
      </c>
      <c r="G2140" s="258" t="s">
        <v>2579</v>
      </c>
      <c r="H2140" s="259">
        <v>0.5</v>
      </c>
      <c r="I2140" s="259">
        <v>2.93</v>
      </c>
      <c r="J2140" s="256">
        <v>1</v>
      </c>
      <c r="K2140" s="262"/>
      <c r="L2140" s="261"/>
      <c r="M2140" s="277"/>
      <c r="N2140" s="279" t="s">
        <v>25</v>
      </c>
      <c r="O2140" t="str">
        <f t="shared" si="70"/>
        <v>1974 Kennedy Half Dollar</v>
      </c>
      <c r="S2140" t="str" cm="1">
        <f t="array" ref="S2140">_xlfn.REGEXEXTRACT(E2140, "[0-9]{1,5}")</f>
        <v>1974</v>
      </c>
      <c r="T2140" t="s">
        <v>4236</v>
      </c>
      <c r="U2140" t="s">
        <v>3899</v>
      </c>
    </row>
    <row r="2141" spans="1:21">
      <c r="A2141" s="136">
        <v>5</v>
      </c>
      <c r="B2141" s="256">
        <v>1974</v>
      </c>
      <c r="C2141" s="257"/>
      <c r="D2141" s="257" t="s">
        <v>1966</v>
      </c>
      <c r="E2141" s="258" t="s">
        <v>4092</v>
      </c>
      <c r="F2141" s="258" t="s">
        <v>2041</v>
      </c>
      <c r="G2141" s="258" t="s">
        <v>2579</v>
      </c>
      <c r="H2141" s="259">
        <v>0.5</v>
      </c>
      <c r="I2141" s="259">
        <v>2.93</v>
      </c>
      <c r="J2141" s="256">
        <v>1</v>
      </c>
      <c r="K2141" s="262"/>
      <c r="L2141" s="261"/>
      <c r="M2141" s="277"/>
      <c r="N2141" s="279" t="s">
        <v>25</v>
      </c>
      <c r="O2141" t="str">
        <f t="shared" si="70"/>
        <v>1974 Kennedy Half Dollar</v>
      </c>
      <c r="S2141" t="str" cm="1">
        <f t="array" ref="S2141">_xlfn.REGEXEXTRACT(E2141, "[0-9]{1,5}")</f>
        <v>1974</v>
      </c>
      <c r="T2141" t="s">
        <v>1589</v>
      </c>
      <c r="U2141" t="s">
        <v>3900</v>
      </c>
    </row>
    <row r="2142" spans="1:21">
      <c r="A2142" s="136">
        <v>5</v>
      </c>
      <c r="B2142" s="256">
        <v>1974</v>
      </c>
      <c r="C2142" s="257"/>
      <c r="D2142" s="257" t="s">
        <v>1966</v>
      </c>
      <c r="E2142" s="258" t="s">
        <v>4093</v>
      </c>
      <c r="F2142" s="258" t="s">
        <v>2041</v>
      </c>
      <c r="G2142" s="258" t="s">
        <v>2579</v>
      </c>
      <c r="H2142" s="259">
        <v>0.5</v>
      </c>
      <c r="I2142" s="259">
        <v>2.93</v>
      </c>
      <c r="J2142" s="256">
        <v>1</v>
      </c>
      <c r="K2142" s="262"/>
      <c r="L2142" s="261"/>
      <c r="M2142" s="277"/>
      <c r="N2142" s="279" t="s">
        <v>25</v>
      </c>
      <c r="O2142" t="str">
        <f t="shared" si="70"/>
        <v>1974 Kennedy Half Dollar</v>
      </c>
      <c r="S2142" t="str" cm="1">
        <f t="array" ref="S2142">_xlfn.REGEXEXTRACT(E2142, "[0-9]{1,5}")</f>
        <v>1974</v>
      </c>
      <c r="T2142" t="s">
        <v>4237</v>
      </c>
      <c r="U2142" t="s">
        <v>3900</v>
      </c>
    </row>
    <row r="2143" spans="1:21">
      <c r="A2143" s="136">
        <v>5</v>
      </c>
      <c r="B2143" s="256">
        <v>1974</v>
      </c>
      <c r="C2143" s="257"/>
      <c r="D2143" s="257" t="s">
        <v>1966</v>
      </c>
      <c r="E2143" s="258" t="s">
        <v>4094</v>
      </c>
      <c r="F2143" s="258" t="s">
        <v>2041</v>
      </c>
      <c r="G2143" s="258" t="s">
        <v>2579</v>
      </c>
      <c r="H2143" s="259">
        <v>0.5</v>
      </c>
      <c r="I2143" s="259">
        <v>2.93</v>
      </c>
      <c r="J2143" s="256">
        <v>1</v>
      </c>
      <c r="K2143" s="262"/>
      <c r="L2143" s="261"/>
      <c r="M2143" s="277"/>
      <c r="N2143" s="279" t="s">
        <v>25</v>
      </c>
      <c r="O2143" t="str">
        <f t="shared" si="70"/>
        <v>1974 Kennedy Half Dollar</v>
      </c>
      <c r="S2143" t="str" cm="1">
        <f t="array" ref="S2143">_xlfn.REGEXEXTRACT(E2143, "[0-9]{1,5}")</f>
        <v>1974</v>
      </c>
      <c r="T2143" t="s">
        <v>2398</v>
      </c>
      <c r="U2143" t="s">
        <v>3900</v>
      </c>
    </row>
    <row r="2144" spans="1:21">
      <c r="A2144" s="136">
        <v>5</v>
      </c>
      <c r="B2144" s="256">
        <v>1974</v>
      </c>
      <c r="C2144" s="257"/>
      <c r="D2144" s="257" t="s">
        <v>1966</v>
      </c>
      <c r="E2144" s="258" t="s">
        <v>4095</v>
      </c>
      <c r="F2144" s="258" t="s">
        <v>2041</v>
      </c>
      <c r="G2144" s="258" t="s">
        <v>2579</v>
      </c>
      <c r="H2144" s="259">
        <v>0.5</v>
      </c>
      <c r="I2144" s="259">
        <v>2.93</v>
      </c>
      <c r="J2144" s="256">
        <v>1</v>
      </c>
      <c r="K2144" s="262"/>
      <c r="L2144" s="261"/>
      <c r="M2144" s="277"/>
      <c r="N2144" s="279" t="s">
        <v>25</v>
      </c>
      <c r="O2144" t="str">
        <f t="shared" si="70"/>
        <v>1974 Kennedy Half Dollar</v>
      </c>
      <c r="S2144" t="str" cm="1">
        <f t="array" ref="S2144">_xlfn.REGEXEXTRACT(E2144, "[0-9]{1,5}")</f>
        <v>1974</v>
      </c>
      <c r="T2144" t="s">
        <v>4176</v>
      </c>
      <c r="U2144" t="s">
        <v>3900</v>
      </c>
    </row>
    <row r="2145" spans="1:21">
      <c r="A2145" s="136">
        <v>5</v>
      </c>
      <c r="B2145" s="256">
        <v>1974</v>
      </c>
      <c r="C2145" s="257"/>
      <c r="D2145" s="257" t="s">
        <v>1966</v>
      </c>
      <c r="E2145" s="258" t="s">
        <v>4096</v>
      </c>
      <c r="F2145" s="258" t="s">
        <v>2041</v>
      </c>
      <c r="G2145" s="258" t="s">
        <v>2579</v>
      </c>
      <c r="H2145" s="259">
        <v>0.5</v>
      </c>
      <c r="I2145" s="259">
        <v>2.93</v>
      </c>
      <c r="J2145" s="256">
        <v>1</v>
      </c>
      <c r="K2145" s="262"/>
      <c r="L2145" s="261"/>
      <c r="M2145" s="277"/>
      <c r="N2145" s="279" t="s">
        <v>25</v>
      </c>
      <c r="O2145" t="str">
        <f t="shared" si="70"/>
        <v>1974 Kennedy Half Dollar</v>
      </c>
      <c r="S2145" t="str" cm="1">
        <f t="array" ref="S2145">_xlfn.REGEXEXTRACT(E2145, "[0-9]{1,5}")</f>
        <v>1974</v>
      </c>
      <c r="T2145" t="s">
        <v>2435</v>
      </c>
      <c r="U2145" t="s">
        <v>3900</v>
      </c>
    </row>
    <row r="2146" spans="1:21">
      <c r="A2146" s="136">
        <v>5</v>
      </c>
      <c r="B2146" s="256">
        <v>1974</v>
      </c>
      <c r="C2146" s="257"/>
      <c r="D2146" s="257" t="s">
        <v>1966</v>
      </c>
      <c r="E2146" s="258" t="s">
        <v>4097</v>
      </c>
      <c r="F2146" s="258" t="s">
        <v>2041</v>
      </c>
      <c r="G2146" s="258" t="s">
        <v>2579</v>
      </c>
      <c r="H2146" s="259">
        <v>0.5</v>
      </c>
      <c r="I2146" s="259">
        <v>2.93</v>
      </c>
      <c r="J2146" s="256">
        <v>1</v>
      </c>
      <c r="K2146" s="262"/>
      <c r="L2146" s="261"/>
      <c r="M2146" s="277"/>
      <c r="N2146" s="279" t="s">
        <v>25</v>
      </c>
      <c r="O2146" t="str">
        <f t="shared" si="70"/>
        <v>1974 Kennedy Half Dollar</v>
      </c>
      <c r="S2146" t="str" cm="1">
        <f t="array" ref="S2146">_xlfn.REGEXEXTRACT(E2146, "[0-9]{1,5}")</f>
        <v>1974</v>
      </c>
      <c r="T2146" t="s">
        <v>2435</v>
      </c>
      <c r="U2146" t="s">
        <v>3900</v>
      </c>
    </row>
    <row r="2147" spans="1:21">
      <c r="A2147" s="136">
        <v>5</v>
      </c>
      <c r="B2147" s="256">
        <v>1974</v>
      </c>
      <c r="C2147" s="257" t="s">
        <v>13</v>
      </c>
      <c r="D2147" s="257" t="s">
        <v>1966</v>
      </c>
      <c r="E2147" s="258" t="s">
        <v>4098</v>
      </c>
      <c r="F2147" s="258" t="s">
        <v>2041</v>
      </c>
      <c r="G2147" s="258" t="s">
        <v>2579</v>
      </c>
      <c r="H2147" s="259">
        <v>0.5</v>
      </c>
      <c r="I2147" s="259">
        <v>6.55</v>
      </c>
      <c r="J2147" s="256">
        <v>1</v>
      </c>
      <c r="K2147" s="262"/>
      <c r="L2147" s="261"/>
      <c r="M2147" s="277"/>
      <c r="N2147" s="279" t="s">
        <v>25</v>
      </c>
      <c r="O2147" t="str">
        <f t="shared" si="70"/>
        <v>1974-D Kennedy Half Dollar</v>
      </c>
      <c r="S2147" t="str" cm="1">
        <f t="array" ref="S2147">_xlfn.REGEXEXTRACT(E2147, "[0-9]{1,5}")</f>
        <v>1974</v>
      </c>
      <c r="T2147" t="s">
        <v>2435</v>
      </c>
      <c r="U2147" t="s">
        <v>3900</v>
      </c>
    </row>
    <row r="2148" spans="1:21">
      <c r="A2148" s="136">
        <v>5</v>
      </c>
      <c r="B2148" s="256">
        <v>1974</v>
      </c>
      <c r="C2148" s="257"/>
      <c r="D2148" s="257" t="s">
        <v>1966</v>
      </c>
      <c r="E2148" s="258" t="s">
        <v>4099</v>
      </c>
      <c r="F2148" s="258" t="s">
        <v>2041</v>
      </c>
      <c r="G2148" s="258" t="s">
        <v>2579</v>
      </c>
      <c r="H2148" s="259">
        <v>0.5</v>
      </c>
      <c r="I2148" s="259">
        <v>2.93</v>
      </c>
      <c r="J2148" s="256">
        <v>1</v>
      </c>
      <c r="K2148" s="262"/>
      <c r="L2148" s="261"/>
      <c r="M2148" s="277"/>
      <c r="N2148" s="279" t="s">
        <v>25</v>
      </c>
      <c r="O2148" t="str">
        <f t="shared" si="70"/>
        <v>1974 Kennedy Half Dollar</v>
      </c>
      <c r="S2148" t="str" cm="1">
        <f t="array" ref="S2148">_xlfn.REGEXEXTRACT(E2148, "[0-9]{1,5}")</f>
        <v>1974</v>
      </c>
      <c r="T2148" t="s">
        <v>4177</v>
      </c>
      <c r="U2148" t="s">
        <v>3900</v>
      </c>
    </row>
    <row r="2149" spans="1:21">
      <c r="A2149" s="136">
        <v>5</v>
      </c>
      <c r="B2149" s="256">
        <v>1974</v>
      </c>
      <c r="C2149" s="257"/>
      <c r="D2149" s="257" t="s">
        <v>1966</v>
      </c>
      <c r="E2149" s="258" t="s">
        <v>4100</v>
      </c>
      <c r="F2149" s="258" t="s">
        <v>2041</v>
      </c>
      <c r="G2149" s="258" t="s">
        <v>2579</v>
      </c>
      <c r="H2149" s="259">
        <v>0.5</v>
      </c>
      <c r="I2149" s="259">
        <v>2.93</v>
      </c>
      <c r="J2149" s="256">
        <v>1</v>
      </c>
      <c r="K2149" s="262"/>
      <c r="L2149" s="261"/>
      <c r="M2149" s="277"/>
      <c r="N2149" s="279" t="s">
        <v>25</v>
      </c>
      <c r="O2149" t="str">
        <f t="shared" si="70"/>
        <v>1974 Kennedy Half Dollar</v>
      </c>
      <c r="S2149" t="str" cm="1">
        <f t="array" ref="S2149">_xlfn.REGEXEXTRACT(E2149, "[0-9]{1,5}")</f>
        <v>1974</v>
      </c>
      <c r="T2149" t="s">
        <v>2437</v>
      </c>
      <c r="U2149" t="s">
        <v>3900</v>
      </c>
    </row>
    <row r="2150" spans="1:21">
      <c r="A2150" s="136">
        <v>5</v>
      </c>
      <c r="B2150" s="256">
        <v>1974</v>
      </c>
      <c r="C2150" s="257"/>
      <c r="D2150" s="257" t="s">
        <v>1966</v>
      </c>
      <c r="E2150" s="258" t="s">
        <v>4101</v>
      </c>
      <c r="F2150" s="258" t="s">
        <v>2041</v>
      </c>
      <c r="G2150" s="258" t="s">
        <v>2579</v>
      </c>
      <c r="H2150" s="259">
        <v>0.5</v>
      </c>
      <c r="I2150" s="259">
        <v>3.38</v>
      </c>
      <c r="J2150" s="256">
        <v>1</v>
      </c>
      <c r="K2150" s="262" t="s">
        <v>3909</v>
      </c>
      <c r="L2150" s="261" t="s">
        <v>2305</v>
      </c>
      <c r="M2150" s="277"/>
      <c r="N2150" s="279" t="s">
        <v>25</v>
      </c>
      <c r="O2150" t="str">
        <f t="shared" si="70"/>
        <v>1974 Kennedy Half Dollar</v>
      </c>
      <c r="S2150" t="str" cm="1">
        <f t="array" ref="S2150">_xlfn.REGEXEXTRACT(E2150, "[0-9]{1,5}")</f>
        <v>1974</v>
      </c>
      <c r="T2150" t="s">
        <v>2439</v>
      </c>
      <c r="U2150" t="s">
        <v>3900</v>
      </c>
    </row>
    <row r="2151" spans="1:21">
      <c r="A2151" s="136">
        <v>5</v>
      </c>
      <c r="B2151" s="256">
        <v>1975</v>
      </c>
      <c r="C2151" s="257"/>
      <c r="D2151" s="257" t="s">
        <v>1966</v>
      </c>
      <c r="E2151" s="258" t="s">
        <v>4102</v>
      </c>
      <c r="F2151" s="258" t="s">
        <v>2041</v>
      </c>
      <c r="G2151" s="258" t="s">
        <v>2579</v>
      </c>
      <c r="H2151" s="259">
        <v>0.5</v>
      </c>
      <c r="I2151" s="259">
        <v>0.5</v>
      </c>
      <c r="J2151" s="256">
        <v>1</v>
      </c>
      <c r="K2151" s="262"/>
      <c r="L2151" s="261"/>
      <c r="M2151" s="277"/>
      <c r="N2151" s="279" t="s">
        <v>25</v>
      </c>
      <c r="O2151" t="str">
        <f t="shared" si="70"/>
        <v>1975 Kennedy Half Dollar</v>
      </c>
      <c r="S2151" t="str" cm="1">
        <f t="array" ref="S2151">_xlfn.REGEXEXTRACT(E2151, "[0-9]{1,5}")</f>
        <v>1975</v>
      </c>
      <c r="T2151" t="s">
        <v>2439</v>
      </c>
      <c r="U2151" t="s">
        <v>3900</v>
      </c>
    </row>
    <row r="2152" spans="1:21">
      <c r="A2152" s="136">
        <v>5</v>
      </c>
      <c r="B2152" s="256">
        <v>1976</v>
      </c>
      <c r="C2152" s="257"/>
      <c r="D2152" s="257" t="s">
        <v>1966</v>
      </c>
      <c r="E2152" s="258" t="s">
        <v>4103</v>
      </c>
      <c r="F2152" s="258" t="s">
        <v>2041</v>
      </c>
      <c r="G2152" s="258" t="s">
        <v>2579</v>
      </c>
      <c r="H2152" s="259">
        <v>0.5</v>
      </c>
      <c r="I2152" s="259">
        <v>4.4000000000000004</v>
      </c>
      <c r="J2152" s="256">
        <v>1</v>
      </c>
      <c r="K2152" s="262"/>
      <c r="L2152" s="261"/>
      <c r="M2152" s="277"/>
      <c r="N2152" s="279" t="s">
        <v>25</v>
      </c>
      <c r="O2152" t="str">
        <f t="shared" si="70"/>
        <v>1976 Kennedy Half Dollar</v>
      </c>
      <c r="S2152" t="str" cm="1">
        <f t="array" ref="S2152">_xlfn.REGEXEXTRACT(E2152, "[0-9]{1,5}")</f>
        <v>1976</v>
      </c>
      <c r="T2152" t="s">
        <v>2445</v>
      </c>
      <c r="U2152" t="s">
        <v>3900</v>
      </c>
    </row>
    <row r="2153" spans="1:21">
      <c r="A2153" s="136">
        <v>5</v>
      </c>
      <c r="B2153" s="256">
        <v>1976</v>
      </c>
      <c r="C2153" s="257"/>
      <c r="D2153" s="257" t="s">
        <v>1966</v>
      </c>
      <c r="E2153" s="258" t="s">
        <v>4104</v>
      </c>
      <c r="F2153" s="258" t="s">
        <v>2041</v>
      </c>
      <c r="G2153" s="258" t="s">
        <v>2579</v>
      </c>
      <c r="H2153" s="259">
        <v>0.5</v>
      </c>
      <c r="I2153" s="259">
        <v>4.4000000000000004</v>
      </c>
      <c r="J2153" s="256">
        <v>1</v>
      </c>
      <c r="K2153" s="262"/>
      <c r="L2153" s="261"/>
      <c r="M2153" s="277"/>
      <c r="N2153" s="279" t="s">
        <v>25</v>
      </c>
      <c r="O2153" t="str">
        <f t="shared" si="70"/>
        <v>1976 Kennedy Half Dollar</v>
      </c>
      <c r="S2153" t="str" cm="1">
        <f t="array" ref="S2153">_xlfn.REGEXEXTRACT(E2153, "[0-9]{1,5}")</f>
        <v>1976</v>
      </c>
      <c r="T2153" t="s">
        <v>2460</v>
      </c>
      <c r="U2153" t="s">
        <v>3900</v>
      </c>
    </row>
    <row r="2154" spans="1:21">
      <c r="A2154" s="136">
        <v>5</v>
      </c>
      <c r="B2154" s="256">
        <v>1976</v>
      </c>
      <c r="C2154" s="257"/>
      <c r="D2154" s="257" t="s">
        <v>1966</v>
      </c>
      <c r="E2154" s="258" t="s">
        <v>4105</v>
      </c>
      <c r="F2154" s="258" t="s">
        <v>2041</v>
      </c>
      <c r="G2154" s="258" t="s">
        <v>2579</v>
      </c>
      <c r="H2154" s="259">
        <v>0.5</v>
      </c>
      <c r="I2154" s="259">
        <v>4.4000000000000004</v>
      </c>
      <c r="J2154" s="256">
        <v>1</v>
      </c>
      <c r="K2154" s="262"/>
      <c r="L2154" s="261"/>
      <c r="M2154" s="277"/>
      <c r="N2154" s="279" t="s">
        <v>25</v>
      </c>
      <c r="O2154" t="str">
        <f t="shared" si="70"/>
        <v>1976 Kennedy Half Dollar</v>
      </c>
      <c r="S2154" t="str" cm="1">
        <f t="array" ref="S2154">_xlfn.REGEXEXTRACT(E2154, "[0-9]{1,5}")</f>
        <v>1976</v>
      </c>
      <c r="T2154" t="s">
        <v>2462</v>
      </c>
      <c r="U2154" t="s">
        <v>3900</v>
      </c>
    </row>
    <row r="2155" spans="1:21">
      <c r="A2155" s="136">
        <v>5</v>
      </c>
      <c r="B2155" s="256">
        <v>1976</v>
      </c>
      <c r="C2155" s="257"/>
      <c r="D2155" s="257" t="s">
        <v>1966</v>
      </c>
      <c r="E2155" s="258" t="s">
        <v>4106</v>
      </c>
      <c r="F2155" s="258" t="s">
        <v>2041</v>
      </c>
      <c r="G2155" s="258" t="s">
        <v>2579</v>
      </c>
      <c r="H2155" s="259">
        <v>0.5</v>
      </c>
      <c r="I2155" s="259">
        <v>4.4000000000000004</v>
      </c>
      <c r="J2155" s="256">
        <v>1</v>
      </c>
      <c r="K2155" s="262"/>
      <c r="L2155" s="261"/>
      <c r="M2155" s="277"/>
      <c r="N2155" s="279" t="s">
        <v>25</v>
      </c>
      <c r="O2155" t="str">
        <f t="shared" si="70"/>
        <v>1976 Kennedy Half Dollar</v>
      </c>
      <c r="S2155" t="str" cm="1">
        <f t="array" ref="S2155">_xlfn.REGEXEXTRACT(E2155, "[0-9]{1,5}")</f>
        <v>1976</v>
      </c>
      <c r="T2155" t="s">
        <v>2498</v>
      </c>
      <c r="U2155" t="s">
        <v>3900</v>
      </c>
    </row>
    <row r="2156" spans="1:21">
      <c r="A2156" s="136">
        <v>5</v>
      </c>
      <c r="B2156" s="256">
        <v>1976</v>
      </c>
      <c r="C2156" s="257"/>
      <c r="D2156" s="257" t="s">
        <v>1966</v>
      </c>
      <c r="E2156" s="258" t="s">
        <v>4107</v>
      </c>
      <c r="F2156" s="258" t="s">
        <v>2041</v>
      </c>
      <c r="G2156" s="258" t="s">
        <v>2579</v>
      </c>
      <c r="H2156" s="259">
        <v>0.5</v>
      </c>
      <c r="I2156" s="259">
        <v>4.4000000000000004</v>
      </c>
      <c r="J2156" s="256">
        <v>1</v>
      </c>
      <c r="K2156" s="262"/>
      <c r="L2156" s="261"/>
      <c r="M2156" s="277"/>
      <c r="N2156" s="279" t="s">
        <v>25</v>
      </c>
      <c r="O2156" t="str">
        <f t="shared" si="70"/>
        <v>1976 Kennedy Half Dollar</v>
      </c>
      <c r="S2156" t="str" cm="1">
        <f t="array" ref="S2156">_xlfn.REGEXEXTRACT(E2156, "[0-9]{1,5}")</f>
        <v>1976</v>
      </c>
      <c r="T2156" t="s">
        <v>2498</v>
      </c>
      <c r="U2156" t="s">
        <v>3900</v>
      </c>
    </row>
    <row r="2157" spans="1:21">
      <c r="A2157" s="136">
        <v>5</v>
      </c>
      <c r="B2157" s="256">
        <v>1976</v>
      </c>
      <c r="C2157" s="257"/>
      <c r="D2157" s="257" t="s">
        <v>1966</v>
      </c>
      <c r="E2157" s="258" t="s">
        <v>4108</v>
      </c>
      <c r="F2157" s="258" t="s">
        <v>2041</v>
      </c>
      <c r="G2157" s="258" t="s">
        <v>2579</v>
      </c>
      <c r="H2157" s="259">
        <v>0.5</v>
      </c>
      <c r="I2157" s="259">
        <v>4.4000000000000004</v>
      </c>
      <c r="J2157" s="256">
        <v>1</v>
      </c>
      <c r="K2157" s="262"/>
      <c r="L2157" s="261"/>
      <c r="M2157" s="277"/>
      <c r="N2157" s="279" t="s">
        <v>25</v>
      </c>
      <c r="O2157" t="str">
        <f t="shared" si="70"/>
        <v>1976 Kennedy Half Dollar</v>
      </c>
      <c r="S2157" t="str" cm="1">
        <f t="array" ref="S2157">_xlfn.REGEXEXTRACT(E2157, "[0-9]{1,5}")</f>
        <v>1976</v>
      </c>
      <c r="T2157" t="s">
        <v>2498</v>
      </c>
      <c r="U2157" t="s">
        <v>3900</v>
      </c>
    </row>
    <row r="2158" spans="1:21">
      <c r="A2158" s="136">
        <v>5</v>
      </c>
      <c r="B2158" s="256">
        <v>1976</v>
      </c>
      <c r="C2158" s="257"/>
      <c r="D2158" s="257" t="s">
        <v>1966</v>
      </c>
      <c r="E2158" s="258" t="s">
        <v>4109</v>
      </c>
      <c r="F2158" s="258" t="s">
        <v>2041</v>
      </c>
      <c r="G2158" s="258" t="s">
        <v>2579</v>
      </c>
      <c r="H2158" s="259">
        <v>0.5</v>
      </c>
      <c r="I2158" s="259">
        <v>4.4000000000000004</v>
      </c>
      <c r="J2158" s="256">
        <v>1</v>
      </c>
      <c r="K2158" s="262"/>
      <c r="L2158" s="261"/>
      <c r="M2158" s="277"/>
      <c r="N2158" s="279" t="s">
        <v>25</v>
      </c>
      <c r="O2158" t="str">
        <f t="shared" si="70"/>
        <v>1976 Kennedy Half Dollar</v>
      </c>
      <c r="S2158" t="str" cm="1">
        <f t="array" ref="S2158">_xlfn.REGEXEXTRACT(E2158, "[0-9]{1,5}")</f>
        <v>1976</v>
      </c>
      <c r="T2158" t="s">
        <v>2498</v>
      </c>
      <c r="U2158" t="s">
        <v>3900</v>
      </c>
    </row>
    <row r="2159" spans="1:21">
      <c r="A2159" s="136">
        <v>5</v>
      </c>
      <c r="B2159" s="256">
        <v>1976</v>
      </c>
      <c r="C2159" s="257"/>
      <c r="D2159" s="257" t="s">
        <v>1966</v>
      </c>
      <c r="E2159" s="258" t="s">
        <v>4110</v>
      </c>
      <c r="F2159" s="258" t="s">
        <v>2041</v>
      </c>
      <c r="G2159" s="258" t="s">
        <v>2579</v>
      </c>
      <c r="H2159" s="259">
        <v>0.5</v>
      </c>
      <c r="I2159" s="259">
        <v>4.4000000000000004</v>
      </c>
      <c r="J2159" s="256">
        <v>1</v>
      </c>
      <c r="K2159" s="262"/>
      <c r="L2159" s="261"/>
      <c r="M2159" s="277"/>
      <c r="N2159" s="279" t="s">
        <v>25</v>
      </c>
      <c r="O2159" t="str">
        <f t="shared" si="70"/>
        <v>1976 Kennedy Half Dollar</v>
      </c>
      <c r="S2159" t="str" cm="1">
        <f t="array" ref="S2159">_xlfn.REGEXEXTRACT(E2159, "[0-9]{1,5}")</f>
        <v>1976</v>
      </c>
      <c r="T2159" t="s">
        <v>2500</v>
      </c>
      <c r="U2159" t="s">
        <v>3900</v>
      </c>
    </row>
    <row r="2160" spans="1:21">
      <c r="A2160" s="136">
        <v>5</v>
      </c>
      <c r="B2160" s="256">
        <v>1976</v>
      </c>
      <c r="C2160" s="257"/>
      <c r="D2160" s="257" t="s">
        <v>1966</v>
      </c>
      <c r="E2160" s="258" t="s">
        <v>4111</v>
      </c>
      <c r="F2160" s="258" t="s">
        <v>2041</v>
      </c>
      <c r="G2160" s="258" t="s">
        <v>2579</v>
      </c>
      <c r="H2160" s="259">
        <v>0.5</v>
      </c>
      <c r="I2160" s="259">
        <v>4.4000000000000004</v>
      </c>
      <c r="J2160" s="256">
        <v>1</v>
      </c>
      <c r="K2160" s="262"/>
      <c r="L2160" s="261"/>
      <c r="M2160" s="277"/>
      <c r="N2160" s="279" t="s">
        <v>25</v>
      </c>
      <c r="O2160" t="str">
        <f t="shared" si="70"/>
        <v>1976 Kennedy Half Dollar</v>
      </c>
      <c r="S2160" t="str" cm="1">
        <f t="array" ref="S2160">_xlfn.REGEXEXTRACT(E2160, "[0-9]{1,5}")</f>
        <v>1976</v>
      </c>
      <c r="T2160" t="s">
        <v>2500</v>
      </c>
      <c r="U2160" t="s">
        <v>3900</v>
      </c>
    </row>
    <row r="2161" spans="1:21">
      <c r="A2161" s="136">
        <v>5</v>
      </c>
      <c r="B2161" s="256">
        <v>1976</v>
      </c>
      <c r="C2161" s="257"/>
      <c r="D2161" s="257" t="s">
        <v>1966</v>
      </c>
      <c r="E2161" s="258" t="s">
        <v>4112</v>
      </c>
      <c r="F2161" s="258" t="s">
        <v>2041</v>
      </c>
      <c r="G2161" s="258" t="s">
        <v>2579</v>
      </c>
      <c r="H2161" s="259">
        <v>0.5</v>
      </c>
      <c r="I2161" s="259">
        <v>4.4000000000000004</v>
      </c>
      <c r="J2161" s="256">
        <v>1</v>
      </c>
      <c r="K2161" s="262"/>
      <c r="L2161" s="261"/>
      <c r="M2161" s="277"/>
      <c r="N2161" s="279" t="s">
        <v>25</v>
      </c>
      <c r="O2161" t="str">
        <f t="shared" si="70"/>
        <v>1976 Kennedy Half Dollar</v>
      </c>
      <c r="S2161" t="str" cm="1">
        <f t="array" ref="S2161">_xlfn.REGEXEXTRACT(E2161, "[0-9]{1,5}")</f>
        <v>1976</v>
      </c>
      <c r="T2161" t="s">
        <v>2500</v>
      </c>
      <c r="U2161" t="s">
        <v>3900</v>
      </c>
    </row>
    <row r="2162" spans="1:21">
      <c r="A2162" s="136">
        <v>5</v>
      </c>
      <c r="B2162" s="256">
        <v>1976</v>
      </c>
      <c r="C2162" s="257"/>
      <c r="D2162" s="257" t="s">
        <v>1966</v>
      </c>
      <c r="E2162" s="258" t="s">
        <v>4113</v>
      </c>
      <c r="F2162" s="258" t="s">
        <v>2041</v>
      </c>
      <c r="G2162" s="258" t="s">
        <v>2579</v>
      </c>
      <c r="H2162" s="259">
        <v>0.5</v>
      </c>
      <c r="I2162" s="259">
        <v>4.4000000000000004</v>
      </c>
      <c r="J2162" s="256">
        <v>1</v>
      </c>
      <c r="K2162" s="262"/>
      <c r="L2162" s="261"/>
      <c r="M2162" s="277"/>
      <c r="N2162" s="279" t="s">
        <v>25</v>
      </c>
      <c r="O2162" t="str">
        <f t="shared" si="70"/>
        <v>1976 Kennedy Half Dollar</v>
      </c>
      <c r="S2162" t="str" cm="1">
        <f t="array" ref="S2162">_xlfn.REGEXEXTRACT(E2162, "[0-9]{1,5}")</f>
        <v>1976</v>
      </c>
      <c r="T2162" t="s">
        <v>2500</v>
      </c>
      <c r="U2162" t="s">
        <v>3900</v>
      </c>
    </row>
    <row r="2163" spans="1:21">
      <c r="A2163" s="136">
        <v>5</v>
      </c>
      <c r="B2163" s="256">
        <v>1976</v>
      </c>
      <c r="C2163" s="257"/>
      <c r="D2163" s="257" t="s">
        <v>1966</v>
      </c>
      <c r="E2163" s="258" t="s">
        <v>4114</v>
      </c>
      <c r="F2163" s="258" t="s">
        <v>2041</v>
      </c>
      <c r="G2163" s="258" t="s">
        <v>2579</v>
      </c>
      <c r="H2163" s="259">
        <v>0.5</v>
      </c>
      <c r="I2163" s="259">
        <v>4.4000000000000004</v>
      </c>
      <c r="J2163" s="256">
        <v>1</v>
      </c>
      <c r="K2163" s="262"/>
      <c r="L2163" s="261"/>
      <c r="M2163" s="277"/>
      <c r="N2163" s="279" t="s">
        <v>25</v>
      </c>
      <c r="O2163" t="str">
        <f t="shared" si="70"/>
        <v>1976 Kennedy Half Dollar</v>
      </c>
      <c r="S2163" t="str" cm="1">
        <f t="array" ref="S2163">_xlfn.REGEXEXTRACT(E2163, "[0-9]{1,5}")</f>
        <v>1976</v>
      </c>
      <c r="T2163" t="s">
        <v>2506</v>
      </c>
      <c r="U2163" t="s">
        <v>3900</v>
      </c>
    </row>
    <row r="2164" spans="1:21">
      <c r="A2164" s="136">
        <v>5</v>
      </c>
      <c r="B2164" s="256">
        <v>1976</v>
      </c>
      <c r="C2164" s="257"/>
      <c r="D2164" s="257" t="s">
        <v>1966</v>
      </c>
      <c r="E2164" s="258" t="s">
        <v>4115</v>
      </c>
      <c r="F2164" s="258" t="s">
        <v>2041</v>
      </c>
      <c r="G2164" s="258" t="s">
        <v>2579</v>
      </c>
      <c r="H2164" s="259">
        <v>0.5</v>
      </c>
      <c r="I2164" s="259">
        <v>4.4000000000000004</v>
      </c>
      <c r="J2164" s="256">
        <v>1</v>
      </c>
      <c r="K2164" s="262"/>
      <c r="L2164" s="261"/>
      <c r="M2164" s="277"/>
      <c r="N2164" s="279" t="s">
        <v>25</v>
      </c>
      <c r="O2164" t="str">
        <f t="shared" si="70"/>
        <v>1976 Kennedy Half Dollar</v>
      </c>
      <c r="S2164" t="str" cm="1">
        <f t="array" ref="S2164">_xlfn.REGEXEXTRACT(E2164, "[0-9]{1,5}")</f>
        <v>1976</v>
      </c>
      <c r="T2164" t="s">
        <v>2506</v>
      </c>
      <c r="U2164" t="s">
        <v>3900</v>
      </c>
    </row>
    <row r="2165" spans="1:21">
      <c r="A2165" s="136">
        <v>5</v>
      </c>
      <c r="B2165" s="256">
        <v>1976</v>
      </c>
      <c r="C2165" s="257" t="s">
        <v>13</v>
      </c>
      <c r="D2165" s="257" t="s">
        <v>1966</v>
      </c>
      <c r="E2165" s="258" t="s">
        <v>4116</v>
      </c>
      <c r="F2165" s="258" t="s">
        <v>2041</v>
      </c>
      <c r="G2165" s="258" t="s">
        <v>2579</v>
      </c>
      <c r="H2165" s="259">
        <v>0.5</v>
      </c>
      <c r="I2165" s="259">
        <v>3.03</v>
      </c>
      <c r="J2165" s="256">
        <v>1</v>
      </c>
      <c r="K2165" s="262"/>
      <c r="L2165" s="261"/>
      <c r="M2165" s="277"/>
      <c r="N2165" s="279" t="s">
        <v>25</v>
      </c>
      <c r="O2165" t="str">
        <f t="shared" si="70"/>
        <v>1976-D Kennedy Half Dollar</v>
      </c>
      <c r="S2165" t="str" cm="1">
        <f t="array" ref="S2165">_xlfn.REGEXEXTRACT(E2165, "[0-9]{1,5}")</f>
        <v>1976</v>
      </c>
      <c r="T2165" t="s">
        <v>2506</v>
      </c>
      <c r="U2165" t="s">
        <v>3900</v>
      </c>
    </row>
    <row r="2166" spans="1:21">
      <c r="A2166" s="136">
        <v>5</v>
      </c>
      <c r="B2166" s="256">
        <v>1976</v>
      </c>
      <c r="C2166" s="257"/>
      <c r="D2166" s="257" t="s">
        <v>1966</v>
      </c>
      <c r="E2166" s="258" t="s">
        <v>4117</v>
      </c>
      <c r="F2166" s="258" t="s">
        <v>2041</v>
      </c>
      <c r="G2166" s="258" t="s">
        <v>2579</v>
      </c>
      <c r="H2166" s="259">
        <v>0.5</v>
      </c>
      <c r="I2166" s="259">
        <v>4.4000000000000004</v>
      </c>
      <c r="J2166" s="256">
        <v>1</v>
      </c>
      <c r="K2166" s="262"/>
      <c r="L2166" s="261"/>
      <c r="M2166" s="277"/>
      <c r="N2166" s="279" t="s">
        <v>25</v>
      </c>
      <c r="O2166" t="str">
        <f t="shared" si="70"/>
        <v>1976 Kennedy Half Dollar</v>
      </c>
      <c r="S2166" t="str" cm="1">
        <f t="array" ref="S2166">_xlfn.REGEXEXTRACT(E2166, "[0-9]{1,5}")</f>
        <v>1976</v>
      </c>
      <c r="T2166" t="s">
        <v>2506</v>
      </c>
      <c r="U2166" t="s">
        <v>3900</v>
      </c>
    </row>
    <row r="2167" spans="1:21">
      <c r="A2167" s="136">
        <v>5</v>
      </c>
      <c r="B2167" s="256">
        <v>1976</v>
      </c>
      <c r="C2167" s="257"/>
      <c r="D2167" s="257" t="s">
        <v>1966</v>
      </c>
      <c r="E2167" s="258" t="s">
        <v>4118</v>
      </c>
      <c r="F2167" s="258" t="s">
        <v>2041</v>
      </c>
      <c r="G2167" s="258" t="s">
        <v>2579</v>
      </c>
      <c r="H2167" s="259">
        <v>0.5</v>
      </c>
      <c r="I2167" s="259">
        <v>4.4000000000000004</v>
      </c>
      <c r="J2167" s="256">
        <v>1</v>
      </c>
      <c r="K2167" s="262"/>
      <c r="L2167" s="261"/>
      <c r="M2167" s="277"/>
      <c r="N2167" s="279" t="s">
        <v>25</v>
      </c>
      <c r="O2167" t="str">
        <f t="shared" si="70"/>
        <v>1976 Kennedy Half Dollar</v>
      </c>
      <c r="S2167" t="str" cm="1">
        <f t="array" ref="S2167">_xlfn.REGEXEXTRACT(E2167, "[0-9]{1,5}")</f>
        <v>1976</v>
      </c>
      <c r="T2167" t="s">
        <v>2506</v>
      </c>
      <c r="U2167" t="s">
        <v>3900</v>
      </c>
    </row>
    <row r="2168" spans="1:21">
      <c r="A2168" s="136">
        <v>5</v>
      </c>
      <c r="B2168" s="256">
        <v>1976</v>
      </c>
      <c r="C2168" s="257"/>
      <c r="D2168" s="257" t="s">
        <v>1966</v>
      </c>
      <c r="E2168" s="258" t="s">
        <v>4119</v>
      </c>
      <c r="F2168" s="258" t="s">
        <v>2041</v>
      </c>
      <c r="G2168" s="258" t="s">
        <v>2579</v>
      </c>
      <c r="H2168" s="259">
        <v>0.5</v>
      </c>
      <c r="I2168" s="259">
        <v>3.38</v>
      </c>
      <c r="J2168" s="256">
        <v>1</v>
      </c>
      <c r="K2168" s="262" t="s">
        <v>3909</v>
      </c>
      <c r="L2168" s="261"/>
      <c r="M2168" s="277"/>
      <c r="N2168" s="279" t="s">
        <v>25</v>
      </c>
      <c r="O2168" t="str">
        <f t="shared" si="70"/>
        <v>1976 Kennedy Half Dollar</v>
      </c>
      <c r="S2168" t="str" cm="1">
        <f t="array" ref="S2168">_xlfn.REGEXEXTRACT(E2168, "[0-9]{1,5}")</f>
        <v>1976</v>
      </c>
      <c r="T2168" t="s">
        <v>2506</v>
      </c>
      <c r="U2168" t="s">
        <v>3900</v>
      </c>
    </row>
    <row r="2169" spans="1:21">
      <c r="A2169" s="136">
        <v>5</v>
      </c>
      <c r="B2169" s="256">
        <v>1976</v>
      </c>
      <c r="C2169" s="257"/>
      <c r="D2169" s="257" t="s">
        <v>1966</v>
      </c>
      <c r="E2169" s="258" t="s">
        <v>4120</v>
      </c>
      <c r="F2169" s="258" t="s">
        <v>2041</v>
      </c>
      <c r="G2169" s="258" t="s">
        <v>2579</v>
      </c>
      <c r="H2169" s="259">
        <v>0.5</v>
      </c>
      <c r="I2169" s="259">
        <v>3.38</v>
      </c>
      <c r="J2169" s="256">
        <v>1</v>
      </c>
      <c r="K2169" s="262" t="s">
        <v>3909</v>
      </c>
      <c r="L2169" s="261"/>
      <c r="M2169" s="277"/>
      <c r="N2169" s="279" t="s">
        <v>25</v>
      </c>
      <c r="O2169" t="str">
        <f t="shared" si="70"/>
        <v>1976 Kennedy Half Dollar</v>
      </c>
      <c r="S2169" t="str" cm="1">
        <f t="array" ref="S2169">_xlfn.REGEXEXTRACT(E2169, "[0-9]{1,5}")</f>
        <v>1976</v>
      </c>
      <c r="T2169" t="s">
        <v>2508</v>
      </c>
      <c r="U2169" t="s">
        <v>3900</v>
      </c>
    </row>
    <row r="2170" spans="1:21">
      <c r="A2170" s="136">
        <v>5</v>
      </c>
      <c r="B2170" s="256">
        <v>1976</v>
      </c>
      <c r="C2170" s="257"/>
      <c r="D2170" s="257" t="s">
        <v>1966</v>
      </c>
      <c r="E2170" s="258" t="s">
        <v>4121</v>
      </c>
      <c r="F2170" s="258" t="s">
        <v>2041</v>
      </c>
      <c r="G2170" s="258" t="s">
        <v>2579</v>
      </c>
      <c r="H2170" s="259">
        <v>0.5</v>
      </c>
      <c r="I2170" s="259">
        <v>3.38</v>
      </c>
      <c r="J2170" s="256">
        <v>1</v>
      </c>
      <c r="K2170" s="262"/>
      <c r="L2170" s="261"/>
      <c r="M2170" s="277"/>
      <c r="N2170" s="279" t="s">
        <v>25</v>
      </c>
      <c r="O2170" t="str">
        <f t="shared" si="70"/>
        <v>1976 Kennedy Half Dollar</v>
      </c>
      <c r="S2170" t="str" cm="1">
        <f t="array" ref="S2170">_xlfn.REGEXEXTRACT(E2170, "[0-9]{1,5}")</f>
        <v>1976</v>
      </c>
      <c r="T2170" t="s">
        <v>1627</v>
      </c>
      <c r="U2170" t="s">
        <v>3900</v>
      </c>
    </row>
    <row r="2171" spans="1:21">
      <c r="A2171" s="136">
        <v>5</v>
      </c>
      <c r="B2171" s="256">
        <v>1977</v>
      </c>
      <c r="C2171" s="257"/>
      <c r="D2171" s="257" t="s">
        <v>1966</v>
      </c>
      <c r="E2171" s="258" t="s">
        <v>4122</v>
      </c>
      <c r="F2171" s="258" t="s">
        <v>2041</v>
      </c>
      <c r="G2171" s="258" t="s">
        <v>2579</v>
      </c>
      <c r="H2171" s="259">
        <v>0.5</v>
      </c>
      <c r="I2171" s="259">
        <v>2.5299999999999998</v>
      </c>
      <c r="J2171" s="256">
        <v>1</v>
      </c>
      <c r="K2171" s="262"/>
      <c r="L2171" s="261"/>
      <c r="M2171" s="277"/>
      <c r="N2171" s="279" t="s">
        <v>25</v>
      </c>
      <c r="O2171" t="str">
        <f t="shared" si="70"/>
        <v>1977 Kennedy Half Dollar</v>
      </c>
      <c r="S2171" t="str" cm="1">
        <f t="array" ref="S2171">_xlfn.REGEXEXTRACT(E2171, "[0-9]{1,5}")</f>
        <v>1977</v>
      </c>
      <c r="T2171" t="s">
        <v>1627</v>
      </c>
      <c r="U2171" t="s">
        <v>3900</v>
      </c>
    </row>
    <row r="2172" spans="1:21">
      <c r="A2172" s="136">
        <v>5</v>
      </c>
      <c r="B2172" s="256">
        <v>1977</v>
      </c>
      <c r="C2172" s="257"/>
      <c r="D2172" s="257" t="s">
        <v>1966</v>
      </c>
      <c r="E2172" s="258" t="s">
        <v>4123</v>
      </c>
      <c r="F2172" s="258" t="s">
        <v>2041</v>
      </c>
      <c r="G2172" s="258" t="s">
        <v>2579</v>
      </c>
      <c r="H2172" s="259">
        <v>0.5</v>
      </c>
      <c r="I2172" s="259">
        <v>2.5299999999999998</v>
      </c>
      <c r="J2172" s="256">
        <v>1</v>
      </c>
      <c r="K2172" s="262"/>
      <c r="L2172" s="261"/>
      <c r="M2172" s="277"/>
      <c r="N2172" s="279" t="s">
        <v>25</v>
      </c>
      <c r="O2172" t="str">
        <f t="shared" si="70"/>
        <v>1977 Kennedy Half Dollar</v>
      </c>
      <c r="S2172" t="str" cm="1">
        <f t="array" ref="S2172">_xlfn.REGEXEXTRACT(E2172, "[0-9]{1,5}")</f>
        <v>1977</v>
      </c>
      <c r="T2172" t="s">
        <v>1627</v>
      </c>
      <c r="U2172" t="s">
        <v>3900</v>
      </c>
    </row>
    <row r="2173" spans="1:21">
      <c r="A2173" s="136">
        <v>5</v>
      </c>
      <c r="B2173" s="256">
        <v>1977</v>
      </c>
      <c r="C2173" s="257"/>
      <c r="D2173" s="257" t="s">
        <v>1966</v>
      </c>
      <c r="E2173" s="258" t="s">
        <v>4124</v>
      </c>
      <c r="F2173" s="258" t="s">
        <v>2041</v>
      </c>
      <c r="G2173" s="258" t="s">
        <v>2579</v>
      </c>
      <c r="H2173" s="259">
        <v>0.5</v>
      </c>
      <c r="I2173" s="259">
        <v>2.5299999999999998</v>
      </c>
      <c r="J2173" s="256">
        <v>1</v>
      </c>
      <c r="K2173" s="262"/>
      <c r="L2173" s="261"/>
      <c r="M2173" s="277"/>
      <c r="N2173" s="279" t="s">
        <v>25</v>
      </c>
      <c r="O2173" t="str">
        <f t="shared" si="70"/>
        <v>1977 Kennedy Half Dollar</v>
      </c>
      <c r="S2173" t="str" cm="1">
        <f t="array" ref="S2173">_xlfn.REGEXEXTRACT(E2173, "[0-9]{1,5}")</f>
        <v>1977</v>
      </c>
      <c r="T2173" t="s">
        <v>1627</v>
      </c>
      <c r="U2173" t="s">
        <v>3900</v>
      </c>
    </row>
    <row r="2174" spans="1:21">
      <c r="A2174" s="136">
        <v>5</v>
      </c>
      <c r="B2174" s="256">
        <v>1977</v>
      </c>
      <c r="C2174" s="257"/>
      <c r="D2174" s="257" t="s">
        <v>1966</v>
      </c>
      <c r="E2174" s="258" t="s">
        <v>4125</v>
      </c>
      <c r="F2174" s="258" t="s">
        <v>2041</v>
      </c>
      <c r="G2174" s="258" t="s">
        <v>2579</v>
      </c>
      <c r="H2174" s="259">
        <v>0.5</v>
      </c>
      <c r="I2174" s="259">
        <v>2.5299999999999998</v>
      </c>
      <c r="J2174" s="256">
        <v>1</v>
      </c>
      <c r="K2174" s="262"/>
      <c r="L2174" s="261"/>
      <c r="M2174" s="277"/>
      <c r="N2174" s="279" t="s">
        <v>25</v>
      </c>
      <c r="O2174" t="str">
        <f t="shared" si="70"/>
        <v>1977 Kennedy Half Dollar</v>
      </c>
      <c r="S2174" t="str" cm="1">
        <f t="array" ref="S2174">_xlfn.REGEXEXTRACT(E2174, "[0-9]{1,5}")</f>
        <v>1977</v>
      </c>
      <c r="T2174" t="s">
        <v>1627</v>
      </c>
      <c r="U2174" t="s">
        <v>3900</v>
      </c>
    </row>
    <row r="2175" spans="1:21">
      <c r="A2175" s="136">
        <v>5</v>
      </c>
      <c r="B2175" s="256">
        <v>1977</v>
      </c>
      <c r="C2175" s="257"/>
      <c r="D2175" s="257" t="s">
        <v>1966</v>
      </c>
      <c r="E2175" s="258" t="s">
        <v>4126</v>
      </c>
      <c r="F2175" s="258" t="s">
        <v>2041</v>
      </c>
      <c r="G2175" s="258" t="s">
        <v>2579</v>
      </c>
      <c r="H2175" s="259">
        <v>0.5</v>
      </c>
      <c r="I2175" s="259">
        <v>3.38</v>
      </c>
      <c r="J2175" s="256">
        <v>1</v>
      </c>
      <c r="K2175" s="262" t="s">
        <v>3909</v>
      </c>
      <c r="L2175" s="261"/>
      <c r="M2175" s="277"/>
      <c r="N2175" s="279" t="s">
        <v>25</v>
      </c>
      <c r="O2175" t="str">
        <f t="shared" si="70"/>
        <v>1977 Kennedy Half Dollar</v>
      </c>
      <c r="S2175" t="str" cm="1">
        <f t="array" ref="S2175">_xlfn.REGEXEXTRACT(E2175, "[0-9]{1,5}")</f>
        <v>1977</v>
      </c>
      <c r="T2175" t="s">
        <v>1627</v>
      </c>
      <c r="U2175" t="s">
        <v>3900</v>
      </c>
    </row>
    <row r="2176" spans="1:21">
      <c r="A2176" s="136">
        <v>5</v>
      </c>
      <c r="B2176" s="256">
        <v>1977</v>
      </c>
      <c r="C2176" s="257"/>
      <c r="D2176" s="257" t="s">
        <v>1966</v>
      </c>
      <c r="E2176" s="258" t="s">
        <v>4127</v>
      </c>
      <c r="F2176" s="258" t="s">
        <v>2041</v>
      </c>
      <c r="G2176" s="258" t="s">
        <v>2579</v>
      </c>
      <c r="H2176" s="259">
        <v>0.5</v>
      </c>
      <c r="I2176" s="259">
        <v>3.38</v>
      </c>
      <c r="J2176" s="256">
        <v>1</v>
      </c>
      <c r="K2176" s="262" t="s">
        <v>3909</v>
      </c>
      <c r="L2176" s="261"/>
      <c r="M2176" s="277"/>
      <c r="N2176" s="279" t="s">
        <v>25</v>
      </c>
      <c r="O2176" t="str">
        <f t="shared" si="70"/>
        <v>1977 Kennedy Half Dollar</v>
      </c>
      <c r="S2176" t="str" cm="1">
        <f t="array" ref="S2176">_xlfn.REGEXEXTRACT(E2176, "[0-9]{1,5}")</f>
        <v>1977</v>
      </c>
      <c r="T2176" t="s">
        <v>1627</v>
      </c>
      <c r="U2176" t="s">
        <v>3900</v>
      </c>
    </row>
    <row r="2177" spans="1:21">
      <c r="A2177" s="136">
        <v>5</v>
      </c>
      <c r="B2177" s="256">
        <v>1978</v>
      </c>
      <c r="C2177" s="257" t="s">
        <v>13</v>
      </c>
      <c r="D2177" s="257" t="s">
        <v>1966</v>
      </c>
      <c r="E2177" s="258" t="s">
        <v>4128</v>
      </c>
      <c r="F2177" s="258" t="s">
        <v>2041</v>
      </c>
      <c r="G2177" s="258" t="s">
        <v>2579</v>
      </c>
      <c r="H2177" s="259">
        <v>0.5</v>
      </c>
      <c r="I2177" s="259">
        <v>2.14</v>
      </c>
      <c r="J2177" s="256">
        <v>1</v>
      </c>
      <c r="K2177" s="262"/>
      <c r="L2177" s="261"/>
      <c r="M2177" s="277"/>
      <c r="N2177" s="279" t="s">
        <v>25</v>
      </c>
      <c r="O2177" t="str">
        <f t="shared" si="70"/>
        <v>1978-D Kennedy Half Dollar</v>
      </c>
      <c r="S2177" t="str" cm="1">
        <f t="array" ref="S2177">_xlfn.REGEXEXTRACT(E2177, "[0-9]{1,5}")</f>
        <v>1978</v>
      </c>
      <c r="T2177" t="s">
        <v>1627</v>
      </c>
      <c r="U2177" t="s">
        <v>3900</v>
      </c>
    </row>
    <row r="2178" spans="1:21">
      <c r="A2178" s="136">
        <v>5</v>
      </c>
      <c r="B2178" s="256">
        <v>1978</v>
      </c>
      <c r="C2178" s="257"/>
      <c r="D2178" s="257" t="s">
        <v>1966</v>
      </c>
      <c r="E2178" s="258" t="s">
        <v>4129</v>
      </c>
      <c r="F2178" s="258" t="s">
        <v>2041</v>
      </c>
      <c r="G2178" s="258" t="s">
        <v>2579</v>
      </c>
      <c r="H2178" s="259">
        <v>0.5</v>
      </c>
      <c r="I2178" s="259">
        <v>2.75</v>
      </c>
      <c r="J2178" s="256">
        <v>1</v>
      </c>
      <c r="K2178" s="262"/>
      <c r="L2178" s="261"/>
      <c r="M2178" s="277"/>
      <c r="N2178" s="279" t="s">
        <v>25</v>
      </c>
      <c r="O2178" t="str">
        <f t="shared" si="70"/>
        <v>1978 Kennedy Half Dollar</v>
      </c>
      <c r="S2178" t="str" cm="1">
        <f t="array" ref="S2178">_xlfn.REGEXEXTRACT(E2178, "[0-9]{1,5}")</f>
        <v>1978</v>
      </c>
      <c r="T2178" t="s">
        <v>1627</v>
      </c>
      <c r="U2178" t="s">
        <v>3900</v>
      </c>
    </row>
    <row r="2179" spans="1:21">
      <c r="A2179" s="136">
        <v>5</v>
      </c>
      <c r="B2179" s="256">
        <v>1979</v>
      </c>
      <c r="C2179" s="257"/>
      <c r="D2179" s="257" t="s">
        <v>1966</v>
      </c>
      <c r="E2179" s="258" t="s">
        <v>4130</v>
      </c>
      <c r="F2179" s="258" t="s">
        <v>2041</v>
      </c>
      <c r="G2179" s="258" t="s">
        <v>2579</v>
      </c>
      <c r="H2179" s="259">
        <v>0.5</v>
      </c>
      <c r="I2179" s="259">
        <v>2.97</v>
      </c>
      <c r="J2179" s="256">
        <v>1</v>
      </c>
      <c r="K2179" s="262"/>
      <c r="L2179" s="261"/>
      <c r="M2179" s="277"/>
      <c r="N2179" s="279" t="s">
        <v>25</v>
      </c>
      <c r="O2179" t="str">
        <f t="shared" si="70"/>
        <v>1979 Kennedy Half Dollar</v>
      </c>
      <c r="S2179" t="str" cm="1">
        <f t="array" ref="S2179">_xlfn.REGEXEXTRACT(E2179, "[0-9]{1,5}")</f>
        <v>1979</v>
      </c>
      <c r="T2179" t="s">
        <v>1627</v>
      </c>
      <c r="U2179" t="s">
        <v>3900</v>
      </c>
    </row>
    <row r="2180" spans="1:21">
      <c r="A2180" s="136">
        <v>5</v>
      </c>
      <c r="B2180" s="256">
        <v>1979</v>
      </c>
      <c r="C2180" s="257"/>
      <c r="D2180" s="257" t="s">
        <v>1966</v>
      </c>
      <c r="E2180" s="258" t="s">
        <v>4131</v>
      </c>
      <c r="F2180" s="258" t="s">
        <v>2041</v>
      </c>
      <c r="G2180" s="258" t="s">
        <v>2579</v>
      </c>
      <c r="H2180" s="259">
        <v>0.5</v>
      </c>
      <c r="I2180" s="259">
        <v>2.97</v>
      </c>
      <c r="J2180" s="256">
        <v>1</v>
      </c>
      <c r="K2180" s="262"/>
      <c r="L2180" s="261"/>
      <c r="M2180" s="277"/>
      <c r="N2180" s="279" t="s">
        <v>25</v>
      </c>
      <c r="O2180" t="str">
        <f t="shared" ref="O2180:O2217" si="71">IF(C2180&lt;&gt;"",B2180&amp;"-"&amp;C2180&amp;" "&amp;F2180,B2180&amp;" "&amp;F2180)</f>
        <v>1979 Kennedy Half Dollar</v>
      </c>
      <c r="S2180" t="str" cm="1">
        <f t="array" ref="S2180">_xlfn.REGEXEXTRACT(E2180, "[0-9]{1,5}")</f>
        <v>1979</v>
      </c>
      <c r="T2180" t="s">
        <v>1627</v>
      </c>
      <c r="U2180" t="s">
        <v>3900</v>
      </c>
    </row>
    <row r="2181" spans="1:21">
      <c r="A2181" s="136">
        <v>5</v>
      </c>
      <c r="B2181" s="256">
        <v>1979</v>
      </c>
      <c r="C2181" s="257"/>
      <c r="D2181" s="257" t="s">
        <v>1966</v>
      </c>
      <c r="E2181" s="258" t="s">
        <v>4132</v>
      </c>
      <c r="F2181" s="258" t="s">
        <v>2041</v>
      </c>
      <c r="G2181" s="258" t="s">
        <v>2579</v>
      </c>
      <c r="H2181" s="259">
        <v>0.5</v>
      </c>
      <c r="I2181" s="259">
        <v>2.97</v>
      </c>
      <c r="J2181" s="256">
        <v>1</v>
      </c>
      <c r="K2181" s="262"/>
      <c r="L2181" s="261"/>
      <c r="M2181" s="277"/>
      <c r="N2181" s="279" t="s">
        <v>25</v>
      </c>
      <c r="O2181" t="str">
        <f t="shared" si="71"/>
        <v>1979 Kennedy Half Dollar</v>
      </c>
      <c r="S2181" t="str" cm="1">
        <f t="array" ref="S2181">_xlfn.REGEXEXTRACT(E2181, "[0-9]{1,5}")</f>
        <v>1979</v>
      </c>
      <c r="T2181" t="s">
        <v>1627</v>
      </c>
      <c r="U2181" t="s">
        <v>3900</v>
      </c>
    </row>
    <row r="2182" spans="1:21">
      <c r="A2182" s="136">
        <v>5</v>
      </c>
      <c r="B2182" s="256">
        <v>1979</v>
      </c>
      <c r="C2182" s="257"/>
      <c r="D2182" s="257" t="s">
        <v>1966</v>
      </c>
      <c r="E2182" s="258" t="s">
        <v>4133</v>
      </c>
      <c r="F2182" s="258" t="s">
        <v>2041</v>
      </c>
      <c r="G2182" s="258" t="s">
        <v>2579</v>
      </c>
      <c r="H2182" s="259">
        <v>0.5</v>
      </c>
      <c r="I2182" s="259">
        <v>2.97</v>
      </c>
      <c r="J2182" s="256">
        <v>1</v>
      </c>
      <c r="K2182" s="262"/>
      <c r="L2182" s="261"/>
      <c r="M2182" s="277"/>
      <c r="N2182" s="279" t="s">
        <v>25</v>
      </c>
      <c r="O2182" t="str">
        <f t="shared" si="71"/>
        <v>1979 Kennedy Half Dollar</v>
      </c>
      <c r="S2182" t="str" cm="1">
        <f t="array" ref="S2182">_xlfn.REGEXEXTRACT(E2182, "[0-9]{1,5}")</f>
        <v>1979</v>
      </c>
      <c r="T2182" t="s">
        <v>1627</v>
      </c>
      <c r="U2182" t="s">
        <v>3900</v>
      </c>
    </row>
    <row r="2183" spans="1:21">
      <c r="A2183" s="136">
        <v>5</v>
      </c>
      <c r="B2183" s="256">
        <v>1979</v>
      </c>
      <c r="C2183" s="257"/>
      <c r="D2183" s="257" t="s">
        <v>1966</v>
      </c>
      <c r="E2183" s="258" t="s">
        <v>4134</v>
      </c>
      <c r="F2183" s="258" t="s">
        <v>2041</v>
      </c>
      <c r="G2183" s="258" t="s">
        <v>2579</v>
      </c>
      <c r="H2183" s="259">
        <v>0.5</v>
      </c>
      <c r="I2183" s="259">
        <v>2.97</v>
      </c>
      <c r="J2183" s="256">
        <v>1</v>
      </c>
      <c r="K2183" s="262"/>
      <c r="L2183" s="261"/>
      <c r="M2183" s="277"/>
      <c r="N2183" s="279" t="s">
        <v>25</v>
      </c>
      <c r="O2183" t="str">
        <f t="shared" si="71"/>
        <v>1979 Kennedy Half Dollar</v>
      </c>
      <c r="S2183" t="str" cm="1">
        <f t="array" ref="S2183">_xlfn.REGEXEXTRACT(E2183, "[0-9]{1,5}")</f>
        <v>1979</v>
      </c>
      <c r="T2183" t="s">
        <v>1627</v>
      </c>
      <c r="U2183" t="s">
        <v>3900</v>
      </c>
    </row>
    <row r="2184" spans="1:21">
      <c r="A2184" s="136">
        <v>5</v>
      </c>
      <c r="B2184" s="256">
        <v>1979</v>
      </c>
      <c r="C2184" s="257"/>
      <c r="D2184" s="257" t="s">
        <v>1966</v>
      </c>
      <c r="E2184" s="258" t="s">
        <v>4135</v>
      </c>
      <c r="F2184" s="258" t="s">
        <v>2041</v>
      </c>
      <c r="G2184" s="258" t="s">
        <v>2579</v>
      </c>
      <c r="H2184" s="259">
        <v>0.5</v>
      </c>
      <c r="I2184" s="259">
        <v>3.38</v>
      </c>
      <c r="J2184" s="256">
        <v>1</v>
      </c>
      <c r="K2184" s="262" t="s">
        <v>3909</v>
      </c>
      <c r="L2184" s="261"/>
      <c r="M2184" s="277"/>
      <c r="N2184" s="279" t="s">
        <v>25</v>
      </c>
      <c r="O2184" t="str">
        <f t="shared" si="71"/>
        <v>1979 Kennedy Half Dollar</v>
      </c>
      <c r="S2184" t="str" cm="1">
        <f t="array" ref="S2184">_xlfn.REGEXEXTRACT(E2184, "[0-9]{1,5}")</f>
        <v>1979</v>
      </c>
      <c r="T2184" t="s">
        <v>1627</v>
      </c>
      <c r="U2184" t="s">
        <v>3900</v>
      </c>
    </row>
    <row r="2185" spans="1:21">
      <c r="A2185" s="136">
        <v>5</v>
      </c>
      <c r="B2185" s="256">
        <v>1979</v>
      </c>
      <c r="C2185" s="257"/>
      <c r="D2185" s="257" t="s">
        <v>1966</v>
      </c>
      <c r="E2185" s="258" t="s">
        <v>4136</v>
      </c>
      <c r="F2185" s="258" t="s">
        <v>2041</v>
      </c>
      <c r="G2185" s="258" t="s">
        <v>2579</v>
      </c>
      <c r="H2185" s="259">
        <v>0.5</v>
      </c>
      <c r="I2185" s="259">
        <v>3.38</v>
      </c>
      <c r="J2185" s="256">
        <v>1</v>
      </c>
      <c r="K2185" s="262" t="s">
        <v>3909</v>
      </c>
      <c r="L2185" s="261"/>
      <c r="M2185" s="277"/>
      <c r="N2185" s="279" t="s">
        <v>25</v>
      </c>
      <c r="O2185" t="str">
        <f t="shared" si="71"/>
        <v>1979 Kennedy Half Dollar</v>
      </c>
      <c r="S2185" t="str" cm="1">
        <f t="array" ref="S2185">_xlfn.REGEXEXTRACT(E2185, "[0-9]{1,5}")</f>
        <v>1979</v>
      </c>
      <c r="T2185" t="s">
        <v>1627</v>
      </c>
      <c r="U2185" t="s">
        <v>3900</v>
      </c>
    </row>
    <row r="2186" spans="1:21">
      <c r="A2186" s="136">
        <v>5</v>
      </c>
      <c r="B2186" s="256">
        <v>1980</v>
      </c>
      <c r="C2186" s="257"/>
      <c r="D2186" s="257" t="s">
        <v>1966</v>
      </c>
      <c r="E2186" s="258" t="s">
        <v>4137</v>
      </c>
      <c r="F2186" s="258" t="s">
        <v>2041</v>
      </c>
      <c r="G2186" s="258" t="s">
        <v>2579</v>
      </c>
      <c r="H2186" s="259">
        <v>0.5</v>
      </c>
      <c r="I2186" s="259">
        <v>0.8</v>
      </c>
      <c r="J2186" s="256">
        <v>1</v>
      </c>
      <c r="K2186" s="262"/>
      <c r="L2186" s="261"/>
      <c r="M2186" s="277"/>
      <c r="N2186" s="279" t="s">
        <v>25</v>
      </c>
      <c r="O2186" t="str">
        <f t="shared" si="71"/>
        <v>1980 Kennedy Half Dollar</v>
      </c>
      <c r="S2186" t="str" cm="1">
        <f t="array" ref="S2186">_xlfn.REGEXEXTRACT(E2186, "[0-9]{1,5}")</f>
        <v>1980</v>
      </c>
      <c r="T2186" t="s">
        <v>1627</v>
      </c>
      <c r="U2186" t="s">
        <v>3900</v>
      </c>
    </row>
    <row r="2187" spans="1:21">
      <c r="A2187" s="136">
        <v>5</v>
      </c>
      <c r="B2187" s="256">
        <v>1980</v>
      </c>
      <c r="C2187" s="257" t="s">
        <v>25</v>
      </c>
      <c r="D2187" s="257" t="s">
        <v>1966</v>
      </c>
      <c r="E2187" s="258" t="s">
        <v>4138</v>
      </c>
      <c r="F2187" s="258" t="s">
        <v>2041</v>
      </c>
      <c r="G2187" s="258" t="s">
        <v>2579</v>
      </c>
      <c r="H2187" s="259">
        <v>0.5</v>
      </c>
      <c r="I2187" s="259">
        <v>1.96</v>
      </c>
      <c r="J2187" s="256">
        <v>1</v>
      </c>
      <c r="K2187" s="262"/>
      <c r="L2187" s="261"/>
      <c r="M2187" s="277"/>
      <c r="N2187" s="279" t="s">
        <v>25</v>
      </c>
      <c r="O2187" t="str">
        <f t="shared" si="71"/>
        <v>1980-P Kennedy Half Dollar</v>
      </c>
      <c r="S2187" t="str" cm="1">
        <f t="array" ref="S2187">_xlfn.REGEXEXTRACT(E2187, "[0-9]{1,5}")</f>
        <v>1980</v>
      </c>
      <c r="T2187" t="s">
        <v>1627</v>
      </c>
      <c r="U2187" t="s">
        <v>3900</v>
      </c>
    </row>
    <row r="2188" spans="1:21">
      <c r="A2188" s="136">
        <v>5</v>
      </c>
      <c r="B2188" s="256">
        <v>1980</v>
      </c>
      <c r="C2188" s="257" t="s">
        <v>25</v>
      </c>
      <c r="D2188" s="257" t="s">
        <v>1966</v>
      </c>
      <c r="E2188" s="258" t="s">
        <v>4139</v>
      </c>
      <c r="F2188" s="258" t="s">
        <v>2041</v>
      </c>
      <c r="G2188" s="258" t="s">
        <v>2579</v>
      </c>
      <c r="H2188" s="259">
        <v>0.5</v>
      </c>
      <c r="I2188" s="259">
        <v>1.96</v>
      </c>
      <c r="J2188" s="256">
        <v>1</v>
      </c>
      <c r="K2188" s="262"/>
      <c r="L2188" s="261"/>
      <c r="M2188" s="277"/>
      <c r="N2188" s="279" t="s">
        <v>25</v>
      </c>
      <c r="O2188" t="str">
        <f t="shared" si="71"/>
        <v>1980-P Kennedy Half Dollar</v>
      </c>
      <c r="S2188" t="str" cm="1">
        <f t="array" ref="S2188">_xlfn.REGEXEXTRACT(E2188, "[0-9]{1,5}")</f>
        <v>1980</v>
      </c>
      <c r="T2188" t="s">
        <v>1627</v>
      </c>
      <c r="U2188" t="s">
        <v>3900</v>
      </c>
    </row>
    <row r="2189" spans="1:21">
      <c r="A2189" s="136">
        <v>5</v>
      </c>
      <c r="B2189" s="256">
        <v>1980</v>
      </c>
      <c r="C2189" s="257" t="s">
        <v>25</v>
      </c>
      <c r="D2189" s="257" t="s">
        <v>1966</v>
      </c>
      <c r="E2189" s="258" t="s">
        <v>4140</v>
      </c>
      <c r="F2189" s="258" t="s">
        <v>2041</v>
      </c>
      <c r="G2189" s="258" t="s">
        <v>2579</v>
      </c>
      <c r="H2189" s="259">
        <v>0.5</v>
      </c>
      <c r="I2189" s="259">
        <v>1.96</v>
      </c>
      <c r="J2189" s="256">
        <v>1</v>
      </c>
      <c r="K2189" s="262"/>
      <c r="L2189" s="261"/>
      <c r="M2189" s="277"/>
      <c r="N2189" s="279" t="s">
        <v>25</v>
      </c>
      <c r="O2189" t="str">
        <f t="shared" si="71"/>
        <v>1980-P Kennedy Half Dollar</v>
      </c>
      <c r="S2189" t="str" cm="1">
        <f t="array" ref="S2189">_xlfn.REGEXEXTRACT(E2189, "[0-9]{1,5}")</f>
        <v>1980</v>
      </c>
      <c r="T2189" t="s">
        <v>1627</v>
      </c>
      <c r="U2189" t="s">
        <v>3900</v>
      </c>
    </row>
    <row r="2190" spans="1:21">
      <c r="A2190" s="136">
        <v>5</v>
      </c>
      <c r="B2190" s="256">
        <v>1980</v>
      </c>
      <c r="C2190" s="257" t="s">
        <v>25</v>
      </c>
      <c r="D2190" s="257" t="s">
        <v>1966</v>
      </c>
      <c r="E2190" s="258" t="s">
        <v>4141</v>
      </c>
      <c r="F2190" s="258" t="s">
        <v>2041</v>
      </c>
      <c r="G2190" s="258" t="s">
        <v>2579</v>
      </c>
      <c r="H2190" s="259">
        <v>0.5</v>
      </c>
      <c r="I2190" s="259">
        <v>1.96</v>
      </c>
      <c r="J2190" s="256">
        <v>1</v>
      </c>
      <c r="K2190" s="262"/>
      <c r="L2190" s="261"/>
      <c r="M2190" s="277"/>
      <c r="N2190" s="279" t="s">
        <v>25</v>
      </c>
      <c r="O2190" t="str">
        <f t="shared" si="71"/>
        <v>1980-P Kennedy Half Dollar</v>
      </c>
      <c r="S2190" t="str" cm="1">
        <f t="array" ref="S2190">_xlfn.REGEXEXTRACT(E2190, "[0-9]{1,5}")</f>
        <v>1980</v>
      </c>
      <c r="T2190" t="s">
        <v>1627</v>
      </c>
      <c r="U2190" t="s">
        <v>3900</v>
      </c>
    </row>
    <row r="2191" spans="1:21">
      <c r="A2191" s="136">
        <v>5</v>
      </c>
      <c r="B2191" s="256">
        <v>1981</v>
      </c>
      <c r="C2191" s="257" t="s">
        <v>25</v>
      </c>
      <c r="D2191" s="257" t="s">
        <v>1966</v>
      </c>
      <c r="E2191" s="258" t="s">
        <v>4142</v>
      </c>
      <c r="F2191" s="258" t="s">
        <v>2041</v>
      </c>
      <c r="G2191" s="258" t="s">
        <v>2579</v>
      </c>
      <c r="H2191" s="259">
        <v>0.5</v>
      </c>
      <c r="I2191" s="259">
        <v>2.92</v>
      </c>
      <c r="J2191" s="256">
        <v>1</v>
      </c>
      <c r="K2191" s="262"/>
      <c r="L2191" s="261"/>
      <c r="M2191" s="277"/>
      <c r="N2191" s="279" t="s">
        <v>25</v>
      </c>
      <c r="O2191" t="str">
        <f t="shared" si="71"/>
        <v>1981-P Kennedy Half Dollar</v>
      </c>
      <c r="S2191" t="str" cm="1">
        <f t="array" ref="S2191">_xlfn.REGEXEXTRACT(E2191, "[0-9]{1,5}")</f>
        <v>1981</v>
      </c>
      <c r="T2191" t="s">
        <v>1627</v>
      </c>
      <c r="U2191" t="s">
        <v>3900</v>
      </c>
    </row>
    <row r="2192" spans="1:21">
      <c r="A2192" s="136">
        <v>5</v>
      </c>
      <c r="B2192" s="256">
        <v>1981</v>
      </c>
      <c r="C2192" s="257" t="s">
        <v>25</v>
      </c>
      <c r="D2192" s="257" t="s">
        <v>1966</v>
      </c>
      <c r="E2192" s="258" t="s">
        <v>4143</v>
      </c>
      <c r="F2192" s="258" t="s">
        <v>2041</v>
      </c>
      <c r="G2192" s="258" t="s">
        <v>2579</v>
      </c>
      <c r="H2192" s="259">
        <v>0.5</v>
      </c>
      <c r="I2192" s="259">
        <v>2.92</v>
      </c>
      <c r="J2192" s="256">
        <v>1</v>
      </c>
      <c r="K2192" s="262"/>
      <c r="L2192" s="261"/>
      <c r="M2192" s="277"/>
      <c r="N2192" s="279" t="s">
        <v>25</v>
      </c>
      <c r="O2192" t="str">
        <f t="shared" si="71"/>
        <v>1981-P Kennedy Half Dollar</v>
      </c>
      <c r="S2192" t="str" cm="1">
        <f t="array" ref="S2192">_xlfn.REGEXEXTRACT(E2192, "[0-9]{1,5}")</f>
        <v>1981</v>
      </c>
      <c r="T2192" t="s">
        <v>1627</v>
      </c>
      <c r="U2192" t="s">
        <v>3900</v>
      </c>
    </row>
    <row r="2193" spans="1:21">
      <c r="A2193" s="136">
        <v>5</v>
      </c>
      <c r="B2193" s="256">
        <v>1981</v>
      </c>
      <c r="C2193" s="257" t="s">
        <v>25</v>
      </c>
      <c r="D2193" s="257" t="s">
        <v>1966</v>
      </c>
      <c r="E2193" s="258" t="s">
        <v>4144</v>
      </c>
      <c r="F2193" s="258" t="s">
        <v>2041</v>
      </c>
      <c r="G2193" s="258" t="s">
        <v>2579</v>
      </c>
      <c r="H2193" s="259">
        <v>0.5</v>
      </c>
      <c r="I2193" s="259">
        <v>2.92</v>
      </c>
      <c r="J2193" s="256">
        <v>1</v>
      </c>
      <c r="K2193" s="262"/>
      <c r="L2193" s="261"/>
      <c r="M2193" s="277"/>
      <c r="N2193" s="279" t="s">
        <v>25</v>
      </c>
      <c r="O2193" t="str">
        <f t="shared" si="71"/>
        <v>1981-P Kennedy Half Dollar</v>
      </c>
      <c r="S2193" t="str" cm="1">
        <f t="array" ref="S2193">_xlfn.REGEXEXTRACT(E2193, "[0-9]{1,5}")</f>
        <v>1981</v>
      </c>
      <c r="T2193" t="s">
        <v>1649</v>
      </c>
      <c r="U2193" t="s">
        <v>3900</v>
      </c>
    </row>
    <row r="2194" spans="1:21">
      <c r="A2194" s="136">
        <v>5</v>
      </c>
      <c r="B2194" s="256">
        <v>1983</v>
      </c>
      <c r="C2194" s="257" t="s">
        <v>25</v>
      </c>
      <c r="D2194" s="257" t="s">
        <v>1966</v>
      </c>
      <c r="E2194" s="258" t="s">
        <v>4145</v>
      </c>
      <c r="F2194" s="258" t="s">
        <v>2041</v>
      </c>
      <c r="G2194" s="258" t="s">
        <v>2579</v>
      </c>
      <c r="H2194" s="259">
        <v>0.5</v>
      </c>
      <c r="I2194" s="259">
        <v>3.83</v>
      </c>
      <c r="J2194" s="256">
        <v>1</v>
      </c>
      <c r="K2194" s="262"/>
      <c r="L2194" s="261"/>
      <c r="M2194" s="277"/>
      <c r="N2194" s="279" t="s">
        <v>25</v>
      </c>
      <c r="O2194" t="str">
        <f t="shared" si="71"/>
        <v>1983-P Kennedy Half Dollar</v>
      </c>
      <c r="S2194" t="str" cm="1">
        <f t="array" ref="S2194">_xlfn.REGEXEXTRACT(E2194, "[0-9]{1,5}")</f>
        <v>1983</v>
      </c>
      <c r="T2194" t="s">
        <v>1649</v>
      </c>
      <c r="U2194" t="s">
        <v>3900</v>
      </c>
    </row>
    <row r="2195" spans="1:21">
      <c r="A2195" s="136">
        <v>5</v>
      </c>
      <c r="B2195" s="256">
        <v>1983</v>
      </c>
      <c r="C2195" s="257" t="s">
        <v>25</v>
      </c>
      <c r="D2195" s="257" t="s">
        <v>1966</v>
      </c>
      <c r="E2195" s="258" t="s">
        <v>4146</v>
      </c>
      <c r="F2195" s="258" t="s">
        <v>2041</v>
      </c>
      <c r="G2195" s="258" t="s">
        <v>2579</v>
      </c>
      <c r="H2195" s="259">
        <v>0.5</v>
      </c>
      <c r="I2195" s="259">
        <v>3.83</v>
      </c>
      <c r="J2195" s="256">
        <v>1</v>
      </c>
      <c r="K2195" s="262"/>
      <c r="L2195" s="261"/>
      <c r="M2195" s="277"/>
      <c r="N2195" s="279" t="s">
        <v>25</v>
      </c>
      <c r="O2195" t="str">
        <f t="shared" si="71"/>
        <v>1983-P Kennedy Half Dollar</v>
      </c>
      <c r="S2195" t="str" cm="1">
        <f t="array" ref="S2195">_xlfn.REGEXEXTRACT(E2195, "[0-9]{1,5}")</f>
        <v>1983</v>
      </c>
      <c r="T2195" t="s">
        <v>1649</v>
      </c>
      <c r="U2195" t="s">
        <v>3900</v>
      </c>
    </row>
    <row r="2196" spans="1:21">
      <c r="A2196" s="136">
        <v>5</v>
      </c>
      <c r="B2196" s="256">
        <v>1983</v>
      </c>
      <c r="C2196" s="257" t="s">
        <v>25</v>
      </c>
      <c r="D2196" s="257" t="s">
        <v>1966</v>
      </c>
      <c r="E2196" s="258" t="s">
        <v>4147</v>
      </c>
      <c r="F2196" s="258" t="s">
        <v>2041</v>
      </c>
      <c r="G2196" s="258" t="s">
        <v>2579</v>
      </c>
      <c r="H2196" s="259">
        <v>0.5</v>
      </c>
      <c r="I2196" s="259">
        <v>3.83</v>
      </c>
      <c r="J2196" s="256">
        <v>1</v>
      </c>
      <c r="K2196" s="262"/>
      <c r="L2196" s="261"/>
      <c r="M2196" s="277"/>
      <c r="N2196" s="279" t="s">
        <v>25</v>
      </c>
      <c r="O2196" t="str">
        <f t="shared" si="71"/>
        <v>1983-P Kennedy Half Dollar</v>
      </c>
      <c r="S2196" t="str" cm="1">
        <f t="array" ref="S2196">_xlfn.REGEXEXTRACT(E2196, "[0-9]{1,5}")</f>
        <v>1983</v>
      </c>
      <c r="T2196" t="s">
        <v>1649</v>
      </c>
      <c r="U2196" t="s">
        <v>3900</v>
      </c>
    </row>
    <row r="2197" spans="1:21">
      <c r="A2197" s="136">
        <v>5</v>
      </c>
      <c r="B2197" s="256">
        <v>1983</v>
      </c>
      <c r="C2197" s="257" t="s">
        <v>25</v>
      </c>
      <c r="D2197" s="257" t="s">
        <v>1966</v>
      </c>
      <c r="E2197" s="258" t="s">
        <v>4148</v>
      </c>
      <c r="F2197" s="258" t="s">
        <v>2041</v>
      </c>
      <c r="G2197" s="258" t="s">
        <v>2579</v>
      </c>
      <c r="H2197" s="259">
        <v>0.5</v>
      </c>
      <c r="I2197" s="259">
        <v>3.83</v>
      </c>
      <c r="J2197" s="256">
        <v>1</v>
      </c>
      <c r="K2197" s="262"/>
      <c r="L2197" s="261"/>
      <c r="M2197" s="277"/>
      <c r="N2197" s="279" t="s">
        <v>25</v>
      </c>
      <c r="O2197" t="str">
        <f t="shared" si="71"/>
        <v>1983-P Kennedy Half Dollar</v>
      </c>
      <c r="S2197" t="str" cm="1">
        <f t="array" ref="S2197">_xlfn.REGEXEXTRACT(E2197, "[0-9]{1,5}")</f>
        <v>1983</v>
      </c>
      <c r="T2197" t="s">
        <v>1649</v>
      </c>
      <c r="U2197" t="s">
        <v>3900</v>
      </c>
    </row>
    <row r="2198" spans="1:21">
      <c r="A2198" s="136">
        <v>5</v>
      </c>
      <c r="B2198" s="256">
        <v>1983</v>
      </c>
      <c r="C2198" s="257" t="s">
        <v>25</v>
      </c>
      <c r="D2198" s="257" t="s">
        <v>1966</v>
      </c>
      <c r="E2198" s="258" t="s">
        <v>4149</v>
      </c>
      <c r="F2198" s="258" t="s">
        <v>2041</v>
      </c>
      <c r="G2198" s="258" t="s">
        <v>2579</v>
      </c>
      <c r="H2198" s="259">
        <v>0.5</v>
      </c>
      <c r="I2198" s="259">
        <v>3.83</v>
      </c>
      <c r="J2198" s="256">
        <v>1</v>
      </c>
      <c r="K2198" s="262"/>
      <c r="L2198" s="261"/>
      <c r="M2198" s="277"/>
      <c r="N2198" s="279" t="s">
        <v>25</v>
      </c>
      <c r="O2198" t="str">
        <f t="shared" si="71"/>
        <v>1983-P Kennedy Half Dollar</v>
      </c>
      <c r="S2198" t="str" cm="1">
        <f t="array" ref="S2198">_xlfn.REGEXEXTRACT(E2198, "[0-9]{1,5}")</f>
        <v>1983</v>
      </c>
      <c r="T2198" t="s">
        <v>1649</v>
      </c>
      <c r="U2198" t="s">
        <v>3900</v>
      </c>
    </row>
    <row r="2199" spans="1:21">
      <c r="A2199" s="136">
        <v>5</v>
      </c>
      <c r="B2199" s="256">
        <v>1983</v>
      </c>
      <c r="C2199" s="257" t="s">
        <v>25</v>
      </c>
      <c r="D2199" s="257" t="s">
        <v>1966</v>
      </c>
      <c r="E2199" s="258" t="s">
        <v>4150</v>
      </c>
      <c r="F2199" s="258" t="s">
        <v>2041</v>
      </c>
      <c r="G2199" s="258" t="s">
        <v>2579</v>
      </c>
      <c r="H2199" s="259">
        <v>0.5</v>
      </c>
      <c r="I2199" s="259">
        <v>3.83</v>
      </c>
      <c r="J2199" s="256">
        <v>1</v>
      </c>
      <c r="K2199" s="262"/>
      <c r="L2199" s="261"/>
      <c r="M2199" s="277"/>
      <c r="N2199" s="279" t="s">
        <v>25</v>
      </c>
      <c r="O2199" t="str">
        <f t="shared" si="71"/>
        <v>1983-P Kennedy Half Dollar</v>
      </c>
      <c r="S2199" t="str" cm="1">
        <f t="array" ref="S2199">_xlfn.REGEXEXTRACT(E2199, "[0-9]{1,5}")</f>
        <v>1983</v>
      </c>
      <c r="T2199" t="s">
        <v>1649</v>
      </c>
      <c r="U2199" t="s">
        <v>3900</v>
      </c>
    </row>
    <row r="2200" spans="1:21">
      <c r="A2200" s="136">
        <v>5</v>
      </c>
      <c r="B2200" s="256">
        <v>1983</v>
      </c>
      <c r="C2200" s="257" t="s">
        <v>13</v>
      </c>
      <c r="D2200" s="257" t="s">
        <v>1966</v>
      </c>
      <c r="E2200" s="258" t="s">
        <v>4151</v>
      </c>
      <c r="F2200" s="258" t="s">
        <v>2041</v>
      </c>
      <c r="G2200" s="258" t="s">
        <v>2579</v>
      </c>
      <c r="H2200" s="259">
        <v>0.5</v>
      </c>
      <c r="I2200" s="259">
        <v>2.69</v>
      </c>
      <c r="J2200" s="256">
        <v>1</v>
      </c>
      <c r="K2200" s="262"/>
      <c r="L2200" s="261"/>
      <c r="M2200" s="277"/>
      <c r="N2200" s="279" t="s">
        <v>25</v>
      </c>
      <c r="O2200" t="str">
        <f t="shared" si="71"/>
        <v>1983-D Kennedy Half Dollar</v>
      </c>
      <c r="S2200" t="str" cm="1">
        <f t="array" ref="S2200">_xlfn.REGEXEXTRACT(E2200, "[0-9]{1,5}")</f>
        <v>1983</v>
      </c>
      <c r="T2200" t="s">
        <v>1649</v>
      </c>
      <c r="U2200" t="s">
        <v>3900</v>
      </c>
    </row>
    <row r="2201" spans="1:21">
      <c r="A2201" s="136">
        <v>5</v>
      </c>
      <c r="B2201" s="256">
        <v>1984</v>
      </c>
      <c r="C2201" s="257" t="s">
        <v>25</v>
      </c>
      <c r="D2201" s="257" t="s">
        <v>1966</v>
      </c>
      <c r="E2201" s="258" t="s">
        <v>4152</v>
      </c>
      <c r="F2201" s="258" t="s">
        <v>2041</v>
      </c>
      <c r="G2201" s="258" t="s">
        <v>2579</v>
      </c>
      <c r="H2201" s="259">
        <v>0.5</v>
      </c>
      <c r="I2201" s="259">
        <v>2.8</v>
      </c>
      <c r="J2201" s="256">
        <v>1</v>
      </c>
      <c r="K2201" s="262"/>
      <c r="L2201" s="261"/>
      <c r="M2201" s="277"/>
      <c r="N2201" s="279" t="s">
        <v>25</v>
      </c>
      <c r="O2201" t="str">
        <f t="shared" si="71"/>
        <v>1984-P Kennedy Half Dollar</v>
      </c>
      <c r="S2201" t="str" cm="1">
        <f t="array" ref="S2201">_xlfn.REGEXEXTRACT(E2201, "[0-9]{1,5}")</f>
        <v>1984</v>
      </c>
      <c r="T2201" t="s">
        <v>4192</v>
      </c>
      <c r="U2201" t="s">
        <v>3900</v>
      </c>
    </row>
    <row r="2202" spans="1:21">
      <c r="A2202" s="136">
        <v>5</v>
      </c>
      <c r="B2202" s="256">
        <v>1984</v>
      </c>
      <c r="C2202" s="257" t="s">
        <v>25</v>
      </c>
      <c r="D2202" s="257" t="s">
        <v>1966</v>
      </c>
      <c r="E2202" s="258" t="s">
        <v>4153</v>
      </c>
      <c r="F2202" s="258" t="s">
        <v>2041</v>
      </c>
      <c r="G2202" s="258" t="s">
        <v>2579</v>
      </c>
      <c r="H2202" s="259">
        <v>0.5</v>
      </c>
      <c r="I2202" s="259">
        <v>2.8</v>
      </c>
      <c r="J2202" s="256">
        <v>1</v>
      </c>
      <c r="K2202" s="262"/>
      <c r="L2202" s="261"/>
      <c r="M2202" s="277"/>
      <c r="N2202" s="279" t="s">
        <v>25</v>
      </c>
      <c r="O2202" t="str">
        <f t="shared" si="71"/>
        <v>1984-P Kennedy Half Dollar</v>
      </c>
      <c r="S2202" t="str" cm="1">
        <f t="array" ref="S2202">_xlfn.REGEXEXTRACT(E2202, "[0-9]{1,5}")</f>
        <v>1984</v>
      </c>
      <c r="T2202" t="s">
        <v>4192</v>
      </c>
      <c r="U2202" t="s">
        <v>3900</v>
      </c>
    </row>
    <row r="2203" spans="1:21">
      <c r="A2203" s="136">
        <v>5</v>
      </c>
      <c r="B2203" s="256">
        <v>1984</v>
      </c>
      <c r="C2203" s="257" t="s">
        <v>25</v>
      </c>
      <c r="D2203" s="257" t="s">
        <v>1966</v>
      </c>
      <c r="E2203" s="258" t="s">
        <v>4154</v>
      </c>
      <c r="F2203" s="258" t="s">
        <v>2041</v>
      </c>
      <c r="G2203" s="258" t="s">
        <v>2579</v>
      </c>
      <c r="H2203" s="259">
        <v>0.5</v>
      </c>
      <c r="I2203" s="259">
        <v>2.8</v>
      </c>
      <c r="J2203" s="256">
        <v>1</v>
      </c>
      <c r="K2203" s="262"/>
      <c r="L2203" s="261"/>
      <c r="M2203" s="277"/>
      <c r="N2203" s="279" t="s">
        <v>25</v>
      </c>
      <c r="O2203" t="str">
        <f t="shared" si="71"/>
        <v>1984-P Kennedy Half Dollar</v>
      </c>
      <c r="S2203" t="str" cm="1">
        <f t="array" ref="S2203">_xlfn.REGEXEXTRACT(E2203, "[0-9]{1,5}")</f>
        <v>1984</v>
      </c>
      <c r="T2203" t="s">
        <v>4193</v>
      </c>
      <c r="U2203" t="s">
        <v>3900</v>
      </c>
    </row>
    <row r="2204" spans="1:21">
      <c r="A2204" s="136">
        <v>5</v>
      </c>
      <c r="B2204" s="256">
        <v>1985</v>
      </c>
      <c r="C2204" s="257" t="s">
        <v>13</v>
      </c>
      <c r="D2204" s="257" t="s">
        <v>1966</v>
      </c>
      <c r="E2204" s="258" t="s">
        <v>4155</v>
      </c>
      <c r="F2204" s="258" t="s">
        <v>2041</v>
      </c>
      <c r="G2204" s="258" t="s">
        <v>2579</v>
      </c>
      <c r="H2204" s="259">
        <v>0.5</v>
      </c>
      <c r="I2204" s="259">
        <v>2.71</v>
      </c>
      <c r="J2204" s="256">
        <v>1</v>
      </c>
      <c r="K2204" s="262"/>
      <c r="L2204" s="261"/>
      <c r="M2204" s="277"/>
      <c r="N2204" s="279" t="s">
        <v>25</v>
      </c>
      <c r="O2204" t="str">
        <f t="shared" si="71"/>
        <v>1985-D Kennedy Half Dollar</v>
      </c>
      <c r="S2204" t="str" cm="1">
        <f t="array" ref="S2204">_xlfn.REGEXEXTRACT(E2204, "[0-9]{1,5}")</f>
        <v>1985</v>
      </c>
      <c r="T2204" t="s">
        <v>4193</v>
      </c>
      <c r="U2204" t="s">
        <v>3900</v>
      </c>
    </row>
    <row r="2205" spans="1:21">
      <c r="A2205" s="136">
        <v>5</v>
      </c>
      <c r="B2205" s="256">
        <v>1985</v>
      </c>
      <c r="C2205" s="257" t="s">
        <v>13</v>
      </c>
      <c r="D2205" s="257" t="s">
        <v>1966</v>
      </c>
      <c r="E2205" s="258" t="s">
        <v>4156</v>
      </c>
      <c r="F2205" s="258" t="s">
        <v>2041</v>
      </c>
      <c r="G2205" s="258" t="s">
        <v>2579</v>
      </c>
      <c r="H2205" s="259">
        <v>0.5</v>
      </c>
      <c r="I2205" s="259">
        <v>2.71</v>
      </c>
      <c r="J2205" s="256">
        <v>1</v>
      </c>
      <c r="K2205" s="262"/>
      <c r="L2205" s="261"/>
      <c r="M2205" s="277"/>
      <c r="N2205" s="279" t="s">
        <v>25</v>
      </c>
      <c r="O2205" t="str">
        <f t="shared" si="71"/>
        <v>1985-D Kennedy Half Dollar</v>
      </c>
      <c r="S2205" t="str" cm="1">
        <f t="array" ref="S2205">_xlfn.REGEXEXTRACT(E2205, "[0-9]{1,5}")</f>
        <v>1985</v>
      </c>
      <c r="T2205" t="s">
        <v>4194</v>
      </c>
      <c r="U2205" t="s">
        <v>3900</v>
      </c>
    </row>
    <row r="2206" spans="1:21">
      <c r="A2206" s="136">
        <v>5</v>
      </c>
      <c r="B2206" s="256">
        <v>1988</v>
      </c>
      <c r="C2206" s="257" t="s">
        <v>25</v>
      </c>
      <c r="D2206" s="257" t="s">
        <v>1966</v>
      </c>
      <c r="E2206" s="258" t="s">
        <v>4157</v>
      </c>
      <c r="F2206" s="258" t="s">
        <v>2041</v>
      </c>
      <c r="G2206" s="258" t="s">
        <v>2579</v>
      </c>
      <c r="H2206" s="259">
        <v>0.5</v>
      </c>
      <c r="I2206" s="259">
        <v>2.58</v>
      </c>
      <c r="J2206" s="256">
        <v>1</v>
      </c>
      <c r="K2206" s="262"/>
      <c r="L2206" s="261"/>
      <c r="M2206" s="277"/>
      <c r="N2206" s="279" t="s">
        <v>25</v>
      </c>
      <c r="O2206" t="str">
        <f t="shared" si="71"/>
        <v>1988-P Kennedy Half Dollar</v>
      </c>
      <c r="S2206" t="str" cm="1">
        <f t="array" ref="S2206">_xlfn.REGEXEXTRACT(E2206, "[0-9]{1,5}")</f>
        <v>1988</v>
      </c>
      <c r="T2206" t="s">
        <v>4195</v>
      </c>
      <c r="U2206" t="s">
        <v>3900</v>
      </c>
    </row>
    <row r="2207" spans="1:21">
      <c r="A2207" s="136">
        <v>5</v>
      </c>
      <c r="B2207" s="256">
        <v>1988</v>
      </c>
      <c r="C2207" s="257" t="s">
        <v>25</v>
      </c>
      <c r="D2207" s="257" t="s">
        <v>1966</v>
      </c>
      <c r="E2207" s="258" t="s">
        <v>4158</v>
      </c>
      <c r="F2207" s="258" t="s">
        <v>2041</v>
      </c>
      <c r="G2207" s="258" t="s">
        <v>2579</v>
      </c>
      <c r="H2207" s="259">
        <v>0.5</v>
      </c>
      <c r="I2207" s="259">
        <v>2.58</v>
      </c>
      <c r="J2207" s="256">
        <v>1</v>
      </c>
      <c r="K2207" s="262"/>
      <c r="L2207" s="261"/>
      <c r="M2207" s="277"/>
      <c r="N2207" s="279" t="s">
        <v>25</v>
      </c>
      <c r="O2207" t="str">
        <f t="shared" si="71"/>
        <v>1988-P Kennedy Half Dollar</v>
      </c>
      <c r="S2207" t="str" cm="1">
        <f t="array" ref="S2207">_xlfn.REGEXEXTRACT(E2207, "[0-9]{1,5}")</f>
        <v>1988</v>
      </c>
      <c r="T2207" t="s">
        <v>4196</v>
      </c>
      <c r="U2207" t="s">
        <v>3900</v>
      </c>
    </row>
    <row r="2208" spans="1:21">
      <c r="A2208" s="136">
        <v>5</v>
      </c>
      <c r="B2208" s="256">
        <v>1988</v>
      </c>
      <c r="C2208" s="257" t="s">
        <v>25</v>
      </c>
      <c r="D2208" s="257" t="s">
        <v>1966</v>
      </c>
      <c r="E2208" s="258" t="s">
        <v>4159</v>
      </c>
      <c r="F2208" s="258" t="s">
        <v>2041</v>
      </c>
      <c r="G2208" s="258" t="s">
        <v>2579</v>
      </c>
      <c r="H2208" s="259">
        <v>0.5</v>
      </c>
      <c r="I2208" s="259">
        <v>2.58</v>
      </c>
      <c r="J2208" s="256">
        <v>1</v>
      </c>
      <c r="K2208" s="262"/>
      <c r="L2208" s="261"/>
      <c r="M2208" s="277"/>
      <c r="N2208" s="279" t="s">
        <v>25</v>
      </c>
      <c r="O2208" t="str">
        <f t="shared" si="71"/>
        <v>1988-P Kennedy Half Dollar</v>
      </c>
      <c r="S2208" t="str" cm="1">
        <f t="array" ref="S2208">_xlfn.REGEXEXTRACT(E2208, "[0-9]{1,5}")</f>
        <v>1988</v>
      </c>
      <c r="T2208" t="s">
        <v>4197</v>
      </c>
      <c r="U2208" t="s">
        <v>3900</v>
      </c>
    </row>
    <row r="2209" spans="1:21">
      <c r="A2209" s="136">
        <v>5</v>
      </c>
      <c r="B2209" s="256">
        <v>1989</v>
      </c>
      <c r="C2209" s="257" t="s">
        <v>13</v>
      </c>
      <c r="D2209" s="257" t="s">
        <v>1966</v>
      </c>
      <c r="E2209" s="258" t="s">
        <v>4160</v>
      </c>
      <c r="F2209" s="258" t="s">
        <v>2041</v>
      </c>
      <c r="G2209" s="258" t="s">
        <v>2579</v>
      </c>
      <c r="H2209" s="259">
        <v>0.5</v>
      </c>
      <c r="I2209" s="259">
        <v>1.98</v>
      </c>
      <c r="J2209" s="256">
        <v>1</v>
      </c>
      <c r="K2209" s="262"/>
      <c r="L2209" s="261"/>
      <c r="M2209" s="277"/>
      <c r="N2209" s="279" t="s">
        <v>25</v>
      </c>
      <c r="O2209" t="str">
        <f t="shared" si="71"/>
        <v>1989-D Kennedy Half Dollar</v>
      </c>
      <c r="S2209" t="str" cm="1">
        <f t="array" ref="S2209">_xlfn.REGEXEXTRACT(E2209, "[0-9]{1,5}")</f>
        <v>1889</v>
      </c>
      <c r="T2209" t="s">
        <v>4197</v>
      </c>
      <c r="U2209" t="s">
        <v>3900</v>
      </c>
    </row>
    <row r="2210" spans="1:21">
      <c r="A2210" s="136">
        <v>5</v>
      </c>
      <c r="B2210" s="256">
        <v>1990</v>
      </c>
      <c r="C2210" s="257" t="s">
        <v>25</v>
      </c>
      <c r="D2210" s="257" t="s">
        <v>1966</v>
      </c>
      <c r="E2210" s="258" t="s">
        <v>4161</v>
      </c>
      <c r="F2210" s="258" t="s">
        <v>2041</v>
      </c>
      <c r="G2210" s="258" t="s">
        <v>2579</v>
      </c>
      <c r="H2210" s="259">
        <v>0.5</v>
      </c>
      <c r="I2210" s="259">
        <v>12.61</v>
      </c>
      <c r="J2210" s="256">
        <v>1</v>
      </c>
      <c r="K2210" s="262"/>
      <c r="L2210" s="261"/>
      <c r="M2210" s="277"/>
      <c r="N2210" s="279" t="s">
        <v>25</v>
      </c>
      <c r="O2210" t="str">
        <f t="shared" si="71"/>
        <v>1990-P Kennedy Half Dollar</v>
      </c>
      <c r="S2210" t="str" cm="1">
        <f t="array" ref="S2210">_xlfn.REGEXEXTRACT(E2210, "[0-9]{1,5}")</f>
        <v>1990</v>
      </c>
      <c r="T2210" t="s">
        <v>4197</v>
      </c>
      <c r="U2210" t="s">
        <v>3900</v>
      </c>
    </row>
    <row r="2211" spans="1:21">
      <c r="A2211" s="136">
        <v>5</v>
      </c>
      <c r="B2211" s="256">
        <v>1990</v>
      </c>
      <c r="C2211" s="257" t="s">
        <v>25</v>
      </c>
      <c r="D2211" s="257" t="s">
        <v>1966</v>
      </c>
      <c r="E2211" s="258" t="s">
        <v>4162</v>
      </c>
      <c r="F2211" s="258" t="s">
        <v>2041</v>
      </c>
      <c r="G2211" s="258" t="s">
        <v>2579</v>
      </c>
      <c r="H2211" s="259">
        <v>0.5</v>
      </c>
      <c r="I2211" s="259">
        <v>12.61</v>
      </c>
      <c r="J2211" s="256">
        <v>1</v>
      </c>
      <c r="K2211" s="262"/>
      <c r="L2211" s="261"/>
      <c r="M2211" s="277"/>
      <c r="N2211" s="279" t="s">
        <v>25</v>
      </c>
      <c r="O2211" t="str">
        <f t="shared" si="71"/>
        <v>1990-P Kennedy Half Dollar</v>
      </c>
      <c r="S2211" t="str" cm="1">
        <f t="array" ref="S2211">_xlfn.REGEXEXTRACT(E2211, "[0-9]{1,5}")</f>
        <v>1990</v>
      </c>
      <c r="T2211" t="s">
        <v>4197</v>
      </c>
      <c r="U2211" t="s">
        <v>3900</v>
      </c>
    </row>
    <row r="2212" spans="1:21">
      <c r="A2212" s="136">
        <v>5</v>
      </c>
      <c r="B2212" s="256">
        <v>1990</v>
      </c>
      <c r="C2212" s="257" t="s">
        <v>25</v>
      </c>
      <c r="D2212" s="257" t="s">
        <v>1966</v>
      </c>
      <c r="E2212" s="258" t="s">
        <v>4163</v>
      </c>
      <c r="F2212" s="258" t="s">
        <v>2041</v>
      </c>
      <c r="G2212" s="258" t="s">
        <v>2579</v>
      </c>
      <c r="H2212" s="259">
        <v>0.5</v>
      </c>
      <c r="I2212" s="259">
        <v>12.61</v>
      </c>
      <c r="J2212" s="256">
        <v>1</v>
      </c>
      <c r="K2212" s="262"/>
      <c r="L2212" s="261"/>
      <c r="M2212" s="277"/>
      <c r="N2212" s="279" t="s">
        <v>25</v>
      </c>
      <c r="O2212" t="str">
        <f t="shared" si="71"/>
        <v>1990-P Kennedy Half Dollar</v>
      </c>
      <c r="S2212" t="str" cm="1">
        <f t="array" ref="S2212">_xlfn.REGEXEXTRACT(E2212, "[0-9]{1,5}")</f>
        <v>1990</v>
      </c>
      <c r="T2212" t="s">
        <v>4197</v>
      </c>
      <c r="U2212" t="s">
        <v>3900</v>
      </c>
    </row>
    <row r="2213" spans="1:21">
      <c r="A2213" s="136">
        <v>5</v>
      </c>
      <c r="B2213" s="256">
        <v>1991</v>
      </c>
      <c r="C2213" s="257" t="s">
        <v>13</v>
      </c>
      <c r="D2213" s="257" t="s">
        <v>1966</v>
      </c>
      <c r="E2213" s="258" t="s">
        <v>4164</v>
      </c>
      <c r="F2213" s="258" t="s">
        <v>2041</v>
      </c>
      <c r="G2213" s="258" t="s">
        <v>2579</v>
      </c>
      <c r="H2213" s="259">
        <v>0.5</v>
      </c>
      <c r="I2213" s="259">
        <v>2.0699999999999998</v>
      </c>
      <c r="J2213" s="256">
        <v>1</v>
      </c>
      <c r="K2213" s="262"/>
      <c r="L2213" s="261"/>
      <c r="M2213" s="277"/>
      <c r="N2213" s="279" t="s">
        <v>25</v>
      </c>
      <c r="O2213" t="str">
        <f t="shared" si="71"/>
        <v>1991-D Kennedy Half Dollar</v>
      </c>
      <c r="S2213" t="str" cm="1">
        <f t="array" ref="S2213">_xlfn.REGEXEXTRACT(E2213, "[0-9]{1,5}")</f>
        <v>1991</v>
      </c>
      <c r="T2213" t="s">
        <v>4198</v>
      </c>
      <c r="U2213" t="s">
        <v>3900</v>
      </c>
    </row>
    <row r="2214" spans="1:21">
      <c r="A2214" s="136">
        <v>5</v>
      </c>
      <c r="B2214" s="256">
        <v>1992</v>
      </c>
      <c r="C2214" s="257" t="s">
        <v>25</v>
      </c>
      <c r="D2214" s="257" t="s">
        <v>1966</v>
      </c>
      <c r="E2214" s="258" t="s">
        <v>4165</v>
      </c>
      <c r="F2214" s="258" t="s">
        <v>2041</v>
      </c>
      <c r="G2214" s="258" t="s">
        <v>2579</v>
      </c>
      <c r="H2214" s="259">
        <v>0.5</v>
      </c>
      <c r="I2214" s="259">
        <v>2.36</v>
      </c>
      <c r="J2214" s="256">
        <v>1</v>
      </c>
      <c r="K2214" s="262"/>
      <c r="L2214" s="261"/>
      <c r="M2214" s="277"/>
      <c r="N2214" s="279" t="s">
        <v>25</v>
      </c>
      <c r="O2214" t="str">
        <f t="shared" si="71"/>
        <v>1992-P Kennedy Half Dollar</v>
      </c>
      <c r="S2214" t="str" cm="1">
        <f t="array" ref="S2214">_xlfn.REGEXEXTRACT(E2214, "[0-9]{1,5}")</f>
        <v>1992</v>
      </c>
      <c r="T2214" t="s">
        <v>4198</v>
      </c>
      <c r="U2214" t="s">
        <v>3900</v>
      </c>
    </row>
    <row r="2215" spans="1:21">
      <c r="A2215" s="136">
        <v>5</v>
      </c>
      <c r="B2215" s="256">
        <v>1992</v>
      </c>
      <c r="C2215" s="257" t="s">
        <v>25</v>
      </c>
      <c r="D2215" s="257" t="s">
        <v>1966</v>
      </c>
      <c r="E2215" s="258" t="s">
        <v>4166</v>
      </c>
      <c r="F2215" s="258" t="s">
        <v>2041</v>
      </c>
      <c r="G2215" s="258" t="s">
        <v>2579</v>
      </c>
      <c r="H2215" s="259">
        <v>0.5</v>
      </c>
      <c r="I2215" s="259">
        <v>2.36</v>
      </c>
      <c r="J2215" s="256">
        <v>1</v>
      </c>
      <c r="K2215" s="262"/>
      <c r="L2215" s="261"/>
      <c r="M2215" s="277"/>
      <c r="N2215" s="279" t="s">
        <v>25</v>
      </c>
      <c r="O2215" t="str">
        <f t="shared" si="71"/>
        <v>1992-P Kennedy Half Dollar</v>
      </c>
      <c r="S2215" t="str" cm="1">
        <f t="array" ref="S2215">_xlfn.REGEXEXTRACT(E2215, "[0-9]{1,5}")</f>
        <v>1992</v>
      </c>
      <c r="T2215" t="s">
        <v>4198</v>
      </c>
      <c r="U2215" t="s">
        <v>3900</v>
      </c>
    </row>
    <row r="2216" spans="1:21">
      <c r="A2216" s="136">
        <v>5</v>
      </c>
      <c r="B2216" s="256">
        <v>1992</v>
      </c>
      <c r="C2216" s="257" t="s">
        <v>25</v>
      </c>
      <c r="D2216" s="257" t="s">
        <v>1966</v>
      </c>
      <c r="E2216" s="258" t="s">
        <v>4167</v>
      </c>
      <c r="F2216" s="258" t="s">
        <v>2041</v>
      </c>
      <c r="G2216" s="258" t="s">
        <v>2579</v>
      </c>
      <c r="H2216" s="259">
        <v>0.5</v>
      </c>
      <c r="I2216" s="259">
        <v>2.36</v>
      </c>
      <c r="J2216" s="256">
        <v>1</v>
      </c>
      <c r="K2216" s="262"/>
      <c r="L2216" s="261"/>
      <c r="M2216" s="277"/>
      <c r="N2216" s="279" t="s">
        <v>25</v>
      </c>
      <c r="O2216" t="str">
        <f t="shared" si="71"/>
        <v>1992-P Kennedy Half Dollar</v>
      </c>
      <c r="S2216" t="str" cm="1">
        <f t="array" ref="S2216">_xlfn.REGEXEXTRACT(E2216, "[0-9]{1,5}")</f>
        <v>1992</v>
      </c>
      <c r="T2216" t="s">
        <v>4199</v>
      </c>
      <c r="U2216" t="s">
        <v>3900</v>
      </c>
    </row>
    <row r="2217" spans="1:21">
      <c r="A2217" s="136">
        <v>5</v>
      </c>
      <c r="B2217" s="256">
        <v>1992</v>
      </c>
      <c r="C2217" s="257" t="s">
        <v>25</v>
      </c>
      <c r="D2217" s="257" t="s">
        <v>1966</v>
      </c>
      <c r="E2217" s="258" t="s">
        <v>4168</v>
      </c>
      <c r="F2217" s="258" t="s">
        <v>2041</v>
      </c>
      <c r="G2217" s="258" t="s">
        <v>2579</v>
      </c>
      <c r="H2217" s="259">
        <v>0.5</v>
      </c>
      <c r="I2217" s="259">
        <v>2.36</v>
      </c>
      <c r="J2217" s="256">
        <v>1</v>
      </c>
      <c r="K2217" s="262"/>
      <c r="L2217" s="261"/>
      <c r="M2217" s="277"/>
      <c r="N2217" s="279" t="s">
        <v>25</v>
      </c>
      <c r="O2217" t="str">
        <f t="shared" si="71"/>
        <v>1992-P Kennedy Half Dollar</v>
      </c>
      <c r="S2217" t="str" cm="1">
        <f t="array" ref="S2217">_xlfn.REGEXEXTRACT(E2217, "[0-9]{1,5}")</f>
        <v>1992</v>
      </c>
      <c r="T2217" t="s">
        <v>4201</v>
      </c>
      <c r="U2217" t="s">
        <v>3900</v>
      </c>
    </row>
    <row r="2218" spans="1:21">
      <c r="A2218" s="136">
        <v>5</v>
      </c>
      <c r="B2218" s="256">
        <v>1993</v>
      </c>
      <c r="C2218" s="257" t="s">
        <v>13</v>
      </c>
      <c r="D2218" s="257" t="s">
        <v>1966</v>
      </c>
      <c r="E2218" s="258" t="s">
        <v>4169</v>
      </c>
      <c r="F2218" s="258" t="s">
        <v>2041</v>
      </c>
      <c r="G2218" s="258" t="s">
        <v>2579</v>
      </c>
      <c r="H2218" s="259">
        <v>0.5</v>
      </c>
      <c r="I2218" s="259">
        <v>2.6</v>
      </c>
      <c r="J2218" s="256">
        <v>1</v>
      </c>
      <c r="K2218" s="262"/>
      <c r="L2218" s="261"/>
      <c r="M2218" s="277"/>
      <c r="N2218" s="279" t="s">
        <v>25</v>
      </c>
      <c r="O2218" t="s">
        <v>5293</v>
      </c>
      <c r="S2218" t="str" cm="1">
        <f t="array" ref="S2218">_xlfn.REGEXEXTRACT(E2218, "[0-9]{1,5}")</f>
        <v>1993</v>
      </c>
      <c r="T2218" t="s">
        <v>4206</v>
      </c>
      <c r="U2218" t="s">
        <v>3900</v>
      </c>
    </row>
    <row r="2219" spans="1:21">
      <c r="A2219" s="136">
        <v>5</v>
      </c>
      <c r="B2219" s="256">
        <v>2025</v>
      </c>
      <c r="C2219" s="257" t="s">
        <v>12</v>
      </c>
      <c r="D2219" s="257" t="s">
        <v>1966</v>
      </c>
      <c r="E2219" s="258" t="s">
        <v>3910</v>
      </c>
      <c r="F2219" s="258" t="s">
        <v>5265</v>
      </c>
      <c r="G2219" s="258" t="s">
        <v>2584</v>
      </c>
      <c r="H2219" s="259">
        <v>18</v>
      </c>
      <c r="I2219" s="259">
        <v>60</v>
      </c>
      <c r="J2219" s="256">
        <v>1</v>
      </c>
      <c r="K2219" s="262" t="s">
        <v>3755</v>
      </c>
      <c r="L2219" s="261"/>
      <c r="M2219" s="277"/>
      <c r="N2219" s="279" t="s">
        <v>25</v>
      </c>
      <c r="O2219" t="str">
        <f t="shared" ref="O2219:O2238" si="72">IF(C2219&lt;&gt;"",B2219&amp;"-"&amp;C2219&amp;" "&amp;F2219,B2219&amp;" "&amp;F2219)</f>
        <v>2025-S Kennedy Half Dollar Proof</v>
      </c>
      <c r="S2219" t="str" cm="1">
        <f t="array" ref="S2219">_xlfn.REGEXEXTRACT(E2219, "[0-9]{1,5}")</f>
        <v>2025</v>
      </c>
      <c r="T2219" t="s">
        <v>4206</v>
      </c>
      <c r="U2219" t="s">
        <v>3900</v>
      </c>
    </row>
    <row r="2220" spans="1:21">
      <c r="A2220" s="136">
        <v>5</v>
      </c>
      <c r="B2220" s="256">
        <v>2025</v>
      </c>
      <c r="C2220" s="257" t="s">
        <v>12</v>
      </c>
      <c r="D2220" s="257" t="s">
        <v>1966</v>
      </c>
      <c r="E2220" s="258" t="s">
        <v>3911</v>
      </c>
      <c r="F2220" s="258" t="s">
        <v>5265</v>
      </c>
      <c r="G2220" s="258" t="s">
        <v>2584</v>
      </c>
      <c r="H2220" s="259">
        <v>18</v>
      </c>
      <c r="I2220" s="259">
        <v>60</v>
      </c>
      <c r="J2220" s="256">
        <v>1</v>
      </c>
      <c r="K2220" s="262" t="s">
        <v>3755</v>
      </c>
      <c r="L2220" s="261"/>
      <c r="M2220" s="277"/>
      <c r="N2220" s="279" t="s">
        <v>25</v>
      </c>
      <c r="O2220" t="str">
        <f t="shared" si="72"/>
        <v>2025-S Kennedy Half Dollar Proof</v>
      </c>
      <c r="S2220" t="str" cm="1">
        <f t="array" ref="S2220">_xlfn.REGEXEXTRACT(E2220, "[0-9]{1,5}")</f>
        <v>2025</v>
      </c>
      <c r="T2220" t="s">
        <v>4206</v>
      </c>
      <c r="U2220" t="s">
        <v>3900</v>
      </c>
    </row>
    <row r="2221" spans="1:21">
      <c r="A2221" s="136">
        <v>5</v>
      </c>
      <c r="B2221" s="270">
        <v>2026</v>
      </c>
      <c r="C2221" s="136" t="s">
        <v>25</v>
      </c>
      <c r="D2221" s="257" t="s">
        <v>1966</v>
      </c>
      <c r="E2221" s="235" t="s">
        <v>5574</v>
      </c>
      <c r="F2221" s="235" t="s">
        <v>5575</v>
      </c>
      <c r="G2221" s="3" t="s">
        <v>2579</v>
      </c>
      <c r="H2221" s="236">
        <v>3</v>
      </c>
      <c r="I2221" s="236">
        <v>3</v>
      </c>
      <c r="J2221" s="233">
        <v>1</v>
      </c>
      <c r="K2221" s="237" t="s">
        <v>5572</v>
      </c>
      <c r="N2221" s="279"/>
      <c r="O2221" t="str">
        <f t="shared" si="72"/>
        <v>2026-P Liberty Halp Dollar</v>
      </c>
      <c r="S2221" t="str" cm="1">
        <f t="array" ref="S2221">_xlfn.REGEXEXTRACT(E2221, "[0-9]{1,5}")</f>
        <v>2026</v>
      </c>
      <c r="T2221" t="s">
        <v>4206</v>
      </c>
      <c r="U2221" t="s">
        <v>3900</v>
      </c>
    </row>
    <row r="2222" spans="1:21">
      <c r="A2222" s="136">
        <v>5</v>
      </c>
      <c r="B2222" s="270">
        <v>2026</v>
      </c>
      <c r="C2222" s="234" t="s">
        <v>13</v>
      </c>
      <c r="D2222" s="257" t="s">
        <v>1966</v>
      </c>
      <c r="E2222" s="235" t="s">
        <v>5576</v>
      </c>
      <c r="F2222" s="235" t="s">
        <v>5575</v>
      </c>
      <c r="G2222" s="3" t="s">
        <v>2579</v>
      </c>
      <c r="H2222" s="236">
        <v>3</v>
      </c>
      <c r="I2222" s="236">
        <v>3</v>
      </c>
      <c r="J2222" s="233">
        <v>1</v>
      </c>
      <c r="K2222" s="237" t="s">
        <v>5572</v>
      </c>
      <c r="N2222" s="279"/>
      <c r="O2222" t="str">
        <f t="shared" si="72"/>
        <v>2026-D Liberty Halp Dollar</v>
      </c>
      <c r="S2222" t="str" cm="1">
        <f t="array" ref="S2222">_xlfn.REGEXEXTRACT(E2222, "[0-9]{1,5}")</f>
        <v>2026</v>
      </c>
      <c r="T2222" t="s">
        <v>4213</v>
      </c>
      <c r="U2222" t="s">
        <v>3900</v>
      </c>
    </row>
    <row r="2223" spans="1:21">
      <c r="A2223" s="136">
        <v>6</v>
      </c>
      <c r="B2223" s="246">
        <v>1883</v>
      </c>
      <c r="C2223" s="247" t="s">
        <v>1590</v>
      </c>
      <c r="D2223" s="247" t="s">
        <v>1968</v>
      </c>
      <c r="E2223" s="248" t="s">
        <v>1591</v>
      </c>
      <c r="F2223" s="248" t="s">
        <v>3858</v>
      </c>
      <c r="G2223" s="248" t="s">
        <v>3859</v>
      </c>
      <c r="H2223" s="249">
        <v>28</v>
      </c>
      <c r="I2223" s="265">
        <v>85</v>
      </c>
      <c r="J2223" s="246">
        <v>1</v>
      </c>
      <c r="K2223" s="266"/>
      <c r="L2223" s="242"/>
      <c r="M2223" s="274"/>
      <c r="N2223" s="279" t="s">
        <v>25</v>
      </c>
      <c r="O2223" t="str">
        <f t="shared" si="72"/>
        <v>1883-O Morgan Doller</v>
      </c>
      <c r="S2223" t="str" cm="1">
        <f t="array" ref="S2223">_xlfn.REGEXEXTRACT(E2223, "[0-9]{1,5}")</f>
        <v>1883</v>
      </c>
      <c r="T2223" t="s">
        <v>4215</v>
      </c>
      <c r="U2223" t="s">
        <v>3900</v>
      </c>
    </row>
    <row r="2224" spans="1:21">
      <c r="A2224" s="136">
        <v>6</v>
      </c>
      <c r="B2224" s="246">
        <v>1885</v>
      </c>
      <c r="C2224" s="247"/>
      <c r="D2224" s="247" t="s">
        <v>1968</v>
      </c>
      <c r="E2224" s="248" t="s">
        <v>1594</v>
      </c>
      <c r="F2224" s="248" t="s">
        <v>2603</v>
      </c>
      <c r="G2224" s="248" t="s">
        <v>2579</v>
      </c>
      <c r="H2224" s="249">
        <v>13.5</v>
      </c>
      <c r="I2224" s="265">
        <v>65</v>
      </c>
      <c r="J2224" s="246">
        <v>1</v>
      </c>
      <c r="K2224" s="266"/>
      <c r="L2224" s="242"/>
      <c r="M2224" s="274"/>
      <c r="N2224" s="279" t="s">
        <v>25</v>
      </c>
      <c r="O2224" t="str">
        <f t="shared" si="72"/>
        <v>1885 Morgan Dollar</v>
      </c>
      <c r="S2224" t="str" cm="1">
        <f t="array" ref="S2224">_xlfn.REGEXEXTRACT(E2224, "[0-9]{1,5}")</f>
        <v>1885</v>
      </c>
      <c r="T2224" t="s">
        <v>4217</v>
      </c>
      <c r="U2224" t="s">
        <v>3900</v>
      </c>
    </row>
    <row r="2225" spans="1:21">
      <c r="A2225" s="136">
        <v>6</v>
      </c>
      <c r="B2225" s="246">
        <v>1891</v>
      </c>
      <c r="C2225" s="247"/>
      <c r="D2225" s="247" t="s">
        <v>1968</v>
      </c>
      <c r="E2225" s="248" t="s">
        <v>1595</v>
      </c>
      <c r="F2225" s="248" t="s">
        <v>2603</v>
      </c>
      <c r="G2225" s="248" t="s">
        <v>2579</v>
      </c>
      <c r="H2225" s="249">
        <v>18</v>
      </c>
      <c r="I2225" s="265">
        <v>80</v>
      </c>
      <c r="J2225" s="246">
        <v>1</v>
      </c>
      <c r="K2225" s="266"/>
      <c r="L2225" s="242"/>
      <c r="M2225" s="274"/>
      <c r="N2225" s="279" t="s">
        <v>25</v>
      </c>
      <c r="O2225" t="str">
        <f t="shared" si="72"/>
        <v>1891 Morgan Dollar</v>
      </c>
      <c r="S2225" t="str" cm="1">
        <f t="array" ref="S2225">_xlfn.REGEXEXTRACT(E2225, "[0-9]{1,5}")</f>
        <v>1891</v>
      </c>
      <c r="T2225" t="s">
        <v>4217</v>
      </c>
      <c r="U2225" t="s">
        <v>3900</v>
      </c>
    </row>
    <row r="2226" spans="1:21">
      <c r="A2226" s="136">
        <v>6</v>
      </c>
      <c r="B2226" s="246">
        <v>1904</v>
      </c>
      <c r="C2226" s="247"/>
      <c r="D2226" s="247" t="s">
        <v>1968</v>
      </c>
      <c r="E2226" s="248" t="s">
        <v>3855</v>
      </c>
      <c r="F2226" s="248" t="s">
        <v>2603</v>
      </c>
      <c r="G2226" s="248" t="s">
        <v>2579</v>
      </c>
      <c r="H2226" s="249">
        <v>35</v>
      </c>
      <c r="I2226" s="265">
        <v>50</v>
      </c>
      <c r="J2226" s="246">
        <v>1</v>
      </c>
      <c r="K2226" s="266"/>
      <c r="L2226" s="242"/>
      <c r="M2226" s="274"/>
      <c r="N2226" s="279" t="s">
        <v>25</v>
      </c>
      <c r="O2226" t="str">
        <f t="shared" si="72"/>
        <v>1904 Morgan Dollar</v>
      </c>
      <c r="S2226" t="str" cm="1">
        <f t="array" ref="S2226">_xlfn.REGEXEXTRACT(E2226, "[0-9]{1,5}")</f>
        <v>1904</v>
      </c>
      <c r="T2226" t="s">
        <v>4217</v>
      </c>
      <c r="U2226" t="s">
        <v>3900</v>
      </c>
    </row>
    <row r="2227" spans="1:21">
      <c r="A2227" s="136">
        <v>6</v>
      </c>
      <c r="B2227" s="246">
        <v>1921</v>
      </c>
      <c r="C2227" s="247" t="s">
        <v>12</v>
      </c>
      <c r="D2227" s="247" t="s">
        <v>1968</v>
      </c>
      <c r="E2227" s="248" t="s">
        <v>3860</v>
      </c>
      <c r="F2227" s="248" t="s">
        <v>2603</v>
      </c>
      <c r="G2227" s="248" t="s">
        <v>2579</v>
      </c>
      <c r="H2227" s="249">
        <v>39</v>
      </c>
      <c r="I2227" s="265">
        <v>50</v>
      </c>
      <c r="J2227" s="246">
        <v>1</v>
      </c>
      <c r="K2227" s="266"/>
      <c r="L2227" s="242"/>
      <c r="M2227" s="274"/>
      <c r="N2227" s="279" t="s">
        <v>25</v>
      </c>
      <c r="O2227" t="str">
        <f t="shared" si="72"/>
        <v>1921-S Morgan Dollar</v>
      </c>
      <c r="S2227" t="str" cm="1">
        <f t="array" ref="S2227">_xlfn.REGEXEXTRACT(E2227, "[0-9]{1,5}")</f>
        <v>1921</v>
      </c>
      <c r="T2227" t="s">
        <v>4217</v>
      </c>
      <c r="U2227" t="s">
        <v>3900</v>
      </c>
    </row>
    <row r="2228" spans="1:21">
      <c r="A2228" s="136">
        <v>6</v>
      </c>
      <c r="B2228" s="246">
        <v>1921</v>
      </c>
      <c r="C2228" s="247"/>
      <c r="D2228" s="247" t="s">
        <v>1968</v>
      </c>
      <c r="E2228" s="248" t="s">
        <v>1596</v>
      </c>
      <c r="F2228" s="248" t="s">
        <v>2603</v>
      </c>
      <c r="G2228" s="248" t="s">
        <v>2579</v>
      </c>
      <c r="H2228" s="249">
        <v>15</v>
      </c>
      <c r="I2228" s="265">
        <v>50</v>
      </c>
      <c r="J2228" s="246">
        <v>1</v>
      </c>
      <c r="K2228" s="266"/>
      <c r="L2228" s="242"/>
      <c r="M2228" s="274"/>
      <c r="N2228" s="279" t="s">
        <v>25</v>
      </c>
      <c r="O2228" t="str">
        <f t="shared" si="72"/>
        <v>1921 Morgan Dollar</v>
      </c>
      <c r="S2228" t="str" cm="1">
        <f t="array" ref="S2228">_xlfn.REGEXEXTRACT(E2228, "[0-9]{1,5}")</f>
        <v>1921</v>
      </c>
      <c r="T2228" t="s">
        <v>4217</v>
      </c>
      <c r="U2228" t="s">
        <v>3900</v>
      </c>
    </row>
    <row r="2229" spans="1:21">
      <c r="A2229" s="136">
        <v>6</v>
      </c>
      <c r="B2229" s="246">
        <v>1921</v>
      </c>
      <c r="C2229" s="247" t="s">
        <v>13</v>
      </c>
      <c r="D2229" s="247" t="s">
        <v>1968</v>
      </c>
      <c r="E2229" s="248" t="s">
        <v>1597</v>
      </c>
      <c r="F2229" s="248" t="s">
        <v>2603</v>
      </c>
      <c r="G2229" s="248" t="s">
        <v>2579</v>
      </c>
      <c r="H2229" s="249">
        <v>15</v>
      </c>
      <c r="I2229" s="265">
        <v>50</v>
      </c>
      <c r="J2229" s="246">
        <v>1</v>
      </c>
      <c r="K2229" s="266"/>
      <c r="L2229" s="242"/>
      <c r="M2229" s="274"/>
      <c r="N2229" s="279" t="s">
        <v>25</v>
      </c>
      <c r="O2229" t="str">
        <f t="shared" si="72"/>
        <v>1921-D Morgan Dollar</v>
      </c>
      <c r="S2229" t="str" cm="1">
        <f t="array" ref="S2229">_xlfn.REGEXEXTRACT(E2229, "[0-9]{1,5}")</f>
        <v>1921</v>
      </c>
      <c r="T2229" t="s">
        <v>4217</v>
      </c>
      <c r="U2229" t="s">
        <v>3900</v>
      </c>
    </row>
    <row r="2230" spans="1:21">
      <c r="A2230" s="136">
        <v>6</v>
      </c>
      <c r="B2230" s="246">
        <v>1922</v>
      </c>
      <c r="C2230" s="247"/>
      <c r="D2230" s="247" t="s">
        <v>1968</v>
      </c>
      <c r="E2230" s="248" t="s">
        <v>1598</v>
      </c>
      <c r="F2230" s="248" t="s">
        <v>2603</v>
      </c>
      <c r="G2230" s="248" t="s">
        <v>2579</v>
      </c>
      <c r="H2230" s="249">
        <v>1</v>
      </c>
      <c r="I2230" s="265">
        <v>60</v>
      </c>
      <c r="J2230" s="246">
        <v>1</v>
      </c>
      <c r="K2230" s="266"/>
      <c r="L2230" s="242"/>
      <c r="M2230" s="274"/>
      <c r="N2230" s="279" t="s">
        <v>25</v>
      </c>
      <c r="O2230" t="str">
        <f t="shared" si="72"/>
        <v>1922 Morgan Dollar</v>
      </c>
      <c r="S2230" t="str" cm="1">
        <f t="array" ref="S2230">_xlfn.REGEXEXTRACT(E2230, "[0-9]{1,5}")</f>
        <v>1922</v>
      </c>
      <c r="T2230" t="s">
        <v>4217</v>
      </c>
      <c r="U2230" t="s">
        <v>3900</v>
      </c>
    </row>
    <row r="2231" spans="1:21">
      <c r="A2231" s="136">
        <v>6</v>
      </c>
      <c r="B2231" s="246">
        <v>1923</v>
      </c>
      <c r="C2231" s="247"/>
      <c r="D2231" s="247" t="s">
        <v>1968</v>
      </c>
      <c r="E2231" s="248" t="s">
        <v>1599</v>
      </c>
      <c r="F2231" s="248" t="s">
        <v>2603</v>
      </c>
      <c r="G2231" s="248" t="s">
        <v>2579</v>
      </c>
      <c r="H2231" s="249">
        <v>9</v>
      </c>
      <c r="I2231" s="265">
        <v>80</v>
      </c>
      <c r="J2231" s="246">
        <v>1</v>
      </c>
      <c r="K2231" s="266"/>
      <c r="L2231" s="242"/>
      <c r="M2231" s="274"/>
      <c r="N2231" s="279" t="s">
        <v>25</v>
      </c>
      <c r="O2231" t="str">
        <f t="shared" si="72"/>
        <v>1923 Morgan Dollar</v>
      </c>
      <c r="S2231" t="str" cm="1">
        <f t="array" ref="S2231">_xlfn.REGEXEXTRACT(E2231, "[0-9]{1,5}")</f>
        <v>1923</v>
      </c>
      <c r="T2231" t="s">
        <v>4217</v>
      </c>
      <c r="U2231" t="s">
        <v>3900</v>
      </c>
    </row>
    <row r="2232" spans="1:21">
      <c r="A2232" s="136">
        <v>6</v>
      </c>
      <c r="B2232" s="246">
        <v>1924</v>
      </c>
      <c r="C2232" s="247"/>
      <c r="D2232" s="247" t="s">
        <v>1968</v>
      </c>
      <c r="E2232" s="248" t="s">
        <v>3861</v>
      </c>
      <c r="F2232" s="248" t="s">
        <v>2603</v>
      </c>
      <c r="G2232" s="248" t="s">
        <v>2579</v>
      </c>
      <c r="H2232" s="249">
        <v>1</v>
      </c>
      <c r="I2232" s="265">
        <v>200</v>
      </c>
      <c r="J2232" s="246">
        <v>1</v>
      </c>
      <c r="K2232" s="266"/>
      <c r="L2232" s="242"/>
      <c r="M2232" s="274"/>
      <c r="N2232" s="279" t="s">
        <v>25</v>
      </c>
      <c r="O2232" t="str">
        <f t="shared" si="72"/>
        <v>1924 Morgan Dollar</v>
      </c>
      <c r="S2232" t="str" cm="1">
        <f t="array" ref="S2232">_xlfn.REGEXEXTRACT(E2232, "[0-9]{1,5}")</f>
        <v>1924</v>
      </c>
      <c r="T2232" t="s">
        <v>4217</v>
      </c>
      <c r="U2232" t="s">
        <v>3900</v>
      </c>
    </row>
    <row r="2233" spans="1:21">
      <c r="A2233" s="136">
        <v>6</v>
      </c>
      <c r="B2233" s="246">
        <v>1924</v>
      </c>
      <c r="C2233" s="247"/>
      <c r="D2233" s="247" t="s">
        <v>1968</v>
      </c>
      <c r="E2233" s="248" t="s">
        <v>3857</v>
      </c>
      <c r="F2233" s="248" t="s">
        <v>2574</v>
      </c>
      <c r="G2233" s="248" t="s">
        <v>2579</v>
      </c>
      <c r="H2233" s="249">
        <v>1</v>
      </c>
      <c r="I2233" s="265">
        <v>200</v>
      </c>
      <c r="J2233" s="246">
        <v>1</v>
      </c>
      <c r="K2233" s="266"/>
      <c r="L2233" s="242"/>
      <c r="M2233" s="274"/>
      <c r="N2233" s="279" t="s">
        <v>25</v>
      </c>
      <c r="O2233" t="str">
        <f t="shared" si="72"/>
        <v>1924 Peace Dollar</v>
      </c>
      <c r="S2233" t="str" cm="1">
        <f t="array" ref="S2233">_xlfn.REGEXEXTRACT(E2233, "[0-9]{1,5}")</f>
        <v>1924</v>
      </c>
      <c r="T2233" t="s">
        <v>4217</v>
      </c>
      <c r="U2233" t="s">
        <v>3900</v>
      </c>
    </row>
    <row r="2234" spans="1:21">
      <c r="A2234" s="136">
        <v>6</v>
      </c>
      <c r="B2234" s="246">
        <v>1926</v>
      </c>
      <c r="C2234" s="247"/>
      <c r="D2234" s="247" t="s">
        <v>1968</v>
      </c>
      <c r="E2234" s="248" t="s">
        <v>3862</v>
      </c>
      <c r="F2234" s="248" t="s">
        <v>2574</v>
      </c>
      <c r="G2234" s="248" t="s">
        <v>2579</v>
      </c>
      <c r="H2234" s="249">
        <v>25</v>
      </c>
      <c r="I2234" s="265">
        <v>70</v>
      </c>
      <c r="J2234" s="246">
        <v>1</v>
      </c>
      <c r="K2234" s="266"/>
      <c r="L2234" s="242"/>
      <c r="M2234" s="274"/>
      <c r="N2234" s="279" t="s">
        <v>25</v>
      </c>
      <c r="O2234" t="str">
        <f t="shared" si="72"/>
        <v>1926 Peace Dollar</v>
      </c>
      <c r="S2234" t="str" cm="1">
        <f t="array" ref="S2234">_xlfn.REGEXEXTRACT(E2234, "[0-9]{1,5}")</f>
        <v>1926</v>
      </c>
      <c r="T2234" t="s">
        <v>4221</v>
      </c>
      <c r="U2234" t="s">
        <v>3900</v>
      </c>
    </row>
    <row r="2235" spans="1:21">
      <c r="A2235" s="136">
        <v>6</v>
      </c>
      <c r="B2235" s="246">
        <v>1934</v>
      </c>
      <c r="C2235" s="247" t="s">
        <v>12</v>
      </c>
      <c r="D2235" s="247" t="s">
        <v>1968</v>
      </c>
      <c r="E2235" s="248" t="s">
        <v>3854</v>
      </c>
      <c r="F2235" s="248" t="s">
        <v>2574</v>
      </c>
      <c r="G2235" s="248" t="s">
        <v>2580</v>
      </c>
      <c r="H2235" s="249">
        <v>40</v>
      </c>
      <c r="I2235" s="265">
        <v>75</v>
      </c>
      <c r="J2235" s="246">
        <v>1</v>
      </c>
      <c r="K2235" s="266"/>
      <c r="L2235" s="242"/>
      <c r="M2235" s="274"/>
      <c r="N2235" s="279" t="s">
        <v>25</v>
      </c>
      <c r="O2235" t="str">
        <f t="shared" si="72"/>
        <v>1934-S Peace Dollar</v>
      </c>
      <c r="S2235" t="str" cm="1">
        <f t="array" ref="S2235">_xlfn.REGEXEXTRACT(E2235, "[0-9]{1,5}")</f>
        <v>1934</v>
      </c>
      <c r="T2235" t="s">
        <v>4222</v>
      </c>
      <c r="U2235" t="s">
        <v>3900</v>
      </c>
    </row>
    <row r="2236" spans="1:21">
      <c r="A2236" s="136">
        <v>6</v>
      </c>
      <c r="B2236" s="246">
        <v>1935</v>
      </c>
      <c r="C2236" s="247" t="s">
        <v>12</v>
      </c>
      <c r="D2236" s="247" t="s">
        <v>1968</v>
      </c>
      <c r="E2236" s="248" t="s">
        <v>3856</v>
      </c>
      <c r="F2236" s="248" t="s">
        <v>2574</v>
      </c>
      <c r="G2236" s="248" t="s">
        <v>2580</v>
      </c>
      <c r="H2236" s="249">
        <v>35</v>
      </c>
      <c r="I2236" s="265">
        <v>85</v>
      </c>
      <c r="J2236" s="246">
        <v>1</v>
      </c>
      <c r="K2236" s="266"/>
      <c r="L2236" s="242"/>
      <c r="M2236" s="274"/>
      <c r="N2236" s="279" t="s">
        <v>25</v>
      </c>
      <c r="O2236" t="str">
        <f t="shared" si="72"/>
        <v>1935-S Peace Dollar</v>
      </c>
      <c r="S2236" t="str" cm="1">
        <f t="array" ref="S2236">_xlfn.REGEXEXTRACT(E2236, "[0-9]{1,5}")</f>
        <v>1935</v>
      </c>
      <c r="T2236" t="s">
        <v>4226</v>
      </c>
      <c r="U2236" t="s">
        <v>3900</v>
      </c>
    </row>
    <row r="2237" spans="1:21">
      <c r="A2237" s="136">
        <v>6</v>
      </c>
      <c r="B2237" s="246">
        <v>1971</v>
      </c>
      <c r="C2237" s="247"/>
      <c r="D2237" s="247" t="s">
        <v>1968</v>
      </c>
      <c r="E2237" s="248" t="s">
        <v>1602</v>
      </c>
      <c r="F2237" s="248" t="s">
        <v>2593</v>
      </c>
      <c r="G2237" s="248" t="s">
        <v>2579</v>
      </c>
      <c r="H2237" s="249">
        <v>1</v>
      </c>
      <c r="I2237" s="265">
        <v>1</v>
      </c>
      <c r="J2237" s="246">
        <v>1</v>
      </c>
      <c r="K2237" s="266" t="s">
        <v>2593</v>
      </c>
      <c r="L2237" s="242"/>
      <c r="M2237" s="274"/>
      <c r="N2237" s="279" t="s">
        <v>25</v>
      </c>
      <c r="O2237" t="str">
        <f t="shared" si="72"/>
        <v>1971 Eisenhower Dollar</v>
      </c>
      <c r="S2237" t="str" cm="1">
        <f t="array" ref="S2237">_xlfn.REGEXEXTRACT(E2237, "[0-9]{1,5}")</f>
        <v>1971</v>
      </c>
      <c r="T2237" t="s">
        <v>4227</v>
      </c>
      <c r="U2237" t="s">
        <v>3900</v>
      </c>
    </row>
    <row r="2238" spans="1:21">
      <c r="A2238" s="136">
        <v>6</v>
      </c>
      <c r="B2238" s="246">
        <v>1971</v>
      </c>
      <c r="C2238" s="247"/>
      <c r="D2238" s="247" t="s">
        <v>1968</v>
      </c>
      <c r="E2238" s="248" t="s">
        <v>1604</v>
      </c>
      <c r="F2238" s="248" t="s">
        <v>2593</v>
      </c>
      <c r="G2238" s="248" t="s">
        <v>2579</v>
      </c>
      <c r="H2238" s="249">
        <v>1</v>
      </c>
      <c r="I2238" s="265">
        <v>1</v>
      </c>
      <c r="J2238" s="246">
        <v>1</v>
      </c>
      <c r="K2238" s="266"/>
      <c r="L2238" s="242"/>
      <c r="M2238" s="274"/>
      <c r="N2238" s="279" t="s">
        <v>25</v>
      </c>
      <c r="O2238" t="str">
        <f t="shared" si="72"/>
        <v>1971 Eisenhower Dollar</v>
      </c>
      <c r="S2238" t="str" cm="1">
        <f t="array" ref="S2238">_xlfn.REGEXEXTRACT(E2238, "[0-9]{1,5}")</f>
        <v>1971</v>
      </c>
      <c r="T2238" t="s">
        <v>4229</v>
      </c>
      <c r="U2238" t="s">
        <v>3900</v>
      </c>
    </row>
    <row r="2239" spans="1:21">
      <c r="A2239" s="136">
        <v>6</v>
      </c>
      <c r="B2239" s="246">
        <v>1971</v>
      </c>
      <c r="C2239" s="247"/>
      <c r="D2239" s="247" t="s">
        <v>1968</v>
      </c>
      <c r="E2239" s="248" t="s">
        <v>1605</v>
      </c>
      <c r="F2239" s="248" t="s">
        <v>2593</v>
      </c>
      <c r="G2239" s="248" t="s">
        <v>2579</v>
      </c>
      <c r="H2239" s="249">
        <v>1</v>
      </c>
      <c r="I2239" s="265">
        <v>1</v>
      </c>
      <c r="J2239" s="246">
        <v>1</v>
      </c>
      <c r="K2239" s="266"/>
      <c r="L2239" s="242"/>
      <c r="M2239" s="274"/>
      <c r="N2239" s="279" t="s">
        <v>25</v>
      </c>
      <c r="O2239" t="s">
        <v>5292</v>
      </c>
      <c r="S2239" t="str" cm="1">
        <f t="array" ref="S2239">_xlfn.REGEXEXTRACT(E2239, "[0-9]{1,5}")</f>
        <v>1971</v>
      </c>
      <c r="T2239" t="s">
        <v>4229</v>
      </c>
      <c r="U2239" t="s">
        <v>3900</v>
      </c>
    </row>
    <row r="2240" spans="1:21">
      <c r="A2240" s="136">
        <v>6</v>
      </c>
      <c r="B2240" s="246">
        <v>1971</v>
      </c>
      <c r="C2240" s="247"/>
      <c r="D2240" s="247" t="s">
        <v>1968</v>
      </c>
      <c r="E2240" s="248" t="s">
        <v>1606</v>
      </c>
      <c r="F2240" s="248" t="s">
        <v>2593</v>
      </c>
      <c r="G2240" s="248" t="s">
        <v>2579</v>
      </c>
      <c r="H2240" s="249">
        <v>1</v>
      </c>
      <c r="I2240" s="265">
        <v>1</v>
      </c>
      <c r="J2240" s="246">
        <v>1</v>
      </c>
      <c r="K2240" s="266"/>
      <c r="L2240" s="242"/>
      <c r="M2240" s="274"/>
      <c r="N2240" s="279" t="s">
        <v>25</v>
      </c>
      <c r="O2240" t="str">
        <f t="shared" ref="O2240:O2271" si="73">IF(C2240&lt;&gt;"",B2240&amp;"-"&amp;C2240&amp;" "&amp;F2240,B2240&amp;" "&amp;F2240)</f>
        <v>1971 Eisenhower Dollar</v>
      </c>
      <c r="S2240" t="str" cm="1">
        <f t="array" ref="S2240">_xlfn.REGEXEXTRACT(E2240, "[0-9]{1,5}")</f>
        <v>1971</v>
      </c>
      <c r="T2240" t="s">
        <v>4230</v>
      </c>
      <c r="U2240" t="s">
        <v>3900</v>
      </c>
    </row>
    <row r="2241" spans="1:21">
      <c r="A2241" s="136">
        <v>6</v>
      </c>
      <c r="B2241" s="246">
        <v>1972</v>
      </c>
      <c r="C2241" s="247"/>
      <c r="D2241" s="247" t="s">
        <v>1968</v>
      </c>
      <c r="E2241" s="248" t="s">
        <v>1607</v>
      </c>
      <c r="F2241" s="248" t="s">
        <v>2593</v>
      </c>
      <c r="G2241" s="248" t="s">
        <v>2579</v>
      </c>
      <c r="H2241" s="249">
        <v>1</v>
      </c>
      <c r="I2241" s="265">
        <v>1</v>
      </c>
      <c r="J2241" s="246">
        <v>1</v>
      </c>
      <c r="K2241" s="266"/>
      <c r="L2241" s="242"/>
      <c r="M2241" s="274"/>
      <c r="N2241" s="279" t="s">
        <v>25</v>
      </c>
      <c r="O2241" t="str">
        <f t="shared" si="73"/>
        <v>1972 Eisenhower Dollar</v>
      </c>
      <c r="S2241" t="str" cm="1">
        <f t="array" ref="S2241">_xlfn.REGEXEXTRACT(E2241, "[0-9]{1,5}")</f>
        <v>1972</v>
      </c>
      <c r="T2241" t="s">
        <v>4230</v>
      </c>
      <c r="U2241" t="s">
        <v>3900</v>
      </c>
    </row>
    <row r="2242" spans="1:21">
      <c r="A2242" s="136">
        <v>6</v>
      </c>
      <c r="B2242" s="246">
        <v>1972</v>
      </c>
      <c r="C2242" s="247"/>
      <c r="D2242" s="247" t="s">
        <v>1968</v>
      </c>
      <c r="E2242" s="248" t="s">
        <v>1608</v>
      </c>
      <c r="F2242" s="248" t="s">
        <v>2593</v>
      </c>
      <c r="G2242" s="248" t="s">
        <v>2579</v>
      </c>
      <c r="H2242" s="249">
        <v>1</v>
      </c>
      <c r="I2242" s="265">
        <v>1</v>
      </c>
      <c r="J2242" s="246">
        <v>1</v>
      </c>
      <c r="K2242" s="266"/>
      <c r="L2242" s="242"/>
      <c r="M2242" s="274"/>
      <c r="N2242" s="279" t="s">
        <v>25</v>
      </c>
      <c r="O2242" t="str">
        <f t="shared" si="73"/>
        <v>1972 Eisenhower Dollar</v>
      </c>
      <c r="S2242" t="str" cm="1">
        <f t="array" ref="S2242">_xlfn.REGEXEXTRACT(E2242, "[0-9]{1,5}")</f>
        <v>1972</v>
      </c>
      <c r="T2242" t="s">
        <v>4228</v>
      </c>
      <c r="U2242" t="s">
        <v>3900</v>
      </c>
    </row>
    <row r="2243" spans="1:21">
      <c r="A2243" s="136">
        <v>6</v>
      </c>
      <c r="B2243" s="246">
        <v>1972</v>
      </c>
      <c r="C2243" s="247"/>
      <c r="D2243" s="247" t="s">
        <v>1968</v>
      </c>
      <c r="E2243" s="248" t="s">
        <v>1609</v>
      </c>
      <c r="F2243" s="248" t="s">
        <v>2593</v>
      </c>
      <c r="G2243" s="248" t="s">
        <v>2579</v>
      </c>
      <c r="H2243" s="249">
        <v>1</v>
      </c>
      <c r="I2243" s="265">
        <v>1</v>
      </c>
      <c r="J2243" s="246">
        <v>1</v>
      </c>
      <c r="K2243" s="266"/>
      <c r="L2243" s="242"/>
      <c r="M2243" s="274"/>
      <c r="N2243" s="279" t="s">
        <v>25</v>
      </c>
      <c r="O2243" t="str">
        <f t="shared" si="73"/>
        <v>1972 Eisenhower Dollar</v>
      </c>
      <c r="S2243" t="str" cm="1">
        <f t="array" ref="S2243">_xlfn.REGEXEXTRACT(E2243, "[0-9]{1,5}")</f>
        <v>1972</v>
      </c>
      <c r="T2243" t="s">
        <v>4236</v>
      </c>
      <c r="U2243" t="s">
        <v>3900</v>
      </c>
    </row>
    <row r="2244" spans="1:21">
      <c r="A2244" s="136">
        <v>6</v>
      </c>
      <c r="B2244" s="246">
        <v>1972</v>
      </c>
      <c r="C2244" s="247"/>
      <c r="D2244" s="247" t="s">
        <v>1968</v>
      </c>
      <c r="E2244" s="248" t="s">
        <v>1610</v>
      </c>
      <c r="F2244" s="248" t="s">
        <v>2593</v>
      </c>
      <c r="G2244" s="248" t="s">
        <v>2579</v>
      </c>
      <c r="H2244" s="249">
        <v>1</v>
      </c>
      <c r="I2244" s="265">
        <v>1</v>
      </c>
      <c r="J2244" s="246">
        <v>1</v>
      </c>
      <c r="K2244" s="266"/>
      <c r="L2244" s="242"/>
      <c r="M2244" s="274"/>
      <c r="N2244" s="279" t="s">
        <v>25</v>
      </c>
      <c r="O2244" t="str">
        <f t="shared" si="73"/>
        <v>1972 Eisenhower Dollar</v>
      </c>
      <c r="S2244" t="str" cm="1">
        <f t="array" ref="S2244">_xlfn.REGEXEXTRACT(E2244, "[0-9]{1,5}")</f>
        <v>1972</v>
      </c>
      <c r="T2244" t="s">
        <v>4236</v>
      </c>
      <c r="U2244" t="s">
        <v>3900</v>
      </c>
    </row>
    <row r="2245" spans="1:21">
      <c r="A2245" s="136">
        <v>6</v>
      </c>
      <c r="B2245" s="246">
        <v>1975</v>
      </c>
      <c r="C2245" s="247" t="s">
        <v>25</v>
      </c>
      <c r="D2245" s="247" t="s">
        <v>1968</v>
      </c>
      <c r="E2245" s="248" t="s">
        <v>1616</v>
      </c>
      <c r="F2245" s="248" t="s">
        <v>2591</v>
      </c>
      <c r="G2245" s="248" t="s">
        <v>2579</v>
      </c>
      <c r="H2245" s="249">
        <v>1</v>
      </c>
      <c r="I2245" s="265">
        <v>70</v>
      </c>
      <c r="J2245" s="246">
        <v>1</v>
      </c>
      <c r="K2245" s="266"/>
      <c r="L2245" s="242"/>
      <c r="M2245" s="274"/>
      <c r="N2245" s="279" t="s">
        <v>25</v>
      </c>
      <c r="O2245" t="str">
        <f t="shared" si="73"/>
        <v>1975-P Canadian Dollar</v>
      </c>
      <c r="S2245" t="str" cm="1">
        <f t="array" ref="S2245">_xlfn.REGEXEXTRACT(E2245, "[0-9]{1,5}")</f>
        <v>1975</v>
      </c>
      <c r="T2245" t="s">
        <v>4236</v>
      </c>
      <c r="U2245" t="s">
        <v>3900</v>
      </c>
    </row>
    <row r="2246" spans="1:21">
      <c r="A2246" s="136">
        <v>6</v>
      </c>
      <c r="B2246" s="246">
        <v>1975</v>
      </c>
      <c r="C2246" s="247"/>
      <c r="D2246" s="247" t="s">
        <v>1968</v>
      </c>
      <c r="E2246" s="248" t="s">
        <v>1611</v>
      </c>
      <c r="F2246" s="248" t="s">
        <v>2591</v>
      </c>
      <c r="G2246" s="248" t="s">
        <v>2579</v>
      </c>
      <c r="H2246" s="249">
        <v>1</v>
      </c>
      <c r="I2246" s="265">
        <v>70</v>
      </c>
      <c r="J2246" s="246">
        <v>1</v>
      </c>
      <c r="K2246" s="266"/>
      <c r="L2246" s="242"/>
      <c r="M2246" s="274"/>
      <c r="N2246" s="279" t="s">
        <v>25</v>
      </c>
      <c r="O2246" t="str">
        <f t="shared" si="73"/>
        <v>1975 Canadian Dollar</v>
      </c>
      <c r="S2246" t="str" cm="1">
        <f t="array" ref="S2246">_xlfn.REGEXEXTRACT(E2246, "[0-9]{1,5}")</f>
        <v>1975</v>
      </c>
      <c r="T2246" t="s">
        <v>4236</v>
      </c>
      <c r="U2246" t="s">
        <v>3900</v>
      </c>
    </row>
    <row r="2247" spans="1:21">
      <c r="A2247" s="136">
        <v>6</v>
      </c>
      <c r="B2247" s="246">
        <v>1975</v>
      </c>
      <c r="C2247" s="247"/>
      <c r="D2247" s="247" t="s">
        <v>1968</v>
      </c>
      <c r="E2247" s="248" t="s">
        <v>1613</v>
      </c>
      <c r="F2247" s="248" t="s">
        <v>2591</v>
      </c>
      <c r="G2247" s="248" t="s">
        <v>2579</v>
      </c>
      <c r="H2247" s="249">
        <v>1</v>
      </c>
      <c r="I2247" s="265">
        <v>70</v>
      </c>
      <c r="J2247" s="246">
        <v>1</v>
      </c>
      <c r="K2247" s="266"/>
      <c r="L2247" s="242"/>
      <c r="M2247" s="274"/>
      <c r="N2247" s="279" t="s">
        <v>25</v>
      </c>
      <c r="O2247" t="str">
        <f t="shared" si="73"/>
        <v>1975 Canadian Dollar</v>
      </c>
      <c r="S2247" t="str" cm="1">
        <f t="array" ref="S2247">_xlfn.REGEXEXTRACT(E2247, "[0-9]{1,5}")</f>
        <v>1975</v>
      </c>
      <c r="T2247" t="s">
        <v>4236</v>
      </c>
      <c r="U2247" t="s">
        <v>3900</v>
      </c>
    </row>
    <row r="2248" spans="1:21">
      <c r="A2248" s="136">
        <v>6</v>
      </c>
      <c r="B2248" s="246">
        <v>1975</v>
      </c>
      <c r="C2248" s="247"/>
      <c r="D2248" s="247" t="s">
        <v>1968</v>
      </c>
      <c r="E2248" s="248" t="s">
        <v>1614</v>
      </c>
      <c r="F2248" s="248" t="s">
        <v>2591</v>
      </c>
      <c r="G2248" s="248" t="s">
        <v>2579</v>
      </c>
      <c r="H2248" s="249">
        <v>1</v>
      </c>
      <c r="I2248" s="265">
        <v>70</v>
      </c>
      <c r="J2248" s="246">
        <v>1</v>
      </c>
      <c r="K2248" s="266"/>
      <c r="L2248" s="242"/>
      <c r="M2248" s="274"/>
      <c r="N2248" s="279" t="s">
        <v>25</v>
      </c>
      <c r="O2248" t="str">
        <f t="shared" si="73"/>
        <v>1975 Canadian Dollar</v>
      </c>
      <c r="S2248" t="str" cm="1">
        <f t="array" ref="S2248">_xlfn.REGEXEXTRACT(E2248, "[0-9]{1,5}")</f>
        <v>1975</v>
      </c>
      <c r="T2248" t="s">
        <v>4236</v>
      </c>
      <c r="U2248" t="s">
        <v>3900</v>
      </c>
    </row>
    <row r="2249" spans="1:21">
      <c r="A2249" s="136">
        <v>6</v>
      </c>
      <c r="B2249" s="246">
        <v>1975</v>
      </c>
      <c r="C2249" s="247"/>
      <c r="D2249" s="247" t="s">
        <v>1968</v>
      </c>
      <c r="E2249" s="248" t="s">
        <v>1615</v>
      </c>
      <c r="F2249" s="248" t="s">
        <v>2591</v>
      </c>
      <c r="G2249" s="248" t="s">
        <v>2579</v>
      </c>
      <c r="H2249" s="249">
        <v>1</v>
      </c>
      <c r="I2249" s="265">
        <v>70</v>
      </c>
      <c r="J2249" s="246">
        <v>1</v>
      </c>
      <c r="K2249" s="266"/>
      <c r="L2249" s="242"/>
      <c r="M2249" s="274"/>
      <c r="N2249" s="279" t="s">
        <v>25</v>
      </c>
      <c r="O2249" t="str">
        <f t="shared" si="73"/>
        <v>1975 Canadian Dollar</v>
      </c>
      <c r="S2249" t="str" cm="1">
        <f t="array" ref="S2249">_xlfn.REGEXEXTRACT(E2249, "[0-9]{1,5}")</f>
        <v>1975</v>
      </c>
      <c r="T2249" t="s">
        <v>4236</v>
      </c>
      <c r="U2249" t="s">
        <v>3900</v>
      </c>
    </row>
    <row r="2250" spans="1:21">
      <c r="A2250" s="136">
        <v>6</v>
      </c>
      <c r="B2250" s="246">
        <v>1975</v>
      </c>
      <c r="C2250" s="247"/>
      <c r="D2250" s="247" t="s">
        <v>1968</v>
      </c>
      <c r="E2250" s="248" t="s">
        <v>3901</v>
      </c>
      <c r="F2250" s="248" t="s">
        <v>2591</v>
      </c>
      <c r="G2250" s="248" t="s">
        <v>2579</v>
      </c>
      <c r="H2250" s="249">
        <v>1</v>
      </c>
      <c r="I2250" s="265">
        <v>70</v>
      </c>
      <c r="J2250" s="246">
        <v>1</v>
      </c>
      <c r="K2250" s="266"/>
      <c r="L2250" s="242"/>
      <c r="M2250" s="274"/>
      <c r="N2250" s="279" t="s">
        <v>25</v>
      </c>
      <c r="O2250" t="str">
        <f t="shared" si="73"/>
        <v>1975 Canadian Dollar</v>
      </c>
      <c r="S2250" t="str" cm="1">
        <f t="array" ref="S2250">_xlfn.REGEXEXTRACT(E2250, "[0-9]{1,5}")</f>
        <v>1975</v>
      </c>
      <c r="T2250" t="s">
        <v>4236</v>
      </c>
      <c r="U2250" t="s">
        <v>3900</v>
      </c>
    </row>
    <row r="2251" spans="1:21">
      <c r="A2251" s="136">
        <v>6</v>
      </c>
      <c r="B2251" s="246">
        <v>1976</v>
      </c>
      <c r="C2251" s="247"/>
      <c r="D2251" s="247" t="s">
        <v>1968</v>
      </c>
      <c r="E2251" s="248" t="s">
        <v>1617</v>
      </c>
      <c r="F2251" s="248" t="s">
        <v>5439</v>
      </c>
      <c r="G2251" s="248" t="s">
        <v>2579</v>
      </c>
      <c r="H2251" s="249">
        <v>1</v>
      </c>
      <c r="I2251" s="265">
        <v>1</v>
      </c>
      <c r="J2251" s="246">
        <v>1</v>
      </c>
      <c r="K2251" s="266"/>
      <c r="L2251" s="242"/>
      <c r="M2251" s="274"/>
      <c r="N2251" s="279" t="s">
        <v>25</v>
      </c>
      <c r="O2251" t="str">
        <f t="shared" si="73"/>
        <v>1976 Eisenhower Dollar Variety I*</v>
      </c>
      <c r="S2251" t="str" cm="1">
        <f t="array" ref="S2251">_xlfn.REGEXEXTRACT(E2251, "[0-9]{1,5}")</f>
        <v>1976</v>
      </c>
      <c r="T2251" t="s">
        <v>4236</v>
      </c>
      <c r="U2251" t="s">
        <v>3900</v>
      </c>
    </row>
    <row r="2252" spans="1:21">
      <c r="A2252" s="136">
        <v>6</v>
      </c>
      <c r="B2252" s="246">
        <v>1979</v>
      </c>
      <c r="C2252" s="247" t="s">
        <v>25</v>
      </c>
      <c r="D2252" s="247" t="s">
        <v>1968</v>
      </c>
      <c r="E2252" s="248" t="s">
        <v>1621</v>
      </c>
      <c r="F2252" s="248" t="s">
        <v>1783</v>
      </c>
      <c r="G2252" s="248" t="s">
        <v>2579</v>
      </c>
      <c r="H2252" s="249">
        <v>1</v>
      </c>
      <c r="I2252" s="265">
        <v>1</v>
      </c>
      <c r="J2252" s="246">
        <v>1</v>
      </c>
      <c r="K2252" s="266"/>
      <c r="L2252" s="242"/>
      <c r="M2252" s="274"/>
      <c r="N2252" s="279" t="s">
        <v>25</v>
      </c>
      <c r="O2252" t="str">
        <f t="shared" si="73"/>
        <v>1979-P Susan B Anthony</v>
      </c>
    </row>
    <row r="2253" spans="1:21">
      <c r="A2253" s="136">
        <v>6</v>
      </c>
      <c r="B2253" s="246">
        <v>1979</v>
      </c>
      <c r="C2253" s="247" t="s">
        <v>25</v>
      </c>
      <c r="D2253" s="247" t="s">
        <v>1968</v>
      </c>
      <c r="E2253" s="248" t="s">
        <v>1622</v>
      </c>
      <c r="F2253" s="248" t="s">
        <v>1783</v>
      </c>
      <c r="G2253" s="248" t="s">
        <v>2579</v>
      </c>
      <c r="H2253" s="249">
        <v>1</v>
      </c>
      <c r="I2253" s="265">
        <v>1</v>
      </c>
      <c r="J2253" s="246">
        <v>1</v>
      </c>
      <c r="K2253" s="266"/>
      <c r="L2253" s="242"/>
      <c r="M2253" s="274"/>
      <c r="N2253" s="279" t="s">
        <v>25</v>
      </c>
      <c r="O2253" t="str">
        <f t="shared" si="73"/>
        <v>1979-P Susan B Anthony</v>
      </c>
    </row>
    <row r="2254" spans="1:21">
      <c r="A2254" s="136">
        <v>6</v>
      </c>
      <c r="B2254" s="246">
        <v>1979</v>
      </c>
      <c r="C2254" s="247" t="s">
        <v>25</v>
      </c>
      <c r="D2254" s="247" t="s">
        <v>1968</v>
      </c>
      <c r="E2254" s="248" t="s">
        <v>1623</v>
      </c>
      <c r="F2254" s="248" t="s">
        <v>1783</v>
      </c>
      <c r="G2254" s="248" t="s">
        <v>2579</v>
      </c>
      <c r="H2254" s="249">
        <v>1</v>
      </c>
      <c r="I2254" s="265">
        <v>1</v>
      </c>
      <c r="J2254" s="246">
        <v>1</v>
      </c>
      <c r="K2254" s="266"/>
      <c r="L2254" s="242"/>
      <c r="M2254" s="274"/>
      <c r="N2254" s="279" t="s">
        <v>25</v>
      </c>
      <c r="O2254" t="str">
        <f t="shared" si="73"/>
        <v>1979-P Susan B Anthony</v>
      </c>
    </row>
    <row r="2255" spans="1:21">
      <c r="A2255" s="136">
        <v>6</v>
      </c>
      <c r="B2255" s="246">
        <v>1979</v>
      </c>
      <c r="C2255" s="247" t="s">
        <v>25</v>
      </c>
      <c r="D2255" s="247" t="s">
        <v>1968</v>
      </c>
      <c r="E2255" s="248" t="s">
        <v>1624</v>
      </c>
      <c r="F2255" s="248" t="s">
        <v>1783</v>
      </c>
      <c r="G2255" s="248" t="s">
        <v>2579</v>
      </c>
      <c r="H2255" s="249">
        <v>1</v>
      </c>
      <c r="I2255" s="265">
        <v>1</v>
      </c>
      <c r="J2255" s="246">
        <v>1</v>
      </c>
      <c r="K2255" s="266"/>
      <c r="L2255" s="242"/>
      <c r="M2255" s="274"/>
      <c r="N2255" s="279" t="s">
        <v>25</v>
      </c>
      <c r="O2255" t="str">
        <f t="shared" si="73"/>
        <v>1979-P Susan B Anthony</v>
      </c>
    </row>
    <row r="2256" spans="1:21">
      <c r="A2256" s="136">
        <v>6</v>
      </c>
      <c r="B2256" s="246">
        <v>1979</v>
      </c>
      <c r="C2256" s="247" t="s">
        <v>25</v>
      </c>
      <c r="D2256" s="247" t="s">
        <v>1968</v>
      </c>
      <c r="E2256" s="248" t="s">
        <v>1625</v>
      </c>
      <c r="F2256" s="248" t="s">
        <v>1783</v>
      </c>
      <c r="G2256" s="248" t="s">
        <v>2579</v>
      </c>
      <c r="H2256" s="249">
        <v>1</v>
      </c>
      <c r="I2256" s="265">
        <v>1</v>
      </c>
      <c r="J2256" s="246">
        <v>1</v>
      </c>
      <c r="K2256" s="266"/>
      <c r="L2256" s="242"/>
      <c r="M2256" s="274"/>
      <c r="N2256" s="279" t="s">
        <v>25</v>
      </c>
      <c r="O2256" t="str">
        <f t="shared" si="73"/>
        <v>1979-P Susan B Anthony</v>
      </c>
    </row>
    <row r="2257" spans="1:15">
      <c r="A2257" s="136">
        <v>6</v>
      </c>
      <c r="B2257" s="246">
        <v>1979</v>
      </c>
      <c r="C2257" s="247" t="s">
        <v>25</v>
      </c>
      <c r="D2257" s="247" t="s">
        <v>1968</v>
      </c>
      <c r="E2257" s="248" t="s">
        <v>1626</v>
      </c>
      <c r="F2257" s="248" t="s">
        <v>1783</v>
      </c>
      <c r="G2257" s="248" t="s">
        <v>2579</v>
      </c>
      <c r="H2257" s="249">
        <v>1</v>
      </c>
      <c r="I2257" s="265">
        <v>1</v>
      </c>
      <c r="J2257" s="246">
        <v>1</v>
      </c>
      <c r="K2257" s="266"/>
      <c r="L2257" s="242"/>
      <c r="M2257" s="274"/>
      <c r="N2257" s="279" t="s">
        <v>25</v>
      </c>
      <c r="O2257" t="str">
        <f t="shared" si="73"/>
        <v>1979-P Susan B Anthony</v>
      </c>
    </row>
    <row r="2258" spans="1:15">
      <c r="A2258" s="136">
        <v>6</v>
      </c>
      <c r="B2258" s="246">
        <v>1979</v>
      </c>
      <c r="C2258" s="247" t="s">
        <v>25</v>
      </c>
      <c r="D2258" s="247" t="s">
        <v>1968</v>
      </c>
      <c r="E2258" s="248" t="s">
        <v>1628</v>
      </c>
      <c r="F2258" s="248" t="s">
        <v>1783</v>
      </c>
      <c r="G2258" s="248" t="s">
        <v>2579</v>
      </c>
      <c r="H2258" s="249">
        <v>1</v>
      </c>
      <c r="I2258" s="265">
        <v>1</v>
      </c>
      <c r="J2258" s="246">
        <v>1</v>
      </c>
      <c r="K2258" s="266"/>
      <c r="L2258" s="242"/>
      <c r="M2258" s="274"/>
      <c r="N2258" s="279" t="s">
        <v>25</v>
      </c>
      <c r="O2258" t="str">
        <f t="shared" si="73"/>
        <v>1979-P Susan B Anthony</v>
      </c>
    </row>
    <row r="2259" spans="1:15">
      <c r="A2259" s="136">
        <v>6</v>
      </c>
      <c r="B2259" s="246">
        <v>1979</v>
      </c>
      <c r="C2259" s="247" t="s">
        <v>25</v>
      </c>
      <c r="D2259" s="247" t="s">
        <v>1968</v>
      </c>
      <c r="E2259" s="248" t="s">
        <v>1629</v>
      </c>
      <c r="F2259" s="248" t="s">
        <v>1783</v>
      </c>
      <c r="G2259" s="248" t="s">
        <v>2579</v>
      </c>
      <c r="H2259" s="249">
        <v>1</v>
      </c>
      <c r="I2259" s="265">
        <v>1</v>
      </c>
      <c r="J2259" s="246">
        <v>1</v>
      </c>
      <c r="K2259" s="266"/>
      <c r="L2259" s="242"/>
      <c r="M2259" s="274"/>
      <c r="N2259" s="279" t="s">
        <v>25</v>
      </c>
      <c r="O2259" t="str">
        <f t="shared" si="73"/>
        <v>1979-P Susan B Anthony</v>
      </c>
    </row>
    <row r="2260" spans="1:15">
      <c r="A2260" s="136">
        <v>6</v>
      </c>
      <c r="B2260" s="246">
        <v>1979</v>
      </c>
      <c r="C2260" s="247" t="s">
        <v>25</v>
      </c>
      <c r="D2260" s="247" t="s">
        <v>1968</v>
      </c>
      <c r="E2260" s="248" t="s">
        <v>1630</v>
      </c>
      <c r="F2260" s="248" t="s">
        <v>1783</v>
      </c>
      <c r="G2260" s="248" t="s">
        <v>2579</v>
      </c>
      <c r="H2260" s="249">
        <v>1</v>
      </c>
      <c r="I2260" s="265">
        <v>1</v>
      </c>
      <c r="J2260" s="246">
        <v>1</v>
      </c>
      <c r="K2260" s="266"/>
      <c r="L2260" s="242"/>
      <c r="M2260" s="274"/>
      <c r="N2260" s="279" t="s">
        <v>25</v>
      </c>
      <c r="O2260" t="str">
        <f t="shared" si="73"/>
        <v>1979-P Susan B Anthony</v>
      </c>
    </row>
    <row r="2261" spans="1:15">
      <c r="A2261" s="136">
        <v>6</v>
      </c>
      <c r="B2261" s="246">
        <v>1979</v>
      </c>
      <c r="C2261" s="247" t="s">
        <v>25</v>
      </c>
      <c r="D2261" s="247" t="s">
        <v>1968</v>
      </c>
      <c r="E2261" s="248" t="s">
        <v>1631</v>
      </c>
      <c r="F2261" s="248" t="s">
        <v>1783</v>
      </c>
      <c r="G2261" s="248" t="s">
        <v>2579</v>
      </c>
      <c r="H2261" s="249">
        <v>1</v>
      </c>
      <c r="I2261" s="265">
        <v>1</v>
      </c>
      <c r="J2261" s="246">
        <v>1</v>
      </c>
      <c r="K2261" s="266"/>
      <c r="L2261" s="242"/>
      <c r="M2261" s="274"/>
      <c r="N2261" s="279" t="s">
        <v>25</v>
      </c>
      <c r="O2261" t="str">
        <f t="shared" si="73"/>
        <v>1979-P Susan B Anthony</v>
      </c>
    </row>
    <row r="2262" spans="1:15">
      <c r="A2262" s="136">
        <v>6</v>
      </c>
      <c r="B2262" s="246">
        <v>1979</v>
      </c>
      <c r="C2262" s="247" t="s">
        <v>25</v>
      </c>
      <c r="D2262" s="247" t="s">
        <v>1968</v>
      </c>
      <c r="E2262" s="248" t="s">
        <v>1632</v>
      </c>
      <c r="F2262" s="248" t="s">
        <v>1783</v>
      </c>
      <c r="G2262" s="248" t="s">
        <v>2579</v>
      </c>
      <c r="H2262" s="249">
        <v>1</v>
      </c>
      <c r="I2262" s="265">
        <v>1</v>
      </c>
      <c r="J2262" s="246">
        <v>1</v>
      </c>
      <c r="K2262" s="266"/>
      <c r="L2262" s="242"/>
      <c r="M2262" s="274"/>
      <c r="N2262" s="279" t="s">
        <v>25</v>
      </c>
      <c r="O2262" t="str">
        <f t="shared" si="73"/>
        <v>1979-P Susan B Anthony</v>
      </c>
    </row>
    <row r="2263" spans="1:15">
      <c r="A2263" s="136">
        <v>6</v>
      </c>
      <c r="B2263" s="246">
        <v>1979</v>
      </c>
      <c r="C2263" s="247" t="s">
        <v>25</v>
      </c>
      <c r="D2263" s="247" t="s">
        <v>1968</v>
      </c>
      <c r="E2263" s="248" t="s">
        <v>1633</v>
      </c>
      <c r="F2263" s="248" t="s">
        <v>1783</v>
      </c>
      <c r="G2263" s="248" t="s">
        <v>2579</v>
      </c>
      <c r="H2263" s="249">
        <v>1</v>
      </c>
      <c r="I2263" s="265">
        <v>1</v>
      </c>
      <c r="J2263" s="246">
        <v>1</v>
      </c>
      <c r="K2263" s="266"/>
      <c r="L2263" s="242"/>
      <c r="M2263" s="274"/>
      <c r="N2263" s="279" t="s">
        <v>25</v>
      </c>
      <c r="O2263" t="str">
        <f t="shared" si="73"/>
        <v>1979-P Susan B Anthony</v>
      </c>
    </row>
    <row r="2264" spans="1:15">
      <c r="A2264" s="136">
        <v>6</v>
      </c>
      <c r="B2264" s="246">
        <v>1979</v>
      </c>
      <c r="C2264" s="247" t="s">
        <v>25</v>
      </c>
      <c r="D2264" s="247" t="s">
        <v>1968</v>
      </c>
      <c r="E2264" s="248" t="s">
        <v>1634</v>
      </c>
      <c r="F2264" s="248" t="s">
        <v>1783</v>
      </c>
      <c r="G2264" s="248" t="s">
        <v>2579</v>
      </c>
      <c r="H2264" s="249">
        <v>1</v>
      </c>
      <c r="I2264" s="265">
        <v>1</v>
      </c>
      <c r="J2264" s="246">
        <v>1</v>
      </c>
      <c r="K2264" s="266"/>
      <c r="L2264" s="242"/>
      <c r="M2264" s="274"/>
      <c r="N2264" s="279" t="s">
        <v>25</v>
      </c>
      <c r="O2264" t="str">
        <f t="shared" si="73"/>
        <v>1979-P Susan B Anthony</v>
      </c>
    </row>
    <row r="2265" spans="1:15">
      <c r="A2265" s="136">
        <v>6</v>
      </c>
      <c r="B2265" s="246">
        <v>1979</v>
      </c>
      <c r="C2265" s="247" t="s">
        <v>25</v>
      </c>
      <c r="D2265" s="247" t="s">
        <v>1968</v>
      </c>
      <c r="E2265" s="248" t="s">
        <v>1635</v>
      </c>
      <c r="F2265" s="248" t="s">
        <v>1783</v>
      </c>
      <c r="G2265" s="248" t="s">
        <v>2579</v>
      </c>
      <c r="H2265" s="249">
        <v>1</v>
      </c>
      <c r="I2265" s="265">
        <v>1</v>
      </c>
      <c r="J2265" s="246">
        <v>1</v>
      </c>
      <c r="K2265" s="266"/>
      <c r="L2265" s="242"/>
      <c r="M2265" s="274"/>
      <c r="N2265" s="279" t="s">
        <v>25</v>
      </c>
      <c r="O2265" t="str">
        <f t="shared" si="73"/>
        <v>1979-P Susan B Anthony</v>
      </c>
    </row>
    <row r="2266" spans="1:15">
      <c r="A2266" s="136">
        <v>6</v>
      </c>
      <c r="B2266" s="246">
        <v>1979</v>
      </c>
      <c r="C2266" s="247" t="s">
        <v>25</v>
      </c>
      <c r="D2266" s="247" t="s">
        <v>1968</v>
      </c>
      <c r="E2266" s="248" t="s">
        <v>1636</v>
      </c>
      <c r="F2266" s="248" t="s">
        <v>1783</v>
      </c>
      <c r="G2266" s="248" t="s">
        <v>2579</v>
      </c>
      <c r="H2266" s="249">
        <v>1</v>
      </c>
      <c r="I2266" s="265">
        <v>1</v>
      </c>
      <c r="J2266" s="246">
        <v>1</v>
      </c>
      <c r="K2266" s="266"/>
      <c r="L2266" s="242"/>
      <c r="M2266" s="274"/>
      <c r="N2266" s="279" t="s">
        <v>25</v>
      </c>
      <c r="O2266" t="str">
        <f t="shared" si="73"/>
        <v>1979-P Susan B Anthony</v>
      </c>
    </row>
    <row r="2267" spans="1:15">
      <c r="A2267" s="136">
        <v>6</v>
      </c>
      <c r="B2267" s="246">
        <v>1979</v>
      </c>
      <c r="C2267" s="247" t="s">
        <v>25</v>
      </c>
      <c r="D2267" s="247" t="s">
        <v>1968</v>
      </c>
      <c r="E2267" s="248" t="s">
        <v>1637</v>
      </c>
      <c r="F2267" s="248" t="s">
        <v>1783</v>
      </c>
      <c r="G2267" s="248" t="s">
        <v>2579</v>
      </c>
      <c r="H2267" s="249">
        <v>1</v>
      </c>
      <c r="I2267" s="265">
        <v>1</v>
      </c>
      <c r="J2267" s="246">
        <v>1</v>
      </c>
      <c r="K2267" s="266"/>
      <c r="L2267" s="242"/>
      <c r="M2267" s="274"/>
      <c r="N2267" s="279" t="s">
        <v>25</v>
      </c>
      <c r="O2267" t="str">
        <f t="shared" si="73"/>
        <v>1979-P Susan B Anthony</v>
      </c>
    </row>
    <row r="2268" spans="1:15">
      <c r="A2268" s="136">
        <v>6</v>
      </c>
      <c r="B2268" s="246">
        <v>1979</v>
      </c>
      <c r="C2268" s="247" t="s">
        <v>25</v>
      </c>
      <c r="D2268" s="247" t="s">
        <v>1968</v>
      </c>
      <c r="E2268" s="248" t="s">
        <v>1638</v>
      </c>
      <c r="F2268" s="248" t="s">
        <v>1783</v>
      </c>
      <c r="G2268" s="248" t="s">
        <v>2579</v>
      </c>
      <c r="H2268" s="249">
        <v>1</v>
      </c>
      <c r="I2268" s="265">
        <v>1</v>
      </c>
      <c r="J2268" s="246">
        <v>1</v>
      </c>
      <c r="K2268" s="266"/>
      <c r="L2268" s="242"/>
      <c r="M2268" s="274"/>
      <c r="N2268" s="279" t="s">
        <v>25</v>
      </c>
      <c r="O2268" t="str">
        <f t="shared" si="73"/>
        <v>1979-P Susan B Anthony</v>
      </c>
    </row>
    <row r="2269" spans="1:15">
      <c r="A2269" s="136">
        <v>6</v>
      </c>
      <c r="B2269" s="246">
        <v>1979</v>
      </c>
      <c r="C2269" s="247" t="s">
        <v>25</v>
      </c>
      <c r="D2269" s="247" t="s">
        <v>1968</v>
      </c>
      <c r="E2269" s="248" t="s">
        <v>1639</v>
      </c>
      <c r="F2269" s="248" t="s">
        <v>1783</v>
      </c>
      <c r="G2269" s="248" t="s">
        <v>2579</v>
      </c>
      <c r="H2269" s="249">
        <v>1</v>
      </c>
      <c r="I2269" s="265">
        <v>1</v>
      </c>
      <c r="J2269" s="246">
        <v>1</v>
      </c>
      <c r="K2269" s="266"/>
      <c r="L2269" s="242"/>
      <c r="M2269" s="274"/>
      <c r="N2269" s="279" t="s">
        <v>25</v>
      </c>
      <c r="O2269" t="str">
        <f t="shared" si="73"/>
        <v>1979-P Susan B Anthony</v>
      </c>
    </row>
    <row r="2270" spans="1:15">
      <c r="A2270" s="136">
        <v>6</v>
      </c>
      <c r="B2270" s="246">
        <v>1979</v>
      </c>
      <c r="C2270" s="247" t="s">
        <v>25</v>
      </c>
      <c r="D2270" s="247" t="s">
        <v>1968</v>
      </c>
      <c r="E2270" s="248" t="s">
        <v>1640</v>
      </c>
      <c r="F2270" s="248" t="s">
        <v>1783</v>
      </c>
      <c r="G2270" s="248" t="s">
        <v>2579</v>
      </c>
      <c r="H2270" s="249">
        <v>1</v>
      </c>
      <c r="I2270" s="265">
        <v>1</v>
      </c>
      <c r="J2270" s="246">
        <v>1</v>
      </c>
      <c r="K2270" s="266"/>
      <c r="L2270" s="242"/>
      <c r="M2270" s="274"/>
      <c r="N2270" s="279" t="s">
        <v>25</v>
      </c>
      <c r="O2270" t="str">
        <f t="shared" si="73"/>
        <v>1979-P Susan B Anthony</v>
      </c>
    </row>
    <row r="2271" spans="1:15">
      <c r="A2271" s="136">
        <v>6</v>
      </c>
      <c r="B2271" s="246">
        <v>1979</v>
      </c>
      <c r="C2271" s="247" t="s">
        <v>25</v>
      </c>
      <c r="D2271" s="247" t="s">
        <v>1968</v>
      </c>
      <c r="E2271" s="248" t="s">
        <v>1641</v>
      </c>
      <c r="F2271" s="248" t="s">
        <v>1783</v>
      </c>
      <c r="G2271" s="248" t="s">
        <v>2579</v>
      </c>
      <c r="H2271" s="249">
        <v>1</v>
      </c>
      <c r="I2271" s="265">
        <v>1</v>
      </c>
      <c r="J2271" s="246">
        <v>1</v>
      </c>
      <c r="K2271" s="266"/>
      <c r="L2271" s="242"/>
      <c r="M2271" s="274"/>
      <c r="N2271" s="279" t="s">
        <v>25</v>
      </c>
      <c r="O2271" t="str">
        <f t="shared" si="73"/>
        <v>1979-P Susan B Anthony</v>
      </c>
    </row>
    <row r="2272" spans="1:15">
      <c r="A2272" s="136">
        <v>6</v>
      </c>
      <c r="B2272" s="246">
        <v>1979</v>
      </c>
      <c r="C2272" s="247" t="s">
        <v>25</v>
      </c>
      <c r="D2272" s="247" t="s">
        <v>1968</v>
      </c>
      <c r="E2272" s="248" t="s">
        <v>1642</v>
      </c>
      <c r="F2272" s="248" t="s">
        <v>1783</v>
      </c>
      <c r="G2272" s="248" t="s">
        <v>2579</v>
      </c>
      <c r="H2272" s="249">
        <v>1</v>
      </c>
      <c r="I2272" s="265">
        <v>1</v>
      </c>
      <c r="J2272" s="246">
        <v>1</v>
      </c>
      <c r="K2272" s="266"/>
      <c r="L2272" s="242"/>
      <c r="M2272" s="274"/>
      <c r="N2272" s="279" t="s">
        <v>25</v>
      </c>
      <c r="O2272" t="str">
        <f t="shared" ref="O2272:O2303" si="74">IF(C2272&lt;&gt;"",B2272&amp;"-"&amp;C2272&amp;" "&amp;F2272,B2272&amp;" "&amp;F2272)</f>
        <v>1979-P Susan B Anthony</v>
      </c>
    </row>
    <row r="2273" spans="1:20">
      <c r="A2273" s="136">
        <v>6</v>
      </c>
      <c r="B2273" s="246">
        <v>1979</v>
      </c>
      <c r="C2273" s="247" t="s">
        <v>25</v>
      </c>
      <c r="D2273" s="247" t="s">
        <v>1968</v>
      </c>
      <c r="E2273" s="248" t="s">
        <v>1618</v>
      </c>
      <c r="F2273" s="248" t="s">
        <v>1783</v>
      </c>
      <c r="G2273" s="248" t="s">
        <v>2579</v>
      </c>
      <c r="H2273" s="249">
        <v>1</v>
      </c>
      <c r="I2273" s="265">
        <v>1</v>
      </c>
      <c r="J2273" s="246">
        <v>1</v>
      </c>
      <c r="K2273" s="266"/>
      <c r="L2273" s="242"/>
      <c r="M2273" s="274"/>
      <c r="N2273" s="279" t="s">
        <v>25</v>
      </c>
      <c r="O2273" t="str">
        <f t="shared" si="74"/>
        <v>1979-P Susan B Anthony</v>
      </c>
    </row>
    <row r="2274" spans="1:20">
      <c r="A2274" s="136">
        <v>6</v>
      </c>
      <c r="B2274" s="246">
        <v>1979</v>
      </c>
      <c r="C2274" s="247" t="s">
        <v>25</v>
      </c>
      <c r="D2274" s="247" t="s">
        <v>1968</v>
      </c>
      <c r="E2274" s="248" t="s">
        <v>1620</v>
      </c>
      <c r="F2274" s="248" t="s">
        <v>1783</v>
      </c>
      <c r="G2274" s="248" t="s">
        <v>2579</v>
      </c>
      <c r="H2274" s="249">
        <v>1</v>
      </c>
      <c r="I2274" s="265">
        <v>1</v>
      </c>
      <c r="J2274" s="246">
        <v>1</v>
      </c>
      <c r="K2274" s="266"/>
      <c r="L2274" s="242"/>
      <c r="M2274" s="274"/>
      <c r="N2274" s="279" t="s">
        <v>25</v>
      </c>
      <c r="O2274" t="str">
        <f t="shared" si="74"/>
        <v>1979-P Susan B Anthony</v>
      </c>
    </row>
    <row r="2275" spans="1:20">
      <c r="A2275" s="136">
        <v>6</v>
      </c>
      <c r="B2275" s="246">
        <v>1980</v>
      </c>
      <c r="C2275" s="247" t="s">
        <v>25</v>
      </c>
      <c r="D2275" s="247" t="s">
        <v>1968</v>
      </c>
      <c r="E2275" s="248" t="s">
        <v>1651</v>
      </c>
      <c r="F2275" s="248" t="s">
        <v>1783</v>
      </c>
      <c r="G2275" s="248" t="s">
        <v>2579</v>
      </c>
      <c r="H2275" s="249">
        <v>1</v>
      </c>
      <c r="I2275" s="265">
        <v>1</v>
      </c>
      <c r="J2275" s="246">
        <v>1</v>
      </c>
      <c r="K2275" s="266"/>
      <c r="L2275" s="242"/>
      <c r="M2275" s="274"/>
      <c r="N2275" s="279" t="s">
        <v>25</v>
      </c>
      <c r="O2275" t="str">
        <f t="shared" si="74"/>
        <v>1980-P Susan B Anthony</v>
      </c>
    </row>
    <row r="2276" spans="1:20">
      <c r="A2276" s="136">
        <v>6</v>
      </c>
      <c r="B2276" s="246">
        <v>1980</v>
      </c>
      <c r="C2276" s="247" t="s">
        <v>25</v>
      </c>
      <c r="D2276" s="247" t="s">
        <v>1968</v>
      </c>
      <c r="E2276" s="248" t="s">
        <v>1652</v>
      </c>
      <c r="F2276" s="248" t="s">
        <v>1783</v>
      </c>
      <c r="G2276" s="248" t="s">
        <v>2579</v>
      </c>
      <c r="H2276" s="249">
        <v>1</v>
      </c>
      <c r="I2276" s="265">
        <v>1</v>
      </c>
      <c r="J2276" s="246">
        <v>1</v>
      </c>
      <c r="K2276" s="266"/>
      <c r="L2276" s="242"/>
      <c r="M2276" s="274"/>
      <c r="N2276" s="279" t="s">
        <v>25</v>
      </c>
      <c r="O2276" t="str">
        <f t="shared" si="74"/>
        <v>1980-P Susan B Anthony</v>
      </c>
    </row>
    <row r="2277" spans="1:20">
      <c r="A2277" s="136">
        <v>6</v>
      </c>
      <c r="B2277" s="246">
        <v>1980</v>
      </c>
      <c r="C2277" s="247" t="s">
        <v>25</v>
      </c>
      <c r="D2277" s="247" t="s">
        <v>1968</v>
      </c>
      <c r="E2277" s="248" t="s">
        <v>1653</v>
      </c>
      <c r="F2277" s="248" t="s">
        <v>1783</v>
      </c>
      <c r="G2277" s="248" t="s">
        <v>2579</v>
      </c>
      <c r="H2277" s="249">
        <v>1</v>
      </c>
      <c r="I2277" s="265">
        <v>1</v>
      </c>
      <c r="J2277" s="246">
        <v>1</v>
      </c>
      <c r="K2277" s="266"/>
      <c r="L2277" s="242"/>
      <c r="M2277" s="274"/>
      <c r="N2277" s="279" t="s">
        <v>25</v>
      </c>
      <c r="O2277" t="str">
        <f t="shared" si="74"/>
        <v>1980-P Susan B Anthony</v>
      </c>
    </row>
    <row r="2278" spans="1:20">
      <c r="A2278" s="136">
        <v>6</v>
      </c>
      <c r="B2278" s="246">
        <v>1980</v>
      </c>
      <c r="C2278" s="247" t="s">
        <v>25</v>
      </c>
      <c r="D2278" s="247" t="s">
        <v>1968</v>
      </c>
      <c r="E2278" s="248" t="s">
        <v>1654</v>
      </c>
      <c r="F2278" s="248" t="s">
        <v>1783</v>
      </c>
      <c r="G2278" s="248" t="s">
        <v>2579</v>
      </c>
      <c r="H2278" s="249">
        <v>1</v>
      </c>
      <c r="I2278" s="265">
        <v>1</v>
      </c>
      <c r="J2278" s="246">
        <v>1</v>
      </c>
      <c r="K2278" s="266"/>
      <c r="L2278" s="242"/>
      <c r="M2278" s="274"/>
      <c r="N2278" s="279" t="s">
        <v>25</v>
      </c>
      <c r="O2278" t="str">
        <f t="shared" si="74"/>
        <v>1980-P Susan B Anthony</v>
      </c>
    </row>
    <row r="2279" spans="1:20">
      <c r="A2279" s="136">
        <v>6</v>
      </c>
      <c r="B2279" s="246">
        <v>1980</v>
      </c>
      <c r="C2279" s="247" t="s">
        <v>25</v>
      </c>
      <c r="D2279" s="247" t="s">
        <v>1968</v>
      </c>
      <c r="E2279" s="248" t="s">
        <v>1655</v>
      </c>
      <c r="F2279" s="248" t="s">
        <v>1783</v>
      </c>
      <c r="G2279" s="248" t="s">
        <v>2579</v>
      </c>
      <c r="H2279" s="249">
        <v>1</v>
      </c>
      <c r="I2279" s="265">
        <v>1</v>
      </c>
      <c r="J2279" s="246">
        <v>1</v>
      </c>
      <c r="K2279" s="266"/>
      <c r="L2279" s="242"/>
      <c r="M2279" s="274"/>
      <c r="N2279" s="279" t="s">
        <v>25</v>
      </c>
      <c r="O2279" t="str">
        <f t="shared" si="74"/>
        <v>1980-P Susan B Anthony</v>
      </c>
    </row>
    <row r="2280" spans="1:20">
      <c r="A2280" s="136">
        <v>6</v>
      </c>
      <c r="B2280" s="246">
        <v>1980</v>
      </c>
      <c r="C2280" s="247" t="s">
        <v>13</v>
      </c>
      <c r="D2280" s="247" t="s">
        <v>1968</v>
      </c>
      <c r="E2280" s="248" t="s">
        <v>1646</v>
      </c>
      <c r="F2280" s="248" t="s">
        <v>1783</v>
      </c>
      <c r="G2280" s="248" t="s">
        <v>2579</v>
      </c>
      <c r="H2280" s="249">
        <v>1</v>
      </c>
      <c r="I2280" s="265">
        <v>1</v>
      </c>
      <c r="J2280" s="246">
        <v>1</v>
      </c>
      <c r="K2280" s="266"/>
      <c r="L2280" s="242"/>
      <c r="M2280" s="274"/>
      <c r="N2280" s="279" t="s">
        <v>25</v>
      </c>
      <c r="O2280" t="str">
        <f t="shared" si="74"/>
        <v>1980-D Susan B Anthony</v>
      </c>
    </row>
    <row r="2281" spans="1:20">
      <c r="A2281" s="136">
        <v>6</v>
      </c>
      <c r="B2281" s="246">
        <v>1980</v>
      </c>
      <c r="C2281" s="247" t="s">
        <v>13</v>
      </c>
      <c r="D2281" s="247" t="s">
        <v>1968</v>
      </c>
      <c r="E2281" s="248" t="s">
        <v>1647</v>
      </c>
      <c r="F2281" s="248" t="s">
        <v>1783</v>
      </c>
      <c r="G2281" s="248" t="s">
        <v>2579</v>
      </c>
      <c r="H2281" s="249">
        <v>1</v>
      </c>
      <c r="I2281" s="265">
        <v>1</v>
      </c>
      <c r="J2281" s="246">
        <v>1</v>
      </c>
      <c r="K2281" s="266"/>
      <c r="L2281" s="242"/>
      <c r="M2281" s="274"/>
      <c r="N2281" s="279" t="s">
        <v>25</v>
      </c>
      <c r="O2281" t="str">
        <f t="shared" si="74"/>
        <v>1980-D Susan B Anthony</v>
      </c>
    </row>
    <row r="2282" spans="1:20">
      <c r="A2282" s="136">
        <v>6</v>
      </c>
      <c r="B2282" s="246">
        <v>1980</v>
      </c>
      <c r="C2282" s="247" t="s">
        <v>13</v>
      </c>
      <c r="D2282" s="247" t="s">
        <v>1968</v>
      </c>
      <c r="E2282" s="248" t="s">
        <v>1648</v>
      </c>
      <c r="F2282" s="248" t="s">
        <v>1783</v>
      </c>
      <c r="G2282" s="248" t="s">
        <v>2579</v>
      </c>
      <c r="H2282" s="249">
        <v>1</v>
      </c>
      <c r="I2282" s="265">
        <v>1</v>
      </c>
      <c r="J2282" s="246">
        <v>1</v>
      </c>
      <c r="K2282" s="266"/>
      <c r="L2282" s="242"/>
      <c r="M2282" s="274"/>
      <c r="N2282" s="279" t="s">
        <v>25</v>
      </c>
      <c r="O2282" t="str">
        <f t="shared" si="74"/>
        <v>1980-D Susan B Anthony</v>
      </c>
    </row>
    <row r="2283" spans="1:20">
      <c r="A2283" s="136">
        <v>6</v>
      </c>
      <c r="B2283" s="246">
        <v>1986</v>
      </c>
      <c r="C2283" s="247"/>
      <c r="D2283" s="247" t="s">
        <v>1968</v>
      </c>
      <c r="E2283" s="248" t="s">
        <v>1658</v>
      </c>
      <c r="F2283" s="248" t="s">
        <v>5290</v>
      </c>
      <c r="G2283" s="248" t="s">
        <v>2579</v>
      </c>
      <c r="H2283" s="249">
        <v>1</v>
      </c>
      <c r="I2283" s="265">
        <v>21</v>
      </c>
      <c r="J2283" s="246">
        <v>1</v>
      </c>
      <c r="K2283" s="266"/>
      <c r="L2283" s="242"/>
      <c r="M2283" s="274"/>
      <c r="N2283" s="279" t="s">
        <v>25</v>
      </c>
      <c r="O2283" t="str">
        <f t="shared" si="74"/>
        <v>1986 American Eagle Unc</v>
      </c>
    </row>
    <row r="2284" spans="1:20">
      <c r="A2284" s="136">
        <v>6</v>
      </c>
      <c r="B2284" s="246">
        <v>1986</v>
      </c>
      <c r="C2284" s="247" t="s">
        <v>25</v>
      </c>
      <c r="D2284" s="247" t="s">
        <v>1968</v>
      </c>
      <c r="E2284" s="248" t="s">
        <v>1656</v>
      </c>
      <c r="F2284" s="248" t="s">
        <v>2601</v>
      </c>
      <c r="G2284" s="248" t="s">
        <v>2579</v>
      </c>
      <c r="H2284" s="249">
        <v>1</v>
      </c>
      <c r="I2284" s="265">
        <v>6.99</v>
      </c>
      <c r="J2284" s="246">
        <v>1</v>
      </c>
      <c r="K2284" s="266"/>
      <c r="L2284" s="242"/>
      <c r="M2284" s="274"/>
      <c r="N2284" s="279"/>
      <c r="O2284" t="str">
        <f t="shared" si="74"/>
        <v>1986-P Liberty Silver Dollar</v>
      </c>
    </row>
    <row r="2285" spans="1:20">
      <c r="A2285" s="136">
        <v>6</v>
      </c>
      <c r="B2285" s="246">
        <v>1987</v>
      </c>
      <c r="C2285" s="247"/>
      <c r="D2285" s="247" t="s">
        <v>1968</v>
      </c>
      <c r="E2285" s="248" t="s">
        <v>1660</v>
      </c>
      <c r="F2285" s="248" t="s">
        <v>5290</v>
      </c>
      <c r="G2285" s="248" t="s">
        <v>2579</v>
      </c>
      <c r="H2285" s="249">
        <v>1</v>
      </c>
      <c r="I2285" s="265">
        <v>23</v>
      </c>
      <c r="J2285" s="246">
        <v>1</v>
      </c>
      <c r="K2285" s="266"/>
      <c r="L2285" s="242"/>
      <c r="M2285" s="274"/>
      <c r="N2285" s="279" t="s">
        <v>25</v>
      </c>
      <c r="O2285" t="str">
        <f t="shared" si="74"/>
        <v>1987 American Eagle Unc</v>
      </c>
    </row>
    <row r="2286" spans="1:20">
      <c r="A2286" s="136">
        <v>6</v>
      </c>
      <c r="B2286" s="246">
        <v>1987</v>
      </c>
      <c r="C2286" s="247"/>
      <c r="D2286" s="247" t="s">
        <v>1968</v>
      </c>
      <c r="E2286" s="248" t="s">
        <v>1661</v>
      </c>
      <c r="F2286" s="248" t="s">
        <v>3751</v>
      </c>
      <c r="G2286" s="248" t="s">
        <v>2579</v>
      </c>
      <c r="H2286" s="249">
        <v>1</v>
      </c>
      <c r="I2286" s="265">
        <v>45</v>
      </c>
      <c r="J2286" s="246">
        <v>1</v>
      </c>
      <c r="K2286" s="266"/>
      <c r="L2286" s="242"/>
      <c r="M2286" s="274"/>
      <c r="N2286" s="279" t="s">
        <v>25</v>
      </c>
      <c r="O2286" t="str">
        <f t="shared" si="74"/>
        <v>1987 US Constitution</v>
      </c>
      <c r="T2286" t="str" cm="1">
        <f t="array" ref="T2286">RIGHT(_xlfn.REGEXEXTRACT(E2286,"[0-9]{4}([A-Z+]{3})"),3)</f>
        <v>DOL</v>
      </c>
    </row>
    <row r="2287" spans="1:20">
      <c r="A2287" s="136">
        <v>6</v>
      </c>
      <c r="B2287" s="246">
        <v>1988</v>
      </c>
      <c r="C2287" s="247"/>
      <c r="D2287" s="247" t="s">
        <v>1968</v>
      </c>
      <c r="E2287" s="248" t="s">
        <v>1663</v>
      </c>
      <c r="F2287" s="248" t="s">
        <v>5290</v>
      </c>
      <c r="G2287" s="248" t="s">
        <v>2579</v>
      </c>
      <c r="H2287" s="249">
        <v>1</v>
      </c>
      <c r="I2287" s="265">
        <v>23</v>
      </c>
      <c r="J2287" s="246">
        <v>1</v>
      </c>
      <c r="K2287" s="266"/>
      <c r="L2287" s="242"/>
      <c r="M2287" s="274"/>
      <c r="N2287" s="279" t="s">
        <v>25</v>
      </c>
      <c r="O2287" t="str">
        <f t="shared" si="74"/>
        <v>1988 American Eagle Unc</v>
      </c>
      <c r="T2287" t="str" cm="1">
        <f t="array" ref="T2287">RIGHT(_xlfn.REGEXEXTRACT(E2287,"[0-9]{4}([A-Z+]{3})"),3)</f>
        <v>DOL</v>
      </c>
    </row>
    <row r="2288" spans="1:20">
      <c r="A2288" s="136">
        <v>6</v>
      </c>
      <c r="B2288" s="246">
        <v>1989</v>
      </c>
      <c r="C2288" s="247"/>
      <c r="D2288" s="247" t="s">
        <v>1968</v>
      </c>
      <c r="E2288" s="248" t="s">
        <v>1664</v>
      </c>
      <c r="F2288" s="248" t="s">
        <v>5290</v>
      </c>
      <c r="G2288" s="248" t="s">
        <v>2579</v>
      </c>
      <c r="H2288" s="249">
        <v>1</v>
      </c>
      <c r="I2288" s="265">
        <v>23</v>
      </c>
      <c r="J2288" s="246">
        <v>1</v>
      </c>
      <c r="K2288" s="266"/>
      <c r="L2288" s="242"/>
      <c r="M2288" s="274"/>
      <c r="N2288" s="279" t="s">
        <v>25</v>
      </c>
      <c r="O2288" t="str">
        <f t="shared" si="74"/>
        <v>1989 American Eagle Unc</v>
      </c>
      <c r="T2288" t="str" cm="1">
        <f t="array" ref="T2288">RIGHT(_xlfn.REGEXEXTRACT(E2288,"[0-9]{4}([A-Z+]{3})"),3)</f>
        <v>DOL</v>
      </c>
    </row>
    <row r="2289" spans="1:20">
      <c r="A2289" s="136">
        <v>6</v>
      </c>
      <c r="B2289" s="246">
        <v>1990</v>
      </c>
      <c r="C2289" s="247"/>
      <c r="D2289" s="247" t="s">
        <v>1968</v>
      </c>
      <c r="E2289" s="248" t="s">
        <v>1665</v>
      </c>
      <c r="F2289" s="248" t="s">
        <v>5290</v>
      </c>
      <c r="G2289" s="248" t="s">
        <v>2579</v>
      </c>
      <c r="H2289" s="249">
        <v>1</v>
      </c>
      <c r="I2289" s="265">
        <v>23</v>
      </c>
      <c r="J2289" s="246">
        <v>1</v>
      </c>
      <c r="K2289" s="266"/>
      <c r="L2289" s="242"/>
      <c r="M2289" s="274"/>
      <c r="N2289" s="279" t="s">
        <v>25</v>
      </c>
      <c r="O2289" t="str">
        <f t="shared" si="74"/>
        <v>1990 American Eagle Unc</v>
      </c>
      <c r="T2289" t="str" cm="1">
        <f t="array" ref="T2289">RIGHT(_xlfn.REGEXEXTRACT(E2289,"[0-9]{4}([A-Z+]{3})"),3)</f>
        <v>DOL</v>
      </c>
    </row>
    <row r="2290" spans="1:20">
      <c r="A2290" s="136">
        <v>6</v>
      </c>
      <c r="B2290" s="246">
        <v>1991</v>
      </c>
      <c r="C2290" s="247"/>
      <c r="D2290" s="247" t="s">
        <v>1968</v>
      </c>
      <c r="E2290" s="248" t="s">
        <v>1666</v>
      </c>
      <c r="F2290" s="248" t="s">
        <v>5290</v>
      </c>
      <c r="G2290" s="248" t="s">
        <v>2579</v>
      </c>
      <c r="H2290" s="249">
        <v>1</v>
      </c>
      <c r="I2290" s="265">
        <v>32</v>
      </c>
      <c r="J2290" s="246">
        <v>1</v>
      </c>
      <c r="K2290" s="266"/>
      <c r="L2290" s="242"/>
      <c r="M2290" s="274"/>
      <c r="N2290" s="279" t="s">
        <v>25</v>
      </c>
      <c r="O2290" t="str">
        <f t="shared" si="74"/>
        <v>1991 American Eagle Unc</v>
      </c>
      <c r="T2290" t="str" cm="1">
        <f t="array" ref="T2290">RIGHT(_xlfn.REGEXEXTRACT(E2290,"[0-9]{4}([A-Z+]{3})"),3)</f>
        <v>DOL</v>
      </c>
    </row>
    <row r="2291" spans="1:20">
      <c r="A2291" s="136">
        <v>6</v>
      </c>
      <c r="B2291" s="246">
        <v>1991</v>
      </c>
      <c r="C2291" s="247"/>
      <c r="D2291" s="247" t="s">
        <v>1968</v>
      </c>
      <c r="E2291" s="248" t="s">
        <v>1669</v>
      </c>
      <c r="F2291" s="248" t="s">
        <v>3750</v>
      </c>
      <c r="G2291" s="248" t="s">
        <v>2579</v>
      </c>
      <c r="H2291" s="249">
        <v>1</v>
      </c>
      <c r="I2291" s="265">
        <v>25</v>
      </c>
      <c r="J2291" s="246">
        <v>1</v>
      </c>
      <c r="K2291" s="266"/>
      <c r="L2291" s="242"/>
      <c r="M2291" s="274"/>
      <c r="N2291" s="279" t="s">
        <v>25</v>
      </c>
      <c r="O2291" t="str">
        <f t="shared" si="74"/>
        <v>1991 Uso Silver Dollar</v>
      </c>
      <c r="T2291" t="str" cm="1">
        <f t="array" ref="T2291">RIGHT(_xlfn.REGEXEXTRACT(E2291,"[0-9]{4}([A-Z+]{3})"),3)</f>
        <v>DOL</v>
      </c>
    </row>
    <row r="2292" spans="1:20">
      <c r="A2292" s="136">
        <v>6</v>
      </c>
      <c r="B2292" s="246">
        <v>1991</v>
      </c>
      <c r="C2292" s="247"/>
      <c r="D2292" s="247" t="s">
        <v>1968</v>
      </c>
      <c r="E2292" s="248" t="s">
        <v>1667</v>
      </c>
      <c r="F2292" s="248" t="s">
        <v>2599</v>
      </c>
      <c r="G2292" s="248" t="s">
        <v>2579</v>
      </c>
      <c r="H2292" s="249">
        <v>1</v>
      </c>
      <c r="I2292" s="265">
        <v>45</v>
      </c>
      <c r="J2292" s="246">
        <v>1</v>
      </c>
      <c r="K2292" s="266"/>
      <c r="L2292" s="242"/>
      <c r="M2292" s="274"/>
      <c r="N2292" s="279" t="s">
        <v>25</v>
      </c>
      <c r="O2292" t="str">
        <f t="shared" si="74"/>
        <v>1991 Korean Memorial</v>
      </c>
      <c r="T2292" t="str" cm="1">
        <f t="array" ref="T2292">RIGHT(_xlfn.REGEXEXTRACT(E2292,"[0-9]{4}([A-Z+]{3})"),3)</f>
        <v>DOL</v>
      </c>
    </row>
    <row r="2293" spans="1:20">
      <c r="A2293" s="136">
        <v>6</v>
      </c>
      <c r="B2293" s="246">
        <v>1991</v>
      </c>
      <c r="C2293" s="247"/>
      <c r="D2293" s="247" t="s">
        <v>1968</v>
      </c>
      <c r="E2293" s="248" t="s">
        <v>1671</v>
      </c>
      <c r="F2293" s="248" t="s">
        <v>5286</v>
      </c>
      <c r="G2293" s="248" t="s">
        <v>2584</v>
      </c>
      <c r="H2293" s="249">
        <v>1</v>
      </c>
      <c r="I2293" s="265">
        <v>45</v>
      </c>
      <c r="J2293" s="246">
        <v>1</v>
      </c>
      <c r="K2293" s="266" t="str">
        <f>PROPER(CoinCollection!$F2211)</f>
        <v>Kennedy Half Dollar</v>
      </c>
      <c r="L2293" s="242"/>
      <c r="M2293" s="274"/>
      <c r="N2293" s="279" t="s">
        <v>25</v>
      </c>
      <c r="O2293" t="str">
        <f t="shared" si="74"/>
        <v>1991 Mt Rushmore Proof</v>
      </c>
      <c r="T2293" t="str" cm="1">
        <f t="array" ref="T2293">RIGHT(_xlfn.REGEXEXTRACT(E2293,"[0-9]{4}([A-Z+]{3})"),3)</f>
        <v>DOL</v>
      </c>
    </row>
    <row r="2294" spans="1:20">
      <c r="A2294" s="136">
        <v>6</v>
      </c>
      <c r="B2294" s="233">
        <v>1991</v>
      </c>
      <c r="C2294" s="234"/>
      <c r="D2294" s="234" t="s">
        <v>3819</v>
      </c>
      <c r="E2294" s="235" t="s">
        <v>3820</v>
      </c>
      <c r="F2294" s="235" t="s">
        <v>3821</v>
      </c>
      <c r="G2294" s="235" t="s">
        <v>2579</v>
      </c>
      <c r="H2294" s="236"/>
      <c r="I2294" s="236">
        <v>55</v>
      </c>
      <c r="J2294" s="233">
        <v>1</v>
      </c>
      <c r="K2294" s="237"/>
      <c r="L2294" s="235"/>
      <c r="M2294" s="276"/>
      <c r="N2294" s="279" t="s">
        <v>25</v>
      </c>
      <c r="O2294" t="str">
        <f t="shared" si="74"/>
        <v>1991 Marshaal Island</v>
      </c>
      <c r="T2294" t="str" cm="1">
        <f t="array" ref="T2294">RIGHT(_xlfn.REGEXEXTRACT(E2294,"[0-9]{4}([A-Z+]{3})"),3)</f>
        <v>DOL</v>
      </c>
    </row>
    <row r="2295" spans="1:20">
      <c r="A2295" s="136">
        <v>6</v>
      </c>
      <c r="B2295" s="246">
        <v>1992</v>
      </c>
      <c r="C2295" s="247"/>
      <c r="D2295" s="247" t="s">
        <v>1968</v>
      </c>
      <c r="E2295" s="248" t="s">
        <v>1673</v>
      </c>
      <c r="F2295" s="248" t="s">
        <v>5287</v>
      </c>
      <c r="G2295" s="248" t="s">
        <v>2584</v>
      </c>
      <c r="H2295" s="249">
        <v>1</v>
      </c>
      <c r="I2295" s="265">
        <v>23</v>
      </c>
      <c r="J2295" s="246">
        <v>1</v>
      </c>
      <c r="K2295" s="266"/>
      <c r="L2295" s="242"/>
      <c r="M2295" s="274"/>
      <c r="N2295" s="279" t="s">
        <v>25</v>
      </c>
      <c r="O2295" t="str">
        <f t="shared" si="74"/>
        <v>1992 American Eagle Proof</v>
      </c>
      <c r="T2295" t="str" cm="1">
        <f t="array" ref="T2295">RIGHT(_xlfn.REGEXEXTRACT(E2295,"[0-9]{4}([A-Z+]{3})"),3)</f>
        <v>DOL</v>
      </c>
    </row>
    <row r="2296" spans="1:20">
      <c r="A2296" s="136">
        <v>6</v>
      </c>
      <c r="B2296" s="246">
        <v>1992</v>
      </c>
      <c r="C2296" s="247"/>
      <c r="D2296" s="247" t="s">
        <v>1968</v>
      </c>
      <c r="E2296" s="248" t="s">
        <v>1674</v>
      </c>
      <c r="F2296" s="248" t="s">
        <v>2606</v>
      </c>
      <c r="G2296" s="248" t="s">
        <v>2579</v>
      </c>
      <c r="H2296" s="249">
        <v>1</v>
      </c>
      <c r="I2296" s="265">
        <v>32</v>
      </c>
      <c r="J2296" s="246">
        <v>1</v>
      </c>
      <c r="K2296" s="266"/>
      <c r="L2296" s="242"/>
      <c r="M2296" s="274"/>
      <c r="N2296" s="279" t="s">
        <v>25</v>
      </c>
      <c r="O2296" t="str">
        <f t="shared" si="74"/>
        <v>1992 Olympic Dollar</v>
      </c>
      <c r="T2296" t="str" cm="1">
        <f t="array" ref="T2296">RIGHT(_xlfn.REGEXEXTRACT(E2296,"[0-9]{4}([A-Z+]{3})"),3)</f>
        <v>DOL</v>
      </c>
    </row>
    <row r="2297" spans="1:20">
      <c r="A2297" s="136">
        <v>6</v>
      </c>
      <c r="B2297" s="246">
        <v>1992</v>
      </c>
      <c r="C2297" s="247"/>
      <c r="D2297" s="247" t="s">
        <v>1968</v>
      </c>
      <c r="E2297" s="248" t="s">
        <v>1676</v>
      </c>
      <c r="F2297" s="248" t="s">
        <v>2606</v>
      </c>
      <c r="G2297" s="248" t="s">
        <v>2579</v>
      </c>
      <c r="H2297" s="249">
        <v>1</v>
      </c>
      <c r="I2297" s="265">
        <v>32</v>
      </c>
      <c r="J2297" s="246">
        <v>1</v>
      </c>
      <c r="K2297" s="266"/>
      <c r="L2297" s="242"/>
      <c r="M2297" s="274"/>
      <c r="N2297" s="279" t="s">
        <v>25</v>
      </c>
      <c r="O2297" t="str">
        <f t="shared" si="74"/>
        <v>1992 Olympic Dollar</v>
      </c>
      <c r="T2297" t="str" cm="1">
        <f t="array" ref="T2297">RIGHT(_xlfn.REGEXEXTRACT(E2297,"[0-9]{4}([A-Z+]{3})"),3)</f>
        <v>DOL</v>
      </c>
    </row>
    <row r="2298" spans="1:20">
      <c r="A2298" s="136">
        <v>6</v>
      </c>
      <c r="B2298" s="246">
        <v>1993</v>
      </c>
      <c r="C2298" s="247" t="s">
        <v>25</v>
      </c>
      <c r="D2298" s="247" t="s">
        <v>1968</v>
      </c>
      <c r="E2298" s="248" t="s">
        <v>1677</v>
      </c>
      <c r="F2298" s="248" t="s">
        <v>5287</v>
      </c>
      <c r="G2298" s="248" t="s">
        <v>2584</v>
      </c>
      <c r="H2298" s="249">
        <v>1</v>
      </c>
      <c r="I2298" s="265">
        <v>23</v>
      </c>
      <c r="J2298" s="246">
        <v>1</v>
      </c>
      <c r="K2298" s="266"/>
      <c r="L2298" s="242"/>
      <c r="M2298" s="274"/>
      <c r="N2298" s="279" t="s">
        <v>25</v>
      </c>
      <c r="O2298" t="str">
        <f t="shared" si="74"/>
        <v>1993-P American Eagle Proof</v>
      </c>
      <c r="T2298" t="str" cm="1">
        <f t="array" ref="T2298">RIGHT(_xlfn.REGEXEXTRACT(E2298,"[0-9]{4}([A-Z+]{3})"),3)</f>
        <v>DOL</v>
      </c>
    </row>
    <row r="2299" spans="1:20">
      <c r="A2299" s="136">
        <v>6</v>
      </c>
      <c r="B2299" s="233">
        <v>1995</v>
      </c>
      <c r="C2299" s="234"/>
      <c r="D2299" s="234" t="s">
        <v>1968</v>
      </c>
      <c r="E2299" s="235" t="s">
        <v>2233</v>
      </c>
      <c r="F2299" s="248" t="s">
        <v>5290</v>
      </c>
      <c r="G2299" s="235" t="s">
        <v>2579</v>
      </c>
      <c r="H2299" s="236">
        <v>50</v>
      </c>
      <c r="I2299" s="236">
        <v>50</v>
      </c>
      <c r="J2299" s="233">
        <v>1</v>
      </c>
      <c r="K2299" s="237"/>
      <c r="L2299" s="235"/>
      <c r="M2299" s="276"/>
      <c r="N2299" s="279" t="s">
        <v>25</v>
      </c>
      <c r="O2299" t="str">
        <f t="shared" si="74"/>
        <v>1995 American Eagle Unc</v>
      </c>
      <c r="T2299" t="str" cm="1">
        <f t="array" ref="T2299">RIGHT(_xlfn.REGEXEXTRACT(E2299,"[0-9]{4}([A-Z+]{3})"),3)</f>
        <v>DOL</v>
      </c>
    </row>
    <row r="2300" spans="1:20">
      <c r="A2300" s="136">
        <v>6</v>
      </c>
      <c r="B2300" s="246">
        <v>2000</v>
      </c>
      <c r="C2300" s="247"/>
      <c r="D2300" s="247" t="s">
        <v>1968</v>
      </c>
      <c r="E2300" s="248" t="s">
        <v>1678</v>
      </c>
      <c r="F2300" s="248" t="s">
        <v>5287</v>
      </c>
      <c r="G2300" s="248" t="s">
        <v>2584</v>
      </c>
      <c r="H2300" s="249">
        <v>1</v>
      </c>
      <c r="I2300" s="265">
        <v>23</v>
      </c>
      <c r="J2300" s="246">
        <v>1</v>
      </c>
      <c r="K2300" s="266"/>
      <c r="L2300" s="242"/>
      <c r="M2300" s="274"/>
      <c r="N2300" s="279" t="s">
        <v>25</v>
      </c>
      <c r="O2300" t="str">
        <f t="shared" si="74"/>
        <v>2000 American Eagle Proof</v>
      </c>
      <c r="T2300" t="str" cm="1">
        <f t="array" ref="T2300">RIGHT(_xlfn.REGEXEXTRACT(E2300,"[0-9]{4}([A-Z+]{3})"),3)</f>
        <v>DOL</v>
      </c>
    </row>
    <row r="2301" spans="1:20">
      <c r="A2301" s="136">
        <v>6</v>
      </c>
      <c r="B2301" s="246">
        <v>2000</v>
      </c>
      <c r="C2301" s="247" t="s">
        <v>25</v>
      </c>
      <c r="D2301" s="247" t="s">
        <v>1968</v>
      </c>
      <c r="E2301" s="248" t="s">
        <v>1679</v>
      </c>
      <c r="F2301" s="248" t="s">
        <v>5519</v>
      </c>
      <c r="G2301" s="248" t="s">
        <v>2579</v>
      </c>
      <c r="H2301" s="249">
        <v>1</v>
      </c>
      <c r="I2301" s="265">
        <v>1</v>
      </c>
      <c r="J2301" s="246">
        <v>1</v>
      </c>
      <c r="K2301" s="266"/>
      <c r="L2301" s="242"/>
      <c r="M2301" s="274"/>
      <c r="N2301" s="279" t="s">
        <v>25</v>
      </c>
      <c r="O2301" t="str">
        <f t="shared" si="74"/>
        <v>2000-P Sacagawea Dollar</v>
      </c>
      <c r="T2301" t="str" cm="1">
        <f t="array" ref="T2301">RIGHT(_xlfn.REGEXEXTRACT(E2301,"[0-9]{4}([A-Z+]{3})"),3)</f>
        <v>DOL</v>
      </c>
    </row>
    <row r="2302" spans="1:20">
      <c r="A2302" s="136">
        <v>6</v>
      </c>
      <c r="B2302" s="246">
        <v>2000</v>
      </c>
      <c r="C2302" s="247" t="s">
        <v>25</v>
      </c>
      <c r="D2302" s="247" t="s">
        <v>1968</v>
      </c>
      <c r="E2302" s="248" t="s">
        <v>3906</v>
      </c>
      <c r="F2302" s="248" t="s">
        <v>5519</v>
      </c>
      <c r="G2302" s="248" t="s">
        <v>2579</v>
      </c>
      <c r="H2302" s="249">
        <v>1</v>
      </c>
      <c r="I2302" s="265">
        <v>1</v>
      </c>
      <c r="J2302" s="246">
        <v>1</v>
      </c>
      <c r="K2302" s="266"/>
      <c r="L2302" s="242"/>
      <c r="M2302" s="274"/>
      <c r="N2302" s="279" t="s">
        <v>25</v>
      </c>
      <c r="O2302" t="str">
        <f t="shared" si="74"/>
        <v>2000-P Sacagawea Dollar</v>
      </c>
      <c r="T2302" t="str" cm="1">
        <f t="array" ref="T2302">RIGHT(_xlfn.REGEXEXTRACT(E2302,"[0-9]{4}([A-Z+]{3})"),3)</f>
        <v>DOL</v>
      </c>
    </row>
    <row r="2303" spans="1:20">
      <c r="A2303" s="136">
        <v>6</v>
      </c>
      <c r="B2303" s="246">
        <v>2000</v>
      </c>
      <c r="C2303" s="247" t="s">
        <v>25</v>
      </c>
      <c r="D2303" s="247" t="s">
        <v>1968</v>
      </c>
      <c r="E2303" s="248" t="s">
        <v>3907</v>
      </c>
      <c r="F2303" s="248" t="s">
        <v>5519</v>
      </c>
      <c r="G2303" s="248" t="s">
        <v>2579</v>
      </c>
      <c r="H2303" s="249">
        <v>1</v>
      </c>
      <c r="I2303" s="265">
        <v>1</v>
      </c>
      <c r="J2303" s="246">
        <v>1</v>
      </c>
      <c r="K2303" s="266"/>
      <c r="L2303" s="242"/>
      <c r="M2303" s="274"/>
      <c r="N2303" s="279" t="s">
        <v>25</v>
      </c>
      <c r="O2303" t="str">
        <f t="shared" si="74"/>
        <v>2000-P Sacagawea Dollar</v>
      </c>
      <c r="T2303" t="str" cm="1">
        <f t="array" ref="T2303">RIGHT(_xlfn.REGEXEXTRACT(E2303,"[0-9]{4}([A-Z+]{3})"),3)</f>
        <v>DOL</v>
      </c>
    </row>
    <row r="2304" spans="1:20">
      <c r="A2304" s="136">
        <v>6</v>
      </c>
      <c r="B2304" s="246">
        <v>2007</v>
      </c>
      <c r="C2304" s="247" t="s">
        <v>25</v>
      </c>
      <c r="D2304" s="247" t="s">
        <v>1968</v>
      </c>
      <c r="E2304" s="248" t="s">
        <v>1681</v>
      </c>
      <c r="F2304" s="248" t="s">
        <v>5479</v>
      </c>
      <c r="G2304" s="248" t="s">
        <v>2579</v>
      </c>
      <c r="H2304" s="249">
        <v>1</v>
      </c>
      <c r="I2304" s="265">
        <v>23</v>
      </c>
      <c r="J2304" s="246">
        <v>1</v>
      </c>
      <c r="K2304" s="266" t="s">
        <v>3902</v>
      </c>
      <c r="L2304" s="242"/>
      <c r="M2304" s="274"/>
      <c r="N2304" s="279" t="s">
        <v>25</v>
      </c>
      <c r="O2304" t="str">
        <f t="shared" ref="O2304:O2335" si="75">IF(C2304&lt;&gt;"",B2304&amp;"-"&amp;C2304&amp;" "&amp;F2304,B2304&amp;" "&amp;F2304)</f>
        <v>2007-P Presidential Dollar George Washington</v>
      </c>
      <c r="T2304" t="str" cm="1">
        <f t="array" ref="T2304">RIGHT(_xlfn.REGEXEXTRACT(E2304,"[0-9]{4}([A-Z+]{3})"),3)</f>
        <v>DOL</v>
      </c>
    </row>
    <row r="2305" spans="1:20">
      <c r="A2305" s="136">
        <v>6</v>
      </c>
      <c r="B2305" s="246">
        <v>2009</v>
      </c>
      <c r="C2305" s="247" t="s">
        <v>25</v>
      </c>
      <c r="D2305" s="247" t="s">
        <v>1968</v>
      </c>
      <c r="E2305" s="248" t="s">
        <v>1683</v>
      </c>
      <c r="F2305" s="248" t="s">
        <v>5480</v>
      </c>
      <c r="G2305" s="248" t="s">
        <v>2579</v>
      </c>
      <c r="H2305" s="249">
        <v>1</v>
      </c>
      <c r="I2305" s="265">
        <v>23</v>
      </c>
      <c r="J2305" s="246">
        <v>1</v>
      </c>
      <c r="K2305" s="266" t="s">
        <v>3903</v>
      </c>
      <c r="L2305" s="242"/>
      <c r="M2305" s="274"/>
      <c r="N2305" s="279" t="s">
        <v>25</v>
      </c>
      <c r="O2305" t="str">
        <f t="shared" si="75"/>
        <v>2009-P Presidential Dollar John Tyler</v>
      </c>
      <c r="T2305" t="str" cm="1">
        <f t="array" ref="T2305">RIGHT(_xlfn.REGEXEXTRACT(E2305,"[0-9]{4}([A-Z+]{3})"),3)</f>
        <v>DOL</v>
      </c>
    </row>
    <row r="2306" spans="1:20">
      <c r="A2306" s="136">
        <v>6</v>
      </c>
      <c r="B2306" s="246">
        <v>2011</v>
      </c>
      <c r="C2306" s="247"/>
      <c r="D2306" s="247" t="s">
        <v>1968</v>
      </c>
      <c r="E2306" s="248" t="s">
        <v>1685</v>
      </c>
      <c r="F2306" s="248" t="s">
        <v>4898</v>
      </c>
      <c r="G2306" s="248" t="s">
        <v>2579</v>
      </c>
      <c r="H2306" s="249"/>
      <c r="I2306" s="265"/>
      <c r="J2306" s="246"/>
      <c r="L2306" s="242"/>
      <c r="M2306" s="274"/>
      <c r="N2306" s="279"/>
      <c r="O2306" t="str">
        <f t="shared" si="75"/>
        <v xml:space="preserve">2011   </v>
      </c>
      <c r="T2306" t="str" cm="1">
        <f t="array" ref="T2306">RIGHT(_xlfn.REGEXEXTRACT(E2306,"[0-9]{4}([A-Z+]{3})"),3)</f>
        <v>DOL</v>
      </c>
    </row>
    <row r="2307" spans="1:20">
      <c r="A2307" s="136">
        <v>6</v>
      </c>
      <c r="B2307" s="246">
        <v>2011</v>
      </c>
      <c r="C2307" s="247"/>
      <c r="D2307" s="247" t="s">
        <v>1968</v>
      </c>
      <c r="E2307" s="248" t="s">
        <v>1686</v>
      </c>
      <c r="F2307" s="248"/>
      <c r="G2307" s="248" t="s">
        <v>2579</v>
      </c>
      <c r="H2307" s="249"/>
      <c r="I2307" s="265"/>
      <c r="J2307" s="246"/>
      <c r="K2307" s="266"/>
      <c r="L2307" s="242"/>
      <c r="M2307" s="274"/>
      <c r="N2307" s="279"/>
      <c r="O2307" t="str">
        <f t="shared" si="75"/>
        <v xml:space="preserve">2011 </v>
      </c>
      <c r="T2307" t="str" cm="1">
        <f t="array" ref="T2307">RIGHT(_xlfn.REGEXEXTRACT(E2307,"[0-9]{4}([A-Z+]{3})"),3)</f>
        <v>DOL</v>
      </c>
    </row>
    <row r="2308" spans="1:20">
      <c r="A2308" s="136">
        <v>6</v>
      </c>
      <c r="B2308" s="246">
        <v>2011</v>
      </c>
      <c r="C2308" s="247" t="s">
        <v>25</v>
      </c>
      <c r="D2308" s="247" t="s">
        <v>1968</v>
      </c>
      <c r="E2308" s="248" t="s">
        <v>1687</v>
      </c>
      <c r="F2308" s="248" t="s">
        <v>5481</v>
      </c>
      <c r="G2308" s="248" t="s">
        <v>2579</v>
      </c>
      <c r="H2308" s="249">
        <v>1</v>
      </c>
      <c r="I2308" s="265">
        <v>1</v>
      </c>
      <c r="J2308" s="246">
        <v>1</v>
      </c>
      <c r="K2308" s="266" t="s">
        <v>3904</v>
      </c>
      <c r="L2308" s="242"/>
      <c r="M2308" s="274"/>
      <c r="N2308" s="279" t="s">
        <v>25</v>
      </c>
      <c r="O2308" t="str">
        <f t="shared" si="75"/>
        <v>2011-P Presidential Dollar James Garfield</v>
      </c>
      <c r="T2308" t="str" cm="1">
        <f t="array" ref="T2308">RIGHT(_xlfn.REGEXEXTRACT(E2308,"[0-9]{4}([A-Z+]{3})"),3)</f>
        <v>DOL</v>
      </c>
    </row>
    <row r="2309" spans="1:20">
      <c r="A2309" s="136">
        <v>6</v>
      </c>
      <c r="B2309" s="246">
        <v>2011</v>
      </c>
      <c r="C2309" s="247" t="s">
        <v>25</v>
      </c>
      <c r="D2309" s="247" t="s">
        <v>1968</v>
      </c>
      <c r="E2309" s="248" t="s">
        <v>1689</v>
      </c>
      <c r="F2309" s="248" t="s">
        <v>5481</v>
      </c>
      <c r="G2309" s="248" t="s">
        <v>2579</v>
      </c>
      <c r="H2309" s="249">
        <v>1</v>
      </c>
      <c r="I2309" s="265">
        <v>1</v>
      </c>
      <c r="J2309" s="246">
        <v>1</v>
      </c>
      <c r="K2309" s="266" t="s">
        <v>3904</v>
      </c>
      <c r="L2309" s="242"/>
      <c r="M2309" s="274"/>
      <c r="N2309" s="279" t="s">
        <v>25</v>
      </c>
      <c r="O2309" t="str">
        <f t="shared" si="75"/>
        <v>2011-P Presidential Dollar James Garfield</v>
      </c>
      <c r="T2309" t="str" cm="1">
        <f t="array" ref="T2309">RIGHT(_xlfn.REGEXEXTRACT(E2309,"[0-9]{4}([A-Z+]{3})"),3)</f>
        <v>DOL</v>
      </c>
    </row>
    <row r="2310" spans="1:20">
      <c r="A2310" s="136">
        <v>6</v>
      </c>
      <c r="B2310" s="246">
        <v>2011</v>
      </c>
      <c r="C2310" s="247" t="s">
        <v>25</v>
      </c>
      <c r="D2310" s="247" t="s">
        <v>1968</v>
      </c>
      <c r="E2310" s="248" t="s">
        <v>1690</v>
      </c>
      <c r="F2310" s="248" t="s">
        <v>5481</v>
      </c>
      <c r="G2310" s="248" t="s">
        <v>2579</v>
      </c>
      <c r="H2310" s="249">
        <v>1</v>
      </c>
      <c r="I2310" s="265">
        <v>1</v>
      </c>
      <c r="J2310" s="246">
        <v>1</v>
      </c>
      <c r="K2310" s="266" t="s">
        <v>3904</v>
      </c>
      <c r="L2310" s="242"/>
      <c r="M2310" s="274"/>
      <c r="N2310" s="279" t="s">
        <v>25</v>
      </c>
      <c r="O2310" t="str">
        <f t="shared" si="75"/>
        <v>2011-P Presidential Dollar James Garfield</v>
      </c>
      <c r="T2310" t="str" cm="1">
        <f t="array" ref="T2310">RIGHT(_xlfn.REGEXEXTRACT(E2310,"[0-9]{4}([A-Z+]{3})"),3)</f>
        <v>DOL</v>
      </c>
    </row>
    <row r="2311" spans="1:20">
      <c r="A2311" s="136">
        <v>6</v>
      </c>
      <c r="B2311" s="246">
        <v>2011</v>
      </c>
      <c r="C2311" s="247" t="s">
        <v>25</v>
      </c>
      <c r="D2311" s="247" t="s">
        <v>1968</v>
      </c>
      <c r="E2311" s="248" t="s">
        <v>1692</v>
      </c>
      <c r="F2311" s="248" t="s">
        <v>5481</v>
      </c>
      <c r="G2311" s="248" t="s">
        <v>2579</v>
      </c>
      <c r="H2311" s="249">
        <v>1</v>
      </c>
      <c r="I2311" s="265">
        <v>1</v>
      </c>
      <c r="J2311" s="246">
        <v>1</v>
      </c>
      <c r="K2311" s="266" t="s">
        <v>3904</v>
      </c>
      <c r="L2311" s="242"/>
      <c r="M2311" s="274"/>
      <c r="N2311" s="279" t="s">
        <v>25</v>
      </c>
      <c r="O2311" t="str">
        <f t="shared" si="75"/>
        <v>2011-P Presidential Dollar James Garfield</v>
      </c>
      <c r="T2311" t="str" cm="1">
        <f t="array" ref="T2311">RIGHT(_xlfn.REGEXEXTRACT(E2311,"[0-9]{4}([A-Z+]{3})"),3)</f>
        <v>DOL</v>
      </c>
    </row>
    <row r="2312" spans="1:20">
      <c r="A2312" s="136">
        <v>6</v>
      </c>
      <c r="B2312" s="246">
        <v>2011</v>
      </c>
      <c r="C2312" s="247" t="s">
        <v>25</v>
      </c>
      <c r="D2312" s="247" t="s">
        <v>1968</v>
      </c>
      <c r="E2312" s="248" t="s">
        <v>1693</v>
      </c>
      <c r="F2312" s="248" t="s">
        <v>5482</v>
      </c>
      <c r="G2312" s="248" t="s">
        <v>2579</v>
      </c>
      <c r="H2312" s="249">
        <v>1</v>
      </c>
      <c r="I2312" s="265">
        <v>1</v>
      </c>
      <c r="J2312" s="246">
        <v>1</v>
      </c>
      <c r="K2312" s="266" t="s">
        <v>5472</v>
      </c>
      <c r="L2312" s="242"/>
      <c r="M2312" s="274"/>
      <c r="N2312" s="279" t="s">
        <v>25</v>
      </c>
      <c r="O2312" t="str">
        <f t="shared" si="75"/>
        <v>2011-P Presidential Dollar Ulysses S. Grant</v>
      </c>
      <c r="T2312" t="str" cm="1">
        <f t="array" ref="T2312">RIGHT(_xlfn.REGEXEXTRACT(E2312,"[0-9]{4}([A-Z+]{3})"),3)</f>
        <v>DOL</v>
      </c>
    </row>
    <row r="2313" spans="1:20">
      <c r="A2313" s="136">
        <v>6</v>
      </c>
      <c r="B2313" s="246">
        <v>2011</v>
      </c>
      <c r="C2313" s="247" t="s">
        <v>25</v>
      </c>
      <c r="D2313" s="247" t="s">
        <v>1968</v>
      </c>
      <c r="E2313" s="248" t="s">
        <v>1694</v>
      </c>
      <c r="F2313" s="248" t="s">
        <v>5482</v>
      </c>
      <c r="G2313" s="248" t="s">
        <v>2579</v>
      </c>
      <c r="H2313" s="249">
        <v>1</v>
      </c>
      <c r="I2313" s="265">
        <v>1</v>
      </c>
      <c r="J2313" s="246">
        <v>1</v>
      </c>
      <c r="K2313" s="266" t="s">
        <v>5472</v>
      </c>
      <c r="L2313" s="242"/>
      <c r="M2313" s="274"/>
      <c r="N2313" s="279" t="s">
        <v>25</v>
      </c>
      <c r="O2313" t="str">
        <f t="shared" si="75"/>
        <v>2011-P Presidential Dollar Ulysses S. Grant</v>
      </c>
      <c r="T2313" t="str" cm="1">
        <f t="array" ref="T2313">RIGHT(_xlfn.REGEXEXTRACT(E2313,"[0-9]{4}([A-Z+]{3})"),3)</f>
        <v>DOL</v>
      </c>
    </row>
    <row r="2314" spans="1:20">
      <c r="A2314" s="136">
        <v>6</v>
      </c>
      <c r="B2314" s="246">
        <v>2011</v>
      </c>
      <c r="C2314" s="247" t="s">
        <v>25</v>
      </c>
      <c r="D2314" s="247" t="s">
        <v>1968</v>
      </c>
      <c r="E2314" s="248" t="s">
        <v>1695</v>
      </c>
      <c r="F2314" s="248" t="s">
        <v>5482</v>
      </c>
      <c r="G2314" s="248" t="s">
        <v>2579</v>
      </c>
      <c r="H2314" s="249">
        <v>1</v>
      </c>
      <c r="I2314" s="265">
        <v>1</v>
      </c>
      <c r="J2314" s="246">
        <v>1</v>
      </c>
      <c r="K2314" s="266" t="s">
        <v>5472</v>
      </c>
      <c r="L2314" s="242"/>
      <c r="M2314" s="274"/>
      <c r="N2314" s="279" t="s">
        <v>25</v>
      </c>
      <c r="O2314" t="str">
        <f t="shared" si="75"/>
        <v>2011-P Presidential Dollar Ulysses S. Grant</v>
      </c>
      <c r="T2314" t="str" cm="1">
        <f t="array" ref="T2314">RIGHT(_xlfn.REGEXEXTRACT(E2314,"[0-9]{4}([A-Z+]{3})"),3)</f>
        <v>DOL</v>
      </c>
    </row>
    <row r="2315" spans="1:20">
      <c r="A2315" s="136">
        <v>6</v>
      </c>
      <c r="B2315" s="246">
        <v>2011</v>
      </c>
      <c r="C2315" s="247" t="s">
        <v>25</v>
      </c>
      <c r="D2315" s="247" t="s">
        <v>1968</v>
      </c>
      <c r="E2315" s="248" t="s">
        <v>1696</v>
      </c>
      <c r="F2315" s="248" t="s">
        <v>5482</v>
      </c>
      <c r="G2315" s="248" t="s">
        <v>2579</v>
      </c>
      <c r="H2315" s="249">
        <v>1</v>
      </c>
      <c r="I2315" s="265">
        <v>1</v>
      </c>
      <c r="J2315" s="246">
        <v>1</v>
      </c>
      <c r="K2315" s="266" t="s">
        <v>5472</v>
      </c>
      <c r="L2315" s="242"/>
      <c r="M2315" s="274"/>
      <c r="N2315" s="279" t="s">
        <v>25</v>
      </c>
      <c r="O2315" t="str">
        <f t="shared" si="75"/>
        <v>2011-P Presidential Dollar Ulysses S. Grant</v>
      </c>
      <c r="T2315" t="str" cm="1">
        <f t="array" ref="T2315">RIGHT(_xlfn.REGEXEXTRACT(E2315,"[0-9]{4}([A-Z+]{3})"),3)</f>
        <v>DOL</v>
      </c>
    </row>
    <row r="2316" spans="1:20">
      <c r="A2316" s="136">
        <v>6</v>
      </c>
      <c r="B2316" s="246">
        <v>2015</v>
      </c>
      <c r="C2316" s="247" t="s">
        <v>13</v>
      </c>
      <c r="D2316" s="247" t="s">
        <v>1968</v>
      </c>
      <c r="E2316" s="248" t="s">
        <v>1697</v>
      </c>
      <c r="F2316" s="248" t="s">
        <v>5519</v>
      </c>
      <c r="G2316" s="248" t="s">
        <v>2579</v>
      </c>
      <c r="H2316" s="249">
        <v>2</v>
      </c>
      <c r="I2316" s="265">
        <v>5.84</v>
      </c>
      <c r="J2316" s="246">
        <v>1</v>
      </c>
      <c r="K2316" s="266"/>
      <c r="L2316" s="242"/>
      <c r="M2316" s="274"/>
      <c r="N2316" s="279" t="s">
        <v>25</v>
      </c>
      <c r="O2316" t="str">
        <f t="shared" si="75"/>
        <v>2015-D Sacagawea Dollar</v>
      </c>
      <c r="T2316" t="str" cm="1">
        <f t="array" ref="T2316">RIGHT(_xlfn.REGEXEXTRACT(E2316,"[0-9]{4}([A-Z+]{3})"),3)</f>
        <v>DOL</v>
      </c>
    </row>
    <row r="2317" spans="1:20">
      <c r="A2317" s="136">
        <v>6</v>
      </c>
      <c r="B2317" s="246">
        <v>2016</v>
      </c>
      <c r="C2317" s="247" t="s">
        <v>13</v>
      </c>
      <c r="D2317" s="247" t="s">
        <v>1968</v>
      </c>
      <c r="E2317" s="248" t="s">
        <v>1698</v>
      </c>
      <c r="F2317" s="248" t="s">
        <v>5519</v>
      </c>
      <c r="G2317" s="248" t="s">
        <v>2579</v>
      </c>
      <c r="H2317" s="249">
        <v>1.75</v>
      </c>
      <c r="I2317" s="265">
        <v>5.84</v>
      </c>
      <c r="J2317" s="246">
        <v>1</v>
      </c>
      <c r="K2317" s="266"/>
      <c r="L2317" s="242"/>
      <c r="M2317" s="274"/>
      <c r="N2317" s="279" t="s">
        <v>25</v>
      </c>
      <c r="O2317" t="str">
        <f t="shared" si="75"/>
        <v>2016-D Sacagawea Dollar</v>
      </c>
      <c r="T2317" t="str" cm="1">
        <f t="array" ref="T2317">RIGHT(_xlfn.REGEXEXTRACT(E2317,"[0-9]{4}([A-Z+]{3})"),3)</f>
        <v>DOL</v>
      </c>
    </row>
    <row r="2318" spans="1:20">
      <c r="A2318" s="136">
        <v>6</v>
      </c>
      <c r="B2318" s="246">
        <v>2020</v>
      </c>
      <c r="C2318" s="247"/>
      <c r="D2318" s="247" t="s">
        <v>1968</v>
      </c>
      <c r="E2318" s="248" t="s">
        <v>1699</v>
      </c>
      <c r="F2318" s="248" t="s">
        <v>5290</v>
      </c>
      <c r="G2318" s="248" t="s">
        <v>2579</v>
      </c>
      <c r="H2318" s="249">
        <f>35.95+2.65</f>
        <v>38.6</v>
      </c>
      <c r="I2318" s="265">
        <v>107</v>
      </c>
      <c r="J2318" s="246">
        <v>1</v>
      </c>
      <c r="K2318" s="266"/>
      <c r="L2318" s="242"/>
      <c r="M2318" s="274"/>
      <c r="N2318" s="279" t="s">
        <v>25</v>
      </c>
      <c r="O2318" t="str">
        <f t="shared" si="75"/>
        <v>2020 American Eagle Unc</v>
      </c>
      <c r="T2318" t="str" cm="1">
        <f t="array" ref="T2318">RIGHT(_xlfn.REGEXEXTRACT(E2318,"[0-9]{4}([A-Z+]{3})"),3)</f>
        <v>DOL</v>
      </c>
    </row>
    <row r="2319" spans="1:20">
      <c r="A2319" s="136">
        <v>6</v>
      </c>
      <c r="B2319" s="246">
        <v>2021</v>
      </c>
      <c r="C2319" s="247"/>
      <c r="D2319" s="247" t="s">
        <v>1968</v>
      </c>
      <c r="E2319" s="248" t="s">
        <v>1702</v>
      </c>
      <c r="F2319" s="248" t="s">
        <v>5290</v>
      </c>
      <c r="G2319" s="248" t="s">
        <v>2579</v>
      </c>
      <c r="H2319" s="249">
        <f>34.84+X2318</f>
        <v>34.840000000000003</v>
      </c>
      <c r="I2319" s="265">
        <v>107</v>
      </c>
      <c r="J2319" s="246">
        <v>1</v>
      </c>
      <c r="K2319" s="266"/>
      <c r="L2319" s="242"/>
      <c r="M2319" s="274"/>
      <c r="N2319" s="279" t="s">
        <v>25</v>
      </c>
      <c r="O2319" t="str">
        <f t="shared" si="75"/>
        <v>2021 American Eagle Unc</v>
      </c>
      <c r="T2319" t="str" cm="1">
        <f t="array" ref="T2319">RIGHT(_xlfn.REGEXEXTRACT(E2319,"[0-9]{4}([A-Z+]{3})"),3)</f>
        <v>DOL</v>
      </c>
    </row>
    <row r="2320" spans="1:20">
      <c r="A2320" s="136">
        <v>6</v>
      </c>
      <c r="B2320" s="246">
        <v>2022</v>
      </c>
      <c r="C2320" s="247"/>
      <c r="D2320" s="247" t="s">
        <v>1968</v>
      </c>
      <c r="E2320" s="248" t="s">
        <v>1703</v>
      </c>
      <c r="F2320" s="248" t="s">
        <v>5290</v>
      </c>
      <c r="G2320" s="248" t="s">
        <v>2579</v>
      </c>
      <c r="H2320" s="249">
        <f>33.04+X2318</f>
        <v>33.04</v>
      </c>
      <c r="I2320" s="265">
        <v>107</v>
      </c>
      <c r="J2320" s="246">
        <v>1</v>
      </c>
      <c r="K2320" s="266"/>
      <c r="L2320" s="242"/>
      <c r="M2320" s="274"/>
      <c r="N2320" s="279" t="s">
        <v>25</v>
      </c>
      <c r="O2320" t="str">
        <f t="shared" si="75"/>
        <v>2022 American Eagle Unc</v>
      </c>
      <c r="T2320" t="str" cm="1">
        <f t="array" ref="T2320">RIGHT(_xlfn.REGEXEXTRACT(E2320,"[0-9]{4}([A-Z+]{3})"),3)</f>
        <v>DOL</v>
      </c>
    </row>
    <row r="2321" spans="1:20">
      <c r="A2321" s="136">
        <v>6</v>
      </c>
      <c r="B2321" s="246">
        <v>2022</v>
      </c>
      <c r="C2321" s="247" t="s">
        <v>1704</v>
      </c>
      <c r="D2321" s="247" t="s">
        <v>1968</v>
      </c>
      <c r="E2321" s="248" t="s">
        <v>1705</v>
      </c>
      <c r="F2321" s="248" t="s">
        <v>5290</v>
      </c>
      <c r="G2321" s="248" t="s">
        <v>2579</v>
      </c>
      <c r="H2321" s="249">
        <v>81.95</v>
      </c>
      <c r="I2321" s="265">
        <v>107</v>
      </c>
      <c r="J2321" s="246">
        <v>1</v>
      </c>
      <c r="K2321" s="266"/>
      <c r="L2321" s="242"/>
      <c r="M2321" s="274"/>
      <c r="N2321" s="279" t="s">
        <v>25</v>
      </c>
      <c r="O2321" t="str">
        <f t="shared" si="75"/>
        <v>2022-W American Eagle Unc</v>
      </c>
      <c r="T2321" t="str" cm="1">
        <f t="array" ref="T2321">RIGHT(_xlfn.REGEXEXTRACT(E2321,"[0-9]{4}([A-Z+]{3})"),3)</f>
        <v>DOL</v>
      </c>
    </row>
    <row r="2322" spans="1:20">
      <c r="A2322" s="136">
        <v>6</v>
      </c>
      <c r="B2322" s="246">
        <v>2023</v>
      </c>
      <c r="C2322" s="247" t="s">
        <v>12</v>
      </c>
      <c r="D2322" s="247" t="s">
        <v>1968</v>
      </c>
      <c r="E2322" s="248" t="s">
        <v>2104</v>
      </c>
      <c r="F2322" s="248" t="s">
        <v>2603</v>
      </c>
      <c r="G2322" s="248" t="s">
        <v>2579</v>
      </c>
      <c r="H2322" s="249"/>
      <c r="I2322" s="265">
        <v>107</v>
      </c>
      <c r="J2322" s="246">
        <v>1</v>
      </c>
      <c r="K2322" s="266"/>
      <c r="L2322" s="267"/>
      <c r="M2322" s="274"/>
      <c r="N2322" s="279" t="s">
        <v>25</v>
      </c>
      <c r="O2322" t="str">
        <f t="shared" si="75"/>
        <v>2023-S Morgan Dollar</v>
      </c>
      <c r="T2322" t="str" cm="1">
        <f t="array" ref="T2322">RIGHT(_xlfn.REGEXEXTRACT(E2322,"[0-9]{4}([A-Z+]{3})"),3)</f>
        <v>DOL</v>
      </c>
    </row>
    <row r="2323" spans="1:20">
      <c r="A2323" s="136">
        <v>6</v>
      </c>
      <c r="B2323" s="246">
        <v>2023</v>
      </c>
      <c r="C2323" s="247" t="s">
        <v>12</v>
      </c>
      <c r="D2323" s="247" t="s">
        <v>1968</v>
      </c>
      <c r="E2323" s="248" t="s">
        <v>2105</v>
      </c>
      <c r="F2323" s="248" t="s">
        <v>2574</v>
      </c>
      <c r="G2323" s="248" t="s">
        <v>2579</v>
      </c>
      <c r="H2323" s="249">
        <v>76</v>
      </c>
      <c r="I2323" s="265">
        <v>107</v>
      </c>
      <c r="J2323" s="246">
        <v>1</v>
      </c>
      <c r="K2323" s="266"/>
      <c r="L2323" s="267"/>
      <c r="M2323" s="274"/>
      <c r="N2323" s="279" t="s">
        <v>25</v>
      </c>
      <c r="O2323" t="str">
        <f t="shared" si="75"/>
        <v>2023-S Peace Dollar</v>
      </c>
      <c r="T2323" t="str" cm="1">
        <f t="array" ref="T2323">RIGHT(_xlfn.REGEXEXTRACT(E2323,"[0-9]{4}([A-Z+]{3})"),3)</f>
        <v>DOL</v>
      </c>
    </row>
    <row r="2324" spans="1:20">
      <c r="A2324" s="136">
        <v>6</v>
      </c>
      <c r="B2324" s="233">
        <v>2024</v>
      </c>
      <c r="C2324" s="234" t="s">
        <v>1704</v>
      </c>
      <c r="D2324" s="234" t="s">
        <v>1968</v>
      </c>
      <c r="E2324" s="235" t="s">
        <v>2234</v>
      </c>
      <c r="F2324" s="248" t="s">
        <v>2574</v>
      </c>
      <c r="G2324" s="235" t="s">
        <v>2579</v>
      </c>
      <c r="H2324" s="236">
        <v>30</v>
      </c>
      <c r="I2324" s="236">
        <v>30</v>
      </c>
      <c r="J2324" s="233">
        <v>1</v>
      </c>
      <c r="K2324" s="237"/>
      <c r="L2324" s="235"/>
      <c r="M2324" s="276" t="str">
        <f>HYPERLINK($Y$2&amp;E2324&amp;AA84,"Photo")</f>
        <v>Photo</v>
      </c>
      <c r="N2324" s="279"/>
      <c r="O2324" t="str">
        <f t="shared" si="75"/>
        <v>2024-W Peace Dollar</v>
      </c>
      <c r="T2324" t="str" cm="1">
        <f t="array" ref="T2324">RIGHT(_xlfn.REGEXEXTRACT(E2324,"[0-9]{4}([A-Z+]{3})"),3)</f>
        <v>DOL</v>
      </c>
    </row>
    <row r="2325" spans="1:20">
      <c r="A2325" s="136">
        <v>6</v>
      </c>
      <c r="B2325" s="246">
        <v>2025</v>
      </c>
      <c r="C2325" s="247"/>
      <c r="D2325" s="247" t="s">
        <v>1968</v>
      </c>
      <c r="E2325" s="248" t="s">
        <v>2612</v>
      </c>
      <c r="F2325" s="248" t="s">
        <v>5290</v>
      </c>
      <c r="G2325" s="248" t="s">
        <v>2579</v>
      </c>
      <c r="H2325" s="249">
        <v>38</v>
      </c>
      <c r="I2325" s="265">
        <v>115</v>
      </c>
      <c r="J2325" s="246">
        <v>1</v>
      </c>
      <c r="K2325" s="266"/>
      <c r="L2325" s="267"/>
      <c r="M2325" s="276" t="str">
        <f t="shared" ref="M2325:M2333" si="76">HYPERLINK($Y$2&amp;E2325&amp;$AA$2,"Photo")</f>
        <v>Photo</v>
      </c>
      <c r="N2325" s="279" t="s">
        <v>25</v>
      </c>
      <c r="O2325" t="str">
        <f t="shared" si="75"/>
        <v>2025 American Eagle Unc</v>
      </c>
      <c r="T2325" t="str" cm="1">
        <f t="array" ref="T2325">RIGHT(_xlfn.REGEXEXTRACT(E2325,"[0-9]{4}([A-Z+]{3})"),3)</f>
        <v>DOL</v>
      </c>
    </row>
    <row r="2326" spans="1:20">
      <c r="A2326" s="136">
        <v>6</v>
      </c>
      <c r="B2326" s="233">
        <v>2025</v>
      </c>
      <c r="C2326" s="234" t="s">
        <v>12</v>
      </c>
      <c r="D2326" s="234" t="s">
        <v>1968</v>
      </c>
      <c r="E2326" s="235" t="s">
        <v>2573</v>
      </c>
      <c r="F2326" s="248" t="s">
        <v>5288</v>
      </c>
      <c r="G2326" s="235" t="s">
        <v>2584</v>
      </c>
      <c r="H2326" s="236">
        <v>169</v>
      </c>
      <c r="I2326" s="236">
        <v>169</v>
      </c>
      <c r="J2326" s="233">
        <v>1</v>
      </c>
      <c r="K2326" s="237" t="s">
        <v>2578</v>
      </c>
      <c r="L2326" s="235"/>
      <c r="M2326" s="276" t="str">
        <f t="shared" si="76"/>
        <v>Photo</v>
      </c>
      <c r="N2326" s="279" t="s">
        <v>25</v>
      </c>
      <c r="O2326" t="str">
        <f t="shared" si="75"/>
        <v>2025-S Morgan Dollar Proof</v>
      </c>
      <c r="T2326" t="str" cm="1">
        <f t="array" ref="T2326">RIGHT(_xlfn.REGEXEXTRACT(E2326,"[0-9]{4}([A-Z+]{3})"),3)</f>
        <v>DOL</v>
      </c>
    </row>
    <row r="2327" spans="1:20">
      <c r="A2327" s="136">
        <v>6</v>
      </c>
      <c r="B2327" s="233">
        <v>2025</v>
      </c>
      <c r="C2327" s="234" t="s">
        <v>12</v>
      </c>
      <c r="D2327" s="234" t="s">
        <v>1968</v>
      </c>
      <c r="E2327" s="235" t="s">
        <v>2575</v>
      </c>
      <c r="F2327" s="248" t="s">
        <v>5288</v>
      </c>
      <c r="G2327" s="235" t="s">
        <v>2584</v>
      </c>
      <c r="H2327" s="236">
        <v>173</v>
      </c>
      <c r="I2327" s="236">
        <v>173</v>
      </c>
      <c r="J2327" s="233">
        <v>1</v>
      </c>
      <c r="K2327" s="237" t="s">
        <v>2578</v>
      </c>
      <c r="L2327" s="235"/>
      <c r="M2327" s="276" t="str">
        <f t="shared" si="76"/>
        <v>Photo</v>
      </c>
      <c r="N2327" s="279" t="s">
        <v>25</v>
      </c>
      <c r="O2327" t="str">
        <f t="shared" si="75"/>
        <v>2025-S Morgan Dollar Proof</v>
      </c>
      <c r="T2327" t="str" cm="1">
        <f t="array" ref="T2327">RIGHT(_xlfn.REGEXEXTRACT(E2327,"[0-9]{4}([A-Z+]{3})"),3)</f>
        <v>DOL</v>
      </c>
    </row>
    <row r="2328" spans="1:20">
      <c r="A2328" s="136">
        <v>6</v>
      </c>
      <c r="B2328" s="234">
        <v>2025</v>
      </c>
      <c r="C2328" s="234" t="s">
        <v>25</v>
      </c>
      <c r="D2328" s="234" t="s">
        <v>1968</v>
      </c>
      <c r="E2328" s="235" t="s">
        <v>2576</v>
      </c>
      <c r="F2328" s="248" t="s">
        <v>2603</v>
      </c>
      <c r="G2328" s="235" t="s">
        <v>2579</v>
      </c>
      <c r="H2328" s="273">
        <v>95</v>
      </c>
      <c r="I2328" s="236">
        <v>173</v>
      </c>
      <c r="J2328" s="234">
        <v>1</v>
      </c>
      <c r="K2328" s="237" t="s">
        <v>2578</v>
      </c>
      <c r="L2328" s="235"/>
      <c r="M2328" s="276" t="str">
        <f t="shared" si="76"/>
        <v>Photo</v>
      </c>
      <c r="N2328" s="279" t="s">
        <v>25</v>
      </c>
      <c r="O2328" t="str">
        <f t="shared" si="75"/>
        <v>2025-P Morgan Dollar</v>
      </c>
      <c r="T2328" t="str" cm="1">
        <f t="array" ref="T2328">RIGHT(_xlfn.REGEXEXTRACT(E2328,"[0-9]{4}([A-Z+]{3})"),3)</f>
        <v>DOL</v>
      </c>
    </row>
    <row r="2329" spans="1:20">
      <c r="A2329" s="136">
        <v>6</v>
      </c>
      <c r="B2329" s="233">
        <v>2025</v>
      </c>
      <c r="C2329" s="234" t="s">
        <v>25</v>
      </c>
      <c r="D2329" s="234" t="s">
        <v>1968</v>
      </c>
      <c r="E2329" s="235" t="s">
        <v>3816</v>
      </c>
      <c r="F2329" s="248" t="s">
        <v>2603</v>
      </c>
      <c r="G2329" s="235" t="s">
        <v>2579</v>
      </c>
      <c r="H2329" s="236">
        <v>91</v>
      </c>
      <c r="I2329" s="236">
        <v>173</v>
      </c>
      <c r="J2329" s="233">
        <v>1</v>
      </c>
      <c r="K2329" s="237" t="s">
        <v>2578</v>
      </c>
      <c r="L2329" s="235"/>
      <c r="M2329" s="276" t="str">
        <f t="shared" si="76"/>
        <v>Photo</v>
      </c>
      <c r="N2329" s="279" t="s">
        <v>25</v>
      </c>
      <c r="O2329" t="str">
        <f t="shared" si="75"/>
        <v>2025-P Morgan Dollar</v>
      </c>
      <c r="T2329" t="str" cm="1">
        <f t="array" ref="T2329">RIGHT(_xlfn.REGEXEXTRACT(E2329,"[0-9]{4}([A-Z+]{3})"),3)</f>
        <v>DOL</v>
      </c>
    </row>
    <row r="2330" spans="1:20">
      <c r="A2330" s="136">
        <v>6</v>
      </c>
      <c r="B2330" s="233">
        <v>2025</v>
      </c>
      <c r="C2330" s="234" t="s">
        <v>12</v>
      </c>
      <c r="D2330" s="234" t="s">
        <v>1968</v>
      </c>
      <c r="E2330" s="235" t="s">
        <v>2577</v>
      </c>
      <c r="F2330" s="235" t="s">
        <v>5289</v>
      </c>
      <c r="G2330" s="235" t="s">
        <v>2584</v>
      </c>
      <c r="H2330" s="236">
        <v>91</v>
      </c>
      <c r="I2330" s="236">
        <v>173</v>
      </c>
      <c r="J2330" s="233">
        <v>1</v>
      </c>
      <c r="K2330" s="237" t="s">
        <v>2578</v>
      </c>
      <c r="L2330" s="235"/>
      <c r="M2330" s="276" t="str">
        <f t="shared" si="76"/>
        <v>Photo</v>
      </c>
      <c r="N2330" s="279" t="s">
        <v>25</v>
      </c>
      <c r="O2330" t="str">
        <f t="shared" si="75"/>
        <v>2025-S Peace Dollar Proof</v>
      </c>
      <c r="T2330" t="str" cm="1">
        <f t="array" ref="T2330">RIGHT(_xlfn.REGEXEXTRACT(E2330,"[0-9]{4}([A-Z+]{3})"),3)</f>
        <v>DOL</v>
      </c>
    </row>
    <row r="2331" spans="1:20">
      <c r="A2331" s="136">
        <v>6</v>
      </c>
      <c r="B2331" s="233">
        <v>2025</v>
      </c>
      <c r="C2331" s="234" t="s">
        <v>12</v>
      </c>
      <c r="D2331" s="234" t="s">
        <v>1968</v>
      </c>
      <c r="E2331" s="235" t="s">
        <v>3817</v>
      </c>
      <c r="F2331" s="235" t="s">
        <v>5289</v>
      </c>
      <c r="G2331" s="235" t="s">
        <v>2584</v>
      </c>
      <c r="H2331" s="236">
        <v>169</v>
      </c>
      <c r="I2331" s="236">
        <v>169</v>
      </c>
      <c r="J2331" s="233">
        <v>1</v>
      </c>
      <c r="K2331" s="237" t="s">
        <v>2578</v>
      </c>
      <c r="L2331" s="235"/>
      <c r="M2331" s="276" t="str">
        <f t="shared" si="76"/>
        <v>Photo</v>
      </c>
      <c r="N2331" s="279" t="s">
        <v>25</v>
      </c>
      <c r="O2331" t="str">
        <f t="shared" si="75"/>
        <v>2025-S Peace Dollar Proof</v>
      </c>
      <c r="T2331" t="str" cm="1">
        <f t="array" ref="T2331">RIGHT(_xlfn.REGEXEXTRACT(E2331,"[0-9]{4}([A-Z+]{3})"),3)</f>
        <v>DOL</v>
      </c>
    </row>
    <row r="2332" spans="1:20">
      <c r="A2332" s="136">
        <v>6</v>
      </c>
      <c r="B2332" s="233">
        <v>2025</v>
      </c>
      <c r="C2332" s="234" t="s">
        <v>12</v>
      </c>
      <c r="D2332" s="234" t="s">
        <v>1968</v>
      </c>
      <c r="E2332" s="235" t="s">
        <v>3815</v>
      </c>
      <c r="F2332" s="235" t="s">
        <v>2574</v>
      </c>
      <c r="G2332" s="235" t="s">
        <v>2579</v>
      </c>
      <c r="H2332" s="236">
        <v>173</v>
      </c>
      <c r="I2332" s="236">
        <v>173</v>
      </c>
      <c r="J2332" s="233">
        <v>1</v>
      </c>
      <c r="K2332" s="237" t="s">
        <v>2578</v>
      </c>
      <c r="L2332" s="235"/>
      <c r="M2332" s="276" t="str">
        <f t="shared" si="76"/>
        <v>Photo</v>
      </c>
      <c r="N2332" s="279" t="s">
        <v>25</v>
      </c>
      <c r="O2332" t="str">
        <f t="shared" si="75"/>
        <v>2025-S Peace Dollar</v>
      </c>
      <c r="T2332" t="str" cm="1">
        <f t="array" ref="T2332">RIGHT(_xlfn.REGEXEXTRACT(E2332,"[0-9]{4}([A-Z+]{3})"),3)</f>
        <v>DOL</v>
      </c>
    </row>
    <row r="2333" spans="1:20">
      <c r="A2333" s="136">
        <v>6</v>
      </c>
      <c r="B2333" s="233">
        <v>2025</v>
      </c>
      <c r="C2333" s="234" t="s">
        <v>12</v>
      </c>
      <c r="D2333" s="234" t="s">
        <v>1968</v>
      </c>
      <c r="E2333" s="235" t="s">
        <v>3818</v>
      </c>
      <c r="F2333" s="235" t="s">
        <v>2574</v>
      </c>
      <c r="G2333" s="235" t="s">
        <v>2579</v>
      </c>
      <c r="H2333" s="236">
        <v>95</v>
      </c>
      <c r="I2333" s="236">
        <v>173</v>
      </c>
      <c r="J2333" s="233">
        <v>1</v>
      </c>
      <c r="K2333" s="237" t="s">
        <v>2578</v>
      </c>
      <c r="L2333" s="235"/>
      <c r="M2333" s="276" t="str">
        <f t="shared" si="76"/>
        <v>Photo</v>
      </c>
      <c r="N2333" s="279" t="s">
        <v>25</v>
      </c>
      <c r="O2333" t="str">
        <f t="shared" si="75"/>
        <v>2025-S Peace Dollar</v>
      </c>
      <c r="T2333" t="str" cm="1">
        <f t="array" ref="T2333">RIGHT(_xlfn.REGEXEXTRACT(E2333,"[0-9]{4}([A-Z+]{3})"),3)</f>
        <v>DOL</v>
      </c>
    </row>
    <row r="2334" spans="1:20">
      <c r="A2334" s="136">
        <v>7</v>
      </c>
      <c r="B2334" s="246">
        <v>1928</v>
      </c>
      <c r="C2334" s="247" t="s">
        <v>1708</v>
      </c>
      <c r="D2334" s="247" t="s">
        <v>1972</v>
      </c>
      <c r="E2334" s="248" t="s">
        <v>1749</v>
      </c>
      <c r="F2334" s="268" t="s">
        <v>3734</v>
      </c>
      <c r="G2334" s="269" t="s">
        <v>2579</v>
      </c>
      <c r="H2334" s="249">
        <v>2</v>
      </c>
      <c r="I2334" s="265">
        <v>10</v>
      </c>
      <c r="J2334" s="246">
        <v>1</v>
      </c>
      <c r="K2334" s="266"/>
      <c r="L2334" s="242"/>
      <c r="M2334" s="274"/>
      <c r="N2334" s="279"/>
      <c r="O2334" t="str">
        <f t="shared" si="75"/>
        <v>1928-C Two Dollar Bill</v>
      </c>
      <c r="T2334" t="e" cm="1" vm="1">
        <f t="array" ref="T2334">RIGHT(_xlfn.REGEXEXTRACT(E2334,"[0-9]{4}([A-Z+]{3})"),3)</f>
        <v>#N/A</v>
      </c>
    </row>
    <row r="2335" spans="1:20">
      <c r="A2335" s="136">
        <v>7</v>
      </c>
      <c r="B2335" s="246">
        <v>1935</v>
      </c>
      <c r="C2335" s="247" t="s">
        <v>1728</v>
      </c>
      <c r="D2335" s="247" t="s">
        <v>1972</v>
      </c>
      <c r="E2335" s="248" t="s">
        <v>1729</v>
      </c>
      <c r="F2335" s="268" t="s">
        <v>2589</v>
      </c>
      <c r="G2335" s="269" t="s">
        <v>2579</v>
      </c>
      <c r="H2335" s="249">
        <v>1</v>
      </c>
      <c r="I2335" s="265">
        <v>1.5</v>
      </c>
      <c r="J2335" s="246">
        <v>1</v>
      </c>
      <c r="K2335" s="250" t="s">
        <v>2116</v>
      </c>
      <c r="L2335" s="235"/>
      <c r="M2335" s="276"/>
      <c r="N2335" s="279"/>
      <c r="O2335" t="str">
        <f t="shared" si="75"/>
        <v>1935-G Dollar Bill</v>
      </c>
      <c r="T2335" t="e" cm="1" vm="1">
        <f t="array" ref="T2335">RIGHT(_xlfn.REGEXEXTRACT(E2335,"[0-9]{4}([A-Z+]{3})"),3)</f>
        <v>#N/A</v>
      </c>
    </row>
    <row r="2336" spans="1:20">
      <c r="A2336" s="136">
        <v>7</v>
      </c>
      <c r="B2336" s="246">
        <v>1935</v>
      </c>
      <c r="C2336" s="247" t="s">
        <v>1724</v>
      </c>
      <c r="D2336" s="247" t="s">
        <v>1972</v>
      </c>
      <c r="E2336" s="248" t="s">
        <v>1730</v>
      </c>
      <c r="F2336" s="268" t="s">
        <v>2589</v>
      </c>
      <c r="G2336" s="269" t="s">
        <v>2579</v>
      </c>
      <c r="H2336" s="249">
        <v>1</v>
      </c>
      <c r="I2336" s="265">
        <v>1.5</v>
      </c>
      <c r="J2336" s="246">
        <v>1</v>
      </c>
      <c r="K2336" s="250" t="s">
        <v>2116</v>
      </c>
      <c r="L2336" s="235"/>
      <c r="M2336" s="276"/>
      <c r="N2336" s="279"/>
      <c r="O2336" t="str">
        <f t="shared" ref="O2336:O2351" si="77">IF(C2336&lt;&gt;"",B2336&amp;"-"&amp;C2336&amp;" "&amp;F2336,B2336&amp;" "&amp;F2336)</f>
        <v>1935-E Dollar Bill</v>
      </c>
      <c r="T2336" t="e" cm="1" vm="1">
        <f t="array" ref="T2336">RIGHT(_xlfn.REGEXEXTRACT(E2336,"[0-9]{4}([A-Z+]{3})"),3)</f>
        <v>#N/A</v>
      </c>
    </row>
    <row r="2337" spans="1:20">
      <c r="A2337" s="136">
        <v>7</v>
      </c>
      <c r="B2337" s="246">
        <v>1935</v>
      </c>
      <c r="C2337" s="247" t="s">
        <v>1724</v>
      </c>
      <c r="D2337" s="247" t="s">
        <v>1972</v>
      </c>
      <c r="E2337" s="248" t="s">
        <v>1733</v>
      </c>
      <c r="F2337" s="268" t="s">
        <v>2589</v>
      </c>
      <c r="G2337" s="269" t="s">
        <v>2579</v>
      </c>
      <c r="H2337" s="249">
        <v>1</v>
      </c>
      <c r="I2337" s="265">
        <v>1.5</v>
      </c>
      <c r="J2337" s="246">
        <v>1</v>
      </c>
      <c r="K2337" s="250" t="s">
        <v>2116</v>
      </c>
      <c r="L2337" s="235"/>
      <c r="M2337" s="276"/>
      <c r="N2337" s="279"/>
      <c r="O2337" t="str">
        <f t="shared" si="77"/>
        <v>1935-E Dollar Bill</v>
      </c>
      <c r="T2337" t="e" cm="1" vm="1">
        <f t="array" ref="T2337">RIGHT(_xlfn.REGEXEXTRACT(E2337,"[0-9]{4}([A-Z+]{3})"),3)</f>
        <v>#N/A</v>
      </c>
    </row>
    <row r="2338" spans="1:20">
      <c r="A2338" s="136">
        <v>7</v>
      </c>
      <c r="B2338" s="246">
        <v>1935</v>
      </c>
      <c r="C2338" s="247" t="s">
        <v>1708</v>
      </c>
      <c r="D2338" s="247" t="s">
        <v>1972</v>
      </c>
      <c r="E2338" s="248" t="s">
        <v>2306</v>
      </c>
      <c r="F2338" s="268" t="s">
        <v>2589</v>
      </c>
      <c r="G2338" s="269" t="s">
        <v>2579</v>
      </c>
      <c r="H2338" s="249">
        <v>1</v>
      </c>
      <c r="I2338" s="265">
        <v>1</v>
      </c>
      <c r="J2338" s="246">
        <v>1</v>
      </c>
      <c r="K2338" s="250" t="s">
        <v>2116</v>
      </c>
      <c r="L2338" s="235"/>
      <c r="M2338" s="276"/>
      <c r="N2338" s="279"/>
      <c r="O2338" t="str">
        <f t="shared" si="77"/>
        <v>1935-C Dollar Bill</v>
      </c>
      <c r="T2338" t="e" cm="1" vm="1">
        <f t="array" ref="T2338">RIGHT(_xlfn.REGEXEXTRACT(E2338,"[0-9]{4}([A-Z+]{3})"),3)</f>
        <v>#N/A</v>
      </c>
    </row>
    <row r="2339" spans="1:20">
      <c r="A2339" s="136">
        <v>7</v>
      </c>
      <c r="B2339" s="246">
        <v>1935</v>
      </c>
      <c r="C2339" s="247" t="s">
        <v>1724</v>
      </c>
      <c r="D2339" s="247" t="s">
        <v>1972</v>
      </c>
      <c r="E2339" s="248" t="s">
        <v>1725</v>
      </c>
      <c r="F2339" s="268" t="s">
        <v>2589</v>
      </c>
      <c r="G2339" s="269" t="s">
        <v>2579</v>
      </c>
      <c r="H2339" s="249">
        <v>1</v>
      </c>
      <c r="I2339" s="265">
        <v>1.5</v>
      </c>
      <c r="J2339" s="246">
        <v>1</v>
      </c>
      <c r="K2339" s="250" t="s">
        <v>2116</v>
      </c>
      <c r="L2339" s="235"/>
      <c r="M2339" s="276"/>
      <c r="N2339" s="279"/>
      <c r="O2339" t="str">
        <f t="shared" si="77"/>
        <v>1935-E Dollar Bill</v>
      </c>
      <c r="T2339" t="e" cm="1" vm="1">
        <f t="array" ref="T2339">RIGHT(_xlfn.REGEXEXTRACT(E2339,"[0-9]{4}([A-Z+]{3})"),3)</f>
        <v>#N/A</v>
      </c>
    </row>
    <row r="2340" spans="1:20">
      <c r="A2340" s="136">
        <v>7</v>
      </c>
      <c r="B2340" s="246">
        <v>1935</v>
      </c>
      <c r="C2340" s="247" t="s">
        <v>1726</v>
      </c>
      <c r="D2340" s="247" t="s">
        <v>1972</v>
      </c>
      <c r="E2340" s="248" t="s">
        <v>1727</v>
      </c>
      <c r="F2340" s="268" t="s">
        <v>2589</v>
      </c>
      <c r="G2340" s="269" t="s">
        <v>2579</v>
      </c>
      <c r="H2340" s="249">
        <v>1</v>
      </c>
      <c r="I2340" s="265">
        <v>1.5</v>
      </c>
      <c r="J2340" s="246">
        <v>1</v>
      </c>
      <c r="K2340" s="250" t="s">
        <v>2116</v>
      </c>
      <c r="L2340" s="235"/>
      <c r="M2340" s="276"/>
      <c r="N2340" s="279"/>
      <c r="O2340" t="str">
        <f t="shared" si="77"/>
        <v>1935-F Dollar Bill</v>
      </c>
      <c r="T2340" t="e" cm="1" vm="1">
        <f t="array" ref="T2340">RIGHT(_xlfn.REGEXEXTRACT(E2340,"[0-9]{4}([A-Z+]{3})"),3)</f>
        <v>#N/A</v>
      </c>
    </row>
    <row r="2341" spans="1:20">
      <c r="A2341" s="136">
        <v>7</v>
      </c>
      <c r="B2341" s="246">
        <v>1935</v>
      </c>
      <c r="C2341" s="247" t="s">
        <v>1726</v>
      </c>
      <c r="D2341" s="247" t="s">
        <v>1972</v>
      </c>
      <c r="E2341" s="248" t="s">
        <v>1734</v>
      </c>
      <c r="F2341" s="268" t="s">
        <v>2589</v>
      </c>
      <c r="G2341" s="269" t="s">
        <v>2579</v>
      </c>
      <c r="H2341" s="249">
        <v>1</v>
      </c>
      <c r="I2341" s="265">
        <v>1.5</v>
      </c>
      <c r="J2341" s="246">
        <v>1</v>
      </c>
      <c r="K2341" s="250" t="s">
        <v>2116</v>
      </c>
      <c r="L2341" s="235"/>
      <c r="M2341" s="276"/>
      <c r="N2341" s="279"/>
      <c r="O2341" t="str">
        <f t="shared" si="77"/>
        <v>1935-F Dollar Bill</v>
      </c>
      <c r="T2341" t="e" cm="1" vm="1">
        <f t="array" ref="T2341">RIGHT(_xlfn.REGEXEXTRACT(E2341,"[0-9]{4}([A-Z+]{3})"),3)</f>
        <v>#N/A</v>
      </c>
    </row>
    <row r="2342" spans="1:20">
      <c r="A2342" s="136">
        <v>7</v>
      </c>
      <c r="B2342" s="246">
        <v>1935</v>
      </c>
      <c r="C2342" s="247" t="s">
        <v>1726</v>
      </c>
      <c r="D2342" s="247" t="s">
        <v>1972</v>
      </c>
      <c r="E2342" s="248" t="s">
        <v>1731</v>
      </c>
      <c r="F2342" s="268" t="s">
        <v>2589</v>
      </c>
      <c r="G2342" s="269" t="s">
        <v>2579</v>
      </c>
      <c r="H2342" s="249">
        <v>1</v>
      </c>
      <c r="I2342" s="265">
        <v>1.5</v>
      </c>
      <c r="J2342" s="246">
        <v>1</v>
      </c>
      <c r="K2342" s="237" t="s">
        <v>2116</v>
      </c>
      <c r="L2342" s="250" t="s">
        <v>3810</v>
      </c>
      <c r="M2342" s="276"/>
      <c r="N2342" s="279"/>
      <c r="O2342" t="str">
        <f t="shared" si="77"/>
        <v>1935-F Dollar Bill</v>
      </c>
      <c r="T2342" t="e" cm="1" vm="1">
        <f t="array" ref="T2342">RIGHT(_xlfn.REGEXEXTRACT(E2342,"[0-9]{4}([A-Z+]{3})"),3)</f>
        <v>#N/A</v>
      </c>
    </row>
    <row r="2343" spans="1:20">
      <c r="A2343" s="136">
        <v>7</v>
      </c>
      <c r="B2343" s="246">
        <v>1935</v>
      </c>
      <c r="C2343" s="247" t="s">
        <v>1724</v>
      </c>
      <c r="D2343" s="247" t="s">
        <v>1972</v>
      </c>
      <c r="E2343" s="248" t="s">
        <v>1735</v>
      </c>
      <c r="F2343" s="268" t="s">
        <v>2589</v>
      </c>
      <c r="G2343" s="269" t="s">
        <v>2579</v>
      </c>
      <c r="H2343" s="249">
        <v>1</v>
      </c>
      <c r="I2343" s="265">
        <v>1.5</v>
      </c>
      <c r="J2343" s="246">
        <v>1</v>
      </c>
      <c r="K2343" s="250" t="s">
        <v>2116</v>
      </c>
      <c r="L2343" s="235"/>
      <c r="M2343" s="276"/>
      <c r="N2343" s="279"/>
      <c r="O2343" t="str">
        <f t="shared" si="77"/>
        <v>1935-E Dollar Bill</v>
      </c>
      <c r="T2343" t="e" cm="1" vm="1">
        <f t="array" ref="T2343">RIGHT(_xlfn.REGEXEXTRACT(E2343,"[0-9]{4}([A-Z+]{3})"),3)</f>
        <v>#N/A</v>
      </c>
    </row>
    <row r="2344" spans="1:20">
      <c r="A2344" s="136">
        <v>7</v>
      </c>
      <c r="B2344" s="246">
        <v>1953</v>
      </c>
      <c r="C2344" s="247" t="s">
        <v>1715</v>
      </c>
      <c r="D2344" s="247" t="s">
        <v>1972</v>
      </c>
      <c r="E2344" s="248" t="s">
        <v>1745</v>
      </c>
      <c r="F2344" s="268" t="s">
        <v>3734</v>
      </c>
      <c r="G2344" s="269" t="s">
        <v>2579</v>
      </c>
      <c r="H2344" s="249">
        <v>2</v>
      </c>
      <c r="I2344" s="265">
        <v>2</v>
      </c>
      <c r="J2344" s="246">
        <v>1</v>
      </c>
      <c r="K2344" s="250"/>
      <c r="L2344" s="235"/>
      <c r="M2344" s="276"/>
      <c r="N2344" s="279"/>
      <c r="O2344" t="str">
        <f t="shared" si="77"/>
        <v>1953-A Two Dollar Bill</v>
      </c>
      <c r="T2344" t="e" cm="1" vm="1">
        <f t="array" ref="T2344">RIGHT(_xlfn.REGEXEXTRACT(E2344,"[0-9]{4}([A-Z+]{3})"),3)</f>
        <v>#N/A</v>
      </c>
    </row>
    <row r="2345" spans="1:20">
      <c r="A2345" s="136">
        <v>7</v>
      </c>
      <c r="B2345" s="246">
        <v>1953</v>
      </c>
      <c r="C2345" s="247" t="s">
        <v>1715</v>
      </c>
      <c r="D2345" s="247" t="s">
        <v>1972</v>
      </c>
      <c r="E2345" s="248" t="s">
        <v>1747</v>
      </c>
      <c r="F2345" s="268" t="s">
        <v>3734</v>
      </c>
      <c r="G2345" s="269" t="s">
        <v>2579</v>
      </c>
      <c r="H2345" s="249">
        <v>2</v>
      </c>
      <c r="I2345" s="265">
        <v>2</v>
      </c>
      <c r="J2345" s="246">
        <v>1</v>
      </c>
      <c r="K2345" s="250"/>
      <c r="L2345" s="235"/>
      <c r="M2345" s="276"/>
      <c r="N2345" s="279"/>
      <c r="O2345" t="str">
        <f t="shared" si="77"/>
        <v>1953-A Two Dollar Bill</v>
      </c>
      <c r="T2345" t="e" cm="1" vm="1">
        <f t="array" ref="T2345">RIGHT(_xlfn.REGEXEXTRACT(E2345,"[0-9]{4}([A-Z+]{3})"),3)</f>
        <v>#N/A</v>
      </c>
    </row>
    <row r="2346" spans="1:20">
      <c r="A2346" s="136">
        <v>7</v>
      </c>
      <c r="B2346" s="246">
        <v>1953</v>
      </c>
      <c r="C2346" s="247" t="s">
        <v>1719</v>
      </c>
      <c r="D2346" s="247" t="s">
        <v>1972</v>
      </c>
      <c r="E2346" s="248" t="s">
        <v>1743</v>
      </c>
      <c r="F2346" s="268" t="s">
        <v>3734</v>
      </c>
      <c r="G2346" s="269" t="s">
        <v>2579</v>
      </c>
      <c r="H2346" s="249">
        <v>2</v>
      </c>
      <c r="I2346" s="265">
        <v>2</v>
      </c>
      <c r="J2346" s="246">
        <v>1</v>
      </c>
      <c r="K2346" s="250"/>
      <c r="L2346" s="235"/>
      <c r="M2346" s="276"/>
      <c r="N2346" s="279"/>
      <c r="O2346" t="str">
        <f t="shared" si="77"/>
        <v>1953-B Two Dollar Bill</v>
      </c>
      <c r="T2346" t="e" cm="1" vm="1">
        <f t="array" ref="T2346">RIGHT(_xlfn.REGEXEXTRACT(E2346,"[0-9]{4}([A-Z+]{3})"),3)</f>
        <v>#N/A</v>
      </c>
    </row>
    <row r="2347" spans="1:20">
      <c r="A2347" s="136">
        <v>7</v>
      </c>
      <c r="B2347" s="246">
        <v>1953</v>
      </c>
      <c r="C2347" s="247" t="s">
        <v>1719</v>
      </c>
      <c r="D2347" s="247" t="s">
        <v>1972</v>
      </c>
      <c r="E2347" s="248" t="s">
        <v>1742</v>
      </c>
      <c r="F2347" s="268" t="s">
        <v>3734</v>
      </c>
      <c r="G2347" s="269" t="s">
        <v>2579</v>
      </c>
      <c r="H2347" s="249">
        <v>2</v>
      </c>
      <c r="I2347" s="265">
        <v>2</v>
      </c>
      <c r="J2347" s="246">
        <v>1</v>
      </c>
      <c r="K2347" s="250"/>
      <c r="L2347" s="235"/>
      <c r="M2347" s="276"/>
      <c r="N2347" s="279"/>
      <c r="O2347" t="str">
        <f t="shared" si="77"/>
        <v>1953-B Two Dollar Bill</v>
      </c>
      <c r="T2347" t="e" cm="1" vm="1">
        <f t="array" ref="T2347">RIGHT(_xlfn.REGEXEXTRACT(E2347,"[0-9]{4}([A-Z+]{3})"),3)</f>
        <v>#N/A</v>
      </c>
    </row>
    <row r="2348" spans="1:20">
      <c r="A2348" s="136">
        <v>7</v>
      </c>
      <c r="B2348" s="246">
        <v>1953</v>
      </c>
      <c r="C2348" s="247" t="s">
        <v>1708</v>
      </c>
      <c r="D2348" s="247" t="s">
        <v>1972</v>
      </c>
      <c r="E2348" s="248" t="s">
        <v>1746</v>
      </c>
      <c r="F2348" s="268" t="s">
        <v>3734</v>
      </c>
      <c r="G2348" s="269" t="s">
        <v>2579</v>
      </c>
      <c r="H2348" s="249">
        <v>2</v>
      </c>
      <c r="I2348" s="265">
        <v>2</v>
      </c>
      <c r="J2348" s="246">
        <v>1</v>
      </c>
      <c r="K2348" s="250"/>
      <c r="L2348" s="235"/>
      <c r="M2348" s="276"/>
      <c r="N2348" s="279"/>
      <c r="O2348" t="str">
        <f t="shared" si="77"/>
        <v>1953-C Two Dollar Bill</v>
      </c>
      <c r="T2348" t="e" cm="1" vm="1">
        <f t="array" ref="T2348">RIGHT(_xlfn.REGEXEXTRACT(E2348,"[0-9]{4}([A-Z+]{3})"),3)</f>
        <v>#N/A</v>
      </c>
    </row>
    <row r="2349" spans="1:20">
      <c r="A2349" s="136">
        <v>7</v>
      </c>
      <c r="B2349" s="246">
        <v>1953</v>
      </c>
      <c r="C2349" s="247" t="s">
        <v>1708</v>
      </c>
      <c r="D2349" s="247" t="s">
        <v>1972</v>
      </c>
      <c r="E2349" s="248" t="s">
        <v>1744</v>
      </c>
      <c r="F2349" s="268" t="s">
        <v>3734</v>
      </c>
      <c r="G2349" s="269" t="s">
        <v>2579</v>
      </c>
      <c r="H2349" s="249">
        <v>2</v>
      </c>
      <c r="I2349" s="265">
        <v>2</v>
      </c>
      <c r="J2349" s="246">
        <v>1</v>
      </c>
      <c r="K2349" s="250"/>
      <c r="L2349" s="235"/>
      <c r="M2349" s="276"/>
      <c r="N2349" s="279"/>
      <c r="O2349" t="str">
        <f t="shared" si="77"/>
        <v>1953-C Two Dollar Bill</v>
      </c>
      <c r="T2349" t="e" cm="1" vm="1">
        <f t="array" ref="T2349">RIGHT(_xlfn.REGEXEXTRACT(E2349,"[0-9]{4}([A-Z+]{3})"),3)</f>
        <v>#N/A</v>
      </c>
    </row>
    <row r="2350" spans="1:20">
      <c r="A2350" s="136">
        <v>7</v>
      </c>
      <c r="B2350" s="246">
        <v>1953</v>
      </c>
      <c r="C2350" s="247" t="s">
        <v>1708</v>
      </c>
      <c r="D2350" s="247" t="s">
        <v>1972</v>
      </c>
      <c r="E2350" s="248" t="s">
        <v>1748</v>
      </c>
      <c r="F2350" s="268" t="s">
        <v>3734</v>
      </c>
      <c r="G2350" s="269" t="s">
        <v>2579</v>
      </c>
      <c r="H2350" s="249">
        <v>2</v>
      </c>
      <c r="I2350" s="265">
        <v>2</v>
      </c>
      <c r="J2350" s="246">
        <v>1</v>
      </c>
      <c r="K2350" s="250"/>
      <c r="L2350" s="235"/>
      <c r="M2350" s="276"/>
      <c r="N2350" s="279"/>
      <c r="O2350" t="str">
        <f t="shared" si="77"/>
        <v>1953-C Two Dollar Bill</v>
      </c>
      <c r="T2350" t="e" cm="1" vm="1">
        <f t="array" ref="T2350">RIGHT(_xlfn.REGEXEXTRACT(E2350,"[0-9]{4}([A-Z+]{3})"),3)</f>
        <v>#N/A</v>
      </c>
    </row>
    <row r="2351" spans="1:20">
      <c r="A2351" s="136">
        <v>7</v>
      </c>
      <c r="B2351" s="246">
        <v>1957</v>
      </c>
      <c r="C2351" s="247" t="s">
        <v>1719</v>
      </c>
      <c r="D2351" s="247" t="s">
        <v>1972</v>
      </c>
      <c r="E2351" s="248" t="s">
        <v>1721</v>
      </c>
      <c r="F2351" s="268" t="s">
        <v>2589</v>
      </c>
      <c r="G2351" s="269" t="s">
        <v>2579</v>
      </c>
      <c r="H2351" s="249">
        <v>1</v>
      </c>
      <c r="I2351" s="265">
        <v>1.5</v>
      </c>
      <c r="J2351" s="246">
        <v>1</v>
      </c>
      <c r="K2351" s="250" t="s">
        <v>2116</v>
      </c>
      <c r="L2351" s="235"/>
      <c r="M2351" s="276"/>
      <c r="N2351" s="279"/>
      <c r="O2351" t="str">
        <f t="shared" si="77"/>
        <v>1957-B Dollar Bill</v>
      </c>
      <c r="T2351" t="e" cm="1" vm="1">
        <f t="array" ref="T2351">RIGHT(_xlfn.REGEXEXTRACT(E2351,"[0-9]{4}([A-Z+]{3})"),3)</f>
        <v>#N/A</v>
      </c>
    </row>
    <row r="2352" spans="1:20">
      <c r="A2352" s="136">
        <v>7</v>
      </c>
      <c r="B2352" s="246">
        <v>1957</v>
      </c>
      <c r="C2352" s="247" t="s">
        <v>1708</v>
      </c>
      <c r="D2352" s="247" t="s">
        <v>1972</v>
      </c>
      <c r="E2352" s="248" t="s">
        <v>1722</v>
      </c>
      <c r="F2352" s="268" t="s">
        <v>2589</v>
      </c>
      <c r="G2352" s="269" t="s">
        <v>2579</v>
      </c>
      <c r="H2352" s="249">
        <v>1</v>
      </c>
      <c r="I2352" s="265">
        <v>1.5</v>
      </c>
      <c r="J2352" s="246">
        <v>1</v>
      </c>
      <c r="K2352" s="250" t="s">
        <v>2116</v>
      </c>
      <c r="L2352" s="235"/>
      <c r="M2352" s="276"/>
      <c r="N2352" s="279"/>
      <c r="O2352" t="str">
        <f>IF(C2352&lt;&gt;"",B2352&amp;"-"&amp;C2352&amp;" "&amp;K2352,B2352&amp;" "&amp;K2352)</f>
        <v>1957-C Silver Certificate</v>
      </c>
      <c r="T2352" t="e" cm="1" vm="1">
        <f t="array" ref="T2352">RIGHT(_xlfn.REGEXEXTRACT(E2352,"[0-9]{4}([A-Z+]{3})"),3)</f>
        <v>#N/A</v>
      </c>
    </row>
    <row r="2353" spans="1:20">
      <c r="A2353" s="136">
        <v>7</v>
      </c>
      <c r="B2353" s="246">
        <v>1957</v>
      </c>
      <c r="C2353" s="247" t="s">
        <v>1708</v>
      </c>
      <c r="D2353" s="247" t="s">
        <v>1972</v>
      </c>
      <c r="E2353" s="248" t="s">
        <v>1718</v>
      </c>
      <c r="F2353" s="268" t="s">
        <v>2589</v>
      </c>
      <c r="G2353" s="269" t="s">
        <v>2579</v>
      </c>
      <c r="H2353" s="249">
        <v>1</v>
      </c>
      <c r="I2353" s="265">
        <v>1.5</v>
      </c>
      <c r="J2353" s="246">
        <v>1</v>
      </c>
      <c r="K2353" s="250" t="s">
        <v>2116</v>
      </c>
      <c r="L2353" s="235"/>
      <c r="M2353" s="276"/>
      <c r="N2353" s="279"/>
      <c r="O2353" t="str">
        <f>IF(C2353&lt;&gt;"",B2353&amp;"-"&amp;C2353&amp;" "&amp;K2353,B2353&amp;" "&amp;K2353)</f>
        <v>1957-C Silver Certificate</v>
      </c>
      <c r="T2353" t="e" cm="1" vm="1">
        <f t="array" ref="T2353">RIGHT(_xlfn.REGEXEXTRACT(E2353,"[0-9]{4}([A-Z+]{3})"),3)</f>
        <v>#N/A</v>
      </c>
    </row>
    <row r="2354" spans="1:20">
      <c r="A2354" s="136">
        <v>7</v>
      </c>
      <c r="B2354" s="246">
        <v>1957</v>
      </c>
      <c r="C2354" s="247" t="s">
        <v>1715</v>
      </c>
      <c r="D2354" s="247" t="s">
        <v>1972</v>
      </c>
      <c r="E2354" s="248" t="s">
        <v>1723</v>
      </c>
      <c r="F2354" s="268" t="s">
        <v>2589</v>
      </c>
      <c r="G2354" s="269" t="s">
        <v>2579</v>
      </c>
      <c r="H2354" s="249">
        <v>1</v>
      </c>
      <c r="I2354" s="265">
        <v>1.5</v>
      </c>
      <c r="J2354" s="246">
        <v>1</v>
      </c>
      <c r="K2354" s="250" t="s">
        <v>2116</v>
      </c>
      <c r="L2354" s="235"/>
      <c r="M2354" s="276"/>
      <c r="N2354" s="279"/>
      <c r="O2354" t="str">
        <f t="shared" ref="O2354:O2417" si="78">IF(C2354&lt;&gt;"",B2354&amp;"-"&amp;C2354&amp;" "&amp;F2354,B2354&amp;" "&amp;F2354)</f>
        <v>1957-A Dollar Bill</v>
      </c>
      <c r="T2354" t="e" cm="1" vm="1">
        <f t="array" ref="T2354">RIGHT(_xlfn.REGEXEXTRACT(E2354,"[0-9]{4}([A-Z+]{3})"),3)</f>
        <v>#N/A</v>
      </c>
    </row>
    <row r="2355" spans="1:20">
      <c r="A2355" s="136">
        <v>7</v>
      </c>
      <c r="B2355" s="246">
        <v>1957</v>
      </c>
      <c r="C2355" s="247" t="s">
        <v>1719</v>
      </c>
      <c r="D2355" s="247" t="s">
        <v>1972</v>
      </c>
      <c r="E2355" s="248" t="s">
        <v>1720</v>
      </c>
      <c r="F2355" s="268" t="s">
        <v>2589</v>
      </c>
      <c r="G2355" s="269" t="s">
        <v>2579</v>
      </c>
      <c r="H2355" s="249">
        <v>1</v>
      </c>
      <c r="I2355" s="265">
        <v>1.5</v>
      </c>
      <c r="J2355" s="246">
        <v>1</v>
      </c>
      <c r="K2355" s="250" t="s">
        <v>2116</v>
      </c>
      <c r="L2355" s="235"/>
      <c r="M2355" s="276"/>
      <c r="N2355" s="279"/>
      <c r="O2355" t="str">
        <f t="shared" si="78"/>
        <v>1957-B Dollar Bill</v>
      </c>
      <c r="T2355" t="e" cm="1" vm="1">
        <f t="array" ref="T2355">RIGHT(_xlfn.REGEXEXTRACT(E2355,"[0-9]{4}([A-Z+]{3})"),3)</f>
        <v>#N/A</v>
      </c>
    </row>
    <row r="2356" spans="1:20">
      <c r="A2356" s="136">
        <v>7</v>
      </c>
      <c r="B2356" s="246">
        <v>1963</v>
      </c>
      <c r="C2356" s="247" t="s">
        <v>1715</v>
      </c>
      <c r="D2356" s="247" t="s">
        <v>1972</v>
      </c>
      <c r="E2356" s="248" t="s">
        <v>1740</v>
      </c>
      <c r="F2356" s="268" t="s">
        <v>3734</v>
      </c>
      <c r="G2356" s="269" t="s">
        <v>2579</v>
      </c>
      <c r="H2356" s="249">
        <v>2</v>
      </c>
      <c r="I2356" s="265">
        <v>3.5</v>
      </c>
      <c r="J2356" s="246">
        <v>1</v>
      </c>
      <c r="K2356" s="250"/>
      <c r="L2356" s="235"/>
      <c r="M2356" s="276"/>
      <c r="N2356" s="279"/>
      <c r="O2356" t="str">
        <f t="shared" si="78"/>
        <v>1963-A Two Dollar Bill</v>
      </c>
      <c r="T2356" t="e" cm="1" vm="1">
        <f t="array" ref="T2356">RIGHT(_xlfn.REGEXEXTRACT(E2356,"[0-9]{4}([A-Z+]{3})"),3)</f>
        <v>#N/A</v>
      </c>
    </row>
    <row r="2357" spans="1:20">
      <c r="A2357" s="136">
        <v>7</v>
      </c>
      <c r="B2357" s="246">
        <v>1963</v>
      </c>
      <c r="C2357" s="247" t="s">
        <v>1719</v>
      </c>
      <c r="D2357" s="247" t="s">
        <v>1972</v>
      </c>
      <c r="E2357" s="248" t="s">
        <v>1711</v>
      </c>
      <c r="F2357" s="268" t="s">
        <v>2589</v>
      </c>
      <c r="G2357" s="269" t="s">
        <v>2579</v>
      </c>
      <c r="H2357" s="249">
        <v>1</v>
      </c>
      <c r="I2357" s="265">
        <v>2.5</v>
      </c>
      <c r="J2357" s="246">
        <v>1</v>
      </c>
      <c r="K2357" s="250"/>
      <c r="L2357" s="235"/>
      <c r="M2357" s="276"/>
      <c r="N2357" s="279"/>
      <c r="O2357" t="str">
        <f t="shared" si="78"/>
        <v>1963-B Dollar Bill</v>
      </c>
      <c r="T2357" t="e" cm="1" vm="1">
        <f t="array" ref="T2357">RIGHT(_xlfn.REGEXEXTRACT(E2357,"[0-9]{4}([A-Z+]{3})"),3)</f>
        <v>#N/A</v>
      </c>
    </row>
    <row r="2358" spans="1:20">
      <c r="A2358" s="136">
        <v>7</v>
      </c>
      <c r="B2358" s="246">
        <v>1963</v>
      </c>
      <c r="C2358" s="247" t="s">
        <v>1708</v>
      </c>
      <c r="D2358" s="247" t="s">
        <v>1972</v>
      </c>
      <c r="E2358" s="248" t="s">
        <v>1713</v>
      </c>
      <c r="F2358" s="268" t="s">
        <v>2589</v>
      </c>
      <c r="G2358" s="269" t="s">
        <v>2579</v>
      </c>
      <c r="H2358" s="249">
        <v>1</v>
      </c>
      <c r="I2358" s="265">
        <v>2.5</v>
      </c>
      <c r="J2358" s="246">
        <v>1</v>
      </c>
      <c r="K2358" s="250"/>
      <c r="L2358" s="235"/>
      <c r="M2358" s="276"/>
      <c r="N2358" s="279"/>
      <c r="O2358" t="str">
        <f t="shared" si="78"/>
        <v>1963-C Dollar Bill</v>
      </c>
      <c r="T2358" t="e" cm="1" vm="1">
        <f t="array" ref="T2358">RIGHT(_xlfn.REGEXEXTRACT(E2358,"[0-9]{4}([A-Z+]{3})"),3)</f>
        <v>#N/A</v>
      </c>
    </row>
    <row r="2359" spans="1:20">
      <c r="A2359" s="136">
        <v>7</v>
      </c>
      <c r="B2359" s="246">
        <v>1963</v>
      </c>
      <c r="C2359" s="247" t="s">
        <v>13</v>
      </c>
      <c r="D2359" s="247" t="s">
        <v>1972</v>
      </c>
      <c r="E2359" s="248" t="s">
        <v>1714</v>
      </c>
      <c r="F2359" s="268" t="s">
        <v>2589</v>
      </c>
      <c r="G2359" s="269" t="s">
        <v>2579</v>
      </c>
      <c r="H2359" s="249">
        <v>1</v>
      </c>
      <c r="I2359" s="265">
        <v>2.5</v>
      </c>
      <c r="J2359" s="246">
        <v>1</v>
      </c>
      <c r="K2359" s="250"/>
      <c r="L2359" s="235"/>
      <c r="M2359" s="276"/>
      <c r="N2359" s="279"/>
      <c r="O2359" t="str">
        <f t="shared" si="78"/>
        <v>1963-D Dollar Bill</v>
      </c>
      <c r="T2359" t="e" cm="1" vm="1">
        <f t="array" ref="T2359">RIGHT(_xlfn.REGEXEXTRACT(E2359,"[0-9]{4}([A-Z+]{3})"),3)</f>
        <v>#N/A</v>
      </c>
    </row>
    <row r="2360" spans="1:20">
      <c r="A2360" s="136">
        <v>7</v>
      </c>
      <c r="B2360" s="246">
        <v>1963</v>
      </c>
      <c r="C2360" s="247" t="s">
        <v>1728</v>
      </c>
      <c r="D2360" s="247" t="s">
        <v>1972</v>
      </c>
      <c r="E2360" s="248" t="s">
        <v>1712</v>
      </c>
      <c r="F2360" s="268" t="s">
        <v>2589</v>
      </c>
      <c r="G2360" s="269" t="s">
        <v>2579</v>
      </c>
      <c r="H2360" s="249">
        <v>1</v>
      </c>
      <c r="I2360" s="265">
        <v>2.5</v>
      </c>
      <c r="J2360" s="246">
        <v>1</v>
      </c>
      <c r="K2360" s="250"/>
      <c r="L2360" s="235"/>
      <c r="M2360" s="276"/>
      <c r="N2360" s="279"/>
      <c r="O2360" t="str">
        <f t="shared" si="78"/>
        <v>1963-G Dollar Bill</v>
      </c>
      <c r="T2360" t="e" cm="1" vm="1">
        <f t="array" ref="T2360">RIGHT(_xlfn.REGEXEXTRACT(E2360,"[0-9]{4}([A-Z+]{3})"),3)</f>
        <v>#N/A</v>
      </c>
    </row>
    <row r="2361" spans="1:20">
      <c r="A2361" s="136">
        <v>7</v>
      </c>
      <c r="B2361" s="246">
        <v>1969</v>
      </c>
      <c r="C2361" s="247" t="s">
        <v>1708</v>
      </c>
      <c r="D2361" s="247" t="s">
        <v>1972</v>
      </c>
      <c r="E2361" s="248" t="s">
        <v>1716</v>
      </c>
      <c r="F2361" s="268" t="s">
        <v>2589</v>
      </c>
      <c r="G2361" s="269" t="s">
        <v>2579</v>
      </c>
      <c r="H2361" s="249">
        <v>1</v>
      </c>
      <c r="I2361" s="265">
        <v>2.5</v>
      </c>
      <c r="J2361" s="246">
        <v>1</v>
      </c>
      <c r="K2361" s="250"/>
      <c r="L2361" s="235"/>
      <c r="M2361" s="276"/>
      <c r="N2361" s="279"/>
      <c r="O2361" t="str">
        <f t="shared" si="78"/>
        <v>1969-C Dollar Bill</v>
      </c>
      <c r="T2361" t="e" cm="1" vm="1">
        <f t="array" ref="T2361">RIGHT(_xlfn.REGEXEXTRACT(E2361,"[0-9]{4}([A-Z+]{3})"),3)</f>
        <v>#N/A</v>
      </c>
    </row>
    <row r="2362" spans="1:20">
      <c r="A2362" s="136">
        <v>7</v>
      </c>
      <c r="B2362" s="246">
        <v>1969</v>
      </c>
      <c r="C2362" s="247" t="s">
        <v>1724</v>
      </c>
      <c r="D2362" s="247" t="s">
        <v>1972</v>
      </c>
      <c r="E2362" s="248" t="s">
        <v>1717</v>
      </c>
      <c r="F2362" s="268" t="s">
        <v>2589</v>
      </c>
      <c r="G2362" s="269" t="s">
        <v>2579</v>
      </c>
      <c r="H2362" s="249">
        <v>1</v>
      </c>
      <c r="I2362" s="265">
        <v>2.5</v>
      </c>
      <c r="J2362" s="246">
        <v>1</v>
      </c>
      <c r="K2362" s="250"/>
      <c r="L2362" s="235"/>
      <c r="M2362" s="276"/>
      <c r="N2362" s="279"/>
      <c r="O2362" t="str">
        <f t="shared" si="78"/>
        <v>1969-E Dollar Bill</v>
      </c>
      <c r="T2362" t="e" cm="1" vm="1">
        <f t="array" ref="T2362">RIGHT(_xlfn.REGEXEXTRACT(E2362,"[0-9]{4}([A-Z+]{3})"),3)</f>
        <v>#N/A</v>
      </c>
    </row>
    <row r="2363" spans="1:20">
      <c r="A2363" s="136">
        <v>7</v>
      </c>
      <c r="B2363" s="246">
        <v>1974</v>
      </c>
      <c r="C2363" s="247"/>
      <c r="D2363" s="247" t="s">
        <v>1972</v>
      </c>
      <c r="E2363" s="248"/>
      <c r="F2363" s="268" t="s">
        <v>3735</v>
      </c>
      <c r="G2363" s="269" t="s">
        <v>2579</v>
      </c>
      <c r="H2363" s="249"/>
      <c r="I2363" s="265">
        <v>45</v>
      </c>
      <c r="J2363" s="246">
        <v>1</v>
      </c>
      <c r="K2363" s="250"/>
      <c r="L2363" s="235"/>
      <c r="M2363" s="276"/>
      <c r="O2363" t="str">
        <f t="shared" si="78"/>
        <v>1974 Silver Coin &amp; First Day Cover</v>
      </c>
      <c r="T2363" t="e" cm="1" vm="1">
        <f t="array" ref="T2363">RIGHT(_xlfn.REGEXEXTRACT(E2363,"[0-9]{4}([A-Z+]{3})"),3)</f>
        <v>#N/A</v>
      </c>
    </row>
    <row r="2364" spans="1:20">
      <c r="A2364" s="136">
        <v>7</v>
      </c>
      <c r="B2364" s="246">
        <v>1978</v>
      </c>
      <c r="C2364" s="247" t="s">
        <v>1719</v>
      </c>
      <c r="D2364" s="247" t="s">
        <v>1972</v>
      </c>
      <c r="E2364" s="248" t="s">
        <v>1738</v>
      </c>
      <c r="F2364" s="268" t="s">
        <v>3734</v>
      </c>
      <c r="G2364" s="269" t="s">
        <v>2579</v>
      </c>
      <c r="H2364" s="249">
        <v>2</v>
      </c>
      <c r="I2364" s="265">
        <v>2.5</v>
      </c>
      <c r="J2364" s="246">
        <v>1</v>
      </c>
      <c r="K2364" s="250"/>
      <c r="L2364" s="235"/>
      <c r="M2364" s="276"/>
      <c r="O2364" t="str">
        <f t="shared" si="78"/>
        <v>1978-B Two Dollar Bill</v>
      </c>
      <c r="T2364" t="e" cm="1" vm="1">
        <f t="array" ref="T2364">RIGHT(_xlfn.REGEXEXTRACT(E2364,"[0-9]{4}([A-Z+]{3})"),3)</f>
        <v>#N/A</v>
      </c>
    </row>
    <row r="2365" spans="1:20">
      <c r="A2365" s="136">
        <v>7</v>
      </c>
      <c r="B2365" s="246">
        <v>1978</v>
      </c>
      <c r="C2365" s="247" t="s">
        <v>1708</v>
      </c>
      <c r="D2365" s="247" t="s">
        <v>1972</v>
      </c>
      <c r="E2365" s="248" t="s">
        <v>1739</v>
      </c>
      <c r="F2365" s="268" t="s">
        <v>3734</v>
      </c>
      <c r="G2365" s="269" t="s">
        <v>2579</v>
      </c>
      <c r="H2365" s="249">
        <v>2</v>
      </c>
      <c r="I2365" s="265">
        <v>2.5</v>
      </c>
      <c r="J2365" s="246">
        <v>1</v>
      </c>
      <c r="K2365" s="250"/>
      <c r="L2365" s="235"/>
      <c r="M2365" s="276"/>
      <c r="O2365" t="str">
        <f t="shared" si="78"/>
        <v>1978-C Two Dollar Bill</v>
      </c>
      <c r="T2365" t="e" cm="1" vm="1">
        <f t="array" ref="T2365">RIGHT(_xlfn.REGEXEXTRACT(E2365,"[0-9]{4}([A-Z+]{3})"),3)</f>
        <v>#N/A</v>
      </c>
    </row>
    <row r="2366" spans="1:20">
      <c r="A2366" s="136">
        <v>7</v>
      </c>
      <c r="B2366" s="246">
        <v>1978</v>
      </c>
      <c r="C2366" s="247" t="s">
        <v>1724</v>
      </c>
      <c r="D2366" s="247" t="s">
        <v>1972</v>
      </c>
      <c r="E2366" s="248" t="s">
        <v>1736</v>
      </c>
      <c r="F2366" s="268" t="s">
        <v>3734</v>
      </c>
      <c r="G2366" s="269" t="s">
        <v>2579</v>
      </c>
      <c r="H2366" s="249">
        <v>2</v>
      </c>
      <c r="I2366" s="265">
        <v>2.5</v>
      </c>
      <c r="J2366" s="246">
        <v>1</v>
      </c>
      <c r="K2366" s="250"/>
      <c r="L2366" s="235"/>
      <c r="M2366" s="276"/>
      <c r="O2366" t="str">
        <f t="shared" si="78"/>
        <v>1978-E Two Dollar Bill</v>
      </c>
      <c r="T2366" t="e" cm="1" vm="1">
        <f t="array" ref="T2366">RIGHT(_xlfn.REGEXEXTRACT(E2366,"[0-9]{4}([A-Z+]{3})"),3)</f>
        <v>#N/A</v>
      </c>
    </row>
    <row r="2367" spans="1:20">
      <c r="A2367" s="136">
        <v>7</v>
      </c>
      <c r="B2367" s="246">
        <v>1991</v>
      </c>
      <c r="C2367" s="247"/>
      <c r="D2367" s="247" t="s">
        <v>1972</v>
      </c>
      <c r="E2367" s="248"/>
      <c r="F2367" s="268" t="s">
        <v>2597</v>
      </c>
      <c r="G2367" s="269" t="s">
        <v>2579</v>
      </c>
      <c r="H2367" s="249">
        <v>5</v>
      </c>
      <c r="I2367" s="265">
        <v>12</v>
      </c>
      <c r="J2367" s="246">
        <v>1</v>
      </c>
      <c r="K2367" s="250"/>
      <c r="L2367" s="235"/>
      <c r="M2367" s="276"/>
      <c r="O2367" t="str">
        <f t="shared" si="78"/>
        <v>1991 Desert Storm &amp; Marshall Island</v>
      </c>
      <c r="T2367" t="e" cm="1" vm="1">
        <f t="array" ref="T2367">RIGHT(_xlfn.REGEXEXTRACT(E2367,"[0-9]{4}([A-Z+]{3})"),3)</f>
        <v>#N/A</v>
      </c>
    </row>
    <row r="2368" spans="1:20">
      <c r="A2368" s="136">
        <v>8</v>
      </c>
      <c r="B2368" s="246">
        <v>1977</v>
      </c>
      <c r="C2368" s="247"/>
      <c r="D2368" s="247" t="s">
        <v>1973</v>
      </c>
      <c r="E2368" s="248" t="s">
        <v>1751</v>
      </c>
      <c r="F2368" s="285" t="s">
        <v>3748</v>
      </c>
      <c r="G2368" s="269" t="s">
        <v>2579</v>
      </c>
      <c r="H2368" s="249"/>
      <c r="I2368" s="265">
        <v>27</v>
      </c>
      <c r="J2368" s="246">
        <v>1</v>
      </c>
      <c r="K2368" s="237"/>
      <c r="L2368" s="235"/>
      <c r="M2368" s="276"/>
      <c r="N2368" s="238" t="s">
        <v>25</v>
      </c>
      <c r="O2368" t="str">
        <f t="shared" si="78"/>
        <v>1977 1977 Mint Proof Set</v>
      </c>
      <c r="T2368" t="str" cm="1">
        <f t="array" ref="T2368">RIGHT(_xlfn.REGEXEXTRACT(E2368,"[0-9]{4}([A-Z+]{3})"),3)</f>
        <v>SET</v>
      </c>
    </row>
    <row r="2369" spans="1:20">
      <c r="A2369" s="136">
        <v>8</v>
      </c>
      <c r="B2369" s="246">
        <v>1979</v>
      </c>
      <c r="C2369" s="247" t="s">
        <v>1643</v>
      </c>
      <c r="D2369" s="247" t="s">
        <v>1968</v>
      </c>
      <c r="E2369" s="248" t="s">
        <v>1644</v>
      </c>
      <c r="F2369" s="248" t="s">
        <v>1783</v>
      </c>
      <c r="G2369" s="248" t="s">
        <v>2579</v>
      </c>
      <c r="H2369" s="249">
        <v>1</v>
      </c>
      <c r="I2369" s="265">
        <v>1</v>
      </c>
      <c r="J2369" s="246">
        <v>3</v>
      </c>
      <c r="K2369" s="266"/>
      <c r="L2369" s="242"/>
      <c r="M2369" s="274"/>
      <c r="O2369" t="str">
        <f t="shared" si="78"/>
        <v>1979-SET Susan B Anthony</v>
      </c>
      <c r="T2369" t="str" cm="1">
        <f t="array" ref="T2369">RIGHT(_xlfn.REGEXEXTRACT(E2369,"[0-9]{4}([A-Z+]{3})"),3)</f>
        <v>DOL</v>
      </c>
    </row>
    <row r="2370" spans="1:20">
      <c r="A2370" s="136">
        <v>8</v>
      </c>
      <c r="B2370" s="246">
        <v>1979</v>
      </c>
      <c r="C2370" s="247"/>
      <c r="D2370" s="247" t="s">
        <v>1968</v>
      </c>
      <c r="E2370" s="248" t="s">
        <v>1752</v>
      </c>
      <c r="F2370" s="268" t="s">
        <v>3749</v>
      </c>
      <c r="G2370" s="269" t="s">
        <v>2579</v>
      </c>
      <c r="H2370" s="249"/>
      <c r="I2370" s="265">
        <v>25</v>
      </c>
      <c r="J2370" s="246">
        <v>1</v>
      </c>
      <c r="K2370" s="237"/>
      <c r="L2370" s="235"/>
      <c r="M2370" s="276"/>
      <c r="N2370" s="238" t="s">
        <v>25</v>
      </c>
      <c r="O2370" t="str">
        <f t="shared" si="78"/>
        <v>1979 Susan B Anthony Souvenir Set</v>
      </c>
      <c r="T2370" t="str" cm="1">
        <f t="array" ref="T2370">RIGHT(_xlfn.REGEXEXTRACT(E2370,"[0-9]{4}([A-Z+]{3})"),3)</f>
        <v>DOL</v>
      </c>
    </row>
    <row r="2371" spans="1:20">
      <c r="A2371" s="136">
        <v>8</v>
      </c>
      <c r="B2371" s="246">
        <v>1980</v>
      </c>
      <c r="C2371" s="247" t="s">
        <v>1643</v>
      </c>
      <c r="D2371" s="247" t="s">
        <v>1968</v>
      </c>
      <c r="E2371" s="248" t="s">
        <v>1650</v>
      </c>
      <c r="F2371" s="248" t="s">
        <v>1783</v>
      </c>
      <c r="G2371" s="248" t="s">
        <v>2579</v>
      </c>
      <c r="H2371" s="249">
        <v>1</v>
      </c>
      <c r="I2371" s="265">
        <v>1</v>
      </c>
      <c r="J2371" s="246">
        <v>3</v>
      </c>
      <c r="K2371" s="266"/>
      <c r="L2371" s="242"/>
      <c r="M2371" s="274"/>
      <c r="N2371" s="238" t="s">
        <v>25</v>
      </c>
      <c r="O2371" t="str">
        <f t="shared" si="78"/>
        <v>1980-SET Susan B Anthony</v>
      </c>
      <c r="T2371" t="str" cm="1">
        <f t="array" ref="T2371">RIGHT(_xlfn.REGEXEXTRACT(E2371,"[0-9]{4}([A-Z+]{3})"),3)</f>
        <v>DOL</v>
      </c>
    </row>
    <row r="2372" spans="1:20">
      <c r="A2372" s="136">
        <v>8</v>
      </c>
      <c r="B2372" s="246">
        <v>1980</v>
      </c>
      <c r="C2372" s="247"/>
      <c r="D2372" s="247" t="s">
        <v>1968</v>
      </c>
      <c r="E2372" s="248" t="s">
        <v>1753</v>
      </c>
      <c r="F2372" s="268" t="s">
        <v>3749</v>
      </c>
      <c r="G2372" s="269" t="s">
        <v>2579</v>
      </c>
      <c r="H2372" s="249"/>
      <c r="I2372" s="265">
        <v>13</v>
      </c>
      <c r="J2372" s="246">
        <v>1</v>
      </c>
      <c r="K2372" s="237"/>
      <c r="L2372" s="235"/>
      <c r="M2372" s="276"/>
      <c r="O2372" t="str">
        <f t="shared" si="78"/>
        <v>1980 Susan B Anthony Souvenir Set</v>
      </c>
      <c r="T2372" t="str" cm="1">
        <f t="array" ref="T2372">RIGHT(_xlfn.REGEXEXTRACT(E2372,"[0-9]{4}([A-Z+]{3})"),3)</f>
        <v>DOL</v>
      </c>
    </row>
    <row r="2373" spans="1:20">
      <c r="A2373" s="136">
        <v>8</v>
      </c>
      <c r="B2373" s="246">
        <v>1982</v>
      </c>
      <c r="C2373" s="247"/>
      <c r="D2373" s="234" t="s">
        <v>1966</v>
      </c>
      <c r="E2373" s="248" t="s">
        <v>1754</v>
      </c>
      <c r="F2373" s="268" t="s">
        <v>5910</v>
      </c>
      <c r="G2373" s="269" t="s">
        <v>2579</v>
      </c>
      <c r="H2373" s="249">
        <v>8</v>
      </c>
      <c r="I2373" s="265">
        <v>10</v>
      </c>
      <c r="J2373" s="246">
        <v>3</v>
      </c>
      <c r="K2373" s="237"/>
      <c r="L2373" s="235"/>
      <c r="M2373" s="276"/>
      <c r="O2373" t="str">
        <f t="shared" si="78"/>
        <v>1982 George Washinton Commem Half</v>
      </c>
      <c r="T2373" t="str" cm="1">
        <f t="array" ref="T2373">RIGHT(_xlfn.REGEXEXTRACT(E2373,"[0-9]{4}([A-Z+]{3})"),3)</f>
        <v>HAV</v>
      </c>
    </row>
    <row r="2374" spans="1:20">
      <c r="A2374" s="136">
        <v>8</v>
      </c>
      <c r="B2374" s="246">
        <v>1991</v>
      </c>
      <c r="C2374" s="247"/>
      <c r="D2374" s="247" t="s">
        <v>1973</v>
      </c>
      <c r="E2374" s="248" t="s">
        <v>1759</v>
      </c>
      <c r="F2374" s="268" t="s">
        <v>2598</v>
      </c>
      <c r="G2374" s="269" t="s">
        <v>2579</v>
      </c>
      <c r="H2374" s="249"/>
      <c r="I2374" s="265">
        <v>6.96</v>
      </c>
      <c r="J2374" s="246">
        <v>1</v>
      </c>
      <c r="K2374" s="237"/>
      <c r="L2374" s="235"/>
      <c r="M2374" s="276"/>
      <c r="O2374" t="str">
        <f t="shared" si="78"/>
        <v>1991 Heros Of Desert Storm $5 Silver</v>
      </c>
      <c r="T2374" t="str" cm="1">
        <f t="array" ref="T2374">RIGHT(_xlfn.REGEXEXTRACT(E2374,"[0-9]{4}([A-Z+]{3})"),3)</f>
        <v>FIV</v>
      </c>
    </row>
    <row r="2375" spans="1:20">
      <c r="A2375" s="136">
        <v>8</v>
      </c>
      <c r="B2375" s="246">
        <v>1991</v>
      </c>
      <c r="C2375" s="247" t="s">
        <v>1756</v>
      </c>
      <c r="D2375" s="247" t="s">
        <v>1973</v>
      </c>
      <c r="E2375" s="248" t="s">
        <v>1757</v>
      </c>
      <c r="F2375" s="285" t="s">
        <v>3746</v>
      </c>
      <c r="G2375" s="269" t="s">
        <v>2579</v>
      </c>
      <c r="H2375" s="249"/>
      <c r="I2375" s="265">
        <v>12</v>
      </c>
      <c r="J2375" s="246">
        <v>1</v>
      </c>
      <c r="K2375" s="237"/>
      <c r="L2375" s="235"/>
      <c r="M2375" s="276"/>
      <c r="N2375" s="238" t="s">
        <v>25</v>
      </c>
      <c r="O2375" t="str">
        <f t="shared" si="78"/>
        <v>1991-D &amp; P 1991 Mint Set</v>
      </c>
      <c r="T2375" t="str" cm="1">
        <f t="array" ref="T2375">RIGHT(_xlfn.REGEXEXTRACT(E2375,"[0-9]{4}([A-Z+]{3})"),3)</f>
        <v>SET</v>
      </c>
    </row>
    <row r="2376" spans="1:20">
      <c r="A2376" s="136">
        <v>8</v>
      </c>
      <c r="B2376" s="246">
        <v>1991</v>
      </c>
      <c r="C2376" s="247"/>
      <c r="D2376" s="247" t="s">
        <v>1973</v>
      </c>
      <c r="E2376" s="248" t="s">
        <v>1758</v>
      </c>
      <c r="F2376" s="285" t="s">
        <v>3908</v>
      </c>
      <c r="G2376" s="269" t="s">
        <v>2579</v>
      </c>
      <c r="H2376" s="249"/>
      <c r="I2376" s="265">
        <v>12</v>
      </c>
      <c r="J2376" s="246">
        <v>1</v>
      </c>
      <c r="K2376" s="237"/>
      <c r="L2376" s="235"/>
      <c r="M2376" s="276"/>
      <c r="N2376" s="238" t="s">
        <v>25</v>
      </c>
      <c r="O2376" t="str">
        <f t="shared" si="78"/>
        <v>1991 1991 Uncirculated Set</v>
      </c>
      <c r="T2376" t="str" cm="1">
        <f t="array" ref="T2376">RIGHT(_xlfn.REGEXEXTRACT(E2376,"[0-9]{4}([A-Z+]{3})"),3)</f>
        <v>SET</v>
      </c>
    </row>
    <row r="2377" spans="1:20">
      <c r="A2377" s="136">
        <v>8</v>
      </c>
      <c r="B2377" s="246">
        <v>1991</v>
      </c>
      <c r="C2377" s="247"/>
      <c r="D2377" s="247" t="s">
        <v>1968</v>
      </c>
      <c r="E2377" s="248" t="s">
        <v>1755</v>
      </c>
      <c r="F2377" s="268" t="s">
        <v>3747</v>
      </c>
      <c r="G2377" s="269" t="s">
        <v>2579</v>
      </c>
      <c r="H2377" s="249"/>
      <c r="I2377" s="265">
        <v>27</v>
      </c>
      <c r="J2377" s="246">
        <v>1</v>
      </c>
      <c r="K2377" s="237"/>
      <c r="L2377" s="235"/>
      <c r="M2377" s="276"/>
      <c r="O2377" t="str">
        <f t="shared" si="78"/>
        <v xml:space="preserve">1991 Stormin Normin </v>
      </c>
      <c r="T2377" t="str" cm="1">
        <f t="array" ref="T2377">RIGHT(_xlfn.REGEXEXTRACT(E2377,"[0-9]{4}([A-Z+]{3})"),3)</f>
        <v>DOL</v>
      </c>
    </row>
    <row r="2378" spans="1:20" ht="11.25" customHeight="1">
      <c r="A2378" s="136">
        <v>8</v>
      </c>
      <c r="B2378" s="246">
        <v>1992</v>
      </c>
      <c r="C2378" s="247" t="s">
        <v>1756</v>
      </c>
      <c r="D2378" s="247" t="s">
        <v>1973</v>
      </c>
      <c r="E2378" s="248" t="s">
        <v>1760</v>
      </c>
      <c r="F2378" s="285" t="s">
        <v>3744</v>
      </c>
      <c r="G2378" s="269" t="s">
        <v>2579</v>
      </c>
      <c r="H2378" s="249"/>
      <c r="I2378" s="265">
        <v>16</v>
      </c>
      <c r="J2378" s="246">
        <v>1</v>
      </c>
      <c r="K2378" s="237"/>
      <c r="L2378" s="235"/>
      <c r="M2378" s="276"/>
      <c r="N2378" s="238" t="s">
        <v>25</v>
      </c>
      <c r="O2378" t="str">
        <f t="shared" si="78"/>
        <v>1992-D &amp; P 1992 Mint Set</v>
      </c>
      <c r="T2378" t="str" cm="1">
        <f t="array" ref="T2378">RIGHT(_xlfn.REGEXEXTRACT(E2378,"[0-9]{4}([A-Z+]{3})"),3)</f>
        <v>SET</v>
      </c>
    </row>
    <row r="2379" spans="1:20">
      <c r="A2379" s="136">
        <v>8</v>
      </c>
      <c r="B2379" s="246">
        <v>1992</v>
      </c>
      <c r="C2379" s="247"/>
      <c r="D2379" s="247" t="s">
        <v>1973</v>
      </c>
      <c r="E2379" s="248" t="s">
        <v>1761</v>
      </c>
      <c r="F2379" s="285" t="s">
        <v>3745</v>
      </c>
      <c r="G2379" s="269" t="s">
        <v>2579</v>
      </c>
      <c r="H2379" s="249"/>
      <c r="I2379" s="265">
        <v>16</v>
      </c>
      <c r="J2379" s="246">
        <v>1</v>
      </c>
      <c r="K2379" s="237"/>
      <c r="L2379" s="235"/>
      <c r="M2379" s="276"/>
      <c r="N2379" s="238" t="s">
        <v>25</v>
      </c>
      <c r="O2379" t="str">
        <f t="shared" si="78"/>
        <v>1992 1992 Proof Set</v>
      </c>
      <c r="T2379" t="str" cm="1">
        <f t="array" ref="T2379">RIGHT(_xlfn.REGEXEXTRACT(E2379,"[0-9]{4}([A-Z+]{3})"),3)</f>
        <v>SET</v>
      </c>
    </row>
    <row r="2380" spans="1:20">
      <c r="A2380" s="136">
        <v>8</v>
      </c>
      <c r="B2380" s="246">
        <v>1995</v>
      </c>
      <c r="C2380" s="247"/>
      <c r="D2380" s="247" t="s">
        <v>1973</v>
      </c>
      <c r="E2380" s="248" t="s">
        <v>1762</v>
      </c>
      <c r="F2380" s="285" t="s">
        <v>2592</v>
      </c>
      <c r="G2380" s="269" t="s">
        <v>2579</v>
      </c>
      <c r="H2380" s="249"/>
      <c r="I2380" s="265">
        <v>18</v>
      </c>
      <c r="J2380" s="246">
        <v>1</v>
      </c>
      <c r="K2380" s="237"/>
      <c r="L2380" s="235"/>
      <c r="M2380" s="276"/>
      <c r="N2380" s="238" t="s">
        <v>25</v>
      </c>
      <c r="O2380" t="str">
        <f t="shared" si="78"/>
        <v>1995 American President Set</v>
      </c>
      <c r="T2380" t="str" cm="1">
        <f t="array" ref="T2380">RIGHT(_xlfn.REGEXEXTRACT(E2380,"[0-9]{4}([A-Z+]{3})"),3)</f>
        <v>SET</v>
      </c>
    </row>
    <row r="2381" spans="1:20">
      <c r="A2381" s="136">
        <v>8</v>
      </c>
      <c r="B2381" s="246">
        <v>1999</v>
      </c>
      <c r="C2381" s="247"/>
      <c r="D2381" s="247" t="s">
        <v>1965</v>
      </c>
      <c r="E2381" s="248" t="s">
        <v>1763</v>
      </c>
      <c r="F2381" s="268" t="s">
        <v>5941</v>
      </c>
      <c r="G2381" s="269" t="s">
        <v>2579</v>
      </c>
      <c r="H2381" s="249"/>
      <c r="I2381" s="265">
        <v>50</v>
      </c>
      <c r="J2381" s="246">
        <v>1</v>
      </c>
      <c r="K2381" s="237"/>
      <c r="L2381" s="235"/>
      <c r="M2381" s="276"/>
      <c r="N2381" s="238" t="s">
        <v>25</v>
      </c>
      <c r="O2381" t="str">
        <f t="shared" si="78"/>
        <v>1999 1999 State Quarter Set</v>
      </c>
      <c r="T2381" t="str" cm="1">
        <f t="array" ref="T2381">RIGHT(_xlfn.REGEXEXTRACT(E2381,"[0-9]{4}([A-Z+]{3})"),3)</f>
        <v>SET</v>
      </c>
    </row>
    <row r="2382" spans="1:20">
      <c r="A2382" s="136">
        <v>8</v>
      </c>
      <c r="B2382" s="246">
        <v>2001</v>
      </c>
      <c r="C2382" s="247"/>
      <c r="D2382" s="247" t="s">
        <v>1965</v>
      </c>
      <c r="E2382" s="248" t="s">
        <v>1764</v>
      </c>
      <c r="F2382" s="268" t="s">
        <v>3743</v>
      </c>
      <c r="G2382" s="269" t="s">
        <v>2579</v>
      </c>
      <c r="H2382" s="249"/>
      <c r="I2382" s="265">
        <v>10</v>
      </c>
      <c r="J2382" s="246">
        <v>1</v>
      </c>
      <c r="K2382" s="237"/>
      <c r="L2382" s="235"/>
      <c r="M2382" s="276"/>
      <c r="N2382" s="238" t="s">
        <v>25</v>
      </c>
      <c r="O2382" t="str">
        <f t="shared" si="78"/>
        <v>2001 1991 New York Collector Set</v>
      </c>
      <c r="T2382" t="str" cm="1">
        <f t="array" ref="T2382">RIGHT(_xlfn.REGEXEXTRACT(E2382,"[0-9]{4}([A-Z+]{3})"),3)</f>
        <v>SET</v>
      </c>
    </row>
    <row r="2383" spans="1:20">
      <c r="A2383" s="136">
        <v>8</v>
      </c>
      <c r="B2383" s="233">
        <v>2009</v>
      </c>
      <c r="C2383" s="234"/>
      <c r="D2383" s="234" t="s">
        <v>4920</v>
      </c>
      <c r="E2383" s="235" t="s">
        <v>4518</v>
      </c>
      <c r="F2383" s="235" t="s">
        <v>5940</v>
      </c>
      <c r="G2383" s="235" t="s">
        <v>2579</v>
      </c>
      <c r="H2383" s="236"/>
      <c r="I2383" s="236">
        <v>0.08</v>
      </c>
      <c r="J2383" s="233">
        <v>8</v>
      </c>
      <c r="K2383" s="237" t="s">
        <v>2068</v>
      </c>
      <c r="L2383" s="235"/>
      <c r="M2383" s="276"/>
      <c r="O2383" t="str">
        <f t="shared" si="78"/>
        <v>2009 2009 Lincoln Over The Years Set</v>
      </c>
      <c r="T2383" t="str" cm="1">
        <f t="array" ref="T2383">RIGHT(_xlfn.REGEXEXTRACT(E2383,"[0-9]{4}([A-Z+]{3})"),3)</f>
        <v>CNT</v>
      </c>
    </row>
    <row r="2384" spans="1:20">
      <c r="A2384" s="136">
        <v>8</v>
      </c>
      <c r="B2384" s="233">
        <v>2009</v>
      </c>
      <c r="C2384" s="234"/>
      <c r="D2384" s="234" t="s">
        <v>4920</v>
      </c>
      <c r="E2384" s="235" t="s">
        <v>4519</v>
      </c>
      <c r="F2384" s="235" t="s">
        <v>5940</v>
      </c>
      <c r="G2384" s="235" t="s">
        <v>2579</v>
      </c>
      <c r="H2384" s="236"/>
      <c r="I2384" s="236">
        <v>0.08</v>
      </c>
      <c r="J2384" s="233">
        <v>8</v>
      </c>
      <c r="K2384" s="237" t="s">
        <v>2068</v>
      </c>
      <c r="L2384" s="235"/>
      <c r="M2384" s="276"/>
      <c r="O2384" t="str">
        <f t="shared" si="78"/>
        <v>2009 2009 Lincoln Over The Years Set</v>
      </c>
      <c r="T2384" t="str" cm="1">
        <f t="array" ref="T2384">RIGHT(_xlfn.REGEXEXTRACT(E2384,"[0-9]{4}([A-Z+]{3})"),3)</f>
        <v>CNT</v>
      </c>
    </row>
    <row r="2385" spans="1:20">
      <c r="A2385" s="136">
        <v>9</v>
      </c>
      <c r="B2385" s="233">
        <v>1930</v>
      </c>
      <c r="C2385" s="234"/>
      <c r="D2385" s="234" t="s">
        <v>4920</v>
      </c>
      <c r="E2385" s="235" t="s">
        <v>4516</v>
      </c>
      <c r="F2385" s="235" t="s">
        <v>5937</v>
      </c>
      <c r="G2385" s="235" t="s">
        <v>2579</v>
      </c>
      <c r="H2385" s="236"/>
      <c r="I2385" s="236"/>
      <c r="J2385" s="233">
        <v>45</v>
      </c>
      <c r="K2385" s="237" t="s">
        <v>1983</v>
      </c>
      <c r="L2385" s="235"/>
      <c r="M2385" s="276"/>
      <c r="O2385" t="str">
        <f t="shared" si="78"/>
        <v>1930 Assorted 1930's Wheat Pennies Tube</v>
      </c>
      <c r="T2385" t="str" cm="1">
        <f t="array" ref="T2385">RIGHT(_xlfn.REGEXEXTRACT(E2385,"[0-9]{4}([A-Z+]{3})"),3)</f>
        <v>CNT</v>
      </c>
    </row>
    <row r="2386" spans="1:20">
      <c r="A2386" s="136">
        <v>9</v>
      </c>
      <c r="B2386" s="233">
        <v>1950</v>
      </c>
      <c r="C2386" s="234"/>
      <c r="D2386" s="234" t="s">
        <v>4920</v>
      </c>
      <c r="E2386" s="235" t="s">
        <v>4520</v>
      </c>
      <c r="F2386" s="235" t="s">
        <v>5938</v>
      </c>
      <c r="G2386" s="235" t="s">
        <v>2579</v>
      </c>
      <c r="H2386" s="236"/>
      <c r="I2386" s="236">
        <v>0.5</v>
      </c>
      <c r="J2386" s="233">
        <v>50</v>
      </c>
      <c r="K2386" s="237" t="s">
        <v>1983</v>
      </c>
      <c r="L2386" s="235"/>
      <c r="M2386" s="276"/>
      <c r="O2386" t="str">
        <f t="shared" si="78"/>
        <v>1950 Assorted 1950's Wheat Pennies Tube</v>
      </c>
      <c r="T2386" t="str" cm="1">
        <f t="array" ref="T2386">RIGHT(_xlfn.REGEXEXTRACT(E2386,"[0-9]{4}([A-Z+]{3})"),3)</f>
        <v>CNT</v>
      </c>
    </row>
    <row r="2387" spans="1:20">
      <c r="A2387" s="136">
        <v>9</v>
      </c>
      <c r="B2387" s="233">
        <v>1950</v>
      </c>
      <c r="C2387" s="234"/>
      <c r="D2387" s="234" t="s">
        <v>4920</v>
      </c>
      <c r="E2387" s="235" t="s">
        <v>4521</v>
      </c>
      <c r="F2387" s="235" t="s">
        <v>5938</v>
      </c>
      <c r="G2387" s="235" t="s">
        <v>2579</v>
      </c>
      <c r="H2387" s="236"/>
      <c r="I2387" s="236">
        <v>0.5</v>
      </c>
      <c r="J2387" s="233">
        <v>50</v>
      </c>
      <c r="K2387" s="237" t="s">
        <v>1983</v>
      </c>
      <c r="L2387" s="235"/>
      <c r="M2387" s="276"/>
      <c r="O2387" t="str">
        <f t="shared" si="78"/>
        <v>1950 Assorted 1950's Wheat Pennies Tube</v>
      </c>
      <c r="T2387" t="str" cm="1">
        <f t="array" ref="T2387">RIGHT(_xlfn.REGEXEXTRACT(E2387,"[0-9]{4}([A-Z+]{3})"),3)</f>
        <v>CNT</v>
      </c>
    </row>
    <row r="2388" spans="1:20">
      <c r="A2388" s="136">
        <v>9</v>
      </c>
      <c r="B2388" s="233">
        <v>1950</v>
      </c>
      <c r="C2388" s="234"/>
      <c r="D2388" s="234" t="s">
        <v>4920</v>
      </c>
      <c r="E2388" s="235" t="s">
        <v>4523</v>
      </c>
      <c r="F2388" s="235" t="s">
        <v>5938</v>
      </c>
      <c r="G2388" s="235" t="s">
        <v>2579</v>
      </c>
      <c r="H2388" s="236"/>
      <c r="I2388" s="236">
        <v>0.5</v>
      </c>
      <c r="J2388" s="233">
        <v>50</v>
      </c>
      <c r="K2388" s="237" t="s">
        <v>1983</v>
      </c>
      <c r="L2388" s="235"/>
      <c r="M2388" s="276"/>
      <c r="O2388" t="str">
        <f t="shared" si="78"/>
        <v>1950 Assorted 1950's Wheat Pennies Tube</v>
      </c>
      <c r="T2388" t="str" cm="1">
        <f t="array" ref="T2388">RIGHT(_xlfn.REGEXEXTRACT(E2388,"[0-9]{4}([A-Z+]{3})"),3)</f>
        <v>CNT</v>
      </c>
    </row>
    <row r="2389" spans="1:20">
      <c r="A2389" s="136">
        <v>9</v>
      </c>
      <c r="B2389" s="233">
        <v>1950</v>
      </c>
      <c r="C2389" s="234"/>
      <c r="D2389" s="234" t="s">
        <v>4920</v>
      </c>
      <c r="E2389" s="235" t="s">
        <v>4524</v>
      </c>
      <c r="F2389" s="235" t="s">
        <v>5938</v>
      </c>
      <c r="G2389" s="235" t="s">
        <v>2579</v>
      </c>
      <c r="H2389" s="236"/>
      <c r="I2389" s="236">
        <v>0.5</v>
      </c>
      <c r="J2389" s="233">
        <v>50</v>
      </c>
      <c r="K2389" s="237" t="s">
        <v>1983</v>
      </c>
      <c r="L2389" s="235"/>
      <c r="M2389" s="276"/>
      <c r="O2389" t="str">
        <f t="shared" si="78"/>
        <v>1950 Assorted 1950's Wheat Pennies Tube</v>
      </c>
      <c r="T2389" t="str" cm="1">
        <f t="array" ref="T2389">RIGHT(_xlfn.REGEXEXTRACT(E2389,"[0-9]{4}([A-Z+]{3})"),3)</f>
        <v>CNT</v>
      </c>
    </row>
    <row r="2390" spans="1:20">
      <c r="A2390" s="136">
        <v>9</v>
      </c>
      <c r="B2390" s="233">
        <v>1950</v>
      </c>
      <c r="C2390" s="234"/>
      <c r="D2390" s="234" t="s">
        <v>4920</v>
      </c>
      <c r="E2390" s="235" t="s">
        <v>4517</v>
      </c>
      <c r="F2390" s="235" t="s">
        <v>5938</v>
      </c>
      <c r="G2390" s="235" t="s">
        <v>2579</v>
      </c>
      <c r="H2390" s="236"/>
      <c r="I2390" s="236">
        <v>0.46</v>
      </c>
      <c r="J2390" s="233">
        <v>46</v>
      </c>
      <c r="K2390" s="237" t="s">
        <v>1983</v>
      </c>
      <c r="L2390" s="235"/>
      <c r="M2390" s="276"/>
      <c r="O2390" t="str">
        <f t="shared" si="78"/>
        <v>1950 Assorted 1950's Wheat Pennies Tube</v>
      </c>
      <c r="T2390" t="str" cm="1">
        <f t="array" ref="T2390">RIGHT(_xlfn.REGEXEXTRACT(E2390,"[0-9]{4}([A-Z+]{3})"),3)</f>
        <v>CNT</v>
      </c>
    </row>
    <row r="2391" spans="1:20">
      <c r="A2391" s="136">
        <v>9</v>
      </c>
      <c r="B2391" s="233">
        <v>1960</v>
      </c>
      <c r="C2391" s="234"/>
      <c r="D2391" s="234" t="s">
        <v>1966</v>
      </c>
      <c r="E2391" s="235" t="s">
        <v>1984</v>
      </c>
      <c r="F2391" s="235" t="s">
        <v>5939</v>
      </c>
      <c r="G2391" s="235" t="s">
        <v>2579</v>
      </c>
      <c r="H2391" s="236"/>
      <c r="I2391" s="236"/>
      <c r="J2391" s="233">
        <v>10</v>
      </c>
      <c r="K2391" s="237"/>
      <c r="L2391" s="235"/>
      <c r="M2391" s="276"/>
      <c r="O2391" t="str">
        <f t="shared" si="78"/>
        <v>1960 Assorted 1960's Wheat Pennies Tube</v>
      </c>
      <c r="T2391" t="e" cm="1" vm="1">
        <f t="array" ref="T2391">RIGHT(_xlfn.REGEXEXTRACT(E2391,"[0-9]{4}([A-Z+]{3})"),3)</f>
        <v>#N/A</v>
      </c>
    </row>
    <row r="2392" spans="1:20">
      <c r="A2392" s="136">
        <v>9</v>
      </c>
      <c r="B2392" s="233">
        <v>1960</v>
      </c>
      <c r="C2392" s="234"/>
      <c r="D2392" s="234" t="s">
        <v>1966</v>
      </c>
      <c r="E2392" s="235" t="s">
        <v>1985</v>
      </c>
      <c r="F2392" s="235" t="s">
        <v>5939</v>
      </c>
      <c r="G2392" s="235" t="s">
        <v>2579</v>
      </c>
      <c r="H2392" s="236"/>
      <c r="I2392" s="236"/>
      <c r="J2392" s="233">
        <v>10</v>
      </c>
      <c r="K2392" s="237"/>
      <c r="L2392" s="235"/>
      <c r="M2392" s="276"/>
      <c r="O2392" t="str">
        <f t="shared" si="78"/>
        <v>1960 Assorted 1960's Wheat Pennies Tube</v>
      </c>
      <c r="T2392" t="e" cm="1" vm="1">
        <f t="array" ref="T2392">RIGHT(_xlfn.REGEXEXTRACT(E2392,"[0-9]{4}([A-Z+]{3})"),3)</f>
        <v>#N/A</v>
      </c>
    </row>
    <row r="2393" spans="1:20">
      <c r="A2393" s="136">
        <v>9</v>
      </c>
      <c r="B2393" s="233">
        <v>1960</v>
      </c>
      <c r="C2393" s="234"/>
      <c r="D2393" s="234" t="s">
        <v>4920</v>
      </c>
      <c r="E2393" s="235" t="s">
        <v>1979</v>
      </c>
      <c r="F2393" s="235" t="s">
        <v>5939</v>
      </c>
      <c r="G2393" s="235" t="s">
        <v>2579</v>
      </c>
      <c r="H2393" s="236"/>
      <c r="I2393" s="236"/>
      <c r="J2393" s="233">
        <v>25</v>
      </c>
      <c r="K2393" s="237"/>
      <c r="L2393" s="235"/>
      <c r="M2393" s="276"/>
      <c r="O2393" t="str">
        <f t="shared" si="78"/>
        <v>1960 Assorted 1960's Wheat Pennies Tube</v>
      </c>
      <c r="T2393" t="e" cm="1" vm="1">
        <f t="array" ref="T2393">RIGHT(_xlfn.REGEXEXTRACT(E2393,"[0-9]{4}([A-Z+]{3})"),3)</f>
        <v>#N/A</v>
      </c>
    </row>
    <row r="2394" spans="1:20">
      <c r="A2394" s="136">
        <v>9</v>
      </c>
      <c r="B2394" s="233">
        <v>1960</v>
      </c>
      <c r="C2394" s="234"/>
      <c r="D2394" s="234" t="s">
        <v>4920</v>
      </c>
      <c r="E2394" s="235" t="s">
        <v>1996</v>
      </c>
      <c r="F2394" s="235" t="s">
        <v>5939</v>
      </c>
      <c r="G2394" s="235" t="s">
        <v>2579</v>
      </c>
      <c r="H2394" s="236"/>
      <c r="I2394" s="236">
        <v>0.5</v>
      </c>
      <c r="J2394" s="233">
        <v>50</v>
      </c>
      <c r="K2394" s="237" t="s">
        <v>1983</v>
      </c>
      <c r="L2394" s="235"/>
      <c r="M2394" s="276"/>
      <c r="O2394" t="str">
        <f t="shared" si="78"/>
        <v>1960 Assorted 1960's Wheat Pennies Tube</v>
      </c>
      <c r="T2394" t="e" cm="1" vm="1">
        <f t="array" ref="T2394">RIGHT(_xlfn.REGEXEXTRACT(E2394,"[0-9]{4}([A-Z+]{3})"),3)</f>
        <v>#N/A</v>
      </c>
    </row>
    <row r="2395" spans="1:20">
      <c r="A2395" s="136">
        <v>9</v>
      </c>
      <c r="B2395" s="233">
        <v>1960</v>
      </c>
      <c r="C2395" s="234"/>
      <c r="D2395" s="234" t="s">
        <v>4920</v>
      </c>
      <c r="E2395" s="235" t="s">
        <v>1997</v>
      </c>
      <c r="F2395" s="235" t="s">
        <v>5939</v>
      </c>
      <c r="G2395" s="235" t="s">
        <v>2579</v>
      </c>
      <c r="H2395" s="236"/>
      <c r="I2395" s="236">
        <v>0.5</v>
      </c>
      <c r="J2395" s="233">
        <v>50</v>
      </c>
      <c r="K2395" s="237" t="s">
        <v>1983</v>
      </c>
      <c r="L2395" s="235"/>
      <c r="M2395" s="276"/>
      <c r="O2395" t="str">
        <f t="shared" si="78"/>
        <v>1960 Assorted 1960's Wheat Pennies Tube</v>
      </c>
      <c r="T2395" t="e" cm="1" vm="1">
        <f t="array" ref="T2395">RIGHT(_xlfn.REGEXEXTRACT(E2395,"[0-9]{4}([A-Z+]{3})"),3)</f>
        <v>#N/A</v>
      </c>
    </row>
    <row r="2396" spans="1:20">
      <c r="A2396" s="136">
        <v>9</v>
      </c>
      <c r="B2396" s="233">
        <v>1960</v>
      </c>
      <c r="C2396" s="234"/>
      <c r="D2396" s="234" t="s">
        <v>4920</v>
      </c>
      <c r="E2396" s="235" t="s">
        <v>4525</v>
      </c>
      <c r="F2396" s="235" t="s">
        <v>5939</v>
      </c>
      <c r="G2396" s="235" t="s">
        <v>2579</v>
      </c>
      <c r="H2396" s="236"/>
      <c r="I2396" s="236"/>
      <c r="J2396" s="233">
        <v>20</v>
      </c>
      <c r="K2396" s="237"/>
      <c r="L2396" s="235"/>
      <c r="M2396" s="276"/>
      <c r="O2396" t="str">
        <f t="shared" si="78"/>
        <v>1960 Assorted 1960's Wheat Pennies Tube</v>
      </c>
      <c r="T2396" t="str" cm="1">
        <f t="array" ref="T2396">RIGHT(_xlfn.REGEXEXTRACT(E2396,"[0-9]{4}([A-Z+]{3})"),3)</f>
        <v>CNT</v>
      </c>
    </row>
    <row r="2397" spans="1:20">
      <c r="A2397" s="136">
        <v>9</v>
      </c>
      <c r="B2397" s="233">
        <v>1970</v>
      </c>
      <c r="C2397" s="234"/>
      <c r="D2397" s="234" t="s">
        <v>1966</v>
      </c>
      <c r="E2397" s="235" t="s">
        <v>2078</v>
      </c>
      <c r="F2397" s="235" t="s">
        <v>5936</v>
      </c>
      <c r="G2397" s="235" t="s">
        <v>2579</v>
      </c>
      <c r="H2397" s="236">
        <v>6</v>
      </c>
      <c r="I2397" s="236">
        <v>132</v>
      </c>
      <c r="J2397" s="233">
        <v>6</v>
      </c>
      <c r="K2397" s="237"/>
      <c r="L2397" s="235"/>
      <c r="M2397" s="276"/>
      <c r="O2397" t="str">
        <f t="shared" si="78"/>
        <v>1970 Eisenhower Halves Assorted Dates Tube</v>
      </c>
      <c r="T2397" t="e" cm="1" vm="1">
        <f t="array" ref="T2397">RIGHT(_xlfn.REGEXEXTRACT(E2397,"[0-9]{4}([A-Z+]{3})"),3)</f>
        <v>#N/A</v>
      </c>
    </row>
    <row r="2398" spans="1:20">
      <c r="A2398" s="136">
        <v>9</v>
      </c>
      <c r="B2398" s="233">
        <v>1970</v>
      </c>
      <c r="C2398" s="234"/>
      <c r="D2398" s="234" t="s">
        <v>1966</v>
      </c>
      <c r="E2398" s="235" t="s">
        <v>2069</v>
      </c>
      <c r="F2398" s="235" t="s">
        <v>5935</v>
      </c>
      <c r="G2398" s="235" t="s">
        <v>2579</v>
      </c>
      <c r="H2398" s="236">
        <v>3.5</v>
      </c>
      <c r="I2398" s="236"/>
      <c r="J2398" s="233">
        <v>7</v>
      </c>
      <c r="K2398" s="237" t="s">
        <v>2071</v>
      </c>
      <c r="L2398" s="235"/>
      <c r="M2398" s="276"/>
      <c r="O2398" t="str">
        <f t="shared" si="78"/>
        <v>1970 Kennedy Half Dollars Tube</v>
      </c>
      <c r="T2398" t="e" cm="1" vm="1">
        <f t="array" ref="T2398">RIGHT(_xlfn.REGEXEXTRACT(E2398,"[0-9]{4}([A-Z+]{3})"),3)</f>
        <v>#N/A</v>
      </c>
    </row>
    <row r="2399" spans="1:20">
      <c r="A2399" s="136">
        <v>9</v>
      </c>
      <c r="B2399" s="233">
        <v>1970</v>
      </c>
      <c r="C2399" s="234"/>
      <c r="D2399" s="234" t="s">
        <v>1962</v>
      </c>
      <c r="E2399" s="235" t="s">
        <v>2080</v>
      </c>
      <c r="F2399" s="235" t="s">
        <v>5934</v>
      </c>
      <c r="G2399" s="235" t="s">
        <v>2579</v>
      </c>
      <c r="H2399" s="236">
        <v>1.2</v>
      </c>
      <c r="I2399" s="236">
        <v>2.4</v>
      </c>
      <c r="J2399" s="233">
        <v>30</v>
      </c>
      <c r="K2399" s="237"/>
      <c r="L2399" s="235"/>
      <c r="M2399" s="276"/>
      <c r="O2399" t="str">
        <f t="shared" si="78"/>
        <v>1970 Jefferson Nickels Tubes Assorted Dates</v>
      </c>
      <c r="T2399" t="e" cm="1" vm="1">
        <f t="array" ref="T2399">RIGHT(_xlfn.REGEXEXTRACT(E2399,"[0-9]{4}([A-Z+]{3})"),3)</f>
        <v>#N/A</v>
      </c>
    </row>
    <row r="2400" spans="1:20">
      <c r="A2400" s="136">
        <v>9</v>
      </c>
      <c r="B2400" s="233">
        <v>1970</v>
      </c>
      <c r="C2400" s="234"/>
      <c r="D2400" s="234" t="s">
        <v>4920</v>
      </c>
      <c r="E2400" s="235" t="s">
        <v>1976</v>
      </c>
      <c r="F2400" s="235" t="s">
        <v>5933</v>
      </c>
      <c r="G2400" s="235" t="s">
        <v>2579</v>
      </c>
      <c r="H2400" s="236"/>
      <c r="I2400" s="236"/>
      <c r="J2400" s="233">
        <v>50</v>
      </c>
      <c r="K2400" s="237"/>
      <c r="L2400" s="235"/>
      <c r="M2400" s="276"/>
      <c r="O2400" t="str">
        <f t="shared" si="78"/>
        <v>1970 1970'S Tubes Series Pennies</v>
      </c>
      <c r="T2400" t="e" cm="1" vm="1">
        <f t="array" ref="T2400">RIGHT(_xlfn.REGEXEXTRACT(E2400,"[0-9]{4}([A-Z+]{3})"),3)</f>
        <v>#N/A</v>
      </c>
    </row>
    <row r="2401" spans="1:20">
      <c r="A2401" s="136">
        <v>9</v>
      </c>
      <c r="B2401" s="233">
        <v>1970</v>
      </c>
      <c r="C2401" s="234"/>
      <c r="D2401" s="234" t="s">
        <v>4920</v>
      </c>
      <c r="E2401" s="235" t="s">
        <v>1975</v>
      </c>
      <c r="F2401" s="235" t="s">
        <v>5933</v>
      </c>
      <c r="G2401" s="235" t="s">
        <v>2579</v>
      </c>
      <c r="H2401" s="236"/>
      <c r="I2401" s="236"/>
      <c r="J2401" s="233">
        <v>47</v>
      </c>
      <c r="K2401" s="237"/>
      <c r="L2401" s="235"/>
      <c r="M2401" s="276"/>
      <c r="O2401" t="str">
        <f t="shared" si="78"/>
        <v>1970 1970'S Tubes Series Pennies</v>
      </c>
      <c r="T2401" t="e" cm="1" vm="1">
        <f t="array" ref="T2401">RIGHT(_xlfn.REGEXEXTRACT(E2401,"[0-9]{4}([A-Z+]{3})"),3)</f>
        <v>#N/A</v>
      </c>
    </row>
    <row r="2402" spans="1:20">
      <c r="A2402" s="136">
        <v>9</v>
      </c>
      <c r="B2402" s="233">
        <v>1970</v>
      </c>
      <c r="C2402" s="234"/>
      <c r="D2402" s="234" t="s">
        <v>4920</v>
      </c>
      <c r="E2402" s="235" t="s">
        <v>1977</v>
      </c>
      <c r="F2402" s="235" t="s">
        <v>5933</v>
      </c>
      <c r="G2402" s="235" t="s">
        <v>2579</v>
      </c>
      <c r="H2402" s="236"/>
      <c r="I2402" s="236"/>
      <c r="J2402" s="233">
        <v>46</v>
      </c>
      <c r="K2402" s="237"/>
      <c r="L2402" s="235"/>
      <c r="M2402" s="276"/>
      <c r="O2402" t="str">
        <f t="shared" si="78"/>
        <v>1970 1970'S Tubes Series Pennies</v>
      </c>
      <c r="T2402" t="e" cm="1" vm="1">
        <f t="array" ref="T2402">RIGHT(_xlfn.REGEXEXTRACT(E2402,"[0-9]{4}([A-Z+]{3})"),3)</f>
        <v>#N/A</v>
      </c>
    </row>
    <row r="2403" spans="1:20">
      <c r="A2403" s="136">
        <v>9</v>
      </c>
      <c r="B2403" s="233">
        <v>1970</v>
      </c>
      <c r="C2403" s="234"/>
      <c r="D2403" s="234" t="s">
        <v>4920</v>
      </c>
      <c r="E2403" s="235" t="s">
        <v>1998</v>
      </c>
      <c r="F2403" s="235" t="s">
        <v>5933</v>
      </c>
      <c r="G2403" s="235" t="s">
        <v>2579</v>
      </c>
      <c r="H2403" s="236"/>
      <c r="I2403" s="236">
        <v>0.48</v>
      </c>
      <c r="J2403" s="233">
        <v>48</v>
      </c>
      <c r="K2403" s="237"/>
      <c r="L2403" s="235"/>
      <c r="M2403" s="276"/>
      <c r="O2403" t="str">
        <f t="shared" si="78"/>
        <v>1970 1970'S Tubes Series Pennies</v>
      </c>
      <c r="T2403" t="e" cm="1" vm="1">
        <f t="array" ref="T2403">RIGHT(_xlfn.REGEXEXTRACT(E2403,"[0-9]{4}([A-Z+]{3})"),3)</f>
        <v>#N/A</v>
      </c>
    </row>
    <row r="2404" spans="1:20">
      <c r="A2404" s="136">
        <v>9</v>
      </c>
      <c r="B2404" s="233">
        <v>1970</v>
      </c>
      <c r="C2404" s="234"/>
      <c r="D2404" s="234" t="s">
        <v>4920</v>
      </c>
      <c r="E2404" s="235" t="s">
        <v>1999</v>
      </c>
      <c r="F2404" s="235" t="s">
        <v>5933</v>
      </c>
      <c r="G2404" s="235" t="s">
        <v>2579</v>
      </c>
      <c r="H2404" s="236"/>
      <c r="I2404" s="236">
        <v>0.5</v>
      </c>
      <c r="J2404" s="233">
        <v>50</v>
      </c>
      <c r="K2404" s="237"/>
      <c r="L2404" s="235"/>
      <c r="M2404" s="276"/>
      <c r="O2404" t="str">
        <f t="shared" si="78"/>
        <v>1970 1970'S Tubes Series Pennies</v>
      </c>
      <c r="T2404" t="e" cm="1" vm="1">
        <f t="array" ref="T2404">RIGHT(_xlfn.REGEXEXTRACT(E2404,"[0-9]{4}([A-Z+]{3})"),3)</f>
        <v>#N/A</v>
      </c>
    </row>
    <row r="2405" spans="1:20">
      <c r="A2405" s="136">
        <v>9</v>
      </c>
      <c r="B2405" s="233">
        <v>1970</v>
      </c>
      <c r="C2405" s="234"/>
      <c r="D2405" s="234" t="s">
        <v>4920</v>
      </c>
      <c r="E2405" s="235" t="s">
        <v>2085</v>
      </c>
      <c r="F2405" s="235" t="s">
        <v>5932</v>
      </c>
      <c r="G2405" s="235" t="s">
        <v>2579</v>
      </c>
      <c r="H2405" s="236">
        <v>0.2</v>
      </c>
      <c r="I2405" s="236">
        <v>1</v>
      </c>
      <c r="J2405" s="233">
        <v>20</v>
      </c>
      <c r="K2405" s="237" t="s">
        <v>2087</v>
      </c>
      <c r="L2405" s="235"/>
      <c r="M2405" s="276"/>
      <c r="O2405" t="str">
        <f t="shared" si="78"/>
        <v>1970 Lincoln Pennies Tubes Assorted Dates [Dads]</v>
      </c>
      <c r="T2405" t="e" cm="1" vm="1">
        <f t="array" ref="T2405">RIGHT(_xlfn.REGEXEXTRACT(E2405,"[0-9]{4}([A-Z+]{3})"),3)</f>
        <v>#N/A</v>
      </c>
    </row>
    <row r="2406" spans="1:20">
      <c r="A2406" s="136">
        <v>9</v>
      </c>
      <c r="B2406" s="233">
        <v>1970</v>
      </c>
      <c r="C2406" s="234"/>
      <c r="D2406" s="234" t="s">
        <v>1965</v>
      </c>
      <c r="E2406" s="235" t="s">
        <v>2074</v>
      </c>
      <c r="F2406" s="235" t="s">
        <v>5931</v>
      </c>
      <c r="G2406" s="235" t="s">
        <v>2579</v>
      </c>
      <c r="H2406" s="236">
        <v>2.5</v>
      </c>
      <c r="I2406" s="236"/>
      <c r="J2406" s="233">
        <v>9</v>
      </c>
      <c r="K2406" s="237"/>
      <c r="L2406" s="235"/>
      <c r="M2406" s="276"/>
      <c r="O2406" t="str">
        <f t="shared" si="78"/>
        <v>1970 Assorted Date Tubes Quarters</v>
      </c>
      <c r="T2406" t="e" cm="1" vm="1">
        <f t="array" ref="T2406">RIGHT(_xlfn.REGEXEXTRACT(E2406,"[0-9]{4}([A-Z+]{3})"),3)</f>
        <v>#N/A</v>
      </c>
    </row>
    <row r="2407" spans="1:20">
      <c r="A2407" s="136">
        <v>9</v>
      </c>
      <c r="B2407" s="233">
        <v>1970</v>
      </c>
      <c r="C2407" s="234"/>
      <c r="D2407" s="234" t="s">
        <v>1965</v>
      </c>
      <c r="E2407" s="235" t="s">
        <v>2090</v>
      </c>
      <c r="F2407" s="235" t="s">
        <v>5923</v>
      </c>
      <c r="G2407" s="235" t="s">
        <v>2579</v>
      </c>
      <c r="H2407" s="236">
        <v>10</v>
      </c>
      <c r="I2407" s="236">
        <v>12</v>
      </c>
      <c r="J2407" s="233">
        <v>40</v>
      </c>
      <c r="K2407" s="237"/>
      <c r="L2407" s="235"/>
      <c r="M2407" s="276"/>
      <c r="O2407" t="str">
        <f t="shared" si="78"/>
        <v>1970 Quarters Tubes with Assorted Dates</v>
      </c>
      <c r="T2407" t="e" cm="1" vm="1">
        <f t="array" ref="T2407">RIGHT(_xlfn.REGEXEXTRACT(E2407,"[0-9]{4}([A-Z+]{3})"),3)</f>
        <v>#N/A</v>
      </c>
    </row>
    <row r="2408" spans="1:20">
      <c r="A2408" s="136">
        <v>9</v>
      </c>
      <c r="B2408" s="233">
        <v>1976</v>
      </c>
      <c r="C2408" s="234"/>
      <c r="D2408" s="234" t="s">
        <v>1965</v>
      </c>
      <c r="E2408" s="235" t="s">
        <v>2072</v>
      </c>
      <c r="F2408" s="235" t="s">
        <v>5930</v>
      </c>
      <c r="G2408" s="235" t="s">
        <v>2579</v>
      </c>
      <c r="H2408" s="236">
        <v>7.5</v>
      </c>
      <c r="I2408" s="236"/>
      <c r="J2408" s="233">
        <v>25</v>
      </c>
      <c r="K2408" s="237"/>
      <c r="L2408" s="235"/>
      <c r="M2408" s="276"/>
      <c r="O2408" t="str">
        <f t="shared" si="78"/>
        <v>1976 Tubes Bicentennial Quarters</v>
      </c>
      <c r="T2408" t="e" cm="1" vm="1">
        <f t="array" ref="T2408">RIGHT(_xlfn.REGEXEXTRACT(E2408,"[0-9]{4}([A-Z+]{3})"),3)</f>
        <v>#N/A</v>
      </c>
    </row>
    <row r="2409" spans="1:20">
      <c r="A2409" s="136">
        <v>9</v>
      </c>
      <c r="B2409" s="233">
        <v>1980</v>
      </c>
      <c r="C2409" s="234"/>
      <c r="D2409" s="234" t="s">
        <v>4920</v>
      </c>
      <c r="E2409" s="235" t="s">
        <v>1978</v>
      </c>
      <c r="F2409" s="235" t="s">
        <v>5929</v>
      </c>
      <c r="G2409" s="235" t="s">
        <v>2579</v>
      </c>
      <c r="H2409" s="236"/>
      <c r="I2409" s="236"/>
      <c r="J2409" s="233">
        <v>43</v>
      </c>
      <c r="K2409" s="237"/>
      <c r="L2409" s="235"/>
      <c r="M2409" s="276"/>
      <c r="O2409" t="str">
        <f t="shared" si="78"/>
        <v>1980 1980'S Series Tube Pennies</v>
      </c>
      <c r="T2409" t="e" cm="1" vm="1">
        <f t="array" ref="T2409">RIGHT(_xlfn.REGEXEXTRACT(E2409,"[0-9]{4}([A-Z+]{3})"),3)</f>
        <v>#N/A</v>
      </c>
    </row>
    <row r="2410" spans="1:20">
      <c r="A2410" s="136">
        <v>9</v>
      </c>
      <c r="B2410" s="233">
        <v>1980</v>
      </c>
      <c r="C2410" s="234"/>
      <c r="D2410" s="234" t="s">
        <v>4920</v>
      </c>
      <c r="E2410" s="235" t="s">
        <v>2000</v>
      </c>
      <c r="F2410" s="235" t="s">
        <v>5929</v>
      </c>
      <c r="G2410" s="235" t="s">
        <v>2579</v>
      </c>
      <c r="H2410" s="236"/>
      <c r="I2410" s="236">
        <v>0.5</v>
      </c>
      <c r="J2410" s="233">
        <v>50</v>
      </c>
      <c r="K2410" s="237"/>
      <c r="L2410" s="235"/>
      <c r="M2410" s="276"/>
      <c r="O2410" t="str">
        <f t="shared" si="78"/>
        <v>1980 1980'S Series Tube Pennies</v>
      </c>
      <c r="T2410" t="e" cm="1" vm="1">
        <f t="array" ref="T2410">RIGHT(_xlfn.REGEXEXTRACT(E2410,"[0-9]{4}([A-Z+]{3})"),3)</f>
        <v>#N/A</v>
      </c>
    </row>
    <row r="2411" spans="1:20">
      <c r="A2411" s="136">
        <v>9</v>
      </c>
      <c r="B2411" s="233">
        <v>1980</v>
      </c>
      <c r="C2411" s="234"/>
      <c r="D2411" s="234" t="s">
        <v>4920</v>
      </c>
      <c r="E2411" s="235" t="s">
        <v>2001</v>
      </c>
      <c r="F2411" s="235" t="s">
        <v>5929</v>
      </c>
      <c r="G2411" s="235" t="s">
        <v>2579</v>
      </c>
      <c r="H2411" s="236"/>
      <c r="I2411" s="236">
        <v>0.5</v>
      </c>
      <c r="J2411" s="233">
        <v>50</v>
      </c>
      <c r="K2411" s="237"/>
      <c r="L2411" s="235"/>
      <c r="M2411" s="276"/>
      <c r="O2411" t="str">
        <f t="shared" si="78"/>
        <v>1980 1980'S Series Tube Pennies</v>
      </c>
      <c r="T2411" t="e" cm="1" vm="1">
        <f t="array" ref="T2411">RIGHT(_xlfn.REGEXEXTRACT(E2411,"[0-9]{4}([A-Z+]{3})"),3)</f>
        <v>#N/A</v>
      </c>
    </row>
    <row r="2412" spans="1:20">
      <c r="A2412" s="136">
        <v>9</v>
      </c>
      <c r="B2412" s="233">
        <v>1990</v>
      </c>
      <c r="C2412" s="234"/>
      <c r="D2412" s="234" t="s">
        <v>1963</v>
      </c>
      <c r="E2412" s="235" t="s">
        <v>2082</v>
      </c>
      <c r="F2412" s="235" t="s">
        <v>5928</v>
      </c>
      <c r="G2412" s="235" t="s">
        <v>2579</v>
      </c>
      <c r="H2412" s="236">
        <v>4</v>
      </c>
      <c r="I2412" s="236">
        <v>6</v>
      </c>
      <c r="J2412" s="233">
        <v>45</v>
      </c>
      <c r="K2412" s="237"/>
      <c r="L2412" s="235"/>
      <c r="M2412" s="276"/>
      <c r="O2412" t="str">
        <f t="shared" si="78"/>
        <v>1990 Roosevelt Dimes Tubes Assorted Dates</v>
      </c>
      <c r="T2412" t="e" cm="1" vm="1">
        <f t="array" ref="T2412">RIGHT(_xlfn.REGEXEXTRACT(E2412,"[0-9]{4}([A-Z+]{3})"),3)</f>
        <v>#N/A</v>
      </c>
    </row>
    <row r="2413" spans="1:20">
      <c r="A2413" s="136">
        <v>9</v>
      </c>
      <c r="B2413" s="233">
        <v>1990</v>
      </c>
      <c r="C2413" s="234"/>
      <c r="D2413" s="234" t="s">
        <v>4920</v>
      </c>
      <c r="E2413" s="235" t="s">
        <v>2002</v>
      </c>
      <c r="F2413" s="235" t="s">
        <v>5927</v>
      </c>
      <c r="G2413" s="235" t="s">
        <v>2579</v>
      </c>
      <c r="H2413" s="236"/>
      <c r="I2413" s="236">
        <v>0.5</v>
      </c>
      <c r="J2413" s="233">
        <v>50</v>
      </c>
      <c r="K2413" s="237"/>
      <c r="L2413" s="235"/>
      <c r="M2413" s="276"/>
      <c r="O2413" t="str">
        <f t="shared" si="78"/>
        <v>1990 1990'S Series Tubes Pennies</v>
      </c>
      <c r="T2413" t="e" cm="1" vm="1">
        <f t="array" ref="T2413">RIGHT(_xlfn.REGEXEXTRACT(E2413,"[0-9]{4}([A-Z+]{3})"),3)</f>
        <v>#N/A</v>
      </c>
    </row>
    <row r="2414" spans="1:20">
      <c r="A2414" s="136">
        <v>9</v>
      </c>
      <c r="B2414" s="233">
        <v>1990</v>
      </c>
      <c r="C2414" s="234"/>
      <c r="D2414" s="234" t="s">
        <v>4920</v>
      </c>
      <c r="E2414" s="235" t="s">
        <v>2003</v>
      </c>
      <c r="F2414" s="235" t="s">
        <v>5927</v>
      </c>
      <c r="G2414" s="235" t="s">
        <v>2579</v>
      </c>
      <c r="H2414" s="236"/>
      <c r="I2414" s="236">
        <v>0.49</v>
      </c>
      <c r="J2414" s="233">
        <v>49</v>
      </c>
      <c r="K2414" s="237"/>
      <c r="L2414" s="235"/>
      <c r="M2414" s="276"/>
      <c r="O2414" t="str">
        <f t="shared" si="78"/>
        <v>1990 1990'S Series Tubes Pennies</v>
      </c>
      <c r="T2414" t="e" cm="1" vm="1">
        <f t="array" ref="T2414">RIGHT(_xlfn.REGEXEXTRACT(E2414,"[0-9]{4}([A-Z+]{3})"),3)</f>
        <v>#N/A</v>
      </c>
    </row>
    <row r="2415" spans="1:20">
      <c r="A2415" s="136">
        <v>9</v>
      </c>
      <c r="B2415" s="233">
        <v>2000</v>
      </c>
      <c r="C2415" s="234"/>
      <c r="D2415" s="234" t="s">
        <v>4920</v>
      </c>
      <c r="E2415" s="235" t="s">
        <v>1980</v>
      </c>
      <c r="F2415" s="235" t="s">
        <v>5926</v>
      </c>
      <c r="G2415" s="235" t="s">
        <v>2579</v>
      </c>
      <c r="H2415" s="236"/>
      <c r="I2415" s="236"/>
      <c r="J2415" s="233">
        <v>17</v>
      </c>
      <c r="K2415" s="237"/>
      <c r="L2415" s="235"/>
      <c r="M2415" s="276"/>
      <c r="O2415" t="str">
        <f t="shared" si="78"/>
        <v>2000 2000'S Series Tubes Pennies</v>
      </c>
      <c r="T2415" t="e" cm="1" vm="1">
        <f t="array" ref="T2415">RIGHT(_xlfn.REGEXEXTRACT(E2415,"[0-9]{4}([A-Z+]{3})"),3)</f>
        <v>#N/A</v>
      </c>
    </row>
    <row r="2416" spans="1:20">
      <c r="A2416" s="136">
        <v>9</v>
      </c>
      <c r="B2416" s="233">
        <v>2000</v>
      </c>
      <c r="C2416" s="234"/>
      <c r="D2416" s="234" t="s">
        <v>4920</v>
      </c>
      <c r="E2416" s="235" t="s">
        <v>1981</v>
      </c>
      <c r="F2416" s="235" t="s">
        <v>5926</v>
      </c>
      <c r="G2416" s="235" t="s">
        <v>2579</v>
      </c>
      <c r="H2416" s="236"/>
      <c r="I2416" s="236"/>
      <c r="J2416" s="233">
        <v>6</v>
      </c>
      <c r="K2416" s="237"/>
      <c r="L2416" s="235"/>
      <c r="M2416" s="276"/>
      <c r="O2416" t="str">
        <f t="shared" si="78"/>
        <v>2000 2000'S Series Tubes Pennies</v>
      </c>
      <c r="T2416" t="e" cm="1" vm="1">
        <f t="array" ref="T2416">RIGHT(_xlfn.REGEXEXTRACT(E2416,"[0-9]{4}([A-Z+]{3})"),3)</f>
        <v>#N/A</v>
      </c>
    </row>
    <row r="2417" spans="1:20">
      <c r="A2417" s="136">
        <v>9</v>
      </c>
      <c r="B2417" s="233">
        <v>2000</v>
      </c>
      <c r="C2417" s="234"/>
      <c r="D2417" s="234" t="s">
        <v>4920</v>
      </c>
      <c r="E2417" s="235" t="s">
        <v>2004</v>
      </c>
      <c r="F2417" s="235" t="s">
        <v>5925</v>
      </c>
      <c r="G2417" s="235" t="s">
        <v>2579</v>
      </c>
      <c r="H2417" s="236"/>
      <c r="I2417" s="236">
        <v>0.5</v>
      </c>
      <c r="J2417" s="233">
        <v>50</v>
      </c>
      <c r="K2417" s="237"/>
      <c r="L2417" s="235"/>
      <c r="M2417" s="276"/>
      <c r="O2417" t="str">
        <f t="shared" si="78"/>
        <v>2000 2000'S Series Tube Pennies</v>
      </c>
      <c r="T2417" t="e" cm="1" vm="1">
        <f t="array" ref="T2417">RIGHT(_xlfn.REGEXEXTRACT(E2417,"[0-9]{4}([A-Z+]{3})"),3)</f>
        <v>#N/A</v>
      </c>
    </row>
    <row r="2418" spans="1:20">
      <c r="A2418" s="136">
        <v>9</v>
      </c>
      <c r="B2418" s="233">
        <v>2000</v>
      </c>
      <c r="C2418" s="234"/>
      <c r="D2418" s="234" t="s">
        <v>4920</v>
      </c>
      <c r="E2418" s="235" t="s">
        <v>2089</v>
      </c>
      <c r="F2418" s="235" t="s">
        <v>5924</v>
      </c>
      <c r="G2418" s="235" t="s">
        <v>2579</v>
      </c>
      <c r="H2418" s="236">
        <v>0.04</v>
      </c>
      <c r="I2418" s="236">
        <v>0.2</v>
      </c>
      <c r="J2418" s="233">
        <v>4</v>
      </c>
      <c r="K2418" s="237"/>
      <c r="L2418" s="235"/>
      <c r="M2418" s="276"/>
      <c r="O2418" t="str">
        <f t="shared" ref="O2418:O2481" si="79">IF(C2418&lt;&gt;"",B2418&amp;"-"&amp;C2418&amp;" "&amp;F2418,B2418&amp;" "&amp;F2418)</f>
        <v>2000 Lincoln Pennies Tubes Assorted Dates</v>
      </c>
      <c r="T2418" t="e" cm="1" vm="1">
        <f t="array" ref="T2418">RIGHT(_xlfn.REGEXEXTRACT(E2418,"[0-9]{4}([A-Z+]{3})"),3)</f>
        <v>#N/A</v>
      </c>
    </row>
    <row r="2419" spans="1:20">
      <c r="A2419" s="136">
        <v>9</v>
      </c>
      <c r="B2419" s="233">
        <v>2001</v>
      </c>
      <c r="C2419" s="234"/>
      <c r="D2419" s="234" t="s">
        <v>1974</v>
      </c>
      <c r="E2419" s="235" t="s">
        <v>2093</v>
      </c>
      <c r="F2419" s="235" t="s">
        <v>5923</v>
      </c>
      <c r="G2419" s="235" t="s">
        <v>2579</v>
      </c>
      <c r="H2419" s="236">
        <v>1.25</v>
      </c>
      <c r="I2419" s="236">
        <v>1.25</v>
      </c>
      <c r="J2419" s="233">
        <v>5</v>
      </c>
      <c r="K2419" s="237"/>
      <c r="L2419" s="235"/>
      <c r="M2419" s="276"/>
      <c r="O2419" t="str">
        <f t="shared" si="79"/>
        <v>2001 Quarters Tubes with Assorted Dates</v>
      </c>
      <c r="T2419" t="e" cm="1" vm="1">
        <f t="array" ref="T2419">RIGHT(_xlfn.REGEXEXTRACT(E2419,"[0-9]{4}([A-Z+]{3})"),3)</f>
        <v>#N/A</v>
      </c>
    </row>
    <row r="2420" spans="1:20">
      <c r="A2420" s="136">
        <v>9</v>
      </c>
      <c r="B2420" s="233">
        <v>2010</v>
      </c>
      <c r="C2420" s="234"/>
      <c r="D2420" s="234" t="s">
        <v>4920</v>
      </c>
      <c r="E2420" s="235" t="s">
        <v>1982</v>
      </c>
      <c r="F2420" s="235" t="s">
        <v>5922</v>
      </c>
      <c r="G2420" s="235" t="s">
        <v>2579</v>
      </c>
      <c r="H2420" s="236"/>
      <c r="I2420" s="236"/>
      <c r="J2420" s="233">
        <v>14</v>
      </c>
      <c r="K2420" s="237"/>
      <c r="L2420" s="235"/>
      <c r="M2420" s="276"/>
      <c r="O2420" t="str">
        <f t="shared" si="79"/>
        <v>2010 2010'S Tubes Series Pennies</v>
      </c>
      <c r="T2420" t="e" cm="1" vm="1">
        <f t="array" ref="T2420">RIGHT(_xlfn.REGEXEXTRACT(E2420,"[0-9]{4}([A-Z+]{3})"),3)</f>
        <v>#N/A</v>
      </c>
    </row>
    <row r="2421" spans="1:20">
      <c r="A2421" s="136">
        <v>9</v>
      </c>
      <c r="B2421" s="233">
        <v>2010</v>
      </c>
      <c r="C2421" s="234"/>
      <c r="D2421" s="234" t="s">
        <v>4920</v>
      </c>
      <c r="E2421" s="235" t="s">
        <v>2005</v>
      </c>
      <c r="F2421" s="235" t="s">
        <v>5922</v>
      </c>
      <c r="G2421" s="235" t="s">
        <v>2579</v>
      </c>
      <c r="H2421" s="236"/>
      <c r="I2421" s="236">
        <v>0.48</v>
      </c>
      <c r="J2421" s="233">
        <v>48</v>
      </c>
      <c r="K2421" s="237"/>
      <c r="L2421" s="235"/>
      <c r="M2421" s="276"/>
      <c r="O2421" t="str">
        <f t="shared" si="79"/>
        <v>2010 2010'S Tubes Series Pennies</v>
      </c>
      <c r="T2421" t="e" cm="1" vm="1">
        <f t="array" ref="T2421">RIGHT(_xlfn.REGEXEXTRACT(E2421,"[0-9]{4}([A-Z+]{3})"),3)</f>
        <v>#N/A</v>
      </c>
    </row>
    <row r="2422" spans="1:20">
      <c r="A2422" s="136">
        <v>9</v>
      </c>
      <c r="B2422" s="233">
        <v>2010</v>
      </c>
      <c r="C2422" s="234"/>
      <c r="D2422" s="234" t="s">
        <v>1965</v>
      </c>
      <c r="E2422" s="235" t="s">
        <v>1991</v>
      </c>
      <c r="F2422" s="235" t="s">
        <v>5921</v>
      </c>
      <c r="G2422" s="235" t="s">
        <v>2579</v>
      </c>
      <c r="H2422" s="236"/>
      <c r="I2422" s="236">
        <v>11.5</v>
      </c>
      <c r="J2422" s="233">
        <v>46</v>
      </c>
      <c r="K2422" s="237"/>
      <c r="L2422" s="235"/>
      <c r="M2422" s="276"/>
      <c r="O2422" t="str">
        <f t="shared" si="79"/>
        <v>2010 National Parks Issue Tubes 2010-2019</v>
      </c>
      <c r="T2422" t="e" cm="1" vm="1">
        <f t="array" ref="T2422">RIGHT(_xlfn.REGEXEXTRACT(E2422,"[0-9]{4}([A-Z+]{3})"),3)</f>
        <v>#N/A</v>
      </c>
    </row>
    <row r="2423" spans="1:20">
      <c r="A2423" s="136">
        <v>9</v>
      </c>
      <c r="B2423" s="233">
        <v>2010</v>
      </c>
      <c r="C2423" s="234"/>
      <c r="D2423" s="234" t="s">
        <v>1965</v>
      </c>
      <c r="E2423" s="235" t="s">
        <v>1993</v>
      </c>
      <c r="F2423" s="235" t="s">
        <v>5921</v>
      </c>
      <c r="G2423" s="235" t="s">
        <v>2579</v>
      </c>
      <c r="H2423" s="236"/>
      <c r="I2423" s="236">
        <v>11.5</v>
      </c>
      <c r="J2423" s="233">
        <v>46</v>
      </c>
      <c r="K2423" s="237"/>
      <c r="L2423" s="235"/>
      <c r="M2423" s="276"/>
      <c r="O2423" t="str">
        <f t="shared" si="79"/>
        <v>2010 National Parks Issue Tubes 2010-2019</v>
      </c>
      <c r="T2423" t="e" cm="1" vm="1">
        <f t="array" ref="T2423">RIGHT(_xlfn.REGEXEXTRACT(E2423,"[0-9]{4}([A-Z+]{3})"),3)</f>
        <v>#N/A</v>
      </c>
    </row>
    <row r="2424" spans="1:20">
      <c r="A2424" s="136">
        <v>9</v>
      </c>
      <c r="B2424" s="233">
        <v>2010</v>
      </c>
      <c r="C2424" s="234"/>
      <c r="D2424" s="234" t="s">
        <v>1965</v>
      </c>
      <c r="E2424" s="235" t="s">
        <v>1994</v>
      </c>
      <c r="F2424" s="235" t="s">
        <v>5921</v>
      </c>
      <c r="G2424" s="235" t="s">
        <v>2579</v>
      </c>
      <c r="H2424" s="236"/>
      <c r="I2424" s="236">
        <v>11.5</v>
      </c>
      <c r="J2424" s="233">
        <v>46</v>
      </c>
      <c r="K2424" s="237"/>
      <c r="L2424" s="235"/>
      <c r="M2424" s="276"/>
      <c r="O2424" t="str">
        <f t="shared" si="79"/>
        <v>2010 National Parks Issue Tubes 2010-2019</v>
      </c>
      <c r="T2424" t="e" cm="1" vm="1">
        <f t="array" ref="T2424">RIGHT(_xlfn.REGEXEXTRACT(E2424,"[0-9]{4}([A-Z+]{3})"),3)</f>
        <v>#N/A</v>
      </c>
    </row>
    <row r="2425" spans="1:20">
      <c r="A2425" s="136">
        <v>9</v>
      </c>
      <c r="B2425" s="233">
        <v>2016</v>
      </c>
      <c r="C2425" s="234"/>
      <c r="D2425" s="234" t="s">
        <v>1965</v>
      </c>
      <c r="E2425" s="235" t="s">
        <v>2076</v>
      </c>
      <c r="F2425" s="235" t="s">
        <v>5920</v>
      </c>
      <c r="G2425" s="235" t="s">
        <v>2579</v>
      </c>
      <c r="H2425" s="236">
        <v>0.75</v>
      </c>
      <c r="I2425" s="236"/>
      <c r="J2425" s="233">
        <v>3</v>
      </c>
      <c r="K2425" s="237"/>
      <c r="L2425" s="235"/>
      <c r="M2425" s="276"/>
      <c r="O2425" t="str">
        <f t="shared" si="79"/>
        <v>2016 Assorted Date Quarters Tubes 2010-2020</v>
      </c>
      <c r="T2425" t="e" cm="1" vm="1">
        <f t="array" ref="T2425">RIGHT(_xlfn.REGEXEXTRACT(E2425,"[0-9]{4}([A-Z+]{3})"),3)</f>
        <v>#N/A</v>
      </c>
    </row>
    <row r="2426" spans="1:20">
      <c r="A2426" s="136">
        <v>9</v>
      </c>
      <c r="B2426" s="233">
        <v>2020</v>
      </c>
      <c r="C2426" s="234"/>
      <c r="D2426" s="234" t="s">
        <v>4920</v>
      </c>
      <c r="E2426" s="235" t="s">
        <v>4512</v>
      </c>
      <c r="F2426" s="235" t="s">
        <v>5919</v>
      </c>
      <c r="G2426" s="235" t="s">
        <v>2579</v>
      </c>
      <c r="H2426" s="236">
        <v>0.05</v>
      </c>
      <c r="I2426" s="236">
        <v>0.05</v>
      </c>
      <c r="J2426" s="233">
        <v>5</v>
      </c>
      <c r="K2426" s="237"/>
      <c r="L2426" s="235"/>
      <c r="M2426" s="276"/>
      <c r="O2426" t="str">
        <f t="shared" si="79"/>
        <v>2020 Lincoln Pennies Tube Assorted Dates</v>
      </c>
      <c r="T2426" t="str" cm="1">
        <f t="array" ref="T2426">RIGHT(_xlfn.REGEXEXTRACT(E2426,"[0-9]{4}([A-Z+]{3})"),3)</f>
        <v>CNT</v>
      </c>
    </row>
    <row r="2427" spans="1:20">
      <c r="A2427" s="136">
        <v>9</v>
      </c>
      <c r="B2427" s="233">
        <v>2020</v>
      </c>
      <c r="C2427" s="234"/>
      <c r="D2427" s="234" t="s">
        <v>1962</v>
      </c>
      <c r="E2427" s="235" t="s">
        <v>4513</v>
      </c>
      <c r="F2427" s="235" t="s">
        <v>5918</v>
      </c>
      <c r="G2427" s="235" t="s">
        <v>2579</v>
      </c>
      <c r="H2427" s="236">
        <v>2</v>
      </c>
      <c r="I2427" s="236">
        <v>6</v>
      </c>
      <c r="J2427" s="233">
        <v>40</v>
      </c>
      <c r="K2427" s="237"/>
      <c r="L2427" s="235"/>
      <c r="M2427" s="276"/>
      <c r="O2427" t="str">
        <f t="shared" si="79"/>
        <v>2020 Jefferson Nickel Tube Assorted Dates</v>
      </c>
      <c r="T2427" t="str" cm="1">
        <f t="array" ref="T2427">RIGHT(_xlfn.REGEXEXTRACT(E2427,"[0-9]{4}([A-Z+]{3})"),3)</f>
        <v>NIC</v>
      </c>
    </row>
    <row r="2428" spans="1:20">
      <c r="A2428" s="136">
        <v>10</v>
      </c>
      <c r="B2428" s="246">
        <v>2004</v>
      </c>
      <c r="C2428" s="247" t="s">
        <v>25</v>
      </c>
      <c r="D2428" s="234" t="s">
        <v>1962</v>
      </c>
      <c r="E2428" s="248" t="s">
        <v>745</v>
      </c>
      <c r="F2428" s="235" t="s">
        <v>5904</v>
      </c>
      <c r="G2428" s="248" t="s">
        <v>2579</v>
      </c>
      <c r="H2428" s="249">
        <v>0.05</v>
      </c>
      <c r="I2428" s="249">
        <v>0.05</v>
      </c>
      <c r="J2428" s="246">
        <v>1</v>
      </c>
      <c r="K2428" s="237" t="s">
        <v>746</v>
      </c>
      <c r="L2428" s="248"/>
      <c r="M2428" s="276"/>
      <c r="O2428" t="str">
        <f t="shared" si="79"/>
        <v>2004-P Jefferson Nickel Lewis &amp; Clark</v>
      </c>
      <c r="T2428" t="str" cm="1">
        <f t="array" ref="T2428">RIGHT(_xlfn.REGEXEXTRACT(E2428,"[0-9]{4}([A-Z+]{3})"),3)</f>
        <v>NIC</v>
      </c>
    </row>
    <row r="2429" spans="1:20">
      <c r="A2429" s="136">
        <v>10</v>
      </c>
      <c r="B2429" s="233">
        <v>2004</v>
      </c>
      <c r="C2429" s="234"/>
      <c r="D2429" s="234" t="s">
        <v>1962</v>
      </c>
      <c r="E2429" s="235" t="s">
        <v>4511</v>
      </c>
      <c r="F2429" s="235" t="s">
        <v>5917</v>
      </c>
      <c r="G2429" s="235" t="s">
        <v>2579</v>
      </c>
      <c r="H2429" s="236"/>
      <c r="I2429" s="236">
        <v>2</v>
      </c>
      <c r="J2429" s="233">
        <v>40</v>
      </c>
      <c r="K2429" s="237" t="s">
        <v>5902</v>
      </c>
      <c r="L2429" s="235"/>
      <c r="M2429" s="276"/>
      <c r="O2429" t="str">
        <f t="shared" si="79"/>
        <v>2004 Jefferson Nickel Roll Hand Shake</v>
      </c>
      <c r="T2429" t="str" cm="1">
        <f t="array" ref="T2429">RIGHT(_xlfn.REGEXEXTRACT(E2429,"[0-9]{4}([A-Z+]{3})"),3)</f>
        <v>NIC</v>
      </c>
    </row>
    <row r="2430" spans="1:20">
      <c r="A2430" s="136">
        <v>10</v>
      </c>
      <c r="B2430" s="233">
        <v>2004</v>
      </c>
      <c r="C2430" s="234"/>
      <c r="D2430" s="234" t="s">
        <v>1962</v>
      </c>
      <c r="E2430" s="235" t="s">
        <v>4510</v>
      </c>
      <c r="F2430" s="235" t="s">
        <v>5916</v>
      </c>
      <c r="G2430" s="235" t="s">
        <v>2579</v>
      </c>
      <c r="H2430" s="236"/>
      <c r="I2430" s="236">
        <v>2</v>
      </c>
      <c r="J2430" s="233">
        <v>40</v>
      </c>
      <c r="K2430" s="237" t="s">
        <v>5903</v>
      </c>
      <c r="L2430" s="235"/>
      <c r="M2430" s="276"/>
      <c r="O2430" t="str">
        <f t="shared" si="79"/>
        <v>2004 Jefferson Nickel Roll Fishing Boat</v>
      </c>
      <c r="T2430" t="str" cm="1">
        <f t="array" ref="T2430">RIGHT(_xlfn.REGEXEXTRACT(E2430,"[0-9]{4}([A-Z+]{3})"),3)</f>
        <v>NIC</v>
      </c>
    </row>
    <row r="2431" spans="1:20">
      <c r="A2431" s="136">
        <v>10</v>
      </c>
      <c r="B2431" s="246">
        <v>2005</v>
      </c>
      <c r="C2431" s="247"/>
      <c r="D2431" s="234" t="s">
        <v>1962</v>
      </c>
      <c r="E2431" s="248" t="s">
        <v>748</v>
      </c>
      <c r="F2431" s="235" t="s">
        <v>5915</v>
      </c>
      <c r="G2431" s="248" t="s">
        <v>2579</v>
      </c>
      <c r="H2431" s="249">
        <v>2</v>
      </c>
      <c r="I2431" s="249">
        <v>13.6</v>
      </c>
      <c r="J2431" s="246">
        <v>40</v>
      </c>
      <c r="K2431" s="237" t="s">
        <v>749</v>
      </c>
      <c r="L2431" s="248"/>
      <c r="M2431" s="276"/>
      <c r="O2431" t="str">
        <f t="shared" si="79"/>
        <v>2005 Jefferson Nickel Roll Bison Roll</v>
      </c>
      <c r="T2431" t="str" cm="1">
        <f t="array" ref="T2431">RIGHT(_xlfn.REGEXEXTRACT(E2431,"[0-9]{4}([A-Z+]{3})"),3)</f>
        <v>NIC</v>
      </c>
    </row>
    <row r="2432" spans="1:20">
      <c r="A2432" s="136">
        <v>10</v>
      </c>
      <c r="B2432" s="246">
        <v>2005</v>
      </c>
      <c r="C2432" s="247"/>
      <c r="D2432" s="234" t="s">
        <v>1962</v>
      </c>
      <c r="E2432" s="248" t="s">
        <v>751</v>
      </c>
      <c r="F2432" s="235" t="s">
        <v>5914</v>
      </c>
      <c r="G2432" s="248" t="s">
        <v>2579</v>
      </c>
      <c r="H2432" s="249">
        <v>2</v>
      </c>
      <c r="I2432" s="249">
        <v>9.6</v>
      </c>
      <c r="J2432" s="246">
        <v>40</v>
      </c>
      <c r="K2432" s="237" t="s">
        <v>752</v>
      </c>
      <c r="L2432" s="248"/>
      <c r="M2432" s="276"/>
      <c r="O2432" t="str">
        <f t="shared" si="79"/>
        <v>2005 Jefferson Nickel Roll Peace Medal</v>
      </c>
      <c r="T2432" t="str" cm="1">
        <f t="array" ref="T2432">RIGHT(_xlfn.REGEXEXTRACT(E2432,"[0-9]{4}([A-Z+]{3})"),3)</f>
        <v>NIC</v>
      </c>
    </row>
    <row r="2433" spans="1:20">
      <c r="A2433" s="136">
        <v>10</v>
      </c>
      <c r="B2433" s="246">
        <v>2005</v>
      </c>
      <c r="C2433" s="247"/>
      <c r="D2433" s="234" t="s">
        <v>1962</v>
      </c>
      <c r="E2433" s="248" t="s">
        <v>753</v>
      </c>
      <c r="F2433" s="235" t="s">
        <v>5913</v>
      </c>
      <c r="G2433" s="248" t="s">
        <v>2579</v>
      </c>
      <c r="H2433" s="249">
        <v>2</v>
      </c>
      <c r="I2433" s="249">
        <v>9.6</v>
      </c>
      <c r="J2433" s="246">
        <v>40</v>
      </c>
      <c r="K2433" s="237" t="s">
        <v>754</v>
      </c>
      <c r="L2433" s="248"/>
      <c r="M2433" s="276"/>
      <c r="O2433" t="str">
        <f t="shared" si="79"/>
        <v>2005 Jefferson Nickel Roll Ocean In View</v>
      </c>
      <c r="T2433" t="str" cm="1">
        <f t="array" ref="T2433">RIGHT(_xlfn.REGEXEXTRACT(E2433,"[0-9]{4}([A-Z+]{3})"),3)</f>
        <v>NIC</v>
      </c>
    </row>
    <row r="2434" spans="1:20">
      <c r="A2434" s="136">
        <v>10</v>
      </c>
      <c r="B2434" s="233">
        <v>2005</v>
      </c>
      <c r="C2434" s="234" t="s">
        <v>25</v>
      </c>
      <c r="D2434" s="234" t="s">
        <v>1962</v>
      </c>
      <c r="E2434" s="235" t="s">
        <v>4508</v>
      </c>
      <c r="F2434" s="235" t="s">
        <v>5913</v>
      </c>
      <c r="G2434" s="235" t="s">
        <v>2579</v>
      </c>
      <c r="H2434" s="236"/>
      <c r="I2434" s="236">
        <v>2</v>
      </c>
      <c r="J2434" s="233">
        <v>40</v>
      </c>
      <c r="K2434" s="237" t="s">
        <v>5901</v>
      </c>
      <c r="L2434" s="235"/>
      <c r="M2434" s="276"/>
      <c r="O2434" t="str">
        <f t="shared" si="79"/>
        <v>2005-P Jefferson Nickel Roll Ocean In View</v>
      </c>
      <c r="T2434" t="str" cm="1">
        <f t="array" ref="T2434">RIGHT(_xlfn.REGEXEXTRACT(E2434,"[0-9]{4}([A-Z+]{3})"),3)</f>
        <v>NIC</v>
      </c>
    </row>
    <row r="2435" spans="1:20">
      <c r="A2435" s="136">
        <v>10</v>
      </c>
      <c r="B2435" s="233">
        <v>2005</v>
      </c>
      <c r="C2435" s="234" t="s">
        <v>25</v>
      </c>
      <c r="D2435" s="234" t="s">
        <v>1962</v>
      </c>
      <c r="E2435" s="235" t="s">
        <v>4507</v>
      </c>
      <c r="F2435" s="235" t="s">
        <v>5912</v>
      </c>
      <c r="G2435" s="235" t="s">
        <v>2579</v>
      </c>
      <c r="H2435" s="236"/>
      <c r="I2435" s="236">
        <v>2</v>
      </c>
      <c r="J2435" s="233">
        <v>40</v>
      </c>
      <c r="K2435" s="237" t="s">
        <v>3872</v>
      </c>
      <c r="L2435" s="235"/>
      <c r="M2435" s="276"/>
      <c r="O2435" t="str">
        <f t="shared" si="79"/>
        <v>2005-P Jefferson Nickel Buffalo Roll Bison</v>
      </c>
      <c r="T2435" t="str" cm="1">
        <f t="array" ref="T2435">RIGHT(_xlfn.REGEXEXTRACT(E2435,"[0-9]{4}([A-Z+]{3})"),3)</f>
        <v>NIC</v>
      </c>
    </row>
    <row r="2436" spans="1:20">
      <c r="A2436" s="136">
        <v>10</v>
      </c>
      <c r="B2436" s="270">
        <v>2025</v>
      </c>
      <c r="C2436" s="136" t="s">
        <v>25</v>
      </c>
      <c r="D2436" s="234" t="s">
        <v>4920</v>
      </c>
      <c r="E2436" s="235" t="s">
        <v>5898</v>
      </c>
      <c r="F2436" s="235" t="s">
        <v>5911</v>
      </c>
      <c r="G2436" s="3" t="s">
        <v>5617</v>
      </c>
      <c r="H2436" s="236">
        <v>8</v>
      </c>
      <c r="I2436" s="236">
        <v>8</v>
      </c>
      <c r="J2436" s="233">
        <v>50</v>
      </c>
      <c r="K2436" s="237" t="s">
        <v>1986</v>
      </c>
      <c r="O2436" t="str">
        <f t="shared" si="79"/>
        <v>2025-P Shield Penny Roll</v>
      </c>
      <c r="T2436" t="str" cm="1">
        <f t="array" ref="T2436">RIGHT(_xlfn.REGEXEXTRACT(E2436,"[0-9]{4}([A-Z+]{3})"),3)</f>
        <v>CNT</v>
      </c>
    </row>
    <row r="2437" spans="1:20">
      <c r="A2437" s="136">
        <v>10</v>
      </c>
      <c r="B2437" s="270">
        <v>2025</v>
      </c>
      <c r="C2437" s="136" t="s">
        <v>13</v>
      </c>
      <c r="D2437" s="234" t="s">
        <v>4920</v>
      </c>
      <c r="E2437" s="235" t="s">
        <v>5899</v>
      </c>
      <c r="F2437" s="235" t="s">
        <v>5911</v>
      </c>
      <c r="G2437" s="3" t="s">
        <v>5617</v>
      </c>
      <c r="H2437" s="236">
        <v>8</v>
      </c>
      <c r="I2437" s="236">
        <v>8</v>
      </c>
      <c r="J2437" s="233">
        <v>50</v>
      </c>
      <c r="K2437" s="237" t="s">
        <v>1986</v>
      </c>
      <c r="O2437" t="str">
        <f t="shared" si="79"/>
        <v>2025-D Shield Penny Roll</v>
      </c>
      <c r="T2437" t="str" cm="1">
        <f t="array" ref="T2437">RIGHT(_xlfn.REGEXEXTRACT(E2437,"[0-9]{4}([A-Z+]{3})"),3)</f>
        <v>CNT</v>
      </c>
    </row>
    <row r="2438" spans="1:20">
      <c r="A2438" s="136">
        <v>11</v>
      </c>
      <c r="B2438" s="233">
        <v>1909</v>
      </c>
      <c r="C2438" s="234"/>
      <c r="D2438" s="234" t="s">
        <v>4920</v>
      </c>
      <c r="E2438" s="235" t="s">
        <v>4509</v>
      </c>
      <c r="F2438" s="235" t="s">
        <v>2098</v>
      </c>
      <c r="G2438" s="235" t="s">
        <v>2579</v>
      </c>
      <c r="H2438" s="236">
        <v>0.25</v>
      </c>
      <c r="I2438" s="236"/>
      <c r="J2438" s="233">
        <v>25</v>
      </c>
      <c r="K2438" s="237" t="s">
        <v>2101</v>
      </c>
      <c r="L2438" s="235"/>
      <c r="M2438" s="276"/>
      <c r="O2438" t="str">
        <f t="shared" si="79"/>
        <v>1909 Penney Book</v>
      </c>
      <c r="T2438" t="str" cm="1">
        <f t="array" ref="T2438">RIGHT(_xlfn.REGEXEXTRACT(E2438,"[0-9]{4}([A-Z+]{3})"),3)</f>
        <v>PNY</v>
      </c>
    </row>
    <row r="2439" spans="1:20">
      <c r="A2439" s="136">
        <v>11</v>
      </c>
      <c r="B2439" s="233">
        <v>1938</v>
      </c>
      <c r="C2439" s="234"/>
      <c r="D2439" s="234" t="s">
        <v>1962</v>
      </c>
      <c r="E2439" s="235" t="s">
        <v>4500</v>
      </c>
      <c r="F2439" s="235" t="s">
        <v>2094</v>
      </c>
      <c r="G2439" s="235" t="s">
        <v>2579</v>
      </c>
      <c r="H2439" s="236">
        <v>1.1499999999999999</v>
      </c>
      <c r="I2439" s="236">
        <v>1.1499999999999999</v>
      </c>
      <c r="J2439" s="233">
        <v>23</v>
      </c>
      <c r="K2439" s="237" t="s">
        <v>2117</v>
      </c>
      <c r="L2439" s="235"/>
      <c r="M2439" s="276"/>
      <c r="O2439" t="str">
        <f t="shared" si="79"/>
        <v>1938 Jefferson Nickel Book</v>
      </c>
      <c r="T2439" t="str" cm="1">
        <f t="array" ref="T2439">RIGHT(_xlfn.REGEXEXTRACT(E2439,"[0-9]{4}([A-Z+]{3})"),3)</f>
        <v>JEF</v>
      </c>
    </row>
    <row r="2440" spans="1:20">
      <c r="A2440" s="136">
        <v>11</v>
      </c>
      <c r="B2440" s="233">
        <v>1940</v>
      </c>
      <c r="C2440" s="234"/>
      <c r="D2440" s="234" t="s">
        <v>4920</v>
      </c>
      <c r="E2440" s="235" t="s">
        <v>4501</v>
      </c>
      <c r="F2440" s="235" t="s">
        <v>2098</v>
      </c>
      <c r="G2440" s="235" t="s">
        <v>2579</v>
      </c>
      <c r="H2440" s="236"/>
      <c r="I2440" s="236"/>
      <c r="J2440" s="233">
        <v>73</v>
      </c>
      <c r="K2440" s="237" t="s">
        <v>2102</v>
      </c>
      <c r="L2440" s="235"/>
      <c r="M2440" s="276"/>
      <c r="O2440" t="str">
        <f t="shared" si="79"/>
        <v>1940 Penney Book</v>
      </c>
      <c r="T2440" t="str" cm="1">
        <f t="array" ref="T2440">RIGHT(_xlfn.REGEXEXTRACT(E2440,"[0-9]{4}([A-Z+]{3})"),3)</f>
        <v>PNY</v>
      </c>
    </row>
    <row r="2441" spans="1:20">
      <c r="A2441" s="136">
        <v>11</v>
      </c>
      <c r="B2441" s="233">
        <v>1942</v>
      </c>
      <c r="C2441" s="234"/>
      <c r="D2441" s="234" t="s">
        <v>4920</v>
      </c>
      <c r="E2441" s="235" t="s">
        <v>4502</v>
      </c>
      <c r="F2441" s="235" t="s">
        <v>2098</v>
      </c>
      <c r="G2441" s="235" t="s">
        <v>2579</v>
      </c>
      <c r="H2441" s="236">
        <v>0.84</v>
      </c>
      <c r="I2441" s="236"/>
      <c r="J2441" s="233">
        <v>84</v>
      </c>
      <c r="K2441" s="237" t="s">
        <v>2099</v>
      </c>
      <c r="L2441" s="235"/>
      <c r="M2441" s="276"/>
      <c r="O2441" t="str">
        <f t="shared" si="79"/>
        <v>1942 Penney Book</v>
      </c>
      <c r="T2441" t="str" cm="1">
        <f t="array" ref="T2441">RIGHT(_xlfn.REGEXEXTRACT(E2441,"[0-9]{4}([A-Z+]{3})"),3)</f>
        <v>PNY</v>
      </c>
    </row>
    <row r="2442" spans="1:20">
      <c r="A2442" s="136">
        <v>11</v>
      </c>
      <c r="B2442" s="233">
        <v>1959</v>
      </c>
      <c r="C2442" s="234"/>
      <c r="D2442" s="234" t="s">
        <v>4920</v>
      </c>
      <c r="E2442" s="235" t="s">
        <v>4503</v>
      </c>
      <c r="F2442" s="235" t="s">
        <v>2098</v>
      </c>
      <c r="G2442" s="235" t="s">
        <v>2579</v>
      </c>
      <c r="H2442" s="236">
        <v>0.71</v>
      </c>
      <c r="I2442" s="236"/>
      <c r="J2442" s="233">
        <v>71</v>
      </c>
      <c r="K2442" s="237" t="s">
        <v>2100</v>
      </c>
      <c r="L2442" s="235"/>
      <c r="M2442" s="276"/>
      <c r="O2442" t="str">
        <f t="shared" si="79"/>
        <v>1959 Penney Book</v>
      </c>
      <c r="T2442" t="str" cm="1">
        <f t="array" ref="T2442">RIGHT(_xlfn.REGEXEXTRACT(E2442,"[0-9]{4}([A-Z+]{3})"),3)</f>
        <v>PNY</v>
      </c>
    </row>
    <row r="2443" spans="1:20">
      <c r="A2443" s="136">
        <v>11</v>
      </c>
      <c r="B2443" s="233">
        <v>1999</v>
      </c>
      <c r="C2443" s="234"/>
      <c r="D2443" s="234" t="s">
        <v>4920</v>
      </c>
      <c r="E2443" s="235" t="s">
        <v>4504</v>
      </c>
      <c r="F2443" s="235" t="s">
        <v>2098</v>
      </c>
      <c r="G2443" s="235" t="s">
        <v>2579</v>
      </c>
      <c r="H2443" s="236"/>
      <c r="I2443" s="236"/>
      <c r="J2443" s="233">
        <v>39</v>
      </c>
      <c r="K2443" s="237" t="s">
        <v>2103</v>
      </c>
      <c r="L2443" s="235"/>
      <c r="M2443" s="276"/>
      <c r="O2443" t="str">
        <f t="shared" si="79"/>
        <v>1999 Penney Book</v>
      </c>
      <c r="T2443" t="str" cm="1">
        <f t="array" ref="T2443">RIGHT(_xlfn.REGEXEXTRACT(E2443,"[0-9]{4}([A-Z+]{3})"),3)</f>
        <v>PNY</v>
      </c>
    </row>
    <row r="2444" spans="1:20">
      <c r="A2444" s="136">
        <v>11</v>
      </c>
      <c r="B2444" s="233">
        <v>1999</v>
      </c>
      <c r="C2444" s="234"/>
      <c r="D2444" s="234" t="s">
        <v>1965</v>
      </c>
      <c r="E2444" s="235" t="s">
        <v>4505</v>
      </c>
      <c r="F2444" s="235" t="s">
        <v>2095</v>
      </c>
      <c r="G2444" s="235" t="s">
        <v>2579</v>
      </c>
      <c r="H2444" s="236">
        <v>12.5</v>
      </c>
      <c r="I2444" s="236">
        <v>60</v>
      </c>
      <c r="J2444" s="233">
        <v>50</v>
      </c>
      <c r="K2444" s="237" t="s">
        <v>2096</v>
      </c>
      <c r="L2444" s="235"/>
      <c r="M2444" s="276"/>
      <c r="O2444" t="str">
        <f t="shared" si="79"/>
        <v>1999 State Quarters Book</v>
      </c>
      <c r="T2444" t="str" cm="1">
        <f t="array" ref="T2444">RIGHT(_xlfn.REGEXEXTRACT(E2444,"[0-9]{4}([A-Z+]{3})"),3)</f>
        <v>QTR</v>
      </c>
    </row>
    <row r="2445" spans="1:20">
      <c r="A2445" s="136">
        <v>11</v>
      </c>
      <c r="B2445" s="233">
        <v>1999</v>
      </c>
      <c r="C2445" s="234"/>
      <c r="D2445" s="234" t="s">
        <v>1965</v>
      </c>
      <c r="E2445" s="235" t="s">
        <v>4506</v>
      </c>
      <c r="F2445" s="235" t="s">
        <v>2095</v>
      </c>
      <c r="G2445" s="235" t="s">
        <v>2579</v>
      </c>
      <c r="H2445" s="236">
        <v>12.5</v>
      </c>
      <c r="I2445" s="236">
        <v>60</v>
      </c>
      <c r="J2445" s="233">
        <v>50</v>
      </c>
      <c r="K2445" s="237" t="s">
        <v>2097</v>
      </c>
      <c r="L2445" s="235"/>
      <c r="M2445" s="276"/>
      <c r="O2445" t="str">
        <f t="shared" si="79"/>
        <v>1999 State Quarters Book</v>
      </c>
      <c r="T2445" t="str" cm="1">
        <f t="array" ref="T2445">RIGHT(_xlfn.REGEXEXTRACT(E2445,"[0-9]{4}([A-Z+]{3})"),3)</f>
        <v>QTR</v>
      </c>
    </row>
    <row r="2446" spans="1:20">
      <c r="C2446" s="136"/>
      <c r="D2446" s="136"/>
      <c r="H2446" s="236"/>
      <c r="I2446" s="236"/>
      <c r="J2446" s="136"/>
      <c r="O2446" t="str">
        <f t="shared" si="79"/>
        <v xml:space="preserve"> </v>
      </c>
    </row>
    <row r="2447" spans="1:20">
      <c r="A2447" s="136">
        <v>99</v>
      </c>
      <c r="C2447" s="136"/>
      <c r="D2447" s="136"/>
      <c r="H2447" s="236"/>
      <c r="I2447" s="236"/>
      <c r="J2447" s="136"/>
      <c r="O2447" t="str">
        <f t="shared" si="79"/>
        <v xml:space="preserve"> </v>
      </c>
    </row>
    <row r="2448" spans="1:20">
      <c r="H2448" s="236"/>
      <c r="I2448" s="236"/>
      <c r="O2448" t="str">
        <f t="shared" si="79"/>
        <v xml:space="preserve"> </v>
      </c>
    </row>
    <row r="2449" spans="6:15">
      <c r="H2449" s="236"/>
      <c r="I2449" s="236"/>
      <c r="O2449" t="str">
        <f t="shared" si="79"/>
        <v xml:space="preserve"> </v>
      </c>
    </row>
    <row r="2450" spans="6:15">
      <c r="H2450" s="236"/>
      <c r="I2450" s="236"/>
      <c r="O2450" t="str">
        <f t="shared" si="79"/>
        <v xml:space="preserve"> </v>
      </c>
    </row>
    <row r="2451" spans="6:15">
      <c r="H2451" s="236"/>
      <c r="I2451" s="236"/>
      <c r="O2451" t="str">
        <f t="shared" si="79"/>
        <v xml:space="preserve"> </v>
      </c>
    </row>
    <row r="2452" spans="6:15">
      <c r="F2452" s="136"/>
      <c r="H2452" s="236"/>
      <c r="I2452" s="236"/>
      <c r="O2452" t="str">
        <f t="shared" si="79"/>
        <v xml:space="preserve"> </v>
      </c>
    </row>
    <row r="2453" spans="6:15">
      <c r="H2453" s="236"/>
      <c r="I2453" s="236"/>
      <c r="O2453" t="str">
        <f t="shared" si="79"/>
        <v xml:space="preserve"> </v>
      </c>
    </row>
    <row r="2454" spans="6:15">
      <c r="H2454" s="236"/>
      <c r="I2454" s="236"/>
      <c r="O2454" t="str">
        <f t="shared" si="79"/>
        <v xml:space="preserve"> </v>
      </c>
    </row>
    <row r="2455" spans="6:15">
      <c r="H2455" s="236"/>
      <c r="I2455" s="236"/>
      <c r="O2455" t="str">
        <f t="shared" si="79"/>
        <v xml:space="preserve"> </v>
      </c>
    </row>
    <row r="2456" spans="6:15">
      <c r="H2456" s="236"/>
      <c r="I2456" s="236"/>
      <c r="O2456" t="str">
        <f t="shared" si="79"/>
        <v xml:space="preserve"> </v>
      </c>
    </row>
    <row r="2457" spans="6:15">
      <c r="H2457" s="236"/>
      <c r="I2457" s="236"/>
      <c r="O2457" t="str">
        <f t="shared" si="79"/>
        <v xml:space="preserve"> </v>
      </c>
    </row>
    <row r="2458" spans="6:15">
      <c r="O2458" t="str">
        <f t="shared" si="79"/>
        <v xml:space="preserve"> </v>
      </c>
    </row>
    <row r="2459" spans="6:15">
      <c r="O2459" t="str">
        <f t="shared" si="79"/>
        <v xml:space="preserve"> </v>
      </c>
    </row>
    <row r="2460" spans="6:15">
      <c r="O2460" t="str">
        <f t="shared" si="79"/>
        <v xml:space="preserve"> </v>
      </c>
    </row>
    <row r="2461" spans="6:15">
      <c r="O2461" t="str">
        <f t="shared" si="79"/>
        <v xml:space="preserve"> </v>
      </c>
    </row>
    <row r="2462" spans="6:15">
      <c r="O2462" t="str">
        <f t="shared" si="79"/>
        <v xml:space="preserve"> </v>
      </c>
    </row>
    <row r="2463" spans="6:15">
      <c r="O2463" t="str">
        <f t="shared" si="79"/>
        <v xml:space="preserve"> </v>
      </c>
    </row>
    <row r="2464" spans="6:15">
      <c r="O2464" t="str">
        <f t="shared" si="79"/>
        <v xml:space="preserve"> </v>
      </c>
    </row>
    <row r="2465" spans="15:15">
      <c r="O2465" t="str">
        <f t="shared" si="79"/>
        <v xml:space="preserve"> </v>
      </c>
    </row>
    <row r="2466" spans="15:15">
      <c r="O2466" t="str">
        <f t="shared" si="79"/>
        <v xml:space="preserve"> </v>
      </c>
    </row>
    <row r="2467" spans="15:15">
      <c r="O2467" t="str">
        <f t="shared" si="79"/>
        <v xml:space="preserve"> </v>
      </c>
    </row>
    <row r="2468" spans="15:15">
      <c r="O2468" t="str">
        <f t="shared" si="79"/>
        <v xml:space="preserve"> </v>
      </c>
    </row>
    <row r="2469" spans="15:15">
      <c r="O2469" t="str">
        <f t="shared" si="79"/>
        <v xml:space="preserve"> </v>
      </c>
    </row>
    <row r="2470" spans="15:15">
      <c r="O2470" t="str">
        <f t="shared" si="79"/>
        <v xml:space="preserve"> </v>
      </c>
    </row>
    <row r="2471" spans="15:15">
      <c r="O2471" t="str">
        <f t="shared" si="79"/>
        <v xml:space="preserve"> </v>
      </c>
    </row>
    <row r="2472" spans="15:15">
      <c r="O2472" t="str">
        <f t="shared" si="79"/>
        <v xml:space="preserve"> </v>
      </c>
    </row>
    <row r="2473" spans="15:15">
      <c r="O2473" t="str">
        <f t="shared" si="79"/>
        <v xml:space="preserve"> </v>
      </c>
    </row>
    <row r="2474" spans="15:15">
      <c r="O2474" t="str">
        <f t="shared" si="79"/>
        <v xml:space="preserve"> </v>
      </c>
    </row>
    <row r="2475" spans="15:15">
      <c r="O2475" t="str">
        <f t="shared" si="79"/>
        <v xml:space="preserve"> </v>
      </c>
    </row>
    <row r="2476" spans="15:15">
      <c r="O2476" t="str">
        <f t="shared" si="79"/>
        <v xml:space="preserve"> </v>
      </c>
    </row>
    <row r="2477" spans="15:15">
      <c r="O2477" t="str">
        <f t="shared" si="79"/>
        <v xml:space="preserve"> </v>
      </c>
    </row>
    <row r="2478" spans="15:15">
      <c r="O2478" t="str">
        <f t="shared" si="79"/>
        <v xml:space="preserve"> </v>
      </c>
    </row>
    <row r="2479" spans="15:15">
      <c r="O2479" t="str">
        <f t="shared" si="79"/>
        <v xml:space="preserve"> </v>
      </c>
    </row>
    <row r="2480" spans="15:15">
      <c r="O2480" t="str">
        <f t="shared" si="79"/>
        <v xml:space="preserve"> </v>
      </c>
    </row>
    <row r="2481" spans="15:15">
      <c r="O2481" t="str">
        <f t="shared" si="79"/>
        <v xml:space="preserve"> </v>
      </c>
    </row>
    <row r="2482" spans="15:15">
      <c r="O2482" t="str">
        <f t="shared" ref="O2482:O2545" si="80">IF(C2482&lt;&gt;"",B2482&amp;"-"&amp;C2482&amp;" "&amp;F2482,B2482&amp;" "&amp;F2482)</f>
        <v xml:space="preserve"> </v>
      </c>
    </row>
    <row r="2483" spans="15:15">
      <c r="O2483" t="str">
        <f t="shared" si="80"/>
        <v xml:space="preserve"> </v>
      </c>
    </row>
    <row r="2484" spans="15:15">
      <c r="O2484" t="str">
        <f t="shared" si="80"/>
        <v xml:space="preserve"> </v>
      </c>
    </row>
    <row r="2485" spans="15:15">
      <c r="O2485" t="str">
        <f t="shared" si="80"/>
        <v xml:space="preserve"> </v>
      </c>
    </row>
    <row r="2486" spans="15:15">
      <c r="O2486" t="str">
        <f t="shared" si="80"/>
        <v xml:space="preserve"> </v>
      </c>
    </row>
    <row r="2487" spans="15:15">
      <c r="O2487" t="str">
        <f t="shared" si="80"/>
        <v xml:space="preserve"> </v>
      </c>
    </row>
    <row r="2488" spans="15:15">
      <c r="O2488" t="str">
        <f t="shared" si="80"/>
        <v xml:space="preserve"> </v>
      </c>
    </row>
    <row r="2489" spans="15:15">
      <c r="O2489" t="str">
        <f t="shared" si="80"/>
        <v xml:space="preserve"> </v>
      </c>
    </row>
    <row r="2490" spans="15:15">
      <c r="O2490" t="str">
        <f t="shared" si="80"/>
        <v xml:space="preserve"> </v>
      </c>
    </row>
    <row r="2491" spans="15:15">
      <c r="O2491" t="str">
        <f t="shared" si="80"/>
        <v xml:space="preserve"> </v>
      </c>
    </row>
    <row r="2492" spans="15:15">
      <c r="O2492" t="str">
        <f t="shared" si="80"/>
        <v xml:space="preserve"> </v>
      </c>
    </row>
    <row r="2493" spans="15:15">
      <c r="O2493" t="str">
        <f t="shared" si="80"/>
        <v xml:space="preserve"> </v>
      </c>
    </row>
    <row r="2494" spans="15:15">
      <c r="O2494" t="str">
        <f t="shared" si="80"/>
        <v xml:space="preserve"> </v>
      </c>
    </row>
    <row r="2495" spans="15:15">
      <c r="O2495" t="str">
        <f t="shared" si="80"/>
        <v xml:space="preserve"> </v>
      </c>
    </row>
    <row r="2496" spans="15:15">
      <c r="O2496" t="str">
        <f t="shared" si="80"/>
        <v xml:space="preserve"> </v>
      </c>
    </row>
    <row r="2497" spans="15:15">
      <c r="O2497" t="str">
        <f t="shared" si="80"/>
        <v xml:space="preserve"> </v>
      </c>
    </row>
    <row r="2498" spans="15:15">
      <c r="O2498" t="str">
        <f t="shared" si="80"/>
        <v xml:space="preserve"> </v>
      </c>
    </row>
    <row r="2499" spans="15:15">
      <c r="O2499" t="str">
        <f t="shared" si="80"/>
        <v xml:space="preserve"> </v>
      </c>
    </row>
    <row r="2500" spans="15:15">
      <c r="O2500" t="str">
        <f t="shared" si="80"/>
        <v xml:space="preserve"> </v>
      </c>
    </row>
    <row r="2501" spans="15:15">
      <c r="O2501" t="str">
        <f t="shared" si="80"/>
        <v xml:space="preserve"> </v>
      </c>
    </row>
    <row r="2502" spans="15:15">
      <c r="O2502" t="str">
        <f t="shared" si="80"/>
        <v xml:space="preserve"> </v>
      </c>
    </row>
    <row r="2503" spans="15:15">
      <c r="O2503" t="str">
        <f t="shared" si="80"/>
        <v xml:space="preserve"> </v>
      </c>
    </row>
    <row r="2504" spans="15:15">
      <c r="O2504" t="str">
        <f t="shared" si="80"/>
        <v xml:space="preserve"> </v>
      </c>
    </row>
    <row r="2505" spans="15:15">
      <c r="O2505" t="str">
        <f t="shared" si="80"/>
        <v xml:space="preserve"> </v>
      </c>
    </row>
    <row r="2506" spans="15:15">
      <c r="O2506" t="str">
        <f t="shared" si="80"/>
        <v xml:space="preserve"> </v>
      </c>
    </row>
    <row r="2507" spans="15:15">
      <c r="O2507" t="str">
        <f t="shared" si="80"/>
        <v xml:space="preserve"> </v>
      </c>
    </row>
    <row r="2508" spans="15:15">
      <c r="O2508" t="str">
        <f t="shared" si="80"/>
        <v xml:space="preserve"> </v>
      </c>
    </row>
    <row r="2509" spans="15:15">
      <c r="O2509" t="str">
        <f t="shared" si="80"/>
        <v xml:space="preserve"> </v>
      </c>
    </row>
    <row r="2510" spans="15:15">
      <c r="O2510" t="str">
        <f t="shared" si="80"/>
        <v xml:space="preserve"> </v>
      </c>
    </row>
    <row r="2511" spans="15:15">
      <c r="O2511" t="str">
        <f t="shared" si="80"/>
        <v xml:space="preserve"> </v>
      </c>
    </row>
    <row r="2512" spans="15:15">
      <c r="O2512" t="str">
        <f t="shared" si="80"/>
        <v xml:space="preserve"> </v>
      </c>
    </row>
    <row r="2513" spans="15:15">
      <c r="O2513" t="str">
        <f t="shared" si="80"/>
        <v xml:space="preserve"> </v>
      </c>
    </row>
    <row r="2514" spans="15:15">
      <c r="O2514" t="str">
        <f t="shared" si="80"/>
        <v xml:space="preserve"> </v>
      </c>
    </row>
    <row r="2515" spans="15:15">
      <c r="O2515" t="str">
        <f t="shared" si="80"/>
        <v xml:space="preserve"> </v>
      </c>
    </row>
    <row r="2516" spans="15:15">
      <c r="O2516" t="str">
        <f t="shared" si="80"/>
        <v xml:space="preserve"> </v>
      </c>
    </row>
    <row r="2517" spans="15:15">
      <c r="O2517" t="str">
        <f t="shared" si="80"/>
        <v xml:space="preserve"> </v>
      </c>
    </row>
    <row r="2518" spans="15:15">
      <c r="O2518" t="str">
        <f t="shared" si="80"/>
        <v xml:space="preserve"> </v>
      </c>
    </row>
    <row r="2519" spans="15:15">
      <c r="O2519" t="str">
        <f t="shared" si="80"/>
        <v xml:space="preserve"> </v>
      </c>
    </row>
    <row r="2520" spans="15:15">
      <c r="O2520" t="str">
        <f t="shared" si="80"/>
        <v xml:space="preserve"> </v>
      </c>
    </row>
    <row r="2521" spans="15:15">
      <c r="O2521" t="str">
        <f t="shared" si="80"/>
        <v xml:space="preserve"> </v>
      </c>
    </row>
    <row r="2522" spans="15:15">
      <c r="O2522" t="str">
        <f t="shared" si="80"/>
        <v xml:space="preserve"> </v>
      </c>
    </row>
    <row r="2523" spans="15:15">
      <c r="O2523" t="str">
        <f t="shared" si="80"/>
        <v xml:space="preserve"> </v>
      </c>
    </row>
    <row r="2524" spans="15:15">
      <c r="O2524" t="str">
        <f t="shared" si="80"/>
        <v xml:space="preserve"> </v>
      </c>
    </row>
    <row r="2525" spans="15:15">
      <c r="O2525" t="str">
        <f t="shared" si="80"/>
        <v xml:space="preserve"> </v>
      </c>
    </row>
    <row r="2526" spans="15:15">
      <c r="O2526" t="str">
        <f t="shared" si="80"/>
        <v xml:space="preserve"> </v>
      </c>
    </row>
    <row r="2527" spans="15:15">
      <c r="O2527" t="str">
        <f t="shared" si="80"/>
        <v xml:space="preserve"> </v>
      </c>
    </row>
    <row r="2528" spans="15:15">
      <c r="O2528" t="str">
        <f t="shared" si="80"/>
        <v xml:space="preserve"> </v>
      </c>
    </row>
    <row r="2529" spans="15:15">
      <c r="O2529" t="str">
        <f t="shared" si="80"/>
        <v xml:space="preserve"> </v>
      </c>
    </row>
    <row r="2530" spans="15:15">
      <c r="O2530" t="str">
        <f t="shared" si="80"/>
        <v xml:space="preserve"> </v>
      </c>
    </row>
    <row r="2531" spans="15:15">
      <c r="O2531" t="str">
        <f t="shared" si="80"/>
        <v xml:space="preserve"> </v>
      </c>
    </row>
    <row r="2532" spans="15:15">
      <c r="O2532" t="str">
        <f t="shared" si="80"/>
        <v xml:space="preserve"> </v>
      </c>
    </row>
    <row r="2533" spans="15:15">
      <c r="O2533" t="str">
        <f t="shared" si="80"/>
        <v xml:space="preserve"> </v>
      </c>
    </row>
    <row r="2534" spans="15:15">
      <c r="O2534" t="str">
        <f t="shared" si="80"/>
        <v xml:space="preserve"> </v>
      </c>
    </row>
    <row r="2535" spans="15:15">
      <c r="O2535" t="str">
        <f t="shared" si="80"/>
        <v xml:space="preserve"> </v>
      </c>
    </row>
    <row r="2536" spans="15:15">
      <c r="O2536" t="str">
        <f t="shared" si="80"/>
        <v xml:space="preserve"> </v>
      </c>
    </row>
    <row r="2537" spans="15:15">
      <c r="O2537" t="str">
        <f t="shared" si="80"/>
        <v xml:space="preserve"> </v>
      </c>
    </row>
    <row r="2538" spans="15:15">
      <c r="O2538" t="str">
        <f t="shared" si="80"/>
        <v xml:space="preserve"> </v>
      </c>
    </row>
    <row r="2539" spans="15:15">
      <c r="O2539" t="str">
        <f t="shared" si="80"/>
        <v xml:space="preserve"> </v>
      </c>
    </row>
    <row r="2540" spans="15:15">
      <c r="O2540" t="str">
        <f t="shared" si="80"/>
        <v xml:space="preserve"> </v>
      </c>
    </row>
    <row r="2541" spans="15:15">
      <c r="O2541" t="str">
        <f t="shared" si="80"/>
        <v xml:space="preserve"> </v>
      </c>
    </row>
    <row r="2542" spans="15:15">
      <c r="O2542" t="str">
        <f t="shared" si="80"/>
        <v xml:space="preserve"> </v>
      </c>
    </row>
    <row r="2543" spans="15:15">
      <c r="O2543" t="str">
        <f t="shared" si="80"/>
        <v xml:space="preserve"> </v>
      </c>
    </row>
    <row r="2544" spans="15:15">
      <c r="O2544" t="str">
        <f t="shared" si="80"/>
        <v xml:space="preserve"> </v>
      </c>
    </row>
    <row r="2545" spans="15:15">
      <c r="O2545" t="str">
        <f t="shared" si="80"/>
        <v xml:space="preserve"> </v>
      </c>
    </row>
    <row r="2546" spans="15:15">
      <c r="O2546" t="str">
        <f t="shared" ref="O2546:O2609" si="81">IF(C2546&lt;&gt;"",B2546&amp;"-"&amp;C2546&amp;" "&amp;F2546,B2546&amp;" "&amp;F2546)</f>
        <v xml:space="preserve"> </v>
      </c>
    </row>
    <row r="2547" spans="15:15">
      <c r="O2547" t="str">
        <f t="shared" si="81"/>
        <v xml:space="preserve"> </v>
      </c>
    </row>
    <row r="2548" spans="15:15">
      <c r="O2548" t="str">
        <f t="shared" si="81"/>
        <v xml:space="preserve"> </v>
      </c>
    </row>
    <row r="2549" spans="15:15">
      <c r="O2549" t="str">
        <f t="shared" si="81"/>
        <v xml:space="preserve"> </v>
      </c>
    </row>
    <row r="2550" spans="15:15">
      <c r="O2550" t="str">
        <f t="shared" si="81"/>
        <v xml:space="preserve"> </v>
      </c>
    </row>
    <row r="2551" spans="15:15">
      <c r="O2551" t="str">
        <f t="shared" si="81"/>
        <v xml:space="preserve"> </v>
      </c>
    </row>
    <row r="2552" spans="15:15">
      <c r="O2552" t="str">
        <f t="shared" si="81"/>
        <v xml:space="preserve"> </v>
      </c>
    </row>
    <row r="2553" spans="15:15">
      <c r="O2553" t="str">
        <f t="shared" si="81"/>
        <v xml:space="preserve"> </v>
      </c>
    </row>
    <row r="2554" spans="15:15">
      <c r="O2554" t="str">
        <f t="shared" si="81"/>
        <v xml:space="preserve"> </v>
      </c>
    </row>
    <row r="2555" spans="15:15">
      <c r="O2555" t="str">
        <f t="shared" si="81"/>
        <v xml:space="preserve"> </v>
      </c>
    </row>
    <row r="2556" spans="15:15">
      <c r="O2556" t="str">
        <f t="shared" si="81"/>
        <v xml:space="preserve"> </v>
      </c>
    </row>
    <row r="2557" spans="15:15">
      <c r="O2557" t="str">
        <f t="shared" si="81"/>
        <v xml:space="preserve"> </v>
      </c>
    </row>
    <row r="2558" spans="15:15">
      <c r="O2558" t="str">
        <f t="shared" si="81"/>
        <v xml:space="preserve"> </v>
      </c>
    </row>
    <row r="2559" spans="15:15">
      <c r="O2559" t="str">
        <f t="shared" si="81"/>
        <v xml:space="preserve"> </v>
      </c>
    </row>
    <row r="2560" spans="15:15">
      <c r="O2560" t="str">
        <f t="shared" si="81"/>
        <v xml:space="preserve"> </v>
      </c>
    </row>
    <row r="2561" spans="15:15">
      <c r="O2561" t="str">
        <f t="shared" si="81"/>
        <v xml:space="preserve"> </v>
      </c>
    </row>
    <row r="2562" spans="15:15">
      <c r="O2562" t="str">
        <f t="shared" si="81"/>
        <v xml:space="preserve"> </v>
      </c>
    </row>
    <row r="2563" spans="15:15">
      <c r="O2563" t="str">
        <f t="shared" si="81"/>
        <v xml:space="preserve"> </v>
      </c>
    </row>
    <row r="2564" spans="15:15">
      <c r="O2564" t="str">
        <f t="shared" si="81"/>
        <v xml:space="preserve"> </v>
      </c>
    </row>
    <row r="2565" spans="15:15">
      <c r="O2565" t="str">
        <f t="shared" si="81"/>
        <v xml:space="preserve"> </v>
      </c>
    </row>
    <row r="2566" spans="15:15">
      <c r="O2566" t="str">
        <f t="shared" si="81"/>
        <v xml:space="preserve"> </v>
      </c>
    </row>
    <row r="2567" spans="15:15">
      <c r="O2567" t="str">
        <f t="shared" si="81"/>
        <v xml:space="preserve"> </v>
      </c>
    </row>
    <row r="2568" spans="15:15">
      <c r="O2568" t="str">
        <f t="shared" si="81"/>
        <v xml:space="preserve"> </v>
      </c>
    </row>
    <row r="2569" spans="15:15">
      <c r="O2569" t="str">
        <f t="shared" si="81"/>
        <v xml:space="preserve"> </v>
      </c>
    </row>
    <row r="2570" spans="15:15">
      <c r="O2570" t="str">
        <f t="shared" si="81"/>
        <v xml:space="preserve"> </v>
      </c>
    </row>
    <row r="2571" spans="15:15">
      <c r="O2571" t="str">
        <f t="shared" si="81"/>
        <v xml:space="preserve"> </v>
      </c>
    </row>
    <row r="2572" spans="15:15">
      <c r="O2572" t="str">
        <f t="shared" si="81"/>
        <v xml:space="preserve"> </v>
      </c>
    </row>
    <row r="2573" spans="15:15">
      <c r="O2573" t="str">
        <f t="shared" si="81"/>
        <v xml:space="preserve"> </v>
      </c>
    </row>
    <row r="2574" spans="15:15">
      <c r="O2574" t="str">
        <f t="shared" si="81"/>
        <v xml:space="preserve"> </v>
      </c>
    </row>
    <row r="2575" spans="15:15">
      <c r="O2575" t="str">
        <f t="shared" si="81"/>
        <v xml:space="preserve"> </v>
      </c>
    </row>
    <row r="2576" spans="15:15">
      <c r="O2576" t="str">
        <f t="shared" si="81"/>
        <v xml:space="preserve"> </v>
      </c>
    </row>
    <row r="2577" spans="15:15">
      <c r="O2577" t="str">
        <f t="shared" si="81"/>
        <v xml:space="preserve"> </v>
      </c>
    </row>
    <row r="2578" spans="15:15">
      <c r="O2578" t="str">
        <f t="shared" si="81"/>
        <v xml:space="preserve"> </v>
      </c>
    </row>
    <row r="2579" spans="15:15">
      <c r="O2579" t="str">
        <f t="shared" si="81"/>
        <v xml:space="preserve"> </v>
      </c>
    </row>
    <row r="2580" spans="15:15">
      <c r="O2580" t="str">
        <f t="shared" si="81"/>
        <v xml:space="preserve"> </v>
      </c>
    </row>
    <row r="2581" spans="15:15">
      <c r="O2581" t="str">
        <f t="shared" si="81"/>
        <v xml:space="preserve"> </v>
      </c>
    </row>
    <row r="2582" spans="15:15">
      <c r="O2582" t="str">
        <f t="shared" si="81"/>
        <v xml:space="preserve"> </v>
      </c>
    </row>
    <row r="2583" spans="15:15">
      <c r="O2583" t="str">
        <f t="shared" si="81"/>
        <v xml:space="preserve"> </v>
      </c>
    </row>
    <row r="2584" spans="15:15">
      <c r="O2584" t="str">
        <f t="shared" si="81"/>
        <v xml:space="preserve"> </v>
      </c>
    </row>
    <row r="2585" spans="15:15">
      <c r="O2585" t="str">
        <f t="shared" si="81"/>
        <v xml:space="preserve"> </v>
      </c>
    </row>
    <row r="2586" spans="15:15">
      <c r="O2586" t="str">
        <f t="shared" si="81"/>
        <v xml:space="preserve"> </v>
      </c>
    </row>
    <row r="2587" spans="15:15">
      <c r="O2587" t="str">
        <f t="shared" si="81"/>
        <v xml:space="preserve"> </v>
      </c>
    </row>
    <row r="2588" spans="15:15">
      <c r="O2588" t="str">
        <f t="shared" si="81"/>
        <v xml:space="preserve"> </v>
      </c>
    </row>
    <row r="2589" spans="15:15">
      <c r="O2589" t="str">
        <f t="shared" si="81"/>
        <v xml:space="preserve"> </v>
      </c>
    </row>
    <row r="2590" spans="15:15">
      <c r="O2590" t="str">
        <f t="shared" si="81"/>
        <v xml:space="preserve"> </v>
      </c>
    </row>
    <row r="2591" spans="15:15">
      <c r="O2591" t="str">
        <f t="shared" si="81"/>
        <v xml:space="preserve"> </v>
      </c>
    </row>
    <row r="2592" spans="15:15">
      <c r="O2592" t="str">
        <f t="shared" si="81"/>
        <v xml:space="preserve"> </v>
      </c>
    </row>
    <row r="2593" spans="15:15">
      <c r="O2593" t="str">
        <f t="shared" si="81"/>
        <v xml:space="preserve"> </v>
      </c>
    </row>
    <row r="2594" spans="15:15">
      <c r="O2594" t="str">
        <f t="shared" si="81"/>
        <v xml:space="preserve"> </v>
      </c>
    </row>
    <row r="2595" spans="15:15">
      <c r="O2595" t="str">
        <f t="shared" si="81"/>
        <v xml:space="preserve"> </v>
      </c>
    </row>
    <row r="2596" spans="15:15">
      <c r="O2596" t="str">
        <f t="shared" si="81"/>
        <v xml:space="preserve"> </v>
      </c>
    </row>
    <row r="2597" spans="15:15">
      <c r="O2597" t="str">
        <f t="shared" si="81"/>
        <v xml:space="preserve"> </v>
      </c>
    </row>
    <row r="2598" spans="15:15">
      <c r="O2598" t="str">
        <f t="shared" si="81"/>
        <v xml:space="preserve"> </v>
      </c>
    </row>
    <row r="2599" spans="15:15">
      <c r="O2599" t="str">
        <f t="shared" si="81"/>
        <v xml:space="preserve"> </v>
      </c>
    </row>
    <row r="2600" spans="15:15">
      <c r="O2600" t="str">
        <f t="shared" si="81"/>
        <v xml:space="preserve"> </v>
      </c>
    </row>
    <row r="2601" spans="15:15">
      <c r="O2601" t="str">
        <f t="shared" si="81"/>
        <v xml:space="preserve"> </v>
      </c>
    </row>
    <row r="2602" spans="15:15">
      <c r="O2602" t="str">
        <f t="shared" si="81"/>
        <v xml:space="preserve"> </v>
      </c>
    </row>
    <row r="2603" spans="15:15">
      <c r="O2603" t="str">
        <f t="shared" si="81"/>
        <v xml:space="preserve"> </v>
      </c>
    </row>
    <row r="2604" spans="15:15">
      <c r="O2604" t="str">
        <f t="shared" si="81"/>
        <v xml:space="preserve"> </v>
      </c>
    </row>
    <row r="2605" spans="15:15">
      <c r="O2605" t="str">
        <f t="shared" si="81"/>
        <v xml:space="preserve"> </v>
      </c>
    </row>
    <row r="2606" spans="15:15">
      <c r="O2606" t="str">
        <f t="shared" si="81"/>
        <v xml:space="preserve"> </v>
      </c>
    </row>
    <row r="2607" spans="15:15">
      <c r="O2607" t="str">
        <f t="shared" si="81"/>
        <v xml:space="preserve"> </v>
      </c>
    </row>
    <row r="2608" spans="15:15">
      <c r="O2608" t="str">
        <f t="shared" si="81"/>
        <v xml:space="preserve"> </v>
      </c>
    </row>
    <row r="2609" spans="15:15">
      <c r="O2609" t="str">
        <f t="shared" si="81"/>
        <v xml:space="preserve"> </v>
      </c>
    </row>
    <row r="2610" spans="15:15">
      <c r="O2610" t="str">
        <f t="shared" ref="O2610:O2673" si="82">IF(C2610&lt;&gt;"",B2610&amp;"-"&amp;C2610&amp;" "&amp;F2610,B2610&amp;" "&amp;F2610)</f>
        <v xml:space="preserve"> </v>
      </c>
    </row>
    <row r="2611" spans="15:15">
      <c r="O2611" t="str">
        <f t="shared" si="82"/>
        <v xml:space="preserve"> </v>
      </c>
    </row>
    <row r="2612" spans="15:15">
      <c r="O2612" t="str">
        <f t="shared" si="82"/>
        <v xml:space="preserve"> </v>
      </c>
    </row>
    <row r="2613" spans="15:15">
      <c r="O2613" t="str">
        <f t="shared" si="82"/>
        <v xml:space="preserve"> </v>
      </c>
    </row>
    <row r="2614" spans="15:15">
      <c r="O2614" t="str">
        <f t="shared" si="82"/>
        <v xml:space="preserve"> </v>
      </c>
    </row>
    <row r="2615" spans="15:15">
      <c r="O2615" t="str">
        <f t="shared" si="82"/>
        <v xml:space="preserve"> </v>
      </c>
    </row>
    <row r="2616" spans="15:15">
      <c r="O2616" t="str">
        <f t="shared" si="82"/>
        <v xml:space="preserve"> </v>
      </c>
    </row>
    <row r="2617" spans="15:15">
      <c r="O2617" t="str">
        <f t="shared" si="82"/>
        <v xml:space="preserve"> </v>
      </c>
    </row>
    <row r="2618" spans="15:15">
      <c r="O2618" t="str">
        <f t="shared" si="82"/>
        <v xml:space="preserve"> </v>
      </c>
    </row>
    <row r="2619" spans="15:15">
      <c r="O2619" t="str">
        <f t="shared" si="82"/>
        <v xml:space="preserve"> </v>
      </c>
    </row>
    <row r="2620" spans="15:15">
      <c r="O2620" t="str">
        <f t="shared" si="82"/>
        <v xml:space="preserve"> </v>
      </c>
    </row>
    <row r="2621" spans="15:15">
      <c r="O2621" t="str">
        <f t="shared" si="82"/>
        <v xml:space="preserve"> </v>
      </c>
    </row>
    <row r="2622" spans="15:15">
      <c r="O2622" t="str">
        <f t="shared" si="82"/>
        <v xml:space="preserve"> </v>
      </c>
    </row>
    <row r="2623" spans="15:15">
      <c r="O2623" t="str">
        <f t="shared" si="82"/>
        <v xml:space="preserve"> </v>
      </c>
    </row>
    <row r="2624" spans="15:15">
      <c r="O2624" t="str">
        <f t="shared" si="82"/>
        <v xml:space="preserve"> </v>
      </c>
    </row>
    <row r="2625" spans="15:15">
      <c r="O2625" t="str">
        <f t="shared" si="82"/>
        <v xml:space="preserve"> </v>
      </c>
    </row>
    <row r="2626" spans="15:15">
      <c r="O2626" t="str">
        <f t="shared" si="82"/>
        <v xml:space="preserve"> </v>
      </c>
    </row>
    <row r="2627" spans="15:15">
      <c r="O2627" t="str">
        <f t="shared" si="82"/>
        <v xml:space="preserve"> </v>
      </c>
    </row>
    <row r="2628" spans="15:15">
      <c r="O2628" t="str">
        <f t="shared" si="82"/>
        <v xml:space="preserve"> </v>
      </c>
    </row>
    <row r="2629" spans="15:15">
      <c r="O2629" t="str">
        <f t="shared" si="82"/>
        <v xml:space="preserve"> </v>
      </c>
    </row>
    <row r="2630" spans="15:15">
      <c r="O2630" t="str">
        <f t="shared" si="82"/>
        <v xml:space="preserve"> </v>
      </c>
    </row>
    <row r="2631" spans="15:15">
      <c r="O2631" t="str">
        <f t="shared" si="82"/>
        <v xml:space="preserve"> </v>
      </c>
    </row>
    <row r="2632" spans="15:15">
      <c r="O2632" t="str">
        <f t="shared" si="82"/>
        <v xml:space="preserve"> </v>
      </c>
    </row>
    <row r="2633" spans="15:15">
      <c r="O2633" t="str">
        <f t="shared" si="82"/>
        <v xml:space="preserve"> </v>
      </c>
    </row>
    <row r="2634" spans="15:15">
      <c r="O2634" t="str">
        <f t="shared" si="82"/>
        <v xml:space="preserve"> </v>
      </c>
    </row>
    <row r="2635" spans="15:15">
      <c r="O2635" t="str">
        <f t="shared" si="82"/>
        <v xml:space="preserve"> </v>
      </c>
    </row>
    <row r="2636" spans="15:15">
      <c r="O2636" t="str">
        <f t="shared" si="82"/>
        <v xml:space="preserve"> </v>
      </c>
    </row>
    <row r="2637" spans="15:15">
      <c r="O2637" t="str">
        <f t="shared" si="82"/>
        <v xml:space="preserve"> </v>
      </c>
    </row>
    <row r="2638" spans="15:15">
      <c r="O2638" t="str">
        <f t="shared" si="82"/>
        <v xml:space="preserve"> </v>
      </c>
    </row>
    <row r="2639" spans="15:15">
      <c r="O2639" t="str">
        <f t="shared" si="82"/>
        <v xml:space="preserve"> </v>
      </c>
    </row>
    <row r="2640" spans="15:15">
      <c r="O2640" t="str">
        <f t="shared" si="82"/>
        <v xml:space="preserve"> </v>
      </c>
    </row>
    <row r="2641" spans="15:15">
      <c r="O2641" t="str">
        <f t="shared" si="82"/>
        <v xml:space="preserve"> </v>
      </c>
    </row>
    <row r="2642" spans="15:15">
      <c r="O2642" t="str">
        <f t="shared" si="82"/>
        <v xml:space="preserve"> </v>
      </c>
    </row>
    <row r="2643" spans="15:15">
      <c r="O2643" t="str">
        <f t="shared" si="82"/>
        <v xml:space="preserve"> </v>
      </c>
    </row>
    <row r="2644" spans="15:15">
      <c r="O2644" t="str">
        <f t="shared" si="82"/>
        <v xml:space="preserve"> </v>
      </c>
    </row>
    <row r="2645" spans="15:15">
      <c r="O2645" t="str">
        <f t="shared" si="82"/>
        <v xml:space="preserve"> </v>
      </c>
    </row>
    <row r="2646" spans="15:15">
      <c r="O2646" t="str">
        <f t="shared" si="82"/>
        <v xml:space="preserve"> </v>
      </c>
    </row>
    <row r="2647" spans="15:15">
      <c r="O2647" t="str">
        <f t="shared" si="82"/>
        <v xml:space="preserve"> </v>
      </c>
    </row>
    <row r="2648" spans="15:15">
      <c r="O2648" t="str">
        <f t="shared" si="82"/>
        <v xml:space="preserve"> </v>
      </c>
    </row>
    <row r="2649" spans="15:15">
      <c r="O2649" t="str">
        <f t="shared" si="82"/>
        <v xml:space="preserve"> </v>
      </c>
    </row>
    <row r="2650" spans="15:15">
      <c r="O2650" t="str">
        <f t="shared" si="82"/>
        <v xml:space="preserve"> </v>
      </c>
    </row>
    <row r="2651" spans="15:15">
      <c r="O2651" t="str">
        <f t="shared" si="82"/>
        <v xml:space="preserve"> </v>
      </c>
    </row>
    <row r="2652" spans="15:15">
      <c r="O2652" t="str">
        <f t="shared" si="82"/>
        <v xml:space="preserve"> </v>
      </c>
    </row>
    <row r="2653" spans="15:15">
      <c r="O2653" t="str">
        <f t="shared" si="82"/>
        <v xml:space="preserve"> </v>
      </c>
    </row>
    <row r="2654" spans="15:15">
      <c r="O2654" t="str">
        <f t="shared" si="82"/>
        <v xml:space="preserve"> </v>
      </c>
    </row>
    <row r="2655" spans="15:15">
      <c r="O2655" t="str">
        <f t="shared" si="82"/>
        <v xml:space="preserve"> </v>
      </c>
    </row>
    <row r="2656" spans="15:15">
      <c r="O2656" t="str">
        <f t="shared" si="82"/>
        <v xml:space="preserve"> </v>
      </c>
    </row>
    <row r="2657" spans="15:15">
      <c r="O2657" t="str">
        <f t="shared" si="82"/>
        <v xml:space="preserve"> </v>
      </c>
    </row>
    <row r="2658" spans="15:15">
      <c r="O2658" t="str">
        <f t="shared" si="82"/>
        <v xml:space="preserve"> </v>
      </c>
    </row>
    <row r="2659" spans="15:15">
      <c r="O2659" t="str">
        <f t="shared" si="82"/>
        <v xml:space="preserve"> </v>
      </c>
    </row>
    <row r="2660" spans="15:15">
      <c r="O2660" t="str">
        <f t="shared" si="82"/>
        <v xml:space="preserve"> </v>
      </c>
    </row>
    <row r="2661" spans="15:15">
      <c r="O2661" t="str">
        <f t="shared" si="82"/>
        <v xml:space="preserve"> </v>
      </c>
    </row>
    <row r="2662" spans="15:15">
      <c r="O2662" t="str">
        <f t="shared" si="82"/>
        <v xml:space="preserve"> </v>
      </c>
    </row>
    <row r="2663" spans="15:15">
      <c r="O2663" t="str">
        <f t="shared" si="82"/>
        <v xml:space="preserve"> </v>
      </c>
    </row>
    <row r="2664" spans="15:15">
      <c r="O2664" t="str">
        <f t="shared" si="82"/>
        <v xml:space="preserve"> </v>
      </c>
    </row>
    <row r="2665" spans="15:15">
      <c r="O2665" t="str">
        <f t="shared" si="82"/>
        <v xml:space="preserve"> </v>
      </c>
    </row>
    <row r="2666" spans="15:15">
      <c r="O2666" t="str">
        <f t="shared" si="82"/>
        <v xml:space="preserve"> </v>
      </c>
    </row>
    <row r="2667" spans="15:15">
      <c r="O2667" t="str">
        <f t="shared" si="82"/>
        <v xml:space="preserve"> </v>
      </c>
    </row>
    <row r="2668" spans="15:15">
      <c r="O2668" t="str">
        <f t="shared" si="82"/>
        <v xml:space="preserve"> </v>
      </c>
    </row>
    <row r="2669" spans="15:15">
      <c r="O2669" t="str">
        <f t="shared" si="82"/>
        <v xml:space="preserve"> </v>
      </c>
    </row>
    <row r="2670" spans="15:15">
      <c r="O2670" t="str">
        <f t="shared" si="82"/>
        <v xml:space="preserve"> </v>
      </c>
    </row>
    <row r="2671" spans="15:15">
      <c r="O2671" t="str">
        <f t="shared" si="82"/>
        <v xml:space="preserve"> </v>
      </c>
    </row>
    <row r="2672" spans="15:15">
      <c r="O2672" t="str">
        <f t="shared" si="82"/>
        <v xml:space="preserve"> </v>
      </c>
    </row>
    <row r="2673" spans="15:15">
      <c r="O2673" t="str">
        <f t="shared" si="82"/>
        <v xml:space="preserve"> </v>
      </c>
    </row>
    <row r="2674" spans="15:15">
      <c r="O2674" t="str">
        <f t="shared" ref="O2674:O2737" si="83">IF(C2674&lt;&gt;"",B2674&amp;"-"&amp;C2674&amp;" "&amp;F2674,B2674&amp;" "&amp;F2674)</f>
        <v xml:space="preserve"> </v>
      </c>
    </row>
    <row r="2675" spans="15:15">
      <c r="O2675" t="str">
        <f t="shared" si="83"/>
        <v xml:space="preserve"> </v>
      </c>
    </row>
    <row r="2676" spans="15:15">
      <c r="O2676" t="str">
        <f t="shared" si="83"/>
        <v xml:space="preserve"> </v>
      </c>
    </row>
    <row r="2677" spans="15:15">
      <c r="O2677" t="str">
        <f t="shared" si="83"/>
        <v xml:space="preserve"> </v>
      </c>
    </row>
    <row r="2678" spans="15:15">
      <c r="O2678" t="str">
        <f t="shared" si="83"/>
        <v xml:space="preserve"> </v>
      </c>
    </row>
    <row r="2679" spans="15:15">
      <c r="O2679" t="str">
        <f t="shared" si="83"/>
        <v xml:space="preserve"> </v>
      </c>
    </row>
    <row r="2680" spans="15:15">
      <c r="O2680" t="str">
        <f t="shared" si="83"/>
        <v xml:space="preserve"> </v>
      </c>
    </row>
    <row r="2681" spans="15:15">
      <c r="O2681" t="str">
        <f t="shared" si="83"/>
        <v xml:space="preserve"> </v>
      </c>
    </row>
    <row r="2682" spans="15:15">
      <c r="O2682" t="str">
        <f t="shared" si="83"/>
        <v xml:space="preserve"> </v>
      </c>
    </row>
    <row r="2683" spans="15:15">
      <c r="O2683" t="str">
        <f t="shared" si="83"/>
        <v xml:space="preserve"> </v>
      </c>
    </row>
    <row r="2684" spans="15:15">
      <c r="O2684" t="str">
        <f t="shared" si="83"/>
        <v xml:space="preserve"> </v>
      </c>
    </row>
    <row r="2685" spans="15:15">
      <c r="O2685" t="str">
        <f t="shared" si="83"/>
        <v xml:space="preserve"> </v>
      </c>
    </row>
    <row r="2686" spans="15:15">
      <c r="O2686" t="str">
        <f t="shared" si="83"/>
        <v xml:space="preserve"> </v>
      </c>
    </row>
    <row r="2687" spans="15:15">
      <c r="O2687" t="str">
        <f t="shared" si="83"/>
        <v xml:space="preserve"> </v>
      </c>
    </row>
    <row r="2688" spans="15:15">
      <c r="O2688" t="str">
        <f t="shared" si="83"/>
        <v xml:space="preserve"> </v>
      </c>
    </row>
    <row r="2689" spans="15:15">
      <c r="O2689" t="str">
        <f t="shared" si="83"/>
        <v xml:space="preserve"> </v>
      </c>
    </row>
    <row r="2690" spans="15:15">
      <c r="O2690" t="str">
        <f t="shared" si="83"/>
        <v xml:space="preserve"> </v>
      </c>
    </row>
    <row r="2691" spans="15:15">
      <c r="O2691" t="str">
        <f t="shared" si="83"/>
        <v xml:space="preserve"> </v>
      </c>
    </row>
    <row r="2692" spans="15:15">
      <c r="O2692" t="str">
        <f t="shared" si="83"/>
        <v xml:space="preserve"> </v>
      </c>
    </row>
    <row r="2693" spans="15:15">
      <c r="O2693" t="str">
        <f t="shared" si="83"/>
        <v xml:space="preserve"> </v>
      </c>
    </row>
    <row r="2694" spans="15:15">
      <c r="O2694" t="str">
        <f t="shared" si="83"/>
        <v xml:space="preserve"> </v>
      </c>
    </row>
    <row r="2695" spans="15:15">
      <c r="O2695" t="str">
        <f t="shared" si="83"/>
        <v xml:space="preserve"> </v>
      </c>
    </row>
    <row r="2696" spans="15:15">
      <c r="O2696" t="str">
        <f t="shared" si="83"/>
        <v xml:space="preserve"> </v>
      </c>
    </row>
    <row r="2697" spans="15:15">
      <c r="O2697" t="str">
        <f t="shared" si="83"/>
        <v xml:space="preserve"> </v>
      </c>
    </row>
    <row r="2698" spans="15:15">
      <c r="O2698" t="str">
        <f t="shared" si="83"/>
        <v xml:space="preserve"> </v>
      </c>
    </row>
    <row r="2699" spans="15:15">
      <c r="O2699" t="str">
        <f t="shared" si="83"/>
        <v xml:space="preserve"> </v>
      </c>
    </row>
    <row r="2700" spans="15:15">
      <c r="O2700" t="str">
        <f t="shared" si="83"/>
        <v xml:space="preserve"> </v>
      </c>
    </row>
    <row r="2701" spans="15:15">
      <c r="O2701" t="str">
        <f t="shared" si="83"/>
        <v xml:space="preserve"> </v>
      </c>
    </row>
    <row r="2702" spans="15:15">
      <c r="O2702" t="str">
        <f t="shared" si="83"/>
        <v xml:space="preserve"> </v>
      </c>
    </row>
    <row r="2703" spans="15:15">
      <c r="O2703" t="str">
        <f t="shared" si="83"/>
        <v xml:space="preserve"> </v>
      </c>
    </row>
    <row r="2704" spans="15:15">
      <c r="O2704" t="str">
        <f t="shared" si="83"/>
        <v xml:space="preserve"> </v>
      </c>
    </row>
    <row r="2705" spans="15:15">
      <c r="O2705" t="str">
        <f t="shared" si="83"/>
        <v xml:space="preserve"> </v>
      </c>
    </row>
    <row r="2706" spans="15:15">
      <c r="O2706" t="str">
        <f t="shared" si="83"/>
        <v xml:space="preserve"> </v>
      </c>
    </row>
    <row r="2707" spans="15:15">
      <c r="O2707" t="str">
        <f t="shared" si="83"/>
        <v xml:space="preserve"> </v>
      </c>
    </row>
    <row r="2708" spans="15:15">
      <c r="O2708" t="str">
        <f t="shared" si="83"/>
        <v xml:space="preserve"> </v>
      </c>
    </row>
    <row r="2709" spans="15:15">
      <c r="O2709" t="str">
        <f t="shared" si="83"/>
        <v xml:space="preserve"> </v>
      </c>
    </row>
    <row r="2710" spans="15:15">
      <c r="O2710" t="str">
        <f t="shared" si="83"/>
        <v xml:space="preserve"> </v>
      </c>
    </row>
    <row r="2711" spans="15:15">
      <c r="O2711" t="str">
        <f t="shared" si="83"/>
        <v xml:space="preserve"> </v>
      </c>
    </row>
    <row r="2712" spans="15:15">
      <c r="O2712" t="str">
        <f t="shared" si="83"/>
        <v xml:space="preserve"> </v>
      </c>
    </row>
    <row r="2713" spans="15:15">
      <c r="O2713" t="str">
        <f t="shared" si="83"/>
        <v xml:space="preserve"> </v>
      </c>
    </row>
    <row r="2714" spans="15:15">
      <c r="O2714" t="str">
        <f t="shared" si="83"/>
        <v xml:space="preserve"> </v>
      </c>
    </row>
    <row r="2715" spans="15:15">
      <c r="O2715" t="str">
        <f t="shared" si="83"/>
        <v xml:space="preserve"> </v>
      </c>
    </row>
    <row r="2716" spans="15:15">
      <c r="O2716" t="str">
        <f t="shared" si="83"/>
        <v xml:space="preserve"> </v>
      </c>
    </row>
    <row r="2717" spans="15:15">
      <c r="O2717" t="str">
        <f t="shared" si="83"/>
        <v xml:space="preserve"> </v>
      </c>
    </row>
    <row r="2718" spans="15:15">
      <c r="O2718" t="str">
        <f t="shared" si="83"/>
        <v xml:space="preserve"> </v>
      </c>
    </row>
    <row r="2719" spans="15:15">
      <c r="O2719" t="str">
        <f t="shared" si="83"/>
        <v xml:space="preserve"> </v>
      </c>
    </row>
    <row r="2720" spans="15:15">
      <c r="O2720" t="str">
        <f t="shared" si="83"/>
        <v xml:space="preserve"> </v>
      </c>
    </row>
    <row r="2721" spans="15:15">
      <c r="O2721" t="str">
        <f t="shared" si="83"/>
        <v xml:space="preserve"> </v>
      </c>
    </row>
    <row r="2722" spans="15:15">
      <c r="O2722" t="str">
        <f t="shared" si="83"/>
        <v xml:space="preserve"> </v>
      </c>
    </row>
    <row r="2723" spans="15:15">
      <c r="O2723" t="str">
        <f t="shared" si="83"/>
        <v xml:space="preserve"> </v>
      </c>
    </row>
    <row r="2724" spans="15:15">
      <c r="O2724" t="str">
        <f t="shared" si="83"/>
        <v xml:space="preserve"> </v>
      </c>
    </row>
    <row r="2725" spans="15:15">
      <c r="O2725" t="str">
        <f t="shared" si="83"/>
        <v xml:space="preserve"> </v>
      </c>
    </row>
    <row r="2726" spans="15:15">
      <c r="O2726" t="str">
        <f t="shared" si="83"/>
        <v xml:space="preserve"> </v>
      </c>
    </row>
    <row r="2727" spans="15:15">
      <c r="O2727" t="str">
        <f t="shared" si="83"/>
        <v xml:space="preserve"> </v>
      </c>
    </row>
    <row r="2728" spans="15:15">
      <c r="O2728" t="str">
        <f t="shared" si="83"/>
        <v xml:space="preserve"> </v>
      </c>
    </row>
    <row r="2729" spans="15:15">
      <c r="O2729" t="str">
        <f t="shared" si="83"/>
        <v xml:space="preserve"> </v>
      </c>
    </row>
    <row r="2730" spans="15:15">
      <c r="O2730" t="str">
        <f t="shared" si="83"/>
        <v xml:space="preserve"> </v>
      </c>
    </row>
    <row r="2731" spans="15:15">
      <c r="O2731" t="str">
        <f t="shared" si="83"/>
        <v xml:space="preserve"> </v>
      </c>
    </row>
    <row r="2732" spans="15:15">
      <c r="O2732" t="str">
        <f t="shared" si="83"/>
        <v xml:space="preserve"> </v>
      </c>
    </row>
    <row r="2733" spans="15:15">
      <c r="O2733" t="str">
        <f t="shared" si="83"/>
        <v xml:space="preserve"> </v>
      </c>
    </row>
    <row r="2734" spans="15:15">
      <c r="O2734" t="str">
        <f t="shared" si="83"/>
        <v xml:space="preserve"> </v>
      </c>
    </row>
    <row r="2735" spans="15:15">
      <c r="O2735" t="str">
        <f t="shared" si="83"/>
        <v xml:space="preserve"> </v>
      </c>
    </row>
    <row r="2736" spans="15:15">
      <c r="O2736" t="str">
        <f t="shared" si="83"/>
        <v xml:space="preserve"> </v>
      </c>
    </row>
    <row r="2737" spans="15:15">
      <c r="O2737" t="str">
        <f t="shared" si="83"/>
        <v xml:space="preserve"> </v>
      </c>
    </row>
    <row r="2738" spans="15:15">
      <c r="O2738" t="str">
        <f t="shared" ref="O2738:O2801" si="84">IF(C2738&lt;&gt;"",B2738&amp;"-"&amp;C2738&amp;" "&amp;F2738,B2738&amp;" "&amp;F2738)</f>
        <v xml:space="preserve"> </v>
      </c>
    </row>
    <row r="2739" spans="15:15">
      <c r="O2739" t="str">
        <f t="shared" si="84"/>
        <v xml:space="preserve"> </v>
      </c>
    </row>
    <row r="2740" spans="15:15">
      <c r="O2740" t="str">
        <f t="shared" si="84"/>
        <v xml:space="preserve"> </v>
      </c>
    </row>
    <row r="2741" spans="15:15">
      <c r="O2741" t="str">
        <f t="shared" si="84"/>
        <v xml:space="preserve"> </v>
      </c>
    </row>
    <row r="2742" spans="15:15">
      <c r="O2742" t="str">
        <f t="shared" si="84"/>
        <v xml:space="preserve"> </v>
      </c>
    </row>
    <row r="2743" spans="15:15">
      <c r="O2743" t="str">
        <f t="shared" si="84"/>
        <v xml:space="preserve"> </v>
      </c>
    </row>
    <row r="2744" spans="15:15">
      <c r="O2744" t="str">
        <f t="shared" si="84"/>
        <v xml:space="preserve"> </v>
      </c>
    </row>
    <row r="2745" spans="15:15">
      <c r="O2745" t="str">
        <f t="shared" si="84"/>
        <v xml:space="preserve"> </v>
      </c>
    </row>
    <row r="2746" spans="15:15">
      <c r="O2746" t="str">
        <f t="shared" si="84"/>
        <v xml:space="preserve"> </v>
      </c>
    </row>
    <row r="2747" spans="15:15">
      <c r="O2747" t="str">
        <f t="shared" si="84"/>
        <v xml:space="preserve"> </v>
      </c>
    </row>
    <row r="2748" spans="15:15">
      <c r="O2748" t="str">
        <f t="shared" si="84"/>
        <v xml:space="preserve"> </v>
      </c>
    </row>
    <row r="2749" spans="15:15">
      <c r="O2749" t="str">
        <f t="shared" si="84"/>
        <v xml:space="preserve"> </v>
      </c>
    </row>
    <row r="2750" spans="15:15">
      <c r="O2750" t="str">
        <f t="shared" si="84"/>
        <v xml:space="preserve"> </v>
      </c>
    </row>
    <row r="2751" spans="15:15">
      <c r="O2751" t="str">
        <f t="shared" si="84"/>
        <v xml:space="preserve"> </v>
      </c>
    </row>
    <row r="2752" spans="15:15">
      <c r="O2752" t="str">
        <f t="shared" si="84"/>
        <v xml:space="preserve"> </v>
      </c>
    </row>
    <row r="2753" spans="15:15">
      <c r="O2753" t="str">
        <f t="shared" si="84"/>
        <v xml:space="preserve"> </v>
      </c>
    </row>
    <row r="2754" spans="15:15">
      <c r="O2754" t="str">
        <f t="shared" si="84"/>
        <v xml:space="preserve"> </v>
      </c>
    </row>
    <row r="2755" spans="15:15">
      <c r="O2755" t="str">
        <f t="shared" si="84"/>
        <v xml:space="preserve"> </v>
      </c>
    </row>
    <row r="2756" spans="15:15">
      <c r="O2756" t="str">
        <f t="shared" si="84"/>
        <v xml:space="preserve"> </v>
      </c>
    </row>
    <row r="2757" spans="15:15">
      <c r="O2757" t="str">
        <f t="shared" si="84"/>
        <v xml:space="preserve"> </v>
      </c>
    </row>
    <row r="2758" spans="15:15">
      <c r="O2758" t="str">
        <f t="shared" si="84"/>
        <v xml:space="preserve"> </v>
      </c>
    </row>
    <row r="2759" spans="15:15">
      <c r="O2759" t="str">
        <f t="shared" si="84"/>
        <v xml:space="preserve"> </v>
      </c>
    </row>
    <row r="2760" spans="15:15">
      <c r="O2760" t="str">
        <f t="shared" si="84"/>
        <v xml:space="preserve"> </v>
      </c>
    </row>
    <row r="2761" spans="15:15">
      <c r="O2761" t="str">
        <f t="shared" si="84"/>
        <v xml:space="preserve"> </v>
      </c>
    </row>
    <row r="2762" spans="15:15">
      <c r="O2762" t="str">
        <f t="shared" si="84"/>
        <v xml:space="preserve"> </v>
      </c>
    </row>
    <row r="2763" spans="15:15">
      <c r="O2763" t="str">
        <f t="shared" si="84"/>
        <v xml:space="preserve"> </v>
      </c>
    </row>
    <row r="2764" spans="15:15">
      <c r="O2764" t="str">
        <f t="shared" si="84"/>
        <v xml:space="preserve"> </v>
      </c>
    </row>
    <row r="2765" spans="15:15">
      <c r="O2765" t="str">
        <f t="shared" si="84"/>
        <v xml:space="preserve"> </v>
      </c>
    </row>
    <row r="2766" spans="15:15">
      <c r="O2766" t="str">
        <f t="shared" si="84"/>
        <v xml:space="preserve"> </v>
      </c>
    </row>
    <row r="2767" spans="15:15">
      <c r="O2767" t="str">
        <f t="shared" si="84"/>
        <v xml:space="preserve"> </v>
      </c>
    </row>
    <row r="2768" spans="15:15">
      <c r="O2768" t="str">
        <f t="shared" si="84"/>
        <v xml:space="preserve"> </v>
      </c>
    </row>
    <row r="2769" spans="15:15">
      <c r="O2769" t="str">
        <f t="shared" si="84"/>
        <v xml:space="preserve"> </v>
      </c>
    </row>
    <row r="2770" spans="15:15">
      <c r="O2770" t="str">
        <f t="shared" si="84"/>
        <v xml:space="preserve"> </v>
      </c>
    </row>
    <row r="2771" spans="15:15">
      <c r="O2771" t="str">
        <f t="shared" si="84"/>
        <v xml:space="preserve"> </v>
      </c>
    </row>
    <row r="2772" spans="15:15">
      <c r="O2772" t="str">
        <f t="shared" si="84"/>
        <v xml:space="preserve"> </v>
      </c>
    </row>
    <row r="2773" spans="15:15">
      <c r="O2773" t="str">
        <f t="shared" si="84"/>
        <v xml:space="preserve"> </v>
      </c>
    </row>
    <row r="2774" spans="15:15">
      <c r="O2774" t="str">
        <f t="shared" si="84"/>
        <v xml:space="preserve"> </v>
      </c>
    </row>
    <row r="2775" spans="15:15">
      <c r="O2775" t="str">
        <f t="shared" si="84"/>
        <v xml:space="preserve"> </v>
      </c>
    </row>
    <row r="2776" spans="15:15">
      <c r="O2776" t="str">
        <f t="shared" si="84"/>
        <v xml:space="preserve"> </v>
      </c>
    </row>
    <row r="2777" spans="15:15">
      <c r="O2777" t="str">
        <f t="shared" si="84"/>
        <v xml:space="preserve"> </v>
      </c>
    </row>
    <row r="2778" spans="15:15">
      <c r="O2778" t="str">
        <f t="shared" si="84"/>
        <v xml:space="preserve"> </v>
      </c>
    </row>
    <row r="2779" spans="15:15">
      <c r="O2779" t="str">
        <f t="shared" si="84"/>
        <v xml:space="preserve"> </v>
      </c>
    </row>
    <row r="2780" spans="15:15">
      <c r="O2780" t="str">
        <f t="shared" si="84"/>
        <v xml:space="preserve"> </v>
      </c>
    </row>
    <row r="2781" spans="15:15">
      <c r="O2781" t="str">
        <f t="shared" si="84"/>
        <v xml:space="preserve"> </v>
      </c>
    </row>
    <row r="2782" spans="15:15">
      <c r="O2782" t="str">
        <f t="shared" si="84"/>
        <v xml:space="preserve"> </v>
      </c>
    </row>
    <row r="2783" spans="15:15">
      <c r="O2783" t="str">
        <f t="shared" si="84"/>
        <v xml:space="preserve"> </v>
      </c>
    </row>
    <row r="2784" spans="15:15">
      <c r="O2784" t="str">
        <f t="shared" si="84"/>
        <v xml:space="preserve"> </v>
      </c>
    </row>
    <row r="2785" spans="15:15">
      <c r="O2785" t="str">
        <f t="shared" si="84"/>
        <v xml:space="preserve"> </v>
      </c>
    </row>
    <row r="2786" spans="15:15">
      <c r="O2786" t="str">
        <f t="shared" si="84"/>
        <v xml:space="preserve"> </v>
      </c>
    </row>
    <row r="2787" spans="15:15">
      <c r="O2787" t="str">
        <f t="shared" si="84"/>
        <v xml:space="preserve"> </v>
      </c>
    </row>
    <row r="2788" spans="15:15">
      <c r="O2788" t="str">
        <f t="shared" si="84"/>
        <v xml:space="preserve"> </v>
      </c>
    </row>
    <row r="2789" spans="15:15">
      <c r="O2789" t="str">
        <f t="shared" si="84"/>
        <v xml:space="preserve"> </v>
      </c>
    </row>
    <row r="2790" spans="15:15">
      <c r="O2790" t="str">
        <f t="shared" si="84"/>
        <v xml:space="preserve"> </v>
      </c>
    </row>
    <row r="2791" spans="15:15">
      <c r="O2791" t="str">
        <f t="shared" si="84"/>
        <v xml:space="preserve"> </v>
      </c>
    </row>
    <row r="2792" spans="15:15">
      <c r="O2792" t="str">
        <f t="shared" si="84"/>
        <v xml:space="preserve"> </v>
      </c>
    </row>
    <row r="2793" spans="15:15">
      <c r="O2793" t="str">
        <f t="shared" si="84"/>
        <v xml:space="preserve"> </v>
      </c>
    </row>
    <row r="2794" spans="15:15">
      <c r="O2794" t="str">
        <f t="shared" si="84"/>
        <v xml:space="preserve"> </v>
      </c>
    </row>
    <row r="2795" spans="15:15">
      <c r="O2795" t="str">
        <f t="shared" si="84"/>
        <v xml:space="preserve"> </v>
      </c>
    </row>
    <row r="2796" spans="15:15">
      <c r="O2796" t="str">
        <f t="shared" si="84"/>
        <v xml:space="preserve"> </v>
      </c>
    </row>
    <row r="2797" spans="15:15">
      <c r="O2797" t="str">
        <f t="shared" si="84"/>
        <v xml:space="preserve"> </v>
      </c>
    </row>
    <row r="2798" spans="15:15">
      <c r="O2798" t="str">
        <f t="shared" si="84"/>
        <v xml:space="preserve"> </v>
      </c>
    </row>
    <row r="2799" spans="15:15">
      <c r="O2799" t="str">
        <f t="shared" si="84"/>
        <v xml:space="preserve"> </v>
      </c>
    </row>
    <row r="2800" spans="15:15">
      <c r="O2800" t="str">
        <f t="shared" si="84"/>
        <v xml:space="preserve"> </v>
      </c>
    </row>
    <row r="2801" spans="15:15">
      <c r="O2801" t="str">
        <f t="shared" si="84"/>
        <v xml:space="preserve"> </v>
      </c>
    </row>
    <row r="2802" spans="15:15">
      <c r="O2802" t="str">
        <f t="shared" ref="O2802:O2865" si="85">IF(C2802&lt;&gt;"",B2802&amp;"-"&amp;C2802&amp;" "&amp;F2802,B2802&amp;" "&amp;F2802)</f>
        <v xml:space="preserve"> </v>
      </c>
    </row>
    <row r="2803" spans="15:15">
      <c r="O2803" t="str">
        <f t="shared" si="85"/>
        <v xml:space="preserve"> </v>
      </c>
    </row>
    <row r="2804" spans="15:15">
      <c r="O2804" t="str">
        <f t="shared" si="85"/>
        <v xml:space="preserve"> </v>
      </c>
    </row>
    <row r="2805" spans="15:15">
      <c r="O2805" t="str">
        <f t="shared" si="85"/>
        <v xml:space="preserve"> </v>
      </c>
    </row>
    <row r="2806" spans="15:15">
      <c r="O2806" t="str">
        <f t="shared" si="85"/>
        <v xml:space="preserve"> </v>
      </c>
    </row>
    <row r="2807" spans="15:15">
      <c r="O2807" t="str">
        <f t="shared" si="85"/>
        <v xml:space="preserve"> </v>
      </c>
    </row>
    <row r="2808" spans="15:15">
      <c r="O2808" t="str">
        <f t="shared" si="85"/>
        <v xml:space="preserve"> </v>
      </c>
    </row>
    <row r="2809" spans="15:15">
      <c r="O2809" t="str">
        <f t="shared" si="85"/>
        <v xml:space="preserve"> </v>
      </c>
    </row>
    <row r="2810" spans="15:15">
      <c r="O2810" t="str">
        <f t="shared" si="85"/>
        <v xml:space="preserve"> </v>
      </c>
    </row>
    <row r="2811" spans="15:15">
      <c r="O2811" t="str">
        <f t="shared" si="85"/>
        <v xml:space="preserve"> </v>
      </c>
    </row>
    <row r="2812" spans="15:15">
      <c r="O2812" t="str">
        <f t="shared" si="85"/>
        <v xml:space="preserve"> </v>
      </c>
    </row>
    <row r="2813" spans="15:15">
      <c r="O2813" t="str">
        <f t="shared" si="85"/>
        <v xml:space="preserve"> </v>
      </c>
    </row>
    <row r="2814" spans="15:15">
      <c r="O2814" t="str">
        <f t="shared" si="85"/>
        <v xml:space="preserve"> </v>
      </c>
    </row>
    <row r="2815" spans="15:15">
      <c r="O2815" t="str">
        <f t="shared" si="85"/>
        <v xml:space="preserve"> </v>
      </c>
    </row>
    <row r="2816" spans="15:15">
      <c r="O2816" t="str">
        <f t="shared" si="85"/>
        <v xml:space="preserve"> </v>
      </c>
    </row>
    <row r="2817" spans="15:15">
      <c r="O2817" t="str">
        <f t="shared" si="85"/>
        <v xml:space="preserve"> </v>
      </c>
    </row>
    <row r="2818" spans="15:15">
      <c r="O2818" t="str">
        <f t="shared" si="85"/>
        <v xml:space="preserve"> </v>
      </c>
    </row>
    <row r="2819" spans="15:15">
      <c r="O2819" t="str">
        <f t="shared" si="85"/>
        <v xml:space="preserve"> </v>
      </c>
    </row>
    <row r="2820" spans="15:15">
      <c r="O2820" t="str">
        <f t="shared" si="85"/>
        <v xml:space="preserve"> </v>
      </c>
    </row>
    <row r="2821" spans="15:15">
      <c r="O2821" t="str">
        <f t="shared" si="85"/>
        <v xml:space="preserve"> </v>
      </c>
    </row>
    <row r="2822" spans="15:15">
      <c r="O2822" t="str">
        <f t="shared" si="85"/>
        <v xml:space="preserve"> </v>
      </c>
    </row>
    <row r="2823" spans="15:15">
      <c r="O2823" t="str">
        <f t="shared" si="85"/>
        <v xml:space="preserve"> </v>
      </c>
    </row>
    <row r="2824" spans="15:15">
      <c r="O2824" t="str">
        <f t="shared" si="85"/>
        <v xml:space="preserve"> </v>
      </c>
    </row>
    <row r="2825" spans="15:15">
      <c r="O2825" t="str">
        <f t="shared" si="85"/>
        <v xml:space="preserve"> </v>
      </c>
    </row>
    <row r="2826" spans="15:15">
      <c r="O2826" t="str">
        <f t="shared" si="85"/>
        <v xml:space="preserve"> </v>
      </c>
    </row>
    <row r="2827" spans="15:15">
      <c r="O2827" t="str">
        <f t="shared" si="85"/>
        <v xml:space="preserve"> </v>
      </c>
    </row>
    <row r="2828" spans="15:15">
      <c r="O2828" t="str">
        <f t="shared" si="85"/>
        <v xml:space="preserve"> </v>
      </c>
    </row>
    <row r="2829" spans="15:15">
      <c r="O2829" t="str">
        <f t="shared" si="85"/>
        <v xml:space="preserve"> </v>
      </c>
    </row>
    <row r="2830" spans="15:15">
      <c r="O2830" t="str">
        <f t="shared" si="85"/>
        <v xml:space="preserve"> </v>
      </c>
    </row>
    <row r="2831" spans="15:15">
      <c r="O2831" t="str">
        <f t="shared" si="85"/>
        <v xml:space="preserve"> </v>
      </c>
    </row>
    <row r="2832" spans="15:15">
      <c r="O2832" t="str">
        <f t="shared" si="85"/>
        <v xml:space="preserve"> </v>
      </c>
    </row>
    <row r="2833" spans="15:15">
      <c r="O2833" t="str">
        <f t="shared" si="85"/>
        <v xml:space="preserve"> </v>
      </c>
    </row>
    <row r="2834" spans="15:15">
      <c r="O2834" t="str">
        <f t="shared" si="85"/>
        <v xml:space="preserve"> </v>
      </c>
    </row>
    <row r="2835" spans="15:15">
      <c r="O2835" t="str">
        <f t="shared" si="85"/>
        <v xml:space="preserve"> </v>
      </c>
    </row>
    <row r="2836" spans="15:15">
      <c r="O2836" t="str">
        <f t="shared" si="85"/>
        <v xml:space="preserve"> </v>
      </c>
    </row>
    <row r="2837" spans="15:15">
      <c r="O2837" t="str">
        <f t="shared" si="85"/>
        <v xml:space="preserve"> </v>
      </c>
    </row>
    <row r="2838" spans="15:15">
      <c r="O2838" t="str">
        <f t="shared" si="85"/>
        <v xml:space="preserve"> </v>
      </c>
    </row>
    <row r="2839" spans="15:15">
      <c r="O2839" t="str">
        <f t="shared" si="85"/>
        <v xml:space="preserve"> </v>
      </c>
    </row>
    <row r="2840" spans="15:15">
      <c r="O2840" t="str">
        <f t="shared" si="85"/>
        <v xml:space="preserve"> </v>
      </c>
    </row>
    <row r="2841" spans="15:15">
      <c r="O2841" t="str">
        <f t="shared" si="85"/>
        <v xml:space="preserve"> </v>
      </c>
    </row>
    <row r="2842" spans="15:15">
      <c r="O2842" t="str">
        <f t="shared" si="85"/>
        <v xml:space="preserve"> </v>
      </c>
    </row>
    <row r="2843" spans="15:15">
      <c r="O2843" t="str">
        <f t="shared" si="85"/>
        <v xml:space="preserve"> </v>
      </c>
    </row>
    <row r="2844" spans="15:15">
      <c r="O2844" t="str">
        <f t="shared" si="85"/>
        <v xml:space="preserve"> </v>
      </c>
    </row>
    <row r="2845" spans="15:15">
      <c r="O2845" t="str">
        <f t="shared" si="85"/>
        <v xml:space="preserve"> </v>
      </c>
    </row>
    <row r="2846" spans="15:15">
      <c r="O2846" t="str">
        <f t="shared" si="85"/>
        <v xml:space="preserve"> </v>
      </c>
    </row>
    <row r="2847" spans="15:15">
      <c r="O2847" t="str">
        <f t="shared" si="85"/>
        <v xml:space="preserve"> </v>
      </c>
    </row>
    <row r="2848" spans="15:15">
      <c r="O2848" t="str">
        <f t="shared" si="85"/>
        <v xml:space="preserve"> </v>
      </c>
    </row>
    <row r="2849" spans="15:15">
      <c r="O2849" t="str">
        <f t="shared" si="85"/>
        <v xml:space="preserve"> </v>
      </c>
    </row>
    <row r="2850" spans="15:15">
      <c r="O2850" t="str">
        <f t="shared" si="85"/>
        <v xml:space="preserve"> </v>
      </c>
    </row>
    <row r="2851" spans="15:15">
      <c r="O2851" t="str">
        <f t="shared" si="85"/>
        <v xml:space="preserve"> </v>
      </c>
    </row>
    <row r="2852" spans="15:15">
      <c r="O2852" t="str">
        <f t="shared" si="85"/>
        <v xml:space="preserve"> </v>
      </c>
    </row>
    <row r="2853" spans="15:15">
      <c r="O2853" t="str">
        <f t="shared" si="85"/>
        <v xml:space="preserve"> </v>
      </c>
    </row>
    <row r="2854" spans="15:15">
      <c r="O2854" t="str">
        <f t="shared" si="85"/>
        <v xml:space="preserve"> </v>
      </c>
    </row>
    <row r="2855" spans="15:15">
      <c r="O2855" t="str">
        <f t="shared" si="85"/>
        <v xml:space="preserve"> </v>
      </c>
    </row>
    <row r="2856" spans="15:15">
      <c r="O2856" t="str">
        <f t="shared" si="85"/>
        <v xml:space="preserve"> </v>
      </c>
    </row>
    <row r="2857" spans="15:15">
      <c r="O2857" t="str">
        <f t="shared" si="85"/>
        <v xml:space="preserve"> </v>
      </c>
    </row>
    <row r="2858" spans="15:15">
      <c r="O2858" t="str">
        <f t="shared" si="85"/>
        <v xml:space="preserve"> </v>
      </c>
    </row>
    <row r="2859" spans="15:15">
      <c r="O2859" t="str">
        <f t="shared" si="85"/>
        <v xml:space="preserve"> </v>
      </c>
    </row>
    <row r="2860" spans="15:15">
      <c r="O2860" t="str">
        <f t="shared" si="85"/>
        <v xml:space="preserve"> </v>
      </c>
    </row>
    <row r="2861" spans="15:15">
      <c r="O2861" t="str">
        <f t="shared" si="85"/>
        <v xml:space="preserve"> </v>
      </c>
    </row>
    <row r="2862" spans="15:15">
      <c r="O2862" t="str">
        <f t="shared" si="85"/>
        <v xml:space="preserve"> </v>
      </c>
    </row>
    <row r="2863" spans="15:15">
      <c r="O2863" t="str">
        <f t="shared" si="85"/>
        <v xml:space="preserve"> </v>
      </c>
    </row>
    <row r="2864" spans="15:15">
      <c r="O2864" t="str">
        <f t="shared" si="85"/>
        <v xml:space="preserve"> </v>
      </c>
    </row>
    <row r="2865" spans="15:15">
      <c r="O2865" t="str">
        <f t="shared" si="85"/>
        <v xml:space="preserve"> </v>
      </c>
    </row>
    <row r="2866" spans="15:15">
      <c r="O2866" t="str">
        <f t="shared" ref="O2866:O2929" si="86">IF(C2866&lt;&gt;"",B2866&amp;"-"&amp;C2866&amp;" "&amp;F2866,B2866&amp;" "&amp;F2866)</f>
        <v xml:space="preserve"> </v>
      </c>
    </row>
    <row r="2867" spans="15:15">
      <c r="O2867" t="str">
        <f t="shared" si="86"/>
        <v xml:space="preserve"> </v>
      </c>
    </row>
    <row r="2868" spans="15:15">
      <c r="O2868" t="str">
        <f t="shared" si="86"/>
        <v xml:space="preserve"> </v>
      </c>
    </row>
    <row r="2869" spans="15:15">
      <c r="O2869" t="str">
        <f t="shared" si="86"/>
        <v xml:space="preserve"> </v>
      </c>
    </row>
    <row r="2870" spans="15:15">
      <c r="O2870" t="str">
        <f t="shared" si="86"/>
        <v xml:space="preserve"> </v>
      </c>
    </row>
    <row r="2871" spans="15:15">
      <c r="O2871" t="str">
        <f t="shared" si="86"/>
        <v xml:space="preserve"> </v>
      </c>
    </row>
    <row r="2872" spans="15:15">
      <c r="O2872" t="str">
        <f t="shared" si="86"/>
        <v xml:space="preserve"> </v>
      </c>
    </row>
    <row r="2873" spans="15:15">
      <c r="O2873" t="str">
        <f t="shared" si="86"/>
        <v xml:space="preserve"> </v>
      </c>
    </row>
    <row r="2874" spans="15:15">
      <c r="O2874" t="str">
        <f t="shared" si="86"/>
        <v xml:space="preserve"> </v>
      </c>
    </row>
    <row r="2875" spans="15:15">
      <c r="O2875" t="str">
        <f t="shared" si="86"/>
        <v xml:space="preserve"> </v>
      </c>
    </row>
    <row r="2876" spans="15:15">
      <c r="O2876" t="str">
        <f t="shared" si="86"/>
        <v xml:space="preserve"> </v>
      </c>
    </row>
    <row r="2877" spans="15:15">
      <c r="O2877" t="str">
        <f t="shared" si="86"/>
        <v xml:space="preserve"> </v>
      </c>
    </row>
    <row r="2878" spans="15:15">
      <c r="O2878" t="str">
        <f t="shared" si="86"/>
        <v xml:space="preserve"> </v>
      </c>
    </row>
    <row r="2879" spans="15:15">
      <c r="O2879" t="str">
        <f t="shared" si="86"/>
        <v xml:space="preserve"> </v>
      </c>
    </row>
    <row r="2880" spans="15:15">
      <c r="O2880" t="str">
        <f t="shared" si="86"/>
        <v xml:space="preserve"> </v>
      </c>
    </row>
    <row r="2881" spans="15:15">
      <c r="O2881" t="str">
        <f t="shared" si="86"/>
        <v xml:space="preserve"> </v>
      </c>
    </row>
    <row r="2882" spans="15:15">
      <c r="O2882" t="str">
        <f t="shared" si="86"/>
        <v xml:space="preserve"> </v>
      </c>
    </row>
    <row r="2883" spans="15:15">
      <c r="O2883" t="str">
        <f t="shared" si="86"/>
        <v xml:space="preserve"> </v>
      </c>
    </row>
    <row r="2884" spans="15:15">
      <c r="O2884" t="str">
        <f t="shared" si="86"/>
        <v xml:space="preserve"> </v>
      </c>
    </row>
    <row r="2885" spans="15:15">
      <c r="O2885" t="str">
        <f t="shared" si="86"/>
        <v xml:space="preserve"> </v>
      </c>
    </row>
    <row r="2886" spans="15:15">
      <c r="O2886" t="str">
        <f t="shared" si="86"/>
        <v xml:space="preserve"> </v>
      </c>
    </row>
    <row r="2887" spans="15:15">
      <c r="O2887" t="str">
        <f t="shared" si="86"/>
        <v xml:space="preserve"> </v>
      </c>
    </row>
    <row r="2888" spans="15:15">
      <c r="O2888" t="str">
        <f t="shared" si="86"/>
        <v xml:space="preserve"> </v>
      </c>
    </row>
    <row r="2889" spans="15:15">
      <c r="O2889" t="str">
        <f t="shared" si="86"/>
        <v xml:space="preserve"> </v>
      </c>
    </row>
    <row r="2890" spans="15:15">
      <c r="O2890" t="str">
        <f t="shared" si="86"/>
        <v xml:space="preserve"> </v>
      </c>
    </row>
    <row r="2891" spans="15:15">
      <c r="O2891" t="str">
        <f t="shared" si="86"/>
        <v xml:space="preserve"> </v>
      </c>
    </row>
    <row r="2892" spans="15:15">
      <c r="O2892" t="str">
        <f t="shared" si="86"/>
        <v xml:space="preserve"> </v>
      </c>
    </row>
    <row r="2893" spans="15:15">
      <c r="O2893" t="str">
        <f t="shared" si="86"/>
        <v xml:space="preserve"> </v>
      </c>
    </row>
    <row r="2894" spans="15:15">
      <c r="O2894" t="str">
        <f t="shared" si="86"/>
        <v xml:space="preserve"> </v>
      </c>
    </row>
    <row r="2895" spans="15:15">
      <c r="O2895" t="str">
        <f t="shared" si="86"/>
        <v xml:space="preserve"> </v>
      </c>
    </row>
    <row r="2896" spans="15:15">
      <c r="O2896" t="str">
        <f t="shared" si="86"/>
        <v xml:space="preserve"> </v>
      </c>
    </row>
    <row r="2897" spans="15:15">
      <c r="O2897" t="str">
        <f t="shared" si="86"/>
        <v xml:space="preserve"> </v>
      </c>
    </row>
    <row r="2898" spans="15:15">
      <c r="O2898" t="str">
        <f t="shared" si="86"/>
        <v xml:space="preserve"> </v>
      </c>
    </row>
    <row r="2899" spans="15:15">
      <c r="O2899" t="str">
        <f t="shared" si="86"/>
        <v xml:space="preserve"> </v>
      </c>
    </row>
    <row r="2900" spans="15:15">
      <c r="O2900" t="str">
        <f t="shared" si="86"/>
        <v xml:space="preserve"> </v>
      </c>
    </row>
    <row r="2901" spans="15:15">
      <c r="O2901" t="str">
        <f t="shared" si="86"/>
        <v xml:space="preserve"> </v>
      </c>
    </row>
    <row r="2902" spans="15:15">
      <c r="O2902" t="str">
        <f t="shared" si="86"/>
        <v xml:space="preserve"> </v>
      </c>
    </row>
    <row r="2903" spans="15:15">
      <c r="O2903" t="str">
        <f t="shared" si="86"/>
        <v xml:space="preserve"> </v>
      </c>
    </row>
    <row r="2904" spans="15:15">
      <c r="O2904" t="str">
        <f t="shared" si="86"/>
        <v xml:space="preserve"> </v>
      </c>
    </row>
    <row r="2905" spans="15:15">
      <c r="O2905" t="str">
        <f t="shared" si="86"/>
        <v xml:space="preserve"> </v>
      </c>
    </row>
    <row r="2906" spans="15:15">
      <c r="O2906" t="str">
        <f t="shared" si="86"/>
        <v xml:space="preserve"> </v>
      </c>
    </row>
    <row r="2907" spans="15:15">
      <c r="O2907" t="str">
        <f t="shared" si="86"/>
        <v xml:space="preserve"> </v>
      </c>
    </row>
    <row r="2908" spans="15:15">
      <c r="O2908" t="str">
        <f t="shared" si="86"/>
        <v xml:space="preserve"> </v>
      </c>
    </row>
    <row r="2909" spans="15:15">
      <c r="O2909" t="str">
        <f t="shared" si="86"/>
        <v xml:space="preserve"> </v>
      </c>
    </row>
    <row r="2910" spans="15:15">
      <c r="O2910" t="str">
        <f t="shared" si="86"/>
        <v xml:space="preserve"> </v>
      </c>
    </row>
    <row r="2911" spans="15:15">
      <c r="O2911" t="str">
        <f t="shared" si="86"/>
        <v xml:space="preserve"> </v>
      </c>
    </row>
    <row r="2912" spans="15:15">
      <c r="O2912" t="str">
        <f t="shared" si="86"/>
        <v xml:space="preserve"> </v>
      </c>
    </row>
    <row r="2913" spans="15:15">
      <c r="O2913" t="str">
        <f t="shared" si="86"/>
        <v xml:space="preserve"> </v>
      </c>
    </row>
    <row r="2914" spans="15:15">
      <c r="O2914" t="str">
        <f t="shared" si="86"/>
        <v xml:space="preserve"> </v>
      </c>
    </row>
    <row r="2915" spans="15:15">
      <c r="O2915" t="str">
        <f t="shared" si="86"/>
        <v xml:space="preserve"> </v>
      </c>
    </row>
    <row r="2916" spans="15:15">
      <c r="O2916" t="str">
        <f t="shared" si="86"/>
        <v xml:space="preserve"> </v>
      </c>
    </row>
    <row r="2917" spans="15:15">
      <c r="O2917" t="str">
        <f t="shared" si="86"/>
        <v xml:space="preserve"> </v>
      </c>
    </row>
    <row r="2918" spans="15:15">
      <c r="O2918" t="str">
        <f t="shared" si="86"/>
        <v xml:space="preserve"> </v>
      </c>
    </row>
    <row r="2919" spans="15:15">
      <c r="O2919" t="str">
        <f t="shared" si="86"/>
        <v xml:space="preserve"> </v>
      </c>
    </row>
    <row r="2920" spans="15:15">
      <c r="O2920" t="str">
        <f t="shared" si="86"/>
        <v xml:space="preserve"> </v>
      </c>
    </row>
    <row r="2921" spans="15:15">
      <c r="O2921" t="str">
        <f t="shared" si="86"/>
        <v xml:space="preserve"> </v>
      </c>
    </row>
    <row r="2922" spans="15:15">
      <c r="O2922" t="str">
        <f t="shared" si="86"/>
        <v xml:space="preserve"> </v>
      </c>
    </row>
    <row r="2923" spans="15:15">
      <c r="O2923" t="str">
        <f t="shared" si="86"/>
        <v xml:space="preserve"> </v>
      </c>
    </row>
    <row r="2924" spans="15:15">
      <c r="O2924" t="str">
        <f t="shared" si="86"/>
        <v xml:space="preserve"> </v>
      </c>
    </row>
    <row r="2925" spans="15:15">
      <c r="O2925" t="str">
        <f t="shared" si="86"/>
        <v xml:space="preserve"> </v>
      </c>
    </row>
    <row r="2926" spans="15:15">
      <c r="O2926" t="str">
        <f t="shared" si="86"/>
        <v xml:space="preserve"> </v>
      </c>
    </row>
    <row r="2927" spans="15:15">
      <c r="O2927" t="str">
        <f t="shared" si="86"/>
        <v xml:space="preserve"> </v>
      </c>
    </row>
    <row r="2928" spans="15:15">
      <c r="O2928" t="str">
        <f t="shared" si="86"/>
        <v xml:space="preserve"> </v>
      </c>
    </row>
    <row r="2929" spans="15:15">
      <c r="O2929" t="str">
        <f t="shared" si="86"/>
        <v xml:space="preserve"> </v>
      </c>
    </row>
    <row r="2930" spans="15:15">
      <c r="O2930" t="str">
        <f t="shared" ref="O2930:O2993" si="87">IF(C2930&lt;&gt;"",B2930&amp;"-"&amp;C2930&amp;" "&amp;F2930,B2930&amp;" "&amp;F2930)</f>
        <v xml:space="preserve"> </v>
      </c>
    </row>
    <row r="2931" spans="15:15">
      <c r="O2931" t="str">
        <f t="shared" si="87"/>
        <v xml:space="preserve"> </v>
      </c>
    </row>
    <row r="2932" spans="15:15">
      <c r="O2932" t="str">
        <f t="shared" si="87"/>
        <v xml:space="preserve"> </v>
      </c>
    </row>
    <row r="2933" spans="15:15">
      <c r="O2933" t="str">
        <f t="shared" si="87"/>
        <v xml:space="preserve"> </v>
      </c>
    </row>
    <row r="2934" spans="15:15">
      <c r="O2934" t="str">
        <f t="shared" si="87"/>
        <v xml:space="preserve"> </v>
      </c>
    </row>
    <row r="2935" spans="15:15">
      <c r="O2935" t="str">
        <f t="shared" si="87"/>
        <v xml:space="preserve"> </v>
      </c>
    </row>
    <row r="2936" spans="15:15">
      <c r="O2936" t="str">
        <f t="shared" si="87"/>
        <v xml:space="preserve"> </v>
      </c>
    </row>
    <row r="2937" spans="15:15">
      <c r="O2937" t="str">
        <f t="shared" si="87"/>
        <v xml:space="preserve"> </v>
      </c>
    </row>
    <row r="2938" spans="15:15">
      <c r="O2938" t="str">
        <f t="shared" si="87"/>
        <v xml:space="preserve"> </v>
      </c>
    </row>
    <row r="2939" spans="15:15">
      <c r="O2939" t="str">
        <f t="shared" si="87"/>
        <v xml:space="preserve"> </v>
      </c>
    </row>
    <row r="2940" spans="15:15">
      <c r="O2940" t="str">
        <f t="shared" si="87"/>
        <v xml:space="preserve"> </v>
      </c>
    </row>
    <row r="2941" spans="15:15">
      <c r="O2941" t="str">
        <f t="shared" si="87"/>
        <v xml:space="preserve"> </v>
      </c>
    </row>
    <row r="2942" spans="15:15">
      <c r="O2942" t="str">
        <f t="shared" si="87"/>
        <v xml:space="preserve"> </v>
      </c>
    </row>
    <row r="2943" spans="15:15">
      <c r="O2943" t="str">
        <f t="shared" si="87"/>
        <v xml:space="preserve"> </v>
      </c>
    </row>
    <row r="2944" spans="15:15">
      <c r="O2944" t="str">
        <f t="shared" si="87"/>
        <v xml:space="preserve"> </v>
      </c>
    </row>
    <row r="2945" spans="15:15">
      <c r="O2945" t="str">
        <f t="shared" si="87"/>
        <v xml:space="preserve"> </v>
      </c>
    </row>
    <row r="2946" spans="15:15">
      <c r="O2946" t="str">
        <f t="shared" si="87"/>
        <v xml:space="preserve"> </v>
      </c>
    </row>
    <row r="2947" spans="15:15">
      <c r="O2947" t="str">
        <f t="shared" si="87"/>
        <v xml:space="preserve"> </v>
      </c>
    </row>
    <row r="2948" spans="15:15">
      <c r="O2948" t="str">
        <f t="shared" si="87"/>
        <v xml:space="preserve"> </v>
      </c>
    </row>
    <row r="2949" spans="15:15">
      <c r="O2949" t="str">
        <f t="shared" si="87"/>
        <v xml:space="preserve"> </v>
      </c>
    </row>
    <row r="2950" spans="15:15">
      <c r="O2950" t="str">
        <f t="shared" si="87"/>
        <v xml:space="preserve"> </v>
      </c>
    </row>
    <row r="2951" spans="15:15">
      <c r="O2951" t="str">
        <f t="shared" si="87"/>
        <v xml:space="preserve"> </v>
      </c>
    </row>
    <row r="2952" spans="15:15">
      <c r="O2952" t="str">
        <f t="shared" si="87"/>
        <v xml:space="preserve"> </v>
      </c>
    </row>
    <row r="2953" spans="15:15">
      <c r="O2953" t="str">
        <f t="shared" si="87"/>
        <v xml:space="preserve"> </v>
      </c>
    </row>
    <row r="2954" spans="15:15">
      <c r="O2954" t="str">
        <f t="shared" si="87"/>
        <v xml:space="preserve"> </v>
      </c>
    </row>
    <row r="2955" spans="15:15">
      <c r="O2955" t="str">
        <f t="shared" si="87"/>
        <v xml:space="preserve"> </v>
      </c>
    </row>
    <row r="2956" spans="15:15">
      <c r="O2956" t="str">
        <f t="shared" si="87"/>
        <v xml:space="preserve"> </v>
      </c>
    </row>
    <row r="2957" spans="15:15">
      <c r="O2957" t="str">
        <f t="shared" si="87"/>
        <v xml:space="preserve"> </v>
      </c>
    </row>
    <row r="2958" spans="15:15">
      <c r="O2958" t="str">
        <f t="shared" si="87"/>
        <v xml:space="preserve"> </v>
      </c>
    </row>
    <row r="2959" spans="15:15">
      <c r="O2959" t="str">
        <f t="shared" si="87"/>
        <v xml:space="preserve"> </v>
      </c>
    </row>
    <row r="2960" spans="15:15">
      <c r="O2960" t="str">
        <f t="shared" si="87"/>
        <v xml:space="preserve"> </v>
      </c>
    </row>
    <row r="2961" spans="15:15">
      <c r="O2961" t="str">
        <f t="shared" si="87"/>
        <v xml:space="preserve"> </v>
      </c>
    </row>
    <row r="2962" spans="15:15">
      <c r="O2962" t="str">
        <f t="shared" si="87"/>
        <v xml:space="preserve"> </v>
      </c>
    </row>
    <row r="2963" spans="15:15">
      <c r="O2963" t="str">
        <f t="shared" si="87"/>
        <v xml:space="preserve"> </v>
      </c>
    </row>
    <row r="2964" spans="15:15">
      <c r="O2964" t="str">
        <f t="shared" si="87"/>
        <v xml:space="preserve"> </v>
      </c>
    </row>
    <row r="2965" spans="15:15">
      <c r="O2965" t="str">
        <f t="shared" si="87"/>
        <v xml:space="preserve"> </v>
      </c>
    </row>
    <row r="2966" spans="15:15">
      <c r="O2966" t="str">
        <f t="shared" si="87"/>
        <v xml:space="preserve"> </v>
      </c>
    </row>
    <row r="2967" spans="15:15">
      <c r="O2967" t="str">
        <f t="shared" si="87"/>
        <v xml:space="preserve"> </v>
      </c>
    </row>
    <row r="2968" spans="15:15">
      <c r="O2968" t="str">
        <f t="shared" si="87"/>
        <v xml:space="preserve"> </v>
      </c>
    </row>
    <row r="2969" spans="15:15">
      <c r="O2969" t="str">
        <f t="shared" si="87"/>
        <v xml:space="preserve"> </v>
      </c>
    </row>
    <row r="2970" spans="15:15">
      <c r="O2970" t="str">
        <f t="shared" si="87"/>
        <v xml:space="preserve"> </v>
      </c>
    </row>
    <row r="2971" spans="15:15">
      <c r="O2971" t="str">
        <f t="shared" si="87"/>
        <v xml:space="preserve"> </v>
      </c>
    </row>
    <row r="2972" spans="15:15">
      <c r="O2972" t="str">
        <f t="shared" si="87"/>
        <v xml:space="preserve"> </v>
      </c>
    </row>
    <row r="2973" spans="15:15">
      <c r="O2973" t="str">
        <f t="shared" si="87"/>
        <v xml:space="preserve"> </v>
      </c>
    </row>
    <row r="2974" spans="15:15">
      <c r="O2974" t="str">
        <f t="shared" si="87"/>
        <v xml:space="preserve"> </v>
      </c>
    </row>
    <row r="2975" spans="15:15">
      <c r="O2975" t="str">
        <f t="shared" si="87"/>
        <v xml:space="preserve"> </v>
      </c>
    </row>
    <row r="2976" spans="15:15">
      <c r="O2976" t="str">
        <f t="shared" si="87"/>
        <v xml:space="preserve"> </v>
      </c>
    </row>
    <row r="2977" spans="15:15">
      <c r="O2977" t="str">
        <f t="shared" si="87"/>
        <v xml:space="preserve"> </v>
      </c>
    </row>
    <row r="2978" spans="15:15">
      <c r="O2978" t="str">
        <f t="shared" si="87"/>
        <v xml:space="preserve"> </v>
      </c>
    </row>
    <row r="2979" spans="15:15">
      <c r="O2979" t="str">
        <f t="shared" si="87"/>
        <v xml:space="preserve"> </v>
      </c>
    </row>
    <row r="2980" spans="15:15">
      <c r="O2980" t="str">
        <f t="shared" si="87"/>
        <v xml:space="preserve"> </v>
      </c>
    </row>
    <row r="2981" spans="15:15">
      <c r="O2981" t="str">
        <f t="shared" si="87"/>
        <v xml:space="preserve"> </v>
      </c>
    </row>
    <row r="2982" spans="15:15">
      <c r="O2982" t="str">
        <f t="shared" si="87"/>
        <v xml:space="preserve"> </v>
      </c>
    </row>
    <row r="2983" spans="15:15">
      <c r="O2983" t="str">
        <f t="shared" si="87"/>
        <v xml:space="preserve"> </v>
      </c>
    </row>
    <row r="2984" spans="15:15">
      <c r="O2984" t="str">
        <f t="shared" si="87"/>
        <v xml:space="preserve"> </v>
      </c>
    </row>
    <row r="2985" spans="15:15">
      <c r="O2985" t="str">
        <f t="shared" si="87"/>
        <v xml:space="preserve"> </v>
      </c>
    </row>
    <row r="2986" spans="15:15">
      <c r="O2986" t="str">
        <f t="shared" si="87"/>
        <v xml:space="preserve"> </v>
      </c>
    </row>
    <row r="2987" spans="15:15">
      <c r="O2987" t="str">
        <f t="shared" si="87"/>
        <v xml:space="preserve"> </v>
      </c>
    </row>
    <row r="2988" spans="15:15">
      <c r="O2988" t="str">
        <f t="shared" si="87"/>
        <v xml:space="preserve"> </v>
      </c>
    </row>
    <row r="2989" spans="15:15">
      <c r="O2989" t="str">
        <f t="shared" si="87"/>
        <v xml:space="preserve"> </v>
      </c>
    </row>
    <row r="2990" spans="15:15">
      <c r="O2990" t="str">
        <f t="shared" si="87"/>
        <v xml:space="preserve"> </v>
      </c>
    </row>
    <row r="2991" spans="15:15">
      <c r="O2991" t="str">
        <f t="shared" si="87"/>
        <v xml:space="preserve"> </v>
      </c>
    </row>
    <row r="2992" spans="15:15">
      <c r="O2992" t="str">
        <f t="shared" si="87"/>
        <v xml:space="preserve"> </v>
      </c>
    </row>
    <row r="2993" spans="15:15">
      <c r="O2993" t="str">
        <f t="shared" si="87"/>
        <v xml:space="preserve"> </v>
      </c>
    </row>
    <row r="2994" spans="15:15">
      <c r="O2994" t="str">
        <f t="shared" ref="O2994:O3057" si="88">IF(C2994&lt;&gt;"",B2994&amp;"-"&amp;C2994&amp;" "&amp;F2994,B2994&amp;" "&amp;F2994)</f>
        <v xml:space="preserve"> </v>
      </c>
    </row>
    <row r="2995" spans="15:15">
      <c r="O2995" t="str">
        <f t="shared" si="88"/>
        <v xml:space="preserve"> </v>
      </c>
    </row>
    <row r="2996" spans="15:15">
      <c r="O2996" t="str">
        <f t="shared" si="88"/>
        <v xml:space="preserve"> </v>
      </c>
    </row>
    <row r="2997" spans="15:15">
      <c r="O2997" t="str">
        <f t="shared" si="88"/>
        <v xml:space="preserve"> </v>
      </c>
    </row>
    <row r="2998" spans="15:15">
      <c r="O2998" t="str">
        <f t="shared" si="88"/>
        <v xml:space="preserve"> </v>
      </c>
    </row>
    <row r="2999" spans="15:15">
      <c r="O2999" t="str">
        <f t="shared" si="88"/>
        <v xml:space="preserve"> </v>
      </c>
    </row>
    <row r="3000" spans="15:15">
      <c r="O3000" t="str">
        <f t="shared" si="88"/>
        <v xml:space="preserve"> </v>
      </c>
    </row>
    <row r="3001" spans="15:15">
      <c r="O3001" t="str">
        <f t="shared" si="88"/>
        <v xml:space="preserve"> </v>
      </c>
    </row>
    <row r="3002" spans="15:15">
      <c r="O3002" t="str">
        <f t="shared" si="88"/>
        <v xml:space="preserve"> </v>
      </c>
    </row>
    <row r="3003" spans="15:15">
      <c r="O3003" t="str">
        <f t="shared" si="88"/>
        <v xml:space="preserve"> </v>
      </c>
    </row>
    <row r="3004" spans="15:15">
      <c r="O3004" t="str">
        <f t="shared" si="88"/>
        <v xml:space="preserve"> </v>
      </c>
    </row>
    <row r="3005" spans="15:15">
      <c r="O3005" t="str">
        <f t="shared" si="88"/>
        <v xml:space="preserve"> </v>
      </c>
    </row>
    <row r="3006" spans="15:15">
      <c r="O3006" t="str">
        <f t="shared" si="88"/>
        <v xml:space="preserve"> </v>
      </c>
    </row>
    <row r="3007" spans="15:15">
      <c r="O3007" t="str">
        <f t="shared" si="88"/>
        <v xml:space="preserve"> </v>
      </c>
    </row>
    <row r="3008" spans="15:15">
      <c r="O3008" t="str">
        <f t="shared" si="88"/>
        <v xml:space="preserve"> </v>
      </c>
    </row>
    <row r="3009" spans="15:15">
      <c r="O3009" t="str">
        <f t="shared" si="88"/>
        <v xml:space="preserve"> </v>
      </c>
    </row>
    <row r="3010" spans="15:15">
      <c r="O3010" t="str">
        <f t="shared" si="88"/>
        <v xml:space="preserve"> </v>
      </c>
    </row>
    <row r="3011" spans="15:15">
      <c r="O3011" t="str">
        <f t="shared" si="88"/>
        <v xml:space="preserve"> </v>
      </c>
    </row>
    <row r="3012" spans="15:15">
      <c r="O3012" t="str">
        <f t="shared" si="88"/>
        <v xml:space="preserve"> </v>
      </c>
    </row>
    <row r="3013" spans="15:15">
      <c r="O3013" t="str">
        <f t="shared" si="88"/>
        <v xml:space="preserve"> </v>
      </c>
    </row>
    <row r="3014" spans="15:15">
      <c r="O3014" t="str">
        <f t="shared" si="88"/>
        <v xml:space="preserve"> </v>
      </c>
    </row>
    <row r="3015" spans="15:15">
      <c r="O3015" t="str">
        <f t="shared" si="88"/>
        <v xml:space="preserve"> </v>
      </c>
    </row>
    <row r="3016" spans="15:15">
      <c r="O3016" t="str">
        <f t="shared" si="88"/>
        <v xml:space="preserve"> </v>
      </c>
    </row>
    <row r="3017" spans="15:15">
      <c r="O3017" t="str">
        <f t="shared" si="88"/>
        <v xml:space="preserve"> </v>
      </c>
    </row>
    <row r="3018" spans="15:15">
      <c r="O3018" t="str">
        <f t="shared" si="88"/>
        <v xml:space="preserve"> </v>
      </c>
    </row>
    <row r="3019" spans="15:15">
      <c r="O3019" t="str">
        <f t="shared" si="88"/>
        <v xml:space="preserve"> </v>
      </c>
    </row>
    <row r="3020" spans="15:15">
      <c r="O3020" t="str">
        <f t="shared" si="88"/>
        <v xml:space="preserve"> </v>
      </c>
    </row>
    <row r="3021" spans="15:15">
      <c r="O3021" t="str">
        <f t="shared" si="88"/>
        <v xml:space="preserve"> </v>
      </c>
    </row>
    <row r="3022" spans="15:15">
      <c r="O3022" t="str">
        <f t="shared" si="88"/>
        <v xml:space="preserve"> </v>
      </c>
    </row>
    <row r="3023" spans="15:15">
      <c r="O3023" t="str">
        <f t="shared" si="88"/>
        <v xml:space="preserve"> </v>
      </c>
    </row>
    <row r="3024" spans="15:15">
      <c r="O3024" t="str">
        <f t="shared" si="88"/>
        <v xml:space="preserve"> </v>
      </c>
    </row>
    <row r="3025" spans="15:15">
      <c r="O3025" t="str">
        <f t="shared" si="88"/>
        <v xml:space="preserve"> </v>
      </c>
    </row>
    <row r="3026" spans="15:15">
      <c r="O3026" t="str">
        <f t="shared" si="88"/>
        <v xml:space="preserve"> </v>
      </c>
    </row>
    <row r="3027" spans="15:15">
      <c r="O3027" t="str">
        <f t="shared" si="88"/>
        <v xml:space="preserve"> </v>
      </c>
    </row>
    <row r="3028" spans="15:15">
      <c r="O3028" t="str">
        <f t="shared" si="88"/>
        <v xml:space="preserve"> </v>
      </c>
    </row>
    <row r="3029" spans="15:15">
      <c r="O3029" t="str">
        <f t="shared" si="88"/>
        <v xml:space="preserve"> </v>
      </c>
    </row>
    <row r="3030" spans="15:15">
      <c r="O3030" t="str">
        <f t="shared" si="88"/>
        <v xml:space="preserve"> </v>
      </c>
    </row>
    <row r="3031" spans="15:15">
      <c r="O3031" t="str">
        <f t="shared" si="88"/>
        <v xml:space="preserve"> </v>
      </c>
    </row>
    <row r="3032" spans="15:15">
      <c r="O3032" t="str">
        <f t="shared" si="88"/>
        <v xml:space="preserve"> </v>
      </c>
    </row>
    <row r="3033" spans="15:15">
      <c r="O3033" t="str">
        <f t="shared" si="88"/>
        <v xml:space="preserve"> </v>
      </c>
    </row>
    <row r="3034" spans="15:15">
      <c r="O3034" t="str">
        <f t="shared" si="88"/>
        <v xml:space="preserve"> </v>
      </c>
    </row>
    <row r="3035" spans="15:15">
      <c r="O3035" t="str">
        <f t="shared" si="88"/>
        <v xml:space="preserve"> </v>
      </c>
    </row>
    <row r="3036" spans="15:15">
      <c r="O3036" t="str">
        <f t="shared" si="88"/>
        <v xml:space="preserve"> </v>
      </c>
    </row>
    <row r="3037" spans="15:15">
      <c r="O3037" t="str">
        <f t="shared" si="88"/>
        <v xml:space="preserve"> </v>
      </c>
    </row>
    <row r="3038" spans="15:15">
      <c r="O3038" t="str">
        <f t="shared" si="88"/>
        <v xml:space="preserve"> </v>
      </c>
    </row>
    <row r="3039" spans="15:15">
      <c r="O3039" t="str">
        <f t="shared" si="88"/>
        <v xml:space="preserve"> </v>
      </c>
    </row>
    <row r="3040" spans="15:15">
      <c r="O3040" t="str">
        <f t="shared" si="88"/>
        <v xml:space="preserve"> </v>
      </c>
    </row>
    <row r="3041" spans="15:15">
      <c r="O3041" t="str">
        <f t="shared" si="88"/>
        <v xml:space="preserve"> </v>
      </c>
    </row>
    <row r="3042" spans="15:15">
      <c r="O3042" t="str">
        <f t="shared" si="88"/>
        <v xml:space="preserve"> </v>
      </c>
    </row>
    <row r="3043" spans="15:15">
      <c r="O3043" t="str">
        <f t="shared" si="88"/>
        <v xml:space="preserve"> </v>
      </c>
    </row>
    <row r="3044" spans="15:15">
      <c r="O3044" t="str">
        <f t="shared" si="88"/>
        <v xml:space="preserve"> </v>
      </c>
    </row>
    <row r="3045" spans="15:15">
      <c r="O3045" t="str">
        <f t="shared" si="88"/>
        <v xml:space="preserve"> </v>
      </c>
    </row>
    <row r="3046" spans="15:15">
      <c r="O3046" t="str">
        <f t="shared" si="88"/>
        <v xml:space="preserve"> </v>
      </c>
    </row>
    <row r="3047" spans="15:15">
      <c r="O3047" t="str">
        <f t="shared" si="88"/>
        <v xml:space="preserve"> </v>
      </c>
    </row>
    <row r="3048" spans="15:15">
      <c r="O3048" t="str">
        <f t="shared" si="88"/>
        <v xml:space="preserve"> </v>
      </c>
    </row>
    <row r="3049" spans="15:15">
      <c r="O3049" t="str">
        <f t="shared" si="88"/>
        <v xml:space="preserve"> </v>
      </c>
    </row>
    <row r="3050" spans="15:15">
      <c r="O3050" t="str">
        <f t="shared" si="88"/>
        <v xml:space="preserve"> </v>
      </c>
    </row>
    <row r="3051" spans="15:15">
      <c r="O3051" t="str">
        <f t="shared" si="88"/>
        <v xml:space="preserve"> </v>
      </c>
    </row>
    <row r="3052" spans="15:15">
      <c r="O3052" t="str">
        <f t="shared" si="88"/>
        <v xml:space="preserve"> </v>
      </c>
    </row>
    <row r="3053" spans="15:15">
      <c r="O3053" t="str">
        <f t="shared" si="88"/>
        <v xml:space="preserve"> </v>
      </c>
    </row>
    <row r="3054" spans="15:15">
      <c r="O3054" t="str">
        <f t="shared" si="88"/>
        <v xml:space="preserve"> </v>
      </c>
    </row>
    <row r="3055" spans="15:15">
      <c r="O3055" t="str">
        <f t="shared" si="88"/>
        <v xml:space="preserve"> </v>
      </c>
    </row>
    <row r="3056" spans="15:15">
      <c r="O3056" t="str">
        <f t="shared" si="88"/>
        <v xml:space="preserve"> </v>
      </c>
    </row>
    <row r="3057" spans="15:15">
      <c r="O3057" t="str">
        <f t="shared" si="88"/>
        <v xml:space="preserve"> </v>
      </c>
    </row>
    <row r="3058" spans="15:15">
      <c r="O3058" t="str">
        <f t="shared" ref="O3058:O3121" si="89">IF(C3058&lt;&gt;"",B3058&amp;"-"&amp;C3058&amp;" "&amp;F3058,B3058&amp;" "&amp;F3058)</f>
        <v xml:space="preserve"> </v>
      </c>
    </row>
    <row r="3059" spans="15:15">
      <c r="O3059" t="str">
        <f t="shared" si="89"/>
        <v xml:space="preserve"> </v>
      </c>
    </row>
    <row r="3060" spans="15:15">
      <c r="O3060" t="str">
        <f t="shared" si="89"/>
        <v xml:space="preserve"> </v>
      </c>
    </row>
    <row r="3061" spans="15:15">
      <c r="O3061" t="str">
        <f t="shared" si="89"/>
        <v xml:space="preserve"> </v>
      </c>
    </row>
    <row r="3062" spans="15:15">
      <c r="O3062" t="str">
        <f t="shared" si="89"/>
        <v xml:space="preserve"> </v>
      </c>
    </row>
    <row r="3063" spans="15:15">
      <c r="O3063" t="str">
        <f t="shared" si="89"/>
        <v xml:space="preserve"> </v>
      </c>
    </row>
    <row r="3064" spans="15:15">
      <c r="O3064" t="str">
        <f t="shared" si="89"/>
        <v xml:space="preserve"> </v>
      </c>
    </row>
    <row r="3065" spans="15:15">
      <c r="O3065" t="str">
        <f t="shared" si="89"/>
        <v xml:space="preserve"> </v>
      </c>
    </row>
    <row r="3066" spans="15:15">
      <c r="O3066" t="str">
        <f t="shared" si="89"/>
        <v xml:space="preserve"> </v>
      </c>
    </row>
    <row r="3067" spans="15:15">
      <c r="O3067" t="str">
        <f t="shared" si="89"/>
        <v xml:space="preserve"> </v>
      </c>
    </row>
    <row r="3068" spans="15:15">
      <c r="O3068" t="str">
        <f t="shared" si="89"/>
        <v xml:space="preserve"> </v>
      </c>
    </row>
    <row r="3069" spans="15:15">
      <c r="O3069" t="str">
        <f t="shared" si="89"/>
        <v xml:space="preserve"> </v>
      </c>
    </row>
    <row r="3070" spans="15:15">
      <c r="O3070" t="str">
        <f t="shared" si="89"/>
        <v xml:space="preserve"> </v>
      </c>
    </row>
    <row r="3071" spans="15:15">
      <c r="O3071" t="str">
        <f t="shared" si="89"/>
        <v xml:space="preserve"> </v>
      </c>
    </row>
    <row r="3072" spans="15:15">
      <c r="O3072" t="str">
        <f t="shared" si="89"/>
        <v xml:space="preserve"> </v>
      </c>
    </row>
    <row r="3073" spans="15:15">
      <c r="O3073" t="str">
        <f t="shared" si="89"/>
        <v xml:space="preserve"> </v>
      </c>
    </row>
    <row r="3074" spans="15:15">
      <c r="O3074" t="str">
        <f t="shared" si="89"/>
        <v xml:space="preserve"> </v>
      </c>
    </row>
    <row r="3075" spans="15:15">
      <c r="O3075" t="str">
        <f t="shared" si="89"/>
        <v xml:space="preserve"> </v>
      </c>
    </row>
    <row r="3076" spans="15:15">
      <c r="O3076" t="str">
        <f t="shared" si="89"/>
        <v xml:space="preserve"> </v>
      </c>
    </row>
    <row r="3077" spans="15:15">
      <c r="O3077" t="str">
        <f t="shared" si="89"/>
        <v xml:space="preserve"> </v>
      </c>
    </row>
    <row r="3078" spans="15:15">
      <c r="O3078" t="str">
        <f t="shared" si="89"/>
        <v xml:space="preserve"> </v>
      </c>
    </row>
    <row r="3079" spans="15:15">
      <c r="O3079" t="str">
        <f t="shared" si="89"/>
        <v xml:space="preserve"> </v>
      </c>
    </row>
    <row r="3080" spans="15:15">
      <c r="O3080" t="str">
        <f t="shared" si="89"/>
        <v xml:space="preserve"> </v>
      </c>
    </row>
    <row r="3081" spans="15:15">
      <c r="O3081" t="str">
        <f t="shared" si="89"/>
        <v xml:space="preserve"> </v>
      </c>
    </row>
    <row r="3082" spans="15:15">
      <c r="O3082" t="str">
        <f t="shared" si="89"/>
        <v xml:space="preserve"> </v>
      </c>
    </row>
    <row r="3083" spans="15:15">
      <c r="O3083" t="str">
        <f t="shared" si="89"/>
        <v xml:space="preserve"> </v>
      </c>
    </row>
    <row r="3084" spans="15:15">
      <c r="O3084" t="str">
        <f t="shared" si="89"/>
        <v xml:space="preserve"> </v>
      </c>
    </row>
    <row r="3085" spans="15:15">
      <c r="O3085" t="str">
        <f t="shared" si="89"/>
        <v xml:space="preserve"> </v>
      </c>
    </row>
    <row r="3086" spans="15:15">
      <c r="O3086" t="str">
        <f t="shared" si="89"/>
        <v xml:space="preserve"> </v>
      </c>
    </row>
    <row r="3087" spans="15:15">
      <c r="O3087" t="str">
        <f t="shared" si="89"/>
        <v xml:space="preserve"> </v>
      </c>
    </row>
    <row r="3088" spans="15:15">
      <c r="O3088" t="str">
        <f t="shared" si="89"/>
        <v xml:space="preserve"> </v>
      </c>
    </row>
    <row r="3089" spans="15:15">
      <c r="O3089" t="str">
        <f t="shared" si="89"/>
        <v xml:space="preserve"> </v>
      </c>
    </row>
    <row r="3090" spans="15:15">
      <c r="O3090" t="str">
        <f t="shared" si="89"/>
        <v xml:space="preserve"> </v>
      </c>
    </row>
    <row r="3091" spans="15:15">
      <c r="O3091" t="str">
        <f t="shared" si="89"/>
        <v xml:space="preserve"> </v>
      </c>
    </row>
    <row r="3092" spans="15:15">
      <c r="O3092" t="str">
        <f t="shared" si="89"/>
        <v xml:space="preserve"> </v>
      </c>
    </row>
    <row r="3093" spans="15:15">
      <c r="O3093" t="str">
        <f t="shared" si="89"/>
        <v xml:space="preserve"> </v>
      </c>
    </row>
    <row r="3094" spans="15:15">
      <c r="O3094" t="str">
        <f t="shared" si="89"/>
        <v xml:space="preserve"> </v>
      </c>
    </row>
    <row r="3095" spans="15:15">
      <c r="O3095" t="str">
        <f t="shared" si="89"/>
        <v xml:space="preserve"> </v>
      </c>
    </row>
    <row r="3096" spans="15:15">
      <c r="O3096" t="str">
        <f t="shared" si="89"/>
        <v xml:space="preserve"> </v>
      </c>
    </row>
    <row r="3097" spans="15:15">
      <c r="O3097" t="str">
        <f t="shared" si="89"/>
        <v xml:space="preserve"> </v>
      </c>
    </row>
    <row r="3098" spans="15:15">
      <c r="O3098" t="str">
        <f t="shared" si="89"/>
        <v xml:space="preserve"> </v>
      </c>
    </row>
    <row r="3099" spans="15:15">
      <c r="O3099" t="str">
        <f t="shared" si="89"/>
        <v xml:space="preserve"> </v>
      </c>
    </row>
    <row r="3100" spans="15:15">
      <c r="O3100" t="str">
        <f t="shared" si="89"/>
        <v xml:space="preserve"> </v>
      </c>
    </row>
    <row r="3101" spans="15:15">
      <c r="O3101" t="str">
        <f t="shared" si="89"/>
        <v xml:space="preserve"> </v>
      </c>
    </row>
    <row r="3102" spans="15:15">
      <c r="O3102" t="str">
        <f t="shared" si="89"/>
        <v xml:space="preserve"> </v>
      </c>
    </row>
    <row r="3103" spans="15:15">
      <c r="O3103" t="str">
        <f t="shared" si="89"/>
        <v xml:space="preserve"> </v>
      </c>
    </row>
    <row r="3104" spans="15:15">
      <c r="O3104" t="str">
        <f t="shared" si="89"/>
        <v xml:space="preserve"> </v>
      </c>
    </row>
    <row r="3105" spans="15:15">
      <c r="O3105" t="str">
        <f t="shared" si="89"/>
        <v xml:space="preserve"> </v>
      </c>
    </row>
    <row r="3106" spans="15:15">
      <c r="O3106" t="str">
        <f t="shared" si="89"/>
        <v xml:space="preserve"> </v>
      </c>
    </row>
    <row r="3107" spans="15:15">
      <c r="O3107" t="str">
        <f t="shared" si="89"/>
        <v xml:space="preserve"> </v>
      </c>
    </row>
    <row r="3108" spans="15:15">
      <c r="O3108" t="str">
        <f t="shared" si="89"/>
        <v xml:space="preserve"> </v>
      </c>
    </row>
    <row r="3109" spans="15:15">
      <c r="O3109" t="str">
        <f t="shared" si="89"/>
        <v xml:space="preserve"> </v>
      </c>
    </row>
    <row r="3110" spans="15:15">
      <c r="O3110" t="str">
        <f t="shared" si="89"/>
        <v xml:space="preserve"> </v>
      </c>
    </row>
    <row r="3111" spans="15:15">
      <c r="O3111" t="str">
        <f t="shared" si="89"/>
        <v xml:space="preserve"> </v>
      </c>
    </row>
    <row r="3112" spans="15:15">
      <c r="O3112" t="str">
        <f t="shared" si="89"/>
        <v xml:space="preserve"> </v>
      </c>
    </row>
    <row r="3113" spans="15:15">
      <c r="O3113" t="str">
        <f t="shared" si="89"/>
        <v xml:space="preserve"> </v>
      </c>
    </row>
    <row r="3114" spans="15:15">
      <c r="O3114" t="str">
        <f t="shared" si="89"/>
        <v xml:space="preserve"> </v>
      </c>
    </row>
    <row r="3115" spans="15:15">
      <c r="O3115" t="str">
        <f t="shared" si="89"/>
        <v xml:space="preserve"> </v>
      </c>
    </row>
    <row r="3116" spans="15:15">
      <c r="O3116" t="str">
        <f t="shared" si="89"/>
        <v xml:space="preserve"> </v>
      </c>
    </row>
    <row r="3117" spans="15:15">
      <c r="O3117" t="str">
        <f t="shared" si="89"/>
        <v xml:space="preserve"> </v>
      </c>
    </row>
    <row r="3118" spans="15:15">
      <c r="O3118" t="str">
        <f t="shared" si="89"/>
        <v xml:space="preserve"> </v>
      </c>
    </row>
    <row r="3119" spans="15:15">
      <c r="O3119" t="str">
        <f t="shared" si="89"/>
        <v xml:space="preserve"> </v>
      </c>
    </row>
    <row r="3120" spans="15:15">
      <c r="O3120" t="str">
        <f t="shared" si="89"/>
        <v xml:space="preserve"> </v>
      </c>
    </row>
    <row r="3121" spans="15:15">
      <c r="O3121" t="str">
        <f t="shared" si="89"/>
        <v xml:space="preserve"> </v>
      </c>
    </row>
    <row r="3122" spans="15:15">
      <c r="O3122" t="str">
        <f t="shared" ref="O3122:O3185" si="90">IF(C3122&lt;&gt;"",B3122&amp;"-"&amp;C3122&amp;" "&amp;F3122,B3122&amp;" "&amp;F3122)</f>
        <v xml:space="preserve"> </v>
      </c>
    </row>
    <row r="3123" spans="15:15">
      <c r="O3123" t="str">
        <f t="shared" si="90"/>
        <v xml:space="preserve"> </v>
      </c>
    </row>
    <row r="3124" spans="15:15">
      <c r="O3124" t="str">
        <f t="shared" si="90"/>
        <v xml:space="preserve"> </v>
      </c>
    </row>
    <row r="3125" spans="15:15">
      <c r="O3125" t="str">
        <f t="shared" si="90"/>
        <v xml:space="preserve"> </v>
      </c>
    </row>
    <row r="3126" spans="15:15">
      <c r="O3126" t="str">
        <f t="shared" si="90"/>
        <v xml:space="preserve"> </v>
      </c>
    </row>
    <row r="3127" spans="15:15">
      <c r="O3127" t="str">
        <f t="shared" si="90"/>
        <v xml:space="preserve"> </v>
      </c>
    </row>
    <row r="3128" spans="15:15">
      <c r="O3128" t="str">
        <f t="shared" si="90"/>
        <v xml:space="preserve"> </v>
      </c>
    </row>
    <row r="3129" spans="15:15">
      <c r="O3129" t="str">
        <f t="shared" si="90"/>
        <v xml:space="preserve"> </v>
      </c>
    </row>
    <row r="3130" spans="15:15">
      <c r="O3130" t="str">
        <f t="shared" si="90"/>
        <v xml:space="preserve"> </v>
      </c>
    </row>
    <row r="3131" spans="15:15">
      <c r="O3131" t="str">
        <f t="shared" si="90"/>
        <v xml:space="preserve"> </v>
      </c>
    </row>
    <row r="3132" spans="15:15">
      <c r="O3132" t="str">
        <f t="shared" si="90"/>
        <v xml:space="preserve"> </v>
      </c>
    </row>
    <row r="3133" spans="15:15">
      <c r="O3133" t="str">
        <f t="shared" si="90"/>
        <v xml:space="preserve"> </v>
      </c>
    </row>
    <row r="3134" spans="15:15">
      <c r="O3134" t="str">
        <f t="shared" si="90"/>
        <v xml:space="preserve"> </v>
      </c>
    </row>
    <row r="3135" spans="15:15">
      <c r="O3135" t="str">
        <f t="shared" si="90"/>
        <v xml:space="preserve"> </v>
      </c>
    </row>
    <row r="3136" spans="15:15">
      <c r="O3136" t="str">
        <f t="shared" si="90"/>
        <v xml:space="preserve"> </v>
      </c>
    </row>
    <row r="3137" spans="15:15">
      <c r="O3137" t="str">
        <f t="shared" si="90"/>
        <v xml:space="preserve"> </v>
      </c>
    </row>
    <row r="3138" spans="15:15">
      <c r="O3138" t="str">
        <f t="shared" si="90"/>
        <v xml:space="preserve"> </v>
      </c>
    </row>
    <row r="3139" spans="15:15">
      <c r="O3139" t="str">
        <f t="shared" si="90"/>
        <v xml:space="preserve"> </v>
      </c>
    </row>
    <row r="3140" spans="15:15">
      <c r="O3140" t="str">
        <f t="shared" si="90"/>
        <v xml:space="preserve"> </v>
      </c>
    </row>
    <row r="3141" spans="15:15">
      <c r="O3141" t="str">
        <f t="shared" si="90"/>
        <v xml:space="preserve"> </v>
      </c>
    </row>
    <row r="3142" spans="15:15">
      <c r="O3142" t="str">
        <f t="shared" si="90"/>
        <v xml:space="preserve"> </v>
      </c>
    </row>
    <row r="3143" spans="15:15">
      <c r="O3143" t="str">
        <f t="shared" si="90"/>
        <v xml:space="preserve"> </v>
      </c>
    </row>
    <row r="3144" spans="15:15">
      <c r="O3144" t="str">
        <f t="shared" si="90"/>
        <v xml:space="preserve"> </v>
      </c>
    </row>
    <row r="3145" spans="15:15">
      <c r="O3145" t="str">
        <f t="shared" si="90"/>
        <v xml:space="preserve"> </v>
      </c>
    </row>
    <row r="3146" spans="15:15">
      <c r="O3146" t="str">
        <f t="shared" si="90"/>
        <v xml:space="preserve"> </v>
      </c>
    </row>
    <row r="3147" spans="15:15">
      <c r="O3147" t="str">
        <f t="shared" si="90"/>
        <v xml:space="preserve"> </v>
      </c>
    </row>
    <row r="3148" spans="15:15">
      <c r="O3148" t="str">
        <f t="shared" si="90"/>
        <v xml:space="preserve"> </v>
      </c>
    </row>
    <row r="3149" spans="15:15">
      <c r="O3149" t="str">
        <f t="shared" si="90"/>
        <v xml:space="preserve"> </v>
      </c>
    </row>
    <row r="3150" spans="15:15">
      <c r="O3150" t="str">
        <f t="shared" si="90"/>
        <v xml:space="preserve"> </v>
      </c>
    </row>
    <row r="3151" spans="15:15">
      <c r="O3151" t="str">
        <f t="shared" si="90"/>
        <v xml:space="preserve"> </v>
      </c>
    </row>
    <row r="3152" spans="15:15">
      <c r="O3152" t="str">
        <f t="shared" si="90"/>
        <v xml:space="preserve"> </v>
      </c>
    </row>
    <row r="3153" spans="15:15">
      <c r="O3153" t="str">
        <f t="shared" si="90"/>
        <v xml:space="preserve"> </v>
      </c>
    </row>
    <row r="3154" spans="15:15">
      <c r="O3154" t="str">
        <f t="shared" si="90"/>
        <v xml:space="preserve"> </v>
      </c>
    </row>
    <row r="3155" spans="15:15">
      <c r="O3155" t="str">
        <f t="shared" si="90"/>
        <v xml:space="preserve"> </v>
      </c>
    </row>
    <row r="3156" spans="15:15">
      <c r="O3156" t="str">
        <f t="shared" si="90"/>
        <v xml:space="preserve"> </v>
      </c>
    </row>
    <row r="3157" spans="15:15">
      <c r="O3157" t="str">
        <f t="shared" si="90"/>
        <v xml:space="preserve"> </v>
      </c>
    </row>
    <row r="3158" spans="15:15">
      <c r="O3158" t="str">
        <f t="shared" si="90"/>
        <v xml:space="preserve"> </v>
      </c>
    </row>
    <row r="3159" spans="15:15">
      <c r="O3159" t="str">
        <f t="shared" si="90"/>
        <v xml:space="preserve"> </v>
      </c>
    </row>
    <row r="3160" spans="15:15">
      <c r="O3160" t="str">
        <f t="shared" si="90"/>
        <v xml:space="preserve"> </v>
      </c>
    </row>
    <row r="3161" spans="15:15">
      <c r="O3161" t="str">
        <f t="shared" si="90"/>
        <v xml:space="preserve"> </v>
      </c>
    </row>
    <row r="3162" spans="15:15">
      <c r="O3162" t="str">
        <f t="shared" si="90"/>
        <v xml:space="preserve"> </v>
      </c>
    </row>
    <row r="3163" spans="15:15">
      <c r="O3163" t="str">
        <f t="shared" si="90"/>
        <v xml:space="preserve"> </v>
      </c>
    </row>
    <row r="3164" spans="15:15">
      <c r="O3164" t="str">
        <f t="shared" si="90"/>
        <v xml:space="preserve"> </v>
      </c>
    </row>
    <row r="3165" spans="15:15">
      <c r="O3165" t="str">
        <f t="shared" si="90"/>
        <v xml:space="preserve"> </v>
      </c>
    </row>
    <row r="3166" spans="15:15">
      <c r="O3166" t="str">
        <f t="shared" si="90"/>
        <v xml:space="preserve"> </v>
      </c>
    </row>
    <row r="3167" spans="15:15">
      <c r="O3167" t="str">
        <f t="shared" si="90"/>
        <v xml:space="preserve"> </v>
      </c>
    </row>
    <row r="3168" spans="15:15">
      <c r="O3168" t="str">
        <f t="shared" si="90"/>
        <v xml:space="preserve"> </v>
      </c>
    </row>
    <row r="3169" spans="15:15">
      <c r="O3169" t="str">
        <f t="shared" si="90"/>
        <v xml:space="preserve"> </v>
      </c>
    </row>
    <row r="3170" spans="15:15">
      <c r="O3170" t="str">
        <f t="shared" si="90"/>
        <v xml:space="preserve"> </v>
      </c>
    </row>
    <row r="3171" spans="15:15">
      <c r="O3171" t="str">
        <f t="shared" si="90"/>
        <v xml:space="preserve"> </v>
      </c>
    </row>
    <row r="3172" spans="15:15">
      <c r="O3172" t="str">
        <f t="shared" si="90"/>
        <v xml:space="preserve"> </v>
      </c>
    </row>
    <row r="3173" spans="15:15">
      <c r="O3173" t="str">
        <f t="shared" si="90"/>
        <v xml:space="preserve"> </v>
      </c>
    </row>
    <row r="3174" spans="15:15">
      <c r="O3174" t="str">
        <f t="shared" si="90"/>
        <v xml:space="preserve"> </v>
      </c>
    </row>
    <row r="3175" spans="15:15">
      <c r="O3175" t="str">
        <f t="shared" si="90"/>
        <v xml:space="preserve"> </v>
      </c>
    </row>
    <row r="3176" spans="15:15">
      <c r="O3176" t="str">
        <f t="shared" si="90"/>
        <v xml:space="preserve"> </v>
      </c>
    </row>
    <row r="3177" spans="15:15">
      <c r="O3177" t="str">
        <f t="shared" si="90"/>
        <v xml:space="preserve"> </v>
      </c>
    </row>
    <row r="3178" spans="15:15">
      <c r="O3178" t="str">
        <f t="shared" si="90"/>
        <v xml:space="preserve"> </v>
      </c>
    </row>
    <row r="3179" spans="15:15">
      <c r="O3179" t="str">
        <f t="shared" si="90"/>
        <v xml:space="preserve"> </v>
      </c>
    </row>
    <row r="3180" spans="15:15">
      <c r="O3180" t="str">
        <f t="shared" si="90"/>
        <v xml:space="preserve"> </v>
      </c>
    </row>
    <row r="3181" spans="15:15">
      <c r="O3181" t="str">
        <f t="shared" si="90"/>
        <v xml:space="preserve"> </v>
      </c>
    </row>
    <row r="3182" spans="15:15">
      <c r="O3182" t="str">
        <f t="shared" si="90"/>
        <v xml:space="preserve"> </v>
      </c>
    </row>
    <row r="3183" spans="15:15">
      <c r="O3183" t="str">
        <f t="shared" si="90"/>
        <v xml:space="preserve"> </v>
      </c>
    </row>
    <row r="3184" spans="15:15">
      <c r="O3184" t="str">
        <f t="shared" si="90"/>
        <v xml:space="preserve"> </v>
      </c>
    </row>
    <row r="3185" spans="15:15">
      <c r="O3185" t="str">
        <f t="shared" si="90"/>
        <v xml:space="preserve"> </v>
      </c>
    </row>
    <row r="3186" spans="15:15">
      <c r="O3186" t="str">
        <f t="shared" ref="O3186:O3249" si="91">IF(C3186&lt;&gt;"",B3186&amp;"-"&amp;C3186&amp;" "&amp;F3186,B3186&amp;" "&amp;F3186)</f>
        <v xml:space="preserve"> </v>
      </c>
    </row>
    <row r="3187" spans="15:15">
      <c r="O3187" t="str">
        <f t="shared" si="91"/>
        <v xml:space="preserve"> </v>
      </c>
    </row>
    <row r="3188" spans="15:15">
      <c r="O3188" t="str">
        <f t="shared" si="91"/>
        <v xml:space="preserve"> </v>
      </c>
    </row>
    <row r="3189" spans="15:15">
      <c r="O3189" t="str">
        <f t="shared" si="91"/>
        <v xml:space="preserve"> </v>
      </c>
    </row>
    <row r="3190" spans="15:15">
      <c r="O3190" t="str">
        <f t="shared" si="91"/>
        <v xml:space="preserve"> </v>
      </c>
    </row>
    <row r="3191" spans="15:15">
      <c r="O3191" t="str">
        <f t="shared" si="91"/>
        <v xml:space="preserve"> </v>
      </c>
    </row>
    <row r="3192" spans="15:15">
      <c r="O3192" t="str">
        <f t="shared" si="91"/>
        <v xml:space="preserve"> </v>
      </c>
    </row>
    <row r="3193" spans="15:15">
      <c r="O3193" t="str">
        <f t="shared" si="91"/>
        <v xml:space="preserve"> </v>
      </c>
    </row>
    <row r="3194" spans="15:15">
      <c r="O3194" t="str">
        <f t="shared" si="91"/>
        <v xml:space="preserve"> </v>
      </c>
    </row>
    <row r="3195" spans="15:15">
      <c r="O3195" t="str">
        <f t="shared" si="91"/>
        <v xml:space="preserve"> </v>
      </c>
    </row>
    <row r="3196" spans="15:15">
      <c r="O3196" t="str">
        <f t="shared" si="91"/>
        <v xml:space="preserve"> </v>
      </c>
    </row>
    <row r="3197" spans="15:15">
      <c r="O3197" t="str">
        <f t="shared" si="91"/>
        <v xml:space="preserve"> </v>
      </c>
    </row>
    <row r="3198" spans="15:15">
      <c r="O3198" t="str">
        <f t="shared" si="91"/>
        <v xml:space="preserve"> </v>
      </c>
    </row>
    <row r="3199" spans="15:15">
      <c r="O3199" t="str">
        <f t="shared" si="91"/>
        <v xml:space="preserve"> </v>
      </c>
    </row>
    <row r="3200" spans="15:15">
      <c r="O3200" t="str">
        <f t="shared" si="91"/>
        <v xml:space="preserve"> </v>
      </c>
    </row>
    <row r="3201" spans="15:15">
      <c r="O3201" t="str">
        <f t="shared" si="91"/>
        <v xml:space="preserve"> </v>
      </c>
    </row>
    <row r="3202" spans="15:15">
      <c r="O3202" t="str">
        <f t="shared" si="91"/>
        <v xml:space="preserve"> </v>
      </c>
    </row>
    <row r="3203" spans="15:15">
      <c r="O3203" t="str">
        <f t="shared" si="91"/>
        <v xml:space="preserve"> </v>
      </c>
    </row>
    <row r="3204" spans="15:15">
      <c r="O3204" t="str">
        <f t="shared" si="91"/>
        <v xml:space="preserve"> </v>
      </c>
    </row>
    <row r="3205" spans="15:15">
      <c r="O3205" t="str">
        <f t="shared" si="91"/>
        <v xml:space="preserve"> </v>
      </c>
    </row>
    <row r="3206" spans="15:15">
      <c r="O3206" t="str">
        <f t="shared" si="91"/>
        <v xml:space="preserve"> </v>
      </c>
    </row>
    <row r="3207" spans="15:15">
      <c r="O3207" t="str">
        <f t="shared" si="91"/>
        <v xml:space="preserve"> </v>
      </c>
    </row>
    <row r="3208" spans="15:15">
      <c r="O3208" t="str">
        <f t="shared" si="91"/>
        <v xml:space="preserve"> </v>
      </c>
    </row>
    <row r="3209" spans="15:15">
      <c r="O3209" t="str">
        <f t="shared" si="91"/>
        <v xml:space="preserve"> </v>
      </c>
    </row>
    <row r="3210" spans="15:15">
      <c r="O3210" t="str">
        <f t="shared" si="91"/>
        <v xml:space="preserve"> </v>
      </c>
    </row>
    <row r="3211" spans="15:15">
      <c r="O3211" t="str">
        <f t="shared" si="91"/>
        <v xml:space="preserve"> </v>
      </c>
    </row>
    <row r="3212" spans="15:15">
      <c r="O3212" t="str">
        <f t="shared" si="91"/>
        <v xml:space="preserve"> </v>
      </c>
    </row>
    <row r="3213" spans="15:15">
      <c r="O3213" t="str">
        <f t="shared" si="91"/>
        <v xml:space="preserve"> </v>
      </c>
    </row>
    <row r="3214" spans="15:15">
      <c r="O3214" t="str">
        <f t="shared" si="91"/>
        <v xml:space="preserve"> </v>
      </c>
    </row>
    <row r="3215" spans="15:15">
      <c r="O3215" t="str">
        <f t="shared" si="91"/>
        <v xml:space="preserve"> </v>
      </c>
    </row>
    <row r="3216" spans="15:15">
      <c r="O3216" t="str">
        <f t="shared" si="91"/>
        <v xml:space="preserve"> </v>
      </c>
    </row>
    <row r="3217" spans="15:15">
      <c r="O3217" t="str">
        <f t="shared" si="91"/>
        <v xml:space="preserve"> </v>
      </c>
    </row>
    <row r="3218" spans="15:15">
      <c r="O3218" t="str">
        <f t="shared" si="91"/>
        <v xml:space="preserve"> </v>
      </c>
    </row>
    <row r="3219" spans="15:15">
      <c r="O3219" t="str">
        <f t="shared" si="91"/>
        <v xml:space="preserve"> </v>
      </c>
    </row>
    <row r="3220" spans="15:15">
      <c r="O3220" t="str">
        <f t="shared" si="91"/>
        <v xml:space="preserve"> </v>
      </c>
    </row>
    <row r="3221" spans="15:15">
      <c r="O3221" t="str">
        <f t="shared" si="91"/>
        <v xml:space="preserve"> </v>
      </c>
    </row>
    <row r="3222" spans="15:15">
      <c r="O3222" t="str">
        <f t="shared" si="91"/>
        <v xml:space="preserve"> </v>
      </c>
    </row>
    <row r="3223" spans="15:15">
      <c r="O3223" t="str">
        <f t="shared" si="91"/>
        <v xml:space="preserve"> </v>
      </c>
    </row>
    <row r="3224" spans="15:15">
      <c r="O3224" t="str">
        <f t="shared" si="91"/>
        <v xml:space="preserve"> </v>
      </c>
    </row>
    <row r="3225" spans="15:15">
      <c r="O3225" t="str">
        <f t="shared" si="91"/>
        <v xml:space="preserve"> </v>
      </c>
    </row>
    <row r="3226" spans="15:15">
      <c r="O3226" t="str">
        <f t="shared" si="91"/>
        <v xml:space="preserve"> </v>
      </c>
    </row>
    <row r="3227" spans="15:15">
      <c r="O3227" t="str">
        <f t="shared" si="91"/>
        <v xml:space="preserve"> </v>
      </c>
    </row>
    <row r="3228" spans="15:15">
      <c r="O3228" t="str">
        <f t="shared" si="91"/>
        <v xml:space="preserve"> </v>
      </c>
    </row>
    <row r="3229" spans="15:15">
      <c r="O3229" t="str">
        <f t="shared" si="91"/>
        <v xml:space="preserve"> </v>
      </c>
    </row>
    <row r="3230" spans="15:15">
      <c r="O3230" t="str">
        <f t="shared" si="91"/>
        <v xml:space="preserve"> </v>
      </c>
    </row>
    <row r="3231" spans="15:15">
      <c r="O3231" t="str">
        <f t="shared" si="91"/>
        <v xml:space="preserve"> </v>
      </c>
    </row>
    <row r="3232" spans="15:15">
      <c r="O3232" t="str">
        <f t="shared" si="91"/>
        <v xml:space="preserve"> </v>
      </c>
    </row>
    <row r="3233" spans="15:15">
      <c r="O3233" t="str">
        <f t="shared" si="91"/>
        <v xml:space="preserve"> </v>
      </c>
    </row>
    <row r="3234" spans="15:15">
      <c r="O3234" t="str">
        <f t="shared" si="91"/>
        <v xml:space="preserve"> </v>
      </c>
    </row>
    <row r="3235" spans="15:15">
      <c r="O3235" t="str">
        <f t="shared" si="91"/>
        <v xml:space="preserve"> </v>
      </c>
    </row>
    <row r="3236" spans="15:15">
      <c r="O3236" t="str">
        <f t="shared" si="91"/>
        <v xml:space="preserve"> </v>
      </c>
    </row>
    <row r="3237" spans="15:15">
      <c r="O3237" t="str">
        <f t="shared" si="91"/>
        <v xml:space="preserve"> </v>
      </c>
    </row>
    <row r="3238" spans="15:15">
      <c r="O3238" t="str">
        <f t="shared" si="91"/>
        <v xml:space="preserve"> </v>
      </c>
    </row>
    <row r="3239" spans="15:15">
      <c r="O3239" t="str">
        <f t="shared" si="91"/>
        <v xml:space="preserve"> </v>
      </c>
    </row>
    <row r="3240" spans="15:15">
      <c r="O3240" t="str">
        <f t="shared" si="91"/>
        <v xml:space="preserve"> </v>
      </c>
    </row>
    <row r="3241" spans="15:15">
      <c r="O3241" t="str">
        <f t="shared" si="91"/>
        <v xml:space="preserve"> </v>
      </c>
    </row>
    <row r="3242" spans="15:15">
      <c r="O3242" t="str">
        <f t="shared" si="91"/>
        <v xml:space="preserve"> </v>
      </c>
    </row>
    <row r="3243" spans="15:15">
      <c r="O3243" t="str">
        <f t="shared" si="91"/>
        <v xml:space="preserve"> </v>
      </c>
    </row>
    <row r="3244" spans="15:15">
      <c r="O3244" t="str">
        <f t="shared" si="91"/>
        <v xml:space="preserve"> </v>
      </c>
    </row>
    <row r="3245" spans="15:15">
      <c r="O3245" t="str">
        <f t="shared" si="91"/>
        <v xml:space="preserve"> </v>
      </c>
    </row>
    <row r="3246" spans="15:15">
      <c r="O3246" t="str">
        <f t="shared" si="91"/>
        <v xml:space="preserve"> </v>
      </c>
    </row>
    <row r="3247" spans="15:15">
      <c r="O3247" t="str">
        <f t="shared" si="91"/>
        <v xml:space="preserve"> </v>
      </c>
    </row>
    <row r="3248" spans="15:15">
      <c r="O3248" t="str">
        <f t="shared" si="91"/>
        <v xml:space="preserve"> </v>
      </c>
    </row>
    <row r="3249" spans="15:15">
      <c r="O3249" t="str">
        <f t="shared" si="91"/>
        <v xml:space="preserve"> </v>
      </c>
    </row>
    <row r="3250" spans="15:15">
      <c r="O3250" t="str">
        <f t="shared" ref="O3250:O3256" si="92">IF(C3250&lt;&gt;"",B3250&amp;"-"&amp;C3250&amp;" "&amp;F3250,B3250&amp;" "&amp;F3250)</f>
        <v xml:space="preserve"> </v>
      </c>
    </row>
    <row r="3251" spans="15:15">
      <c r="O3251" t="str">
        <f t="shared" si="92"/>
        <v xml:space="preserve"> </v>
      </c>
    </row>
    <row r="3252" spans="15:15">
      <c r="O3252" t="str">
        <f t="shared" si="92"/>
        <v xml:space="preserve"> </v>
      </c>
    </row>
    <row r="3253" spans="15:15">
      <c r="O3253" t="str">
        <f t="shared" si="92"/>
        <v xml:space="preserve"> </v>
      </c>
    </row>
    <row r="3254" spans="15:15">
      <c r="O3254" t="str">
        <f t="shared" si="92"/>
        <v xml:space="preserve"> </v>
      </c>
    </row>
    <row r="3255" spans="15:15">
      <c r="O3255" t="str">
        <f t="shared" si="92"/>
        <v xml:space="preserve"> </v>
      </c>
    </row>
    <row r="3256" spans="15:15">
      <c r="O3256" t="str">
        <f t="shared" si="92"/>
        <v xml:space="preserve"> </v>
      </c>
    </row>
  </sheetData>
  <sortState xmlns:xlrd2="http://schemas.microsoft.com/office/spreadsheetml/2017/richdata2" ref="A2:V3256">
    <sortCondition ref="A2:A3256"/>
    <sortCondition ref="B2:B3256"/>
    <sortCondition ref="E2:E3256"/>
  </sortState>
  <phoneticPr fontId="19" type="noConversion"/>
  <conditionalFormatting sqref="E1952:E1048576 E1822:E1945 E1:E1820">
    <cfRule type="duplicateValues" dxfId="65" priority="4"/>
  </conditionalFormatting>
  <pageMargins left="0.7" right="0.7" top="0.75" bottom="0.75" header="0.3" footer="0.3"/>
  <pageSetup scale="4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23" r:id="rId4" name="Button 7">
              <controlPr defaultSize="0" print="0" autoFill="0" autoPict="0" macro="[0]!SecNum">
                <anchor moveWithCells="1" sizeWithCells="1">
                  <from>
                    <xdr:col>0</xdr:col>
                    <xdr:colOff>0</xdr:colOff>
                    <xdr:row>0</xdr:row>
                    <xdr:rowOff>28575</xdr:rowOff>
                  </from>
                  <to>
                    <xdr:col>1</xdr:col>
                    <xdr:colOff>38100</xdr:colOff>
                    <xdr:row>0</xdr:row>
                    <xdr:rowOff>247650</xdr:rowOff>
                  </to>
                </anchor>
              </controlPr>
            </control>
          </mc:Choice>
        </mc:AlternateContent>
        <mc:AlternateContent xmlns:mc="http://schemas.openxmlformats.org/markup-compatibility/2006">
          <mc:Choice Requires="x14">
            <control shapeId="9225" r:id="rId5" name="Button 9">
              <controlPr defaultSize="0" print="0" autoFill="0" autoPict="0" macro="[0]!AddRecord">
                <anchor moveWithCells="1" sizeWithCells="1">
                  <from>
                    <xdr:col>5</xdr:col>
                    <xdr:colOff>876300</xdr:colOff>
                    <xdr:row>0</xdr:row>
                    <xdr:rowOff>47625</xdr:rowOff>
                  </from>
                  <to>
                    <xdr:col>5</xdr:col>
                    <xdr:colOff>1657350</xdr:colOff>
                    <xdr:row>0</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A87C5-475B-4137-8CAB-6801C053FF89}">
  <sheetPr codeName="Sheet3">
    <tabColor theme="9" tint="0.79998168889431442"/>
  </sheetPr>
  <dimension ref="A1:BU1184"/>
  <sheetViews>
    <sheetView workbookViewId="0">
      <selection activeCell="BB1" sqref="BB1"/>
    </sheetView>
  </sheetViews>
  <sheetFormatPr defaultRowHeight="12.75"/>
  <cols>
    <col min="1" max="1" width="20.5703125" bestFit="1" customWidth="1"/>
    <col min="2" max="2" width="5" style="218" bestFit="1" customWidth="1"/>
    <col min="3" max="3" width="9.42578125" style="219" bestFit="1" customWidth="1"/>
    <col min="4" max="4" width="18.42578125" bestFit="1" customWidth="1"/>
    <col min="5" max="5" width="28.85546875" bestFit="1" customWidth="1"/>
    <col min="6" max="6" width="16.85546875" style="219" bestFit="1" customWidth="1"/>
    <col min="7" max="7" width="8.7109375" style="169" bestFit="1" customWidth="1"/>
    <col min="8" max="8" width="14.85546875" style="226" customWidth="1"/>
    <col min="9" max="9" width="3.5703125" style="136" bestFit="1" customWidth="1"/>
    <col min="10" max="10" width="23.5703125" style="219" customWidth="1"/>
    <col min="11" max="11" width="12.42578125" style="219" bestFit="1" customWidth="1"/>
    <col min="12" max="12" width="12.42578125" style="219" customWidth="1"/>
    <col min="13" max="13" width="6.7109375" customWidth="1"/>
    <col min="14" max="14" width="14.7109375" customWidth="1"/>
    <col min="15" max="15" width="10.85546875" style="218" customWidth="1"/>
    <col min="16" max="16" width="9.42578125" style="136" bestFit="1" customWidth="1"/>
    <col min="17" max="17" width="20" customWidth="1"/>
    <col min="18" max="18" width="31" bestFit="1" customWidth="1"/>
    <col min="19" max="19" width="15.140625" bestFit="1" customWidth="1"/>
    <col min="20" max="20" width="7.7109375" style="226" bestFit="1" customWidth="1"/>
    <col min="21" max="21" width="9.28515625" style="226" customWidth="1"/>
    <col min="22" max="22" width="5.140625" style="136" bestFit="1" customWidth="1"/>
    <col min="23" max="23" width="20.28515625" style="219" bestFit="1" customWidth="1"/>
    <col min="24" max="24" width="20.140625" style="218" bestFit="1" customWidth="1"/>
    <col min="25" max="25" width="9.28515625" style="218" bestFit="1" customWidth="1"/>
    <col min="26" max="26" width="5.28515625" customWidth="1"/>
    <col min="27" max="27" width="27" style="136" bestFit="1" customWidth="1"/>
    <col min="28" max="28" width="9.140625" style="218"/>
    <col min="29" max="29" width="6.140625" bestFit="1" customWidth="1"/>
    <col min="30" max="30" width="18" bestFit="1" customWidth="1"/>
    <col min="31" max="31" width="28" bestFit="1" customWidth="1"/>
    <col min="32" max="32" width="21.85546875" style="228" bestFit="1" customWidth="1"/>
    <col min="33" max="34" width="9.140625" style="226"/>
    <col min="35" max="35" width="9.140625" style="136"/>
    <col min="36" max="36" width="25.7109375" style="219" customWidth="1"/>
    <col min="37" max="37" width="12.42578125" style="218" bestFit="1" customWidth="1"/>
    <col min="38" max="38" width="12.42578125" style="218" customWidth="1"/>
    <col min="40" max="40" width="29.28515625" bestFit="1" customWidth="1"/>
    <col min="41" max="41" width="9.140625" style="218"/>
    <col min="44" max="44" width="36.7109375" bestFit="1" customWidth="1"/>
    <col min="45" max="45" width="22" style="228" bestFit="1" customWidth="1"/>
    <col min="46" max="47" width="9.140625" style="225"/>
    <col min="48" max="48" width="9.140625" style="136"/>
    <col min="49" max="49" width="24.85546875" style="219" bestFit="1" customWidth="1"/>
    <col min="50" max="50" width="11.85546875" style="218" bestFit="1" customWidth="1"/>
    <col min="51" max="51" width="9.140625" style="136"/>
    <col min="53" max="53" width="19.7109375" bestFit="1" customWidth="1"/>
    <col min="54" max="54" width="20.7109375" style="218" customWidth="1"/>
    <col min="55" max="55" width="9.42578125" bestFit="1" customWidth="1"/>
    <col min="56" max="56" width="16.28515625" bestFit="1" customWidth="1"/>
    <col min="57" max="57" width="19.5703125" bestFit="1" customWidth="1"/>
    <col min="58" max="58" width="16.85546875" bestFit="1" customWidth="1"/>
    <col min="59" max="60" width="9.140625" style="225"/>
    <col min="61" max="61" width="5.140625" style="136" bestFit="1" customWidth="1"/>
    <col min="62" max="62" width="24.85546875" style="219" bestFit="1" customWidth="1"/>
    <col min="63" max="63" width="11.85546875" style="218" bestFit="1" customWidth="1"/>
    <col min="64" max="64" width="9.140625" style="136"/>
    <col min="65" max="65" width="18.42578125" bestFit="1" customWidth="1"/>
    <col min="66" max="66" width="2.85546875" customWidth="1"/>
  </cols>
  <sheetData>
    <row r="1" spans="1:73">
      <c r="A1" s="193" t="s">
        <v>2120</v>
      </c>
      <c r="B1" s="220">
        <v>1976</v>
      </c>
      <c r="D1" s="34"/>
      <c r="E1" s="34"/>
      <c r="F1" s="223"/>
      <c r="G1" s="167"/>
      <c r="I1" s="35"/>
      <c r="N1" s="193" t="s">
        <v>1995</v>
      </c>
      <c r="O1" s="220"/>
      <c r="AA1" s="323" t="s">
        <v>2118</v>
      </c>
      <c r="AB1" s="218">
        <v>20</v>
      </c>
      <c r="AC1" s="324" t="s">
        <v>4628</v>
      </c>
      <c r="AN1" s="193" t="s">
        <v>2119</v>
      </c>
      <c r="AO1" s="225">
        <v>25</v>
      </c>
      <c r="BA1" s="193" t="s">
        <v>4629</v>
      </c>
      <c r="BB1" t="s">
        <v>3753</v>
      </c>
    </row>
    <row r="2" spans="1:73">
      <c r="A2" s="34"/>
      <c r="B2" s="221"/>
      <c r="D2" s="34"/>
      <c r="E2" s="34"/>
      <c r="F2" s="224"/>
      <c r="G2" s="167"/>
      <c r="I2" s="35"/>
      <c r="N2" s="193" t="s">
        <v>2092</v>
      </c>
      <c r="O2" s="218">
        <v>2025</v>
      </c>
      <c r="Q2" t="s">
        <v>4634</v>
      </c>
    </row>
    <row r="3" spans="1:73">
      <c r="A3" s="34"/>
      <c r="B3" s="221"/>
      <c r="D3" s="34"/>
      <c r="E3" s="34"/>
      <c r="F3" s="224"/>
      <c r="G3" s="167"/>
      <c r="I3" s="35"/>
      <c r="N3" s="206"/>
    </row>
    <row r="4" spans="1:73">
      <c r="A4" s="63" t="s">
        <v>0</v>
      </c>
      <c r="B4" s="222" t="s">
        <v>1</v>
      </c>
      <c r="C4" s="64" t="s">
        <v>1960</v>
      </c>
      <c r="D4" s="64" t="s">
        <v>2</v>
      </c>
      <c r="E4" s="64" t="s">
        <v>286</v>
      </c>
      <c r="F4" s="222" t="s">
        <v>5</v>
      </c>
      <c r="G4" s="65" t="s">
        <v>287</v>
      </c>
      <c r="H4" s="222" t="s">
        <v>7</v>
      </c>
      <c r="I4" s="168" t="s">
        <v>8</v>
      </c>
      <c r="J4" s="168" t="s">
        <v>1825</v>
      </c>
      <c r="K4" s="168" t="s">
        <v>1826</v>
      </c>
      <c r="L4" s="326" t="s">
        <v>4633</v>
      </c>
      <c r="M4" s="205"/>
      <c r="N4" s="194" t="s">
        <v>0</v>
      </c>
      <c r="O4" s="227" t="s">
        <v>1</v>
      </c>
      <c r="P4" s="194" t="s">
        <v>1960</v>
      </c>
      <c r="Q4" s="194" t="s">
        <v>2</v>
      </c>
      <c r="R4" s="194" t="s">
        <v>286</v>
      </c>
      <c r="S4" s="194" t="s">
        <v>5</v>
      </c>
      <c r="T4" s="194" t="s">
        <v>287</v>
      </c>
      <c r="U4" s="194" t="s">
        <v>7</v>
      </c>
      <c r="V4" s="195" t="s">
        <v>8</v>
      </c>
      <c r="W4" s="195" t="s">
        <v>1825</v>
      </c>
      <c r="X4" s="195" t="s">
        <v>1826</v>
      </c>
      <c r="Y4" s="325" t="s">
        <v>4633</v>
      </c>
      <c r="AA4" s="194" t="str" cm="1">
        <f t="array" ref="AA4:AK53">_xlfn._xlws.FILTER(CoinCollection!B:L,CoinCollection!J:J&gt;=AB1,"Not Found")</f>
        <v>Date</v>
      </c>
      <c r="AB4" s="227" t="str">
        <v>Mint</v>
      </c>
      <c r="AC4" s="194" t="str">
        <v>Type</v>
      </c>
      <c r="AD4" s="194" t="str">
        <v>Serial</v>
      </c>
      <c r="AE4" s="194" t="str">
        <v>DESC</v>
      </c>
      <c r="AF4" s="194" t="str">
        <v>Condition</v>
      </c>
      <c r="AG4" s="194" t="str">
        <v>Paid</v>
      </c>
      <c r="AH4" s="194" t="str">
        <v>Book</v>
      </c>
      <c r="AI4" s="195" t="str">
        <v>Qty</v>
      </c>
      <c r="AJ4" s="195" t="str">
        <v>Comment1</v>
      </c>
      <c r="AK4" s="195" t="str">
        <v>Comment2</v>
      </c>
      <c r="AL4" s="325" t="s">
        <v>4633</v>
      </c>
      <c r="AN4" s="195" t="str" cm="1">
        <f t="array" ref="AN4:AX77">_xlfn._xlws.FILTER(CoinCollection!B:L,CoinCollection!I:I&gt;=AO1,"Not Found")</f>
        <v>Date</v>
      </c>
      <c r="AO4" s="195" t="str">
        <v>Mint</v>
      </c>
      <c r="AP4" s="195" t="str">
        <v>Type</v>
      </c>
      <c r="AQ4" s="195" t="str">
        <v>Serial</v>
      </c>
      <c r="AR4" s="195" t="str">
        <v>DESC</v>
      </c>
      <c r="AS4" s="227" t="str">
        <v>Condition</v>
      </c>
      <c r="AT4" s="195" t="str">
        <v>Paid</v>
      </c>
      <c r="AU4" s="195" t="str">
        <v>Book</v>
      </c>
      <c r="AV4" s="195" t="str">
        <v>Qty</v>
      </c>
      <c r="AW4" s="195" t="str">
        <v>Comment1</v>
      </c>
      <c r="AX4" s="195" t="str">
        <v>Comment2</v>
      </c>
      <c r="AY4" s="195" t="s">
        <v>4633</v>
      </c>
      <c r="BA4" s="195" t="s">
        <v>0</v>
      </c>
      <c r="BB4" s="195" t="s">
        <v>1</v>
      </c>
      <c r="BC4" s="195" t="s">
        <v>1960</v>
      </c>
      <c r="BD4" s="195" t="s">
        <v>2</v>
      </c>
      <c r="BE4" s="195" t="s">
        <v>4</v>
      </c>
      <c r="BF4" s="227" t="s">
        <v>5</v>
      </c>
      <c r="BG4" s="195" t="s">
        <v>6</v>
      </c>
      <c r="BH4" s="195" t="s">
        <v>7</v>
      </c>
      <c r="BI4" s="195" t="s">
        <v>8</v>
      </c>
      <c r="BJ4" s="195" t="s">
        <v>1825</v>
      </c>
      <c r="BK4" s="195" t="s">
        <v>1964</v>
      </c>
      <c r="BL4" s="325" t="s">
        <v>1384</v>
      </c>
      <c r="BM4" s="325" t="s">
        <v>4630</v>
      </c>
      <c r="BO4" s="325" t="s">
        <v>4632</v>
      </c>
      <c r="BU4" t="str" cm="1">
        <f t="array" ref="BU4:BU55">_xlfn.UNIQUE(CoinCollection!F2:F2361)</f>
        <v>Indian Head Penny</v>
      </c>
    </row>
    <row r="5" spans="1:73">
      <c r="A5" cm="1">
        <f t="array" ref="A5:K52">_xlfn._xlws.FILTER(CoinCollection!B:L,CoinCollection!B:B=B1,"Not Found")</f>
        <v>1976</v>
      </c>
      <c r="B5" s="218">
        <v>0</v>
      </c>
      <c r="C5" s="219" t="str">
        <v>Penny</v>
      </c>
      <c r="D5" t="str">
        <v>MEM1976CNT-AA</v>
      </c>
      <c r="E5" t="str">
        <v>Memorial Penny</v>
      </c>
      <c r="F5" s="219">
        <v>0</v>
      </c>
      <c r="G5" s="169">
        <v>0.01</v>
      </c>
      <c r="H5" s="226">
        <v>0</v>
      </c>
      <c r="I5" s="136">
        <v>1</v>
      </c>
      <c r="J5" s="219">
        <v>0</v>
      </c>
      <c r="K5" s="219">
        <v>0</v>
      </c>
      <c r="L5" s="219" t="str">
        <f>IF(A5&lt;&gt;"","A"&amp;MATCH(D5,CoinCollection!E:E,),"")</f>
        <v>A648</v>
      </c>
      <c r="N5" s="136" t="str" cm="1">
        <f t="array" ref="N5">IF(O2&lt;&gt;"",_xlfn._xlws.FILTER(CoinCollection!B:L,(CoinCollection!D:D=O1)*(CoinCollection!B:B=O2),"Not Found"),_xlfn._xlws.FILTER(CoinCollection!B:L,(CoinCollection!D:D=O1)))</f>
        <v>Not Found</v>
      </c>
      <c r="X5" s="219"/>
      <c r="Y5" s="218" t="str">
        <f>IF(Q5&lt;&gt;"","A"&amp;MATCH(Q5,CoinCollection!E:E,),"")</f>
        <v/>
      </c>
      <c r="AA5" s="136">
        <v>2004</v>
      </c>
      <c r="AB5" s="218">
        <v>0</v>
      </c>
      <c r="AC5" t="str">
        <v>Nickel</v>
      </c>
      <c r="AD5" t="str">
        <v>JEF2004NIC-AA</v>
      </c>
      <c r="AE5" t="str">
        <v>Jefferson Nickel</v>
      </c>
      <c r="AF5" s="228" t="str">
        <v>About Uncirculated</v>
      </c>
      <c r="AG5" s="226">
        <v>2</v>
      </c>
      <c r="AH5" s="226">
        <v>9.6</v>
      </c>
      <c r="AI5" s="136">
        <v>40</v>
      </c>
      <c r="AJ5" s="219" t="str">
        <v>Keel Boat- Roll</v>
      </c>
      <c r="AK5" s="218">
        <v>0</v>
      </c>
      <c r="AL5" s="218" t="str">
        <f>IF(AA5&lt;&gt;"","A"&amp;MATCH(AD5,CoinCollection!E:E,),"")</f>
        <v>A1555</v>
      </c>
      <c r="AN5">
        <v>1910</v>
      </c>
      <c r="AO5" s="218" t="str">
        <v>S</v>
      </c>
      <c r="AP5" t="str">
        <v>Penny</v>
      </c>
      <c r="AQ5" t="str">
        <v>WHT1910CNT-AB</v>
      </c>
      <c r="AR5" t="str">
        <v>Wheat Penny</v>
      </c>
      <c r="AS5" s="228" t="str">
        <v>Extremely Fine</v>
      </c>
      <c r="AT5" s="225">
        <v>22</v>
      </c>
      <c r="AU5" s="225">
        <v>25</v>
      </c>
      <c r="AV5" s="136">
        <v>1</v>
      </c>
      <c r="AW5" s="219">
        <v>0</v>
      </c>
      <c r="AX5" s="218">
        <v>0</v>
      </c>
      <c r="AY5" s="136" t="str">
        <f>IF(AN5&lt;&gt;"","A"&amp;MATCH(AQ5,CoinCollection!E:E,),"")</f>
        <v>A45</v>
      </c>
      <c r="BA5" cm="1">
        <f t="array" ref="BA5:BK394">_xlfn._xlws.FILTER(CoinCollection!B:L,CoinCollection!F:F=BB1,"Not Found")</f>
        <v>1909</v>
      </c>
      <c r="BB5" s="218" t="str">
        <v>VDB</v>
      </c>
      <c r="BC5" t="str">
        <v>Penny</v>
      </c>
      <c r="BD5" t="str">
        <v>WHT1909CNT-AA</v>
      </c>
      <c r="BE5" t="str">
        <v>Wheat Penny</v>
      </c>
      <c r="BF5" t="str">
        <v>Extremely Fine</v>
      </c>
      <c r="BG5" s="225">
        <v>2.65</v>
      </c>
      <c r="BH5" s="225">
        <v>2.65</v>
      </c>
      <c r="BI5" s="136">
        <v>1</v>
      </c>
      <c r="BJ5" s="219">
        <v>0</v>
      </c>
      <c r="BK5" s="218">
        <v>0</v>
      </c>
      <c r="BL5" s="136" t="str">
        <f>IF(BA5&lt;&gt;"","A"&amp;MATCH(BD5,CoinCollection!E:E,),"")</f>
        <v>A40</v>
      </c>
      <c r="BM5" t="s">
        <v>2594</v>
      </c>
      <c r="BO5" t="s">
        <v>3753</v>
      </c>
      <c r="BU5" t="str">
        <v>Wheat Penny</v>
      </c>
    </row>
    <row r="6" spans="1:73">
      <c r="A6">
        <v>1976</v>
      </c>
      <c r="B6" s="218">
        <v>0</v>
      </c>
      <c r="C6" s="219" t="str">
        <v>Penny</v>
      </c>
      <c r="D6" t="str">
        <v>MEM1976CNT-AB</v>
      </c>
      <c r="E6" t="str">
        <v>Memorial Penny</v>
      </c>
      <c r="F6" s="219">
        <v>0</v>
      </c>
      <c r="G6" s="169">
        <v>0.01</v>
      </c>
      <c r="H6" s="226">
        <v>0</v>
      </c>
      <c r="I6" s="136">
        <v>1</v>
      </c>
      <c r="J6" s="219">
        <v>0</v>
      </c>
      <c r="K6" s="219">
        <v>0</v>
      </c>
      <c r="L6" s="219" t="str">
        <f>IF(A6&lt;&gt;"","A"&amp;MATCH(D6,CoinCollection!E:E,),"")</f>
        <v>A649</v>
      </c>
      <c r="N6" s="136"/>
      <c r="X6" s="219"/>
      <c r="Y6" s="218" t="str">
        <f>IF(Q6&lt;&gt;"","A"&amp;MATCH(Q6,CoinCollection!E:E,),"")</f>
        <v/>
      </c>
      <c r="AA6" s="136">
        <v>1930</v>
      </c>
      <c r="AB6" s="218">
        <v>0</v>
      </c>
      <c r="AC6" t="str">
        <v>Penny</v>
      </c>
      <c r="AD6" t="str">
        <v>Tube1930CNT--AI</v>
      </c>
      <c r="AE6" t="str">
        <v>Assorted 1930's Wheat Pennies Tube</v>
      </c>
      <c r="AF6" s="228" t="str">
        <v>About Uncirculated</v>
      </c>
      <c r="AG6" s="226">
        <v>0</v>
      </c>
      <c r="AH6" s="226">
        <v>0</v>
      </c>
      <c r="AI6" s="136">
        <v>45</v>
      </c>
      <c r="AJ6" s="219" t="str">
        <v>All Series Wheat pennies</v>
      </c>
      <c r="AK6" s="218">
        <v>0</v>
      </c>
      <c r="AL6" s="218" t="str">
        <f>IF(AA6&lt;&gt;"","A"&amp;MATCH(AD6,CoinCollection!E:E,),"")</f>
        <v>A2385</v>
      </c>
      <c r="AN6">
        <v>1911</v>
      </c>
      <c r="AO6" s="218" t="str">
        <v>S</v>
      </c>
      <c r="AP6" t="str">
        <v>Penny</v>
      </c>
      <c r="AQ6" t="str">
        <v>WHT1911CNT-AD</v>
      </c>
      <c r="AR6" t="str">
        <v>Wheat Penny</v>
      </c>
      <c r="AS6" s="228" t="str">
        <v>Extremely Fine</v>
      </c>
      <c r="AT6" s="225">
        <v>32</v>
      </c>
      <c r="AU6" s="225">
        <v>50</v>
      </c>
      <c r="AV6" s="136">
        <v>1</v>
      </c>
      <c r="AW6" s="219">
        <v>0</v>
      </c>
      <c r="AX6" s="218">
        <v>0</v>
      </c>
      <c r="AY6" s="136" t="str">
        <f>IF(AN6&lt;&gt;"","A"&amp;MATCH(AQ6,CoinCollection!E:E,),"")</f>
        <v>A49</v>
      </c>
      <c r="BA6">
        <v>1909</v>
      </c>
      <c r="BB6" s="218">
        <v>0</v>
      </c>
      <c r="BC6" t="str">
        <v>Penny</v>
      </c>
      <c r="BD6" t="str">
        <v>WHT1909CNT-AB</v>
      </c>
      <c r="BE6" t="str">
        <v>Wheat Penny</v>
      </c>
      <c r="BF6" t="str">
        <v>Extremely Fine</v>
      </c>
      <c r="BG6" s="225">
        <v>1</v>
      </c>
      <c r="BH6" s="225">
        <v>12</v>
      </c>
      <c r="BI6" s="136">
        <v>1</v>
      </c>
      <c r="BJ6" s="219">
        <v>0</v>
      </c>
      <c r="BK6" s="218">
        <v>0</v>
      </c>
      <c r="BL6" s="136" t="str">
        <f>IF(BA6&lt;&gt;"","A"&amp;MATCH(BD6,CoinCollection!E:E,),"")</f>
        <v>A41</v>
      </c>
      <c r="BM6" t="s">
        <v>3753</v>
      </c>
      <c r="BO6" t="s">
        <v>3752</v>
      </c>
      <c r="BU6" t="str">
        <v>Steel Penny</v>
      </c>
    </row>
    <row r="7" spans="1:73">
      <c r="A7">
        <v>1976</v>
      </c>
      <c r="B7" s="218">
        <v>0</v>
      </c>
      <c r="C7" s="219" t="str">
        <v>Penny</v>
      </c>
      <c r="D7" t="str">
        <v>MEM1976CNT-AC</v>
      </c>
      <c r="E7" t="str">
        <v>Memorial Penny</v>
      </c>
      <c r="F7" s="219">
        <v>0</v>
      </c>
      <c r="G7" s="169">
        <v>0.01</v>
      </c>
      <c r="H7" s="226">
        <v>0</v>
      </c>
      <c r="I7" s="136">
        <v>1</v>
      </c>
      <c r="J7" s="219">
        <v>0</v>
      </c>
      <c r="K7" s="219">
        <v>0</v>
      </c>
      <c r="L7" s="219" t="str">
        <f>IF(A7&lt;&gt;"","A"&amp;MATCH(D7,CoinCollection!E:E,),"")</f>
        <v>A650</v>
      </c>
      <c r="N7" s="136"/>
      <c r="X7" s="219"/>
      <c r="Y7" s="218" t="str">
        <f>IF(Q7&lt;&gt;"","A"&amp;MATCH(Q7,CoinCollection!E:E,),"")</f>
        <v/>
      </c>
      <c r="AA7" s="136">
        <v>1950</v>
      </c>
      <c r="AB7" s="218">
        <v>0</v>
      </c>
      <c r="AC7" t="str">
        <v>Penny</v>
      </c>
      <c r="AD7" t="str">
        <v>Tube1950CNT-AP</v>
      </c>
      <c r="AE7" t="str">
        <v>Assorted 1950's Wheat Pennies Tube</v>
      </c>
      <c r="AF7" s="228" t="str">
        <v>About Uncirculated</v>
      </c>
      <c r="AG7" s="226">
        <v>0</v>
      </c>
      <c r="AH7" s="226">
        <v>0.5</v>
      </c>
      <c r="AI7" s="136">
        <v>50</v>
      </c>
      <c r="AJ7" s="219" t="str">
        <v>All Series Wheat pennies</v>
      </c>
      <c r="AK7" s="218">
        <v>0</v>
      </c>
      <c r="AL7" s="218" t="str">
        <f>IF(AA7&lt;&gt;"","A"&amp;MATCH(AD7,CoinCollection!E:E,),"")</f>
        <v>A2386</v>
      </c>
      <c r="AN7">
        <v>1914</v>
      </c>
      <c r="AO7" s="218" t="str">
        <v>S</v>
      </c>
      <c r="AP7" t="str">
        <v>Penny</v>
      </c>
      <c r="AQ7" t="str">
        <v>WHT1914CNT-AC</v>
      </c>
      <c r="AR7" t="str">
        <v>Wheat Penny</v>
      </c>
      <c r="AS7" s="228" t="str">
        <v>Extremely Fine</v>
      </c>
      <c r="AT7" s="225">
        <v>23</v>
      </c>
      <c r="AU7" s="225">
        <v>46</v>
      </c>
      <c r="AV7" s="136">
        <v>1</v>
      </c>
      <c r="AW7" s="219">
        <v>0</v>
      </c>
      <c r="AX7" s="218">
        <v>0</v>
      </c>
      <c r="AY7" s="136" t="str">
        <f>IF(AN7&lt;&gt;"","A"&amp;MATCH(AQ7,CoinCollection!E:E,),"")</f>
        <v>A58</v>
      </c>
      <c r="BA7">
        <v>1909</v>
      </c>
      <c r="BB7" s="218">
        <v>0</v>
      </c>
      <c r="BC7" t="str">
        <v>Penny</v>
      </c>
      <c r="BD7" t="str">
        <v>WHT1909CNT-AC</v>
      </c>
      <c r="BE7" t="str">
        <v>Wheat Penny</v>
      </c>
      <c r="BF7" t="str">
        <v>Extremely Fine</v>
      </c>
      <c r="BG7" s="225">
        <v>1</v>
      </c>
      <c r="BH7" s="225">
        <v>12</v>
      </c>
      <c r="BI7" s="136">
        <v>1</v>
      </c>
      <c r="BJ7" s="219">
        <v>0</v>
      </c>
      <c r="BK7" s="218">
        <v>0</v>
      </c>
      <c r="BL7" s="136" t="str">
        <f>IF(BA7&lt;&gt;"","A"&amp;MATCH(BD7,CoinCollection!E:E,),"")</f>
        <v>A42</v>
      </c>
      <c r="BM7" t="s">
        <v>2610</v>
      </c>
      <c r="BO7" t="s">
        <v>3750</v>
      </c>
      <c r="BU7" t="str">
        <v>Memorial Penny</v>
      </c>
    </row>
    <row r="8" spans="1:73">
      <c r="A8">
        <v>1976</v>
      </c>
      <c r="B8" s="218">
        <v>0</v>
      </c>
      <c r="C8" s="219" t="str">
        <v>Penny</v>
      </c>
      <c r="D8" t="str">
        <v>MEM1976CNT-AD</v>
      </c>
      <c r="E8" t="str">
        <v>Memorial Penny</v>
      </c>
      <c r="F8" s="219">
        <v>0</v>
      </c>
      <c r="G8" s="169">
        <v>0.01</v>
      </c>
      <c r="H8" s="226">
        <v>0</v>
      </c>
      <c r="I8" s="136">
        <v>1</v>
      </c>
      <c r="J8" s="219">
        <v>0</v>
      </c>
      <c r="K8" s="219">
        <v>0</v>
      </c>
      <c r="L8" s="219" t="str">
        <f>IF(A8&lt;&gt;"","A"&amp;MATCH(D8,CoinCollection!E:E,),"")</f>
        <v>A651</v>
      </c>
      <c r="N8" s="136"/>
      <c r="X8" s="219"/>
      <c r="Y8" s="218" t="str">
        <f>IF(Q8&lt;&gt;"","A"&amp;MATCH(Q8,CoinCollection!E:E,),"")</f>
        <v/>
      </c>
      <c r="AA8" s="136">
        <v>1950</v>
      </c>
      <c r="AB8" s="218">
        <v>0</v>
      </c>
      <c r="AC8" t="str">
        <v>Penny</v>
      </c>
      <c r="AD8" t="str">
        <v>Tube1950CNT-AQ</v>
      </c>
      <c r="AE8" t="str">
        <v>Assorted 1950's Wheat Pennies Tube</v>
      </c>
      <c r="AF8" s="228" t="str">
        <v>About Uncirculated</v>
      </c>
      <c r="AG8" s="226">
        <v>0</v>
      </c>
      <c r="AH8" s="226">
        <v>0.5</v>
      </c>
      <c r="AI8" s="136">
        <v>50</v>
      </c>
      <c r="AJ8" s="219" t="str">
        <v>All Series Wheat pennies</v>
      </c>
      <c r="AK8" s="218">
        <v>0</v>
      </c>
      <c r="AL8" s="218" t="str">
        <f>IF(AA8&lt;&gt;"","A"&amp;MATCH(AD8,CoinCollection!E:E,),"")</f>
        <v>A2387</v>
      </c>
      <c r="AN8">
        <v>1915</v>
      </c>
      <c r="AO8" s="218" t="str">
        <v>S</v>
      </c>
      <c r="AP8" t="str">
        <v>Penny</v>
      </c>
      <c r="AQ8" t="str">
        <v>WHT1915CNT-AB</v>
      </c>
      <c r="AR8" t="str">
        <v>Wheat Penny</v>
      </c>
      <c r="AS8" s="228" t="str">
        <v>Extremely Fine</v>
      </c>
      <c r="AT8" s="225">
        <v>14</v>
      </c>
      <c r="AU8" s="225">
        <v>35</v>
      </c>
      <c r="AV8" s="136">
        <v>1</v>
      </c>
      <c r="AW8" s="219">
        <v>0</v>
      </c>
      <c r="AX8" s="218">
        <v>0</v>
      </c>
      <c r="AY8" s="136" t="str">
        <f>IF(AN8&lt;&gt;"","A"&amp;MATCH(AQ8,CoinCollection!E:E,),"")</f>
        <v>A60</v>
      </c>
      <c r="BA8">
        <v>1909</v>
      </c>
      <c r="BB8" s="218">
        <v>0</v>
      </c>
      <c r="BC8" t="str">
        <v>Penny</v>
      </c>
      <c r="BD8" t="str">
        <v>WHT1909CNT-AD</v>
      </c>
      <c r="BE8" t="str">
        <v>Wheat Penny</v>
      </c>
      <c r="BF8" t="str">
        <v>Extremely Fine</v>
      </c>
      <c r="BG8" s="225">
        <v>1</v>
      </c>
      <c r="BH8" s="225">
        <v>12</v>
      </c>
      <c r="BI8" s="136">
        <v>1</v>
      </c>
      <c r="BJ8" s="219">
        <v>0</v>
      </c>
      <c r="BK8" s="218">
        <v>0</v>
      </c>
      <c r="BL8" s="136" t="str">
        <f>IF(BA8&lt;&gt;"","A"&amp;MATCH(BD8,CoinCollection!E:E,),"")</f>
        <v>A43</v>
      </c>
      <c r="BM8" t="s">
        <v>4631</v>
      </c>
      <c r="BO8" t="s">
        <v>3751</v>
      </c>
      <c r="BU8" t="str">
        <v>Memorial Penny Proof</v>
      </c>
    </row>
    <row r="9" spans="1:73">
      <c r="A9">
        <v>1976</v>
      </c>
      <c r="B9" s="218" t="str">
        <v>D</v>
      </c>
      <c r="C9" s="219" t="str">
        <v>Penny</v>
      </c>
      <c r="D9" t="str">
        <v>MEM1976CNT-AE</v>
      </c>
      <c r="E9" t="str">
        <v>Memorial Penny</v>
      </c>
      <c r="F9" s="219">
        <v>0</v>
      </c>
      <c r="G9" s="169">
        <v>0.01</v>
      </c>
      <c r="H9" s="226">
        <v>0</v>
      </c>
      <c r="I9" s="136">
        <v>1</v>
      </c>
      <c r="J9" s="219">
        <v>0</v>
      </c>
      <c r="K9" s="219">
        <v>0</v>
      </c>
      <c r="L9" s="219" t="str">
        <f>IF(A9&lt;&gt;"","A"&amp;MATCH(D9,CoinCollection!E:E,),"")</f>
        <v>A652</v>
      </c>
      <c r="N9" s="136"/>
      <c r="X9" s="219"/>
      <c r="Y9" s="218" t="str">
        <f>IF(Q9&lt;&gt;"","A"&amp;MATCH(Q9,CoinCollection!E:E,),"")</f>
        <v/>
      </c>
      <c r="AA9" s="136">
        <v>1950</v>
      </c>
      <c r="AB9" s="218">
        <v>0</v>
      </c>
      <c r="AC9" t="str">
        <v>Penny</v>
      </c>
      <c r="AD9" t="str">
        <v>Tube1950CNT-AR</v>
      </c>
      <c r="AE9" t="str">
        <v>Assorted 1950's Wheat Pennies Tube</v>
      </c>
      <c r="AF9" s="228" t="str">
        <v>About Uncirculated</v>
      </c>
      <c r="AG9" s="226">
        <v>0</v>
      </c>
      <c r="AH9" s="226">
        <v>0.5</v>
      </c>
      <c r="AI9" s="136">
        <v>50</v>
      </c>
      <c r="AJ9" s="219" t="str">
        <v>All Series Wheat pennies</v>
      </c>
      <c r="AK9" s="218">
        <v>0</v>
      </c>
      <c r="AL9" s="218" t="str">
        <f>IF(AA9&lt;&gt;"","A"&amp;MATCH(AD9,CoinCollection!E:E,),"")</f>
        <v>A2388</v>
      </c>
      <c r="AN9">
        <v>1922</v>
      </c>
      <c r="AO9" s="218" t="str">
        <v>D</v>
      </c>
      <c r="AP9" t="str">
        <v>Penny</v>
      </c>
      <c r="AQ9" t="str">
        <v>WHT1922CNT-AA</v>
      </c>
      <c r="AR9" t="str">
        <v>Wheat Penny</v>
      </c>
      <c r="AS9" s="228" t="str">
        <v>Extremely Fine</v>
      </c>
      <c r="AT9" s="225">
        <v>25</v>
      </c>
      <c r="AU9" s="225">
        <v>35</v>
      </c>
      <c r="AV9" s="136">
        <v>1</v>
      </c>
      <c r="AW9" s="219">
        <v>0</v>
      </c>
      <c r="AX9" s="218">
        <v>0</v>
      </c>
      <c r="AY9" s="136" t="str">
        <f>IF(AN9&lt;&gt;"","A"&amp;MATCH(AQ9,CoinCollection!E:E,),"")</f>
        <v>A94</v>
      </c>
      <c r="BA9">
        <v>1910</v>
      </c>
      <c r="BB9" s="218">
        <v>0</v>
      </c>
      <c r="BC9" t="str">
        <v>Penny</v>
      </c>
      <c r="BD9" t="str">
        <v>WHT1910CNT-AA</v>
      </c>
      <c r="BE9" t="str">
        <v>Wheat Penny</v>
      </c>
      <c r="BF9" t="str">
        <v>Extremely Fine</v>
      </c>
      <c r="BG9" s="225">
        <v>0.01</v>
      </c>
      <c r="BH9" s="225">
        <v>3</v>
      </c>
      <c r="BI9" s="136">
        <v>1</v>
      </c>
      <c r="BJ9" s="219">
        <v>0</v>
      </c>
      <c r="BK9" s="218">
        <v>0</v>
      </c>
      <c r="BL9" s="136" t="str">
        <f>IF(BA9&lt;&gt;"","A"&amp;MATCH(BD9,CoinCollection!E:E,),"")</f>
        <v>A44</v>
      </c>
      <c r="BM9" t="s">
        <v>2607</v>
      </c>
      <c r="BO9" t="s">
        <v>3734</v>
      </c>
      <c r="BU9" t="str">
        <v>Shield Penny</v>
      </c>
    </row>
    <row r="10" spans="1:73">
      <c r="A10">
        <v>1976</v>
      </c>
      <c r="B10" s="218" t="str">
        <v>D</v>
      </c>
      <c r="C10" s="219" t="str">
        <v>Penny</v>
      </c>
      <c r="D10" t="str">
        <v>MEM1976CNT-AF</v>
      </c>
      <c r="E10" t="str">
        <v>Memorial Penny</v>
      </c>
      <c r="F10" s="219">
        <v>0</v>
      </c>
      <c r="G10" s="169">
        <v>0.01</v>
      </c>
      <c r="H10" s="226">
        <v>0</v>
      </c>
      <c r="I10" s="136">
        <v>1</v>
      </c>
      <c r="J10" s="219">
        <v>0</v>
      </c>
      <c r="K10" s="219">
        <v>0</v>
      </c>
      <c r="L10" s="219" t="str">
        <f>IF(A10&lt;&gt;"","A"&amp;MATCH(D10,CoinCollection!E:E,),"")</f>
        <v>A653</v>
      </c>
      <c r="N10" s="136"/>
      <c r="X10" s="219"/>
      <c r="Y10" s="218" t="str">
        <f>IF(Q10&lt;&gt;"","A"&amp;MATCH(Q10,CoinCollection!E:E,),"")</f>
        <v/>
      </c>
      <c r="AA10" s="136">
        <v>1950</v>
      </c>
      <c r="AB10" s="218">
        <v>0</v>
      </c>
      <c r="AC10" t="str">
        <v>Penny</v>
      </c>
      <c r="AD10" t="str">
        <v>Tube1950CNT-AS</v>
      </c>
      <c r="AE10" t="str">
        <v>Assorted 1950's Wheat Pennies Tube</v>
      </c>
      <c r="AF10" s="228" t="str">
        <v>About Uncirculated</v>
      </c>
      <c r="AG10" s="226">
        <v>0</v>
      </c>
      <c r="AH10" s="226">
        <v>0.5</v>
      </c>
      <c r="AI10" s="136">
        <v>50</v>
      </c>
      <c r="AJ10" s="219" t="str">
        <v>All Series Wheat pennies</v>
      </c>
      <c r="AK10" s="218">
        <v>0</v>
      </c>
      <c r="AL10" s="218" t="str">
        <f>IF(AA10&lt;&gt;"","A"&amp;MATCH(AD10,CoinCollection!E:E,),"")</f>
        <v>A2389</v>
      </c>
      <c r="AN10">
        <v>1970</v>
      </c>
      <c r="AO10" s="218" t="str">
        <v>S</v>
      </c>
      <c r="AP10" t="str">
        <v>Penny</v>
      </c>
      <c r="AQ10" t="str">
        <v>MEM1970CNT-AM</v>
      </c>
      <c r="AR10" t="str">
        <v>Memorial Penny</v>
      </c>
      <c r="AS10" s="228" t="str">
        <v>MS-63 Select Uncirculated</v>
      </c>
      <c r="AT10" s="225">
        <v>0.4</v>
      </c>
      <c r="AU10" s="225">
        <v>64</v>
      </c>
      <c r="AV10" s="136">
        <v>1</v>
      </c>
      <c r="AW10" s="219">
        <v>0</v>
      </c>
      <c r="AX10" s="218">
        <v>0</v>
      </c>
      <c r="AY10" s="136" t="str">
        <f>IF(AN10&lt;&gt;"","A"&amp;MATCH(AQ10,CoinCollection!E:E,),"")</f>
        <v>A582</v>
      </c>
      <c r="BA10">
        <v>1910</v>
      </c>
      <c r="BB10" s="218" t="str">
        <v>S</v>
      </c>
      <c r="BC10" t="str">
        <v>Penny</v>
      </c>
      <c r="BD10" t="str">
        <v>WHT1910CNT-AB</v>
      </c>
      <c r="BE10" t="str">
        <v>Wheat Penny</v>
      </c>
      <c r="BF10" t="str">
        <v>Extremely Fine</v>
      </c>
      <c r="BG10" s="225">
        <v>22</v>
      </c>
      <c r="BH10" s="225">
        <v>25</v>
      </c>
      <c r="BI10" s="136">
        <v>1</v>
      </c>
      <c r="BJ10" s="219">
        <v>0</v>
      </c>
      <c r="BK10" s="218">
        <v>0</v>
      </c>
      <c r="BL10" s="136" t="str">
        <f>IF(BA10&lt;&gt;"","A"&amp;MATCH(BD10,CoinCollection!E:E,),"")</f>
        <v>A45</v>
      </c>
      <c r="BM10" t="s">
        <v>2608</v>
      </c>
      <c r="BO10" t="s">
        <v>3749</v>
      </c>
      <c r="BU10" t="str">
        <v>Shield Penny Proof</v>
      </c>
    </row>
    <row r="11" spans="1:73">
      <c r="A11">
        <v>1976</v>
      </c>
      <c r="B11" s="218" t="str">
        <v>D</v>
      </c>
      <c r="C11" s="219" t="str">
        <v>Penny</v>
      </c>
      <c r="D11" t="str">
        <v>MEM1976CNT-AG</v>
      </c>
      <c r="E11" t="str">
        <v>Memorial Penny</v>
      </c>
      <c r="F11" s="219">
        <v>0</v>
      </c>
      <c r="G11" s="169">
        <v>0.01</v>
      </c>
      <c r="H11" s="226">
        <v>0</v>
      </c>
      <c r="I11" s="136">
        <v>1</v>
      </c>
      <c r="J11" s="219">
        <v>0</v>
      </c>
      <c r="K11" s="219">
        <v>0</v>
      </c>
      <c r="L11" s="219" t="str">
        <f>IF(A11&lt;&gt;"","A"&amp;MATCH(D11,CoinCollection!E:E,),"")</f>
        <v>A654</v>
      </c>
      <c r="N11" s="136"/>
      <c r="X11" s="219"/>
      <c r="Y11" s="218" t="str">
        <f>IF(Q11&lt;&gt;"","A"&amp;MATCH(Q11,CoinCollection!E:E,),"")</f>
        <v/>
      </c>
      <c r="AA11" s="136">
        <v>1950</v>
      </c>
      <c r="AB11" s="218">
        <v>0</v>
      </c>
      <c r="AC11" t="str">
        <v>Penny</v>
      </c>
      <c r="AD11" t="str">
        <v>Tube1950CNT-AT</v>
      </c>
      <c r="AE11" t="str">
        <v>Assorted 1950's Wheat Pennies Tube</v>
      </c>
      <c r="AF11" s="228" t="str">
        <v>About Uncirculated</v>
      </c>
      <c r="AG11" s="226">
        <v>0</v>
      </c>
      <c r="AH11" s="226">
        <v>0.46</v>
      </c>
      <c r="AI11" s="136">
        <v>46</v>
      </c>
      <c r="AJ11" s="219" t="str">
        <v>All Series Wheat pennies</v>
      </c>
      <c r="AK11" s="218">
        <v>0</v>
      </c>
      <c r="AL11" s="218" t="str">
        <f>IF(AA11&lt;&gt;"","A"&amp;MATCH(AD11,CoinCollection!E:E,),"")</f>
        <v>A2390</v>
      </c>
      <c r="AN11">
        <v>1973</v>
      </c>
      <c r="AO11" s="218">
        <v>0</v>
      </c>
      <c r="AP11" t="str">
        <v>Penny</v>
      </c>
      <c r="AQ11" t="str">
        <v>MEM1973CNT-AN</v>
      </c>
      <c r="AR11" t="str">
        <v>Memorial Penny</v>
      </c>
      <c r="AS11" s="228">
        <v>0</v>
      </c>
      <c r="AT11" s="225">
        <v>0.01</v>
      </c>
      <c r="AU11" s="225">
        <v>28</v>
      </c>
      <c r="AV11" s="136">
        <v>1</v>
      </c>
      <c r="AW11" s="219" t="str">
        <v>Kennedy Etched on the face</v>
      </c>
      <c r="AX11" s="218">
        <v>0</v>
      </c>
      <c r="AY11" s="136" t="str">
        <f>IF(AN11&lt;&gt;"","A"&amp;MATCH(AQ11,CoinCollection!E:E,),"")</f>
        <v>A618</v>
      </c>
      <c r="BA11">
        <v>1911</v>
      </c>
      <c r="BB11" s="218">
        <v>0</v>
      </c>
      <c r="BC11" t="str">
        <v>Penny</v>
      </c>
      <c r="BD11" t="str">
        <v>WHT1911CNT-AA</v>
      </c>
      <c r="BE11" t="str">
        <v>Wheat Penny</v>
      </c>
      <c r="BF11" t="str">
        <v>Extremely Fine</v>
      </c>
      <c r="BG11" s="225">
        <v>0.2</v>
      </c>
      <c r="BH11" s="225">
        <v>0.45</v>
      </c>
      <c r="BI11" s="136">
        <v>1</v>
      </c>
      <c r="BJ11" s="219">
        <v>0</v>
      </c>
      <c r="BK11" s="218">
        <v>0</v>
      </c>
      <c r="BL11" s="136" t="str">
        <f>IF(BA11&lt;&gt;"","A"&amp;MATCH(BD11,CoinCollection!E:E,),"")</f>
        <v>A46</v>
      </c>
      <c r="BM11" t="s">
        <v>2600</v>
      </c>
      <c r="BO11" t="s">
        <v>1783</v>
      </c>
      <c r="BU11" t="str">
        <v>Shield Nickel</v>
      </c>
    </row>
    <row r="12" spans="1:73">
      <c r="A12">
        <v>1976</v>
      </c>
      <c r="B12" s="218">
        <v>0</v>
      </c>
      <c r="C12" s="219" t="str">
        <v>Penny</v>
      </c>
      <c r="D12" t="str">
        <v>MEM1976CNT-AJ</v>
      </c>
      <c r="E12" t="str">
        <v>Memorial Penny</v>
      </c>
      <c r="F12" s="219">
        <v>0</v>
      </c>
      <c r="G12" s="169">
        <v>0.01</v>
      </c>
      <c r="H12" s="226">
        <v>0</v>
      </c>
      <c r="I12" s="136">
        <v>1</v>
      </c>
      <c r="J12" s="219">
        <v>0</v>
      </c>
      <c r="K12" s="219">
        <v>0</v>
      </c>
      <c r="L12" s="219" t="str">
        <f>IF(A12&lt;&gt;"","A"&amp;MATCH(D12,CoinCollection!E:E,),"")</f>
        <v>A655</v>
      </c>
      <c r="N12" s="136"/>
      <c r="X12" s="219"/>
      <c r="Y12" s="218" t="str">
        <f>IF(Q12&lt;&gt;"","A"&amp;MATCH(Q12,CoinCollection!E:E,),"")</f>
        <v/>
      </c>
      <c r="AA12" s="136">
        <v>1960</v>
      </c>
      <c r="AB12" s="218">
        <v>0</v>
      </c>
      <c r="AC12" t="str">
        <v>Penny</v>
      </c>
      <c r="AD12" t="str">
        <v>PNY1960's-Tube-AE</v>
      </c>
      <c r="AE12" t="str">
        <v>Assorted 1960's Wheat Pennies Tube</v>
      </c>
      <c r="AF12" s="228" t="str">
        <v>About Uncirculated</v>
      </c>
      <c r="AG12" s="226">
        <v>0</v>
      </c>
      <c r="AH12" s="226">
        <v>0</v>
      </c>
      <c r="AI12" s="136">
        <v>25</v>
      </c>
      <c r="AJ12" s="219">
        <v>0</v>
      </c>
      <c r="AK12" s="218">
        <v>0</v>
      </c>
      <c r="AL12" s="218" t="str">
        <f>IF(AA12&lt;&gt;"","A"&amp;MATCH(AD12,CoinCollection!E:E,),"")</f>
        <v>A2393</v>
      </c>
      <c r="AN12">
        <v>1973</v>
      </c>
      <c r="AO12" s="218">
        <v>0</v>
      </c>
      <c r="AP12" t="str">
        <v>Penny</v>
      </c>
      <c r="AQ12" t="str">
        <v>MEM1973CNT-AO</v>
      </c>
      <c r="AR12" t="str">
        <v>Memorial Penny</v>
      </c>
      <c r="AS12" s="228">
        <v>0</v>
      </c>
      <c r="AT12" s="225">
        <v>0.01</v>
      </c>
      <c r="AU12" s="225">
        <v>28</v>
      </c>
      <c r="AV12" s="136">
        <v>1</v>
      </c>
      <c r="AW12" s="219" t="str">
        <v>Kennedy Etched on the face</v>
      </c>
      <c r="AX12" s="218">
        <v>0</v>
      </c>
      <c r="AY12" s="136" t="str">
        <f>IF(AN12&lt;&gt;"","A"&amp;MATCH(AQ12,CoinCollection!E:E,),"")</f>
        <v>A619</v>
      </c>
      <c r="BA12">
        <v>1911</v>
      </c>
      <c r="BB12" s="218" t="str">
        <v>D</v>
      </c>
      <c r="BC12" t="str">
        <v>Penny</v>
      </c>
      <c r="BD12" t="str">
        <v>WHT1911CNT-AB</v>
      </c>
      <c r="BE12" t="str">
        <v>Wheat Penny</v>
      </c>
      <c r="BF12" t="str">
        <v>Extremely Fine</v>
      </c>
      <c r="BG12" s="225">
        <v>3.5</v>
      </c>
      <c r="BH12" s="225">
        <v>6</v>
      </c>
      <c r="BI12" s="136">
        <v>1</v>
      </c>
      <c r="BJ12" s="219">
        <v>0</v>
      </c>
      <c r="BK12" s="218">
        <v>0</v>
      </c>
      <c r="BL12" s="136" t="str">
        <f>IF(BA12&lt;&gt;"","A"&amp;MATCH(BD12,CoinCollection!E:E,),"")</f>
        <v>A47</v>
      </c>
      <c r="BM12" t="s">
        <v>2588</v>
      </c>
      <c r="BO12" t="s">
        <v>3747</v>
      </c>
      <c r="BU12" t="str">
        <v xml:space="preserve">Liberty   V   Nickel </v>
      </c>
    </row>
    <row r="13" spans="1:73">
      <c r="A13">
        <v>1976</v>
      </c>
      <c r="B13" s="218" t="str">
        <v>S</v>
      </c>
      <c r="C13" s="219" t="str">
        <v>Penny</v>
      </c>
      <c r="D13" t="str">
        <v>MEM1976CNT-AK</v>
      </c>
      <c r="E13" t="str">
        <v>Memorial Penny Proof</v>
      </c>
      <c r="F13" s="219" t="str">
        <v>Proof</v>
      </c>
      <c r="G13" s="169">
        <v>0.5</v>
      </c>
      <c r="H13" s="226">
        <v>0.01</v>
      </c>
      <c r="I13" s="136">
        <v>1</v>
      </c>
      <c r="J13" s="219">
        <v>0</v>
      </c>
      <c r="K13" s="219">
        <v>0</v>
      </c>
      <c r="L13" s="219" t="str">
        <f>IF(A13&lt;&gt;"","A"&amp;MATCH(D13,CoinCollection!E:E,),"")</f>
        <v>A656</v>
      </c>
      <c r="N13" s="136"/>
      <c r="X13" s="219"/>
      <c r="Y13" s="218" t="str">
        <f>IF(Q13&lt;&gt;"","A"&amp;MATCH(Q13,CoinCollection!E:E,),"")</f>
        <v/>
      </c>
      <c r="AA13" s="136">
        <v>1960</v>
      </c>
      <c r="AB13" s="218">
        <v>0</v>
      </c>
      <c r="AC13" t="str">
        <v>Penny</v>
      </c>
      <c r="AD13" t="str">
        <v>PNY1960's-Tube-AU</v>
      </c>
      <c r="AE13" t="str">
        <v>Assorted 1960's Wheat Pennies Tube</v>
      </c>
      <c r="AF13" s="228" t="str">
        <v>About Uncirculated</v>
      </c>
      <c r="AG13" s="226">
        <v>0</v>
      </c>
      <c r="AH13" s="226">
        <v>0.5</v>
      </c>
      <c r="AI13" s="136">
        <v>50</v>
      </c>
      <c r="AJ13" s="219" t="str">
        <v>All Series Wheat pennies</v>
      </c>
      <c r="AK13" s="218">
        <v>0</v>
      </c>
      <c r="AL13" s="218" t="str">
        <f>IF(AA13&lt;&gt;"","A"&amp;MATCH(AD13,CoinCollection!E:E,),"")</f>
        <v>A2394</v>
      </c>
      <c r="AN13">
        <v>1973</v>
      </c>
      <c r="AO13" s="218">
        <v>0</v>
      </c>
      <c r="AP13" t="str">
        <v>Penny</v>
      </c>
      <c r="AQ13" t="str">
        <v>MEM1973CNT-AP</v>
      </c>
      <c r="AR13" t="str">
        <v>Memorial Penny</v>
      </c>
      <c r="AS13" s="228">
        <v>0</v>
      </c>
      <c r="AT13" s="225">
        <v>0.01</v>
      </c>
      <c r="AU13" s="225">
        <v>28</v>
      </c>
      <c r="AV13" s="136">
        <v>1</v>
      </c>
      <c r="AW13" s="219" t="str">
        <v>Kennedy Etched on the face</v>
      </c>
      <c r="AX13" s="218">
        <v>0</v>
      </c>
      <c r="AY13" s="136" t="str">
        <f>IF(AN13&lt;&gt;"","A"&amp;MATCH(AQ13,CoinCollection!E:E,),"")</f>
        <v>A620</v>
      </c>
      <c r="BA13">
        <v>1911</v>
      </c>
      <c r="BB13" s="218" t="str">
        <v>D</v>
      </c>
      <c r="BC13" t="str">
        <v>Penny</v>
      </c>
      <c r="BD13" t="str">
        <v>WHT1911CNT-AC</v>
      </c>
      <c r="BE13" t="str">
        <v>Wheat Penny</v>
      </c>
      <c r="BF13" t="str">
        <v>Extremely Fine</v>
      </c>
      <c r="BG13" s="225">
        <v>3.5</v>
      </c>
      <c r="BH13" s="225">
        <v>3.5</v>
      </c>
      <c r="BI13" s="136">
        <v>1</v>
      </c>
      <c r="BJ13" s="219">
        <v>0</v>
      </c>
      <c r="BK13" s="218">
        <v>0</v>
      </c>
      <c r="BL13" s="136" t="str">
        <f>IF(BA13&lt;&gt;"","A"&amp;MATCH(BD13,CoinCollection!E:E,),"")</f>
        <v>A48</v>
      </c>
      <c r="BM13" t="s">
        <v>2595</v>
      </c>
      <c r="BO13" t="s">
        <v>2610</v>
      </c>
      <c r="BU13" t="str">
        <v>Buffalo Nickel</v>
      </c>
    </row>
    <row r="14" spans="1:73">
      <c r="A14">
        <v>1976</v>
      </c>
      <c r="B14" s="218">
        <v>0</v>
      </c>
      <c r="C14" s="219" t="str">
        <v>Penny</v>
      </c>
      <c r="D14" t="str">
        <v>MEM1976CNT-AL</v>
      </c>
      <c r="E14" t="str">
        <v>Memorial Penny</v>
      </c>
      <c r="F14" s="219" t="str">
        <v>About Uncirculated</v>
      </c>
      <c r="G14" s="169">
        <v>0.01</v>
      </c>
      <c r="H14" s="226">
        <v>0.01</v>
      </c>
      <c r="I14" s="136">
        <v>1</v>
      </c>
      <c r="J14" s="219">
        <v>0</v>
      </c>
      <c r="K14" s="219">
        <v>0</v>
      </c>
      <c r="L14" s="219" t="str">
        <f>IF(A14&lt;&gt;"","A"&amp;MATCH(D14,CoinCollection!E:E,),"")</f>
        <v>A657</v>
      </c>
      <c r="N14" s="136"/>
      <c r="X14" s="219"/>
      <c r="Y14" s="218" t="str">
        <f>IF(Q14&lt;&gt;"","A"&amp;MATCH(Q14,CoinCollection!E:E,),"")</f>
        <v/>
      </c>
      <c r="AA14" s="136">
        <v>1960</v>
      </c>
      <c r="AB14" s="218">
        <v>0</v>
      </c>
      <c r="AC14" t="str">
        <v>Penny</v>
      </c>
      <c r="AD14" t="str">
        <v>PNY1960's-Tube-AV</v>
      </c>
      <c r="AE14" t="str">
        <v>Assorted 1960's Wheat Pennies Tube</v>
      </c>
      <c r="AF14" s="228" t="str">
        <v>About Uncirculated</v>
      </c>
      <c r="AG14" s="226">
        <v>0</v>
      </c>
      <c r="AH14" s="226">
        <v>0.5</v>
      </c>
      <c r="AI14" s="136">
        <v>50</v>
      </c>
      <c r="AJ14" s="219" t="str">
        <v>All Series Wheat pennies</v>
      </c>
      <c r="AK14" s="218">
        <v>0</v>
      </c>
      <c r="AL14" s="218" t="str">
        <f>IF(AA14&lt;&gt;"","A"&amp;MATCH(AD14,CoinCollection!E:E,),"")</f>
        <v>A2395</v>
      </c>
      <c r="AN14">
        <v>1938</v>
      </c>
      <c r="AO14" s="218">
        <v>0</v>
      </c>
      <c r="AP14" t="str">
        <v>Half Dollar</v>
      </c>
      <c r="AQ14" t="str">
        <v>LIB1938HAV-AA</v>
      </c>
      <c r="AR14" t="str">
        <v>Standing Liberty Half</v>
      </c>
      <c r="AS14" s="228" t="str">
        <v>About Uncirculated</v>
      </c>
      <c r="AT14" s="225">
        <v>13</v>
      </c>
      <c r="AU14" s="225">
        <v>28</v>
      </c>
      <c r="AV14" s="136">
        <v>1</v>
      </c>
      <c r="AW14" s="219">
        <v>0</v>
      </c>
      <c r="AX14" s="218">
        <v>0</v>
      </c>
      <c r="AY14" s="136" t="str">
        <f>IF(AN14&lt;&gt;"","A"&amp;MATCH(AQ14,CoinCollection!E:E,),"")</f>
        <v>A2039</v>
      </c>
      <c r="BA14">
        <v>1911</v>
      </c>
      <c r="BB14" s="218" t="str">
        <v>S</v>
      </c>
      <c r="BC14" t="str">
        <v>Penny</v>
      </c>
      <c r="BD14" t="str">
        <v>WHT1911CNT-AD</v>
      </c>
      <c r="BE14" t="str">
        <v>Wheat Penny</v>
      </c>
      <c r="BF14" t="str">
        <v>Extremely Fine</v>
      </c>
      <c r="BG14" s="225">
        <v>32</v>
      </c>
      <c r="BH14" s="225">
        <v>50</v>
      </c>
      <c r="BI14" s="136">
        <v>1</v>
      </c>
      <c r="BJ14" s="219">
        <v>0</v>
      </c>
      <c r="BK14" s="218">
        <v>0</v>
      </c>
      <c r="BL14" s="136" t="str">
        <f>IF(BA14&lt;&gt;"","A"&amp;MATCH(BD14,CoinCollection!E:E,),"")</f>
        <v>A49</v>
      </c>
      <c r="BM14" t="s">
        <v>2605</v>
      </c>
      <c r="BO14" t="s">
        <v>2095</v>
      </c>
      <c r="BU14" t="str">
        <v>Jefferson Nickel</v>
      </c>
    </row>
    <row r="15" spans="1:73">
      <c r="A15">
        <v>1976</v>
      </c>
      <c r="B15" s="218" t="str">
        <v>S</v>
      </c>
      <c r="C15" s="219" t="str">
        <v>Penny</v>
      </c>
      <c r="D15" t="str">
        <v>MEM1976CNT-AM</v>
      </c>
      <c r="E15" t="str">
        <v>Memorial Penny Proof</v>
      </c>
      <c r="F15" s="219" t="str">
        <v>Proof</v>
      </c>
      <c r="G15" s="169">
        <v>1.5</v>
      </c>
      <c r="H15" s="226">
        <v>3.6</v>
      </c>
      <c r="I15" s="136">
        <v>1</v>
      </c>
      <c r="J15" s="219">
        <v>0</v>
      </c>
      <c r="K15" s="219">
        <v>0</v>
      </c>
      <c r="L15" s="219" t="str">
        <f>IF(A15&lt;&gt;"","A"&amp;MATCH(D15,CoinCollection!E:E,),"")</f>
        <v>A658</v>
      </c>
      <c r="N15" s="136"/>
      <c r="Y15" s="218" t="str">
        <f>IF(Q15&lt;&gt;"","A"&amp;MATCH(Q15,CoinCollection!E:E,),"")</f>
        <v/>
      </c>
      <c r="AA15" s="136">
        <v>1960</v>
      </c>
      <c r="AB15" s="218">
        <v>0</v>
      </c>
      <c r="AC15" t="str">
        <v>Penny</v>
      </c>
      <c r="AD15" t="str">
        <v>Tube1960CNT-AJ</v>
      </c>
      <c r="AE15" t="str">
        <v>Assorted 1960's Wheat Pennies Tube</v>
      </c>
      <c r="AF15" s="228" t="str">
        <v>About Uncirculated</v>
      </c>
      <c r="AG15" s="226">
        <v>0</v>
      </c>
      <c r="AH15" s="226">
        <v>0</v>
      </c>
      <c r="AI15" s="136">
        <v>20</v>
      </c>
      <c r="AJ15" s="219">
        <v>0</v>
      </c>
      <c r="AK15" s="218">
        <v>0</v>
      </c>
      <c r="AL15" s="218" t="str">
        <f>IF(AA15&lt;&gt;"","A"&amp;MATCH(AD15,CoinCollection!E:E,),"")</f>
        <v>A2396</v>
      </c>
      <c r="AN15">
        <v>1938</v>
      </c>
      <c r="AO15" s="218">
        <v>0</v>
      </c>
      <c r="AP15" t="str">
        <v>Half Dollar</v>
      </c>
      <c r="AQ15" t="str">
        <v>LIB1938HAV-AB</v>
      </c>
      <c r="AR15" t="str">
        <v>Standing Liberty Half</v>
      </c>
      <c r="AS15" s="228" t="str">
        <v>About Uncirculated</v>
      </c>
      <c r="AT15" s="225">
        <v>13</v>
      </c>
      <c r="AU15" s="225">
        <v>28</v>
      </c>
      <c r="AV15" s="136">
        <v>1</v>
      </c>
      <c r="AW15" s="219">
        <v>0</v>
      </c>
      <c r="AX15" s="218">
        <v>0</v>
      </c>
      <c r="AY15" s="136" t="str">
        <f>IF(AN15&lt;&gt;"","A"&amp;MATCH(AQ15,CoinCollection!E:E,),"")</f>
        <v>A2040</v>
      </c>
      <c r="BA15">
        <v>1912</v>
      </c>
      <c r="BB15" s="218">
        <v>0</v>
      </c>
      <c r="BC15" t="str">
        <v>Penny</v>
      </c>
      <c r="BD15" t="str">
        <v>WHT1912CNT-AA</v>
      </c>
      <c r="BE15" t="str">
        <v>Wheat Penny</v>
      </c>
      <c r="BF15" t="str">
        <v>Extremely Fine</v>
      </c>
      <c r="BG15" s="225">
        <v>0.25</v>
      </c>
      <c r="BH15" s="225">
        <v>0.25</v>
      </c>
      <c r="BI15" s="136">
        <v>1</v>
      </c>
      <c r="BJ15" s="219">
        <v>0</v>
      </c>
      <c r="BK15" s="218">
        <v>0</v>
      </c>
      <c r="BL15" s="136" t="str">
        <f>IF(BA15&lt;&gt;"","A"&amp;MATCH(BD15,CoinCollection!E:E,),"")</f>
        <v>A50</v>
      </c>
      <c r="BM15" t="s">
        <v>2236</v>
      </c>
      <c r="BO15" t="s">
        <v>2609</v>
      </c>
      <c r="BU15" t="str">
        <v>Jefferson Nickel Proof</v>
      </c>
    </row>
    <row r="16" spans="1:73">
      <c r="A16">
        <v>1976</v>
      </c>
      <c r="B16" s="218">
        <v>0</v>
      </c>
      <c r="C16" s="219" t="str">
        <v>Nickel</v>
      </c>
      <c r="D16" t="str">
        <v xml:space="preserve">JEF1976NIC-AA </v>
      </c>
      <c r="E16" t="str">
        <v>Jefferson Nickel</v>
      </c>
      <c r="F16" s="219" t="str">
        <v>About Uncirculated</v>
      </c>
      <c r="G16" s="169">
        <v>0.05</v>
      </c>
      <c r="H16" s="226">
        <v>0.05</v>
      </c>
      <c r="I16" s="136">
        <v>1</v>
      </c>
      <c r="J16" s="219">
        <v>0</v>
      </c>
      <c r="K16" s="219">
        <v>0</v>
      </c>
      <c r="L16" s="219" t="str">
        <f>IF(A16&lt;&gt;"","A"&amp;MATCH(D16,CoinCollection!E:E,),"")</f>
        <v>A1405</v>
      </c>
      <c r="N16" s="136"/>
      <c r="Y16" s="218" t="str">
        <f>IF(Q16&lt;&gt;"","A"&amp;MATCH(Q16,CoinCollection!E:E,),"")</f>
        <v/>
      </c>
      <c r="AA16" s="136">
        <v>1970</v>
      </c>
      <c r="AB16" s="218">
        <v>0</v>
      </c>
      <c r="AC16" t="str">
        <v>Nickel</v>
      </c>
      <c r="AD16" t="str">
        <v>NIC1970's-Tube-BK</v>
      </c>
      <c r="AE16" t="str">
        <v>Jefferson Nickels Tubes Assorted Dates</v>
      </c>
      <c r="AF16" s="228" t="str">
        <v>About Uncirculated</v>
      </c>
      <c r="AG16" s="226">
        <v>1.2</v>
      </c>
      <c r="AH16" s="226">
        <v>2.4</v>
      </c>
      <c r="AI16" s="136">
        <v>30</v>
      </c>
      <c r="AJ16" s="219">
        <v>0</v>
      </c>
      <c r="AK16" s="218">
        <v>0</v>
      </c>
      <c r="AL16" s="218" t="str">
        <f>IF(AA16&lt;&gt;"","A"&amp;MATCH(AD16,CoinCollection!E:E,),"")</f>
        <v>A2399</v>
      </c>
      <c r="AN16">
        <v>1947</v>
      </c>
      <c r="AO16" s="218">
        <v>0</v>
      </c>
      <c r="AP16" t="str">
        <v>Half Dollar</v>
      </c>
      <c r="AQ16" t="str">
        <v>LIB1947HAV-AA</v>
      </c>
      <c r="AR16" t="str">
        <v>Standing Liberty Half</v>
      </c>
      <c r="AS16" s="228" t="str">
        <v>About Uncirculated</v>
      </c>
      <c r="AT16" s="225">
        <v>7</v>
      </c>
      <c r="AU16" s="225">
        <v>26</v>
      </c>
      <c r="AV16" s="136">
        <v>1</v>
      </c>
      <c r="AW16" s="219">
        <v>0</v>
      </c>
      <c r="AX16" s="218">
        <v>0</v>
      </c>
      <c r="AY16" s="136" t="str">
        <f>IF(AN16&lt;&gt;"","A"&amp;MATCH(AQ16,CoinCollection!E:E,),"")</f>
        <v>A2050</v>
      </c>
      <c r="BA16">
        <v>1912</v>
      </c>
      <c r="BB16" s="218" t="str">
        <v>D</v>
      </c>
      <c r="BC16" t="str">
        <v>Penny</v>
      </c>
      <c r="BD16" t="str">
        <v>WHT1912CNT-AB</v>
      </c>
      <c r="BE16" t="str">
        <v>Wheat Penny</v>
      </c>
      <c r="BF16" t="str">
        <v>Extremely Fine</v>
      </c>
      <c r="BG16" s="225">
        <v>8</v>
      </c>
      <c r="BH16" s="225">
        <v>17</v>
      </c>
      <c r="BI16" s="136">
        <v>1</v>
      </c>
      <c r="BJ16" s="219">
        <v>0</v>
      </c>
      <c r="BK16" s="218">
        <v>0</v>
      </c>
      <c r="BL16" s="136" t="str">
        <f>IF(BA16&lt;&gt;"","A"&amp;MATCH(BD16,CoinCollection!E:E,),"")</f>
        <v>A51</v>
      </c>
      <c r="BM16" t="s">
        <v>3752</v>
      </c>
      <c r="BO16" t="s">
        <v>3735</v>
      </c>
      <c r="BU16" t="str">
        <v>Jefferson Nickel Peace Medal</v>
      </c>
    </row>
    <row r="17" spans="1:73">
      <c r="A17">
        <v>1976</v>
      </c>
      <c r="B17" s="218">
        <v>0</v>
      </c>
      <c r="C17" s="219" t="str">
        <v>Nickel</v>
      </c>
      <c r="D17" t="str">
        <v xml:space="preserve">JEF1976NIC-AB </v>
      </c>
      <c r="E17" t="str">
        <v>Jefferson Nickel</v>
      </c>
      <c r="F17" s="219" t="str">
        <v>About Uncirculated</v>
      </c>
      <c r="G17" s="169">
        <v>0.05</v>
      </c>
      <c r="H17" s="226">
        <v>0.05</v>
      </c>
      <c r="I17" s="136">
        <v>1</v>
      </c>
      <c r="J17" s="219">
        <v>0</v>
      </c>
      <c r="K17" s="219">
        <v>0</v>
      </c>
      <c r="L17" s="219" t="str">
        <f>IF(A17&lt;&gt;"","A"&amp;MATCH(D17,CoinCollection!E:E,),"")</f>
        <v>A1406</v>
      </c>
      <c r="N17" s="136"/>
      <c r="Y17" s="218" t="str">
        <f>IF(Q17&lt;&gt;"","A"&amp;MATCH(Q17,CoinCollection!E:E,),"")</f>
        <v/>
      </c>
      <c r="AA17" s="136">
        <v>1970</v>
      </c>
      <c r="AB17" s="218">
        <v>0</v>
      </c>
      <c r="AC17" t="str">
        <v>Penny</v>
      </c>
      <c r="AD17" t="str">
        <v>PNY1970's-Tube-AA</v>
      </c>
      <c r="AE17" t="str">
        <v>1970'S Tubes Series Pennies</v>
      </c>
      <c r="AF17" s="228" t="str">
        <v>About Uncirculated</v>
      </c>
      <c r="AG17" s="226">
        <v>0</v>
      </c>
      <c r="AH17" s="226">
        <v>0</v>
      </c>
      <c r="AI17" s="136">
        <v>50</v>
      </c>
      <c r="AJ17" s="219">
        <v>0</v>
      </c>
      <c r="AK17" s="218">
        <v>0</v>
      </c>
      <c r="AL17" s="218" t="str">
        <f>IF(AA17&lt;&gt;"","A"&amp;MATCH(AD17,CoinCollection!E:E,),"")</f>
        <v>A2400</v>
      </c>
      <c r="AN17">
        <v>1948</v>
      </c>
      <c r="AO17" s="218" t="str">
        <v>D</v>
      </c>
      <c r="AP17" t="str">
        <v>Half Dollar</v>
      </c>
      <c r="AQ17" t="str">
        <v>FRN1948HAV-AA</v>
      </c>
      <c r="AR17" t="str">
        <v>Franklin Half</v>
      </c>
      <c r="AS17" s="228" t="str">
        <v>About Uncirculated</v>
      </c>
      <c r="AT17" s="225">
        <v>18.98</v>
      </c>
      <c r="AU17" s="225">
        <v>29</v>
      </c>
      <c r="AV17" s="136">
        <v>1</v>
      </c>
      <c r="AW17" s="219">
        <v>0</v>
      </c>
      <c r="AX17" s="218">
        <v>0</v>
      </c>
      <c r="AY17" s="136" t="str">
        <f>IF(AN17&lt;&gt;"","A"&amp;MATCH(AQ17,CoinCollection!E:E,),"")</f>
        <v>A2051</v>
      </c>
      <c r="BA17">
        <v>1913</v>
      </c>
      <c r="BB17" s="218">
        <v>0</v>
      </c>
      <c r="BC17" t="str">
        <v>Penny</v>
      </c>
      <c r="BD17" t="str">
        <v>WHT1913CNT-AA</v>
      </c>
      <c r="BE17" t="str">
        <v>Wheat Penny</v>
      </c>
      <c r="BF17" t="str">
        <v>Extremely Fine</v>
      </c>
      <c r="BG17" s="225">
        <v>1</v>
      </c>
      <c r="BH17" s="225">
        <v>1</v>
      </c>
      <c r="BI17" s="136">
        <v>1</v>
      </c>
      <c r="BJ17" s="219">
        <v>0</v>
      </c>
      <c r="BK17" s="218">
        <v>0</v>
      </c>
      <c r="BL17" s="136" t="str">
        <f>IF(BA17&lt;&gt;"","A"&amp;MATCH(BD17,CoinCollection!E:E,),"")</f>
        <v>A52</v>
      </c>
      <c r="BM17" t="s">
        <v>2609</v>
      </c>
      <c r="BO17" t="s">
        <v>2607</v>
      </c>
      <c r="BU17" t="str">
        <v>Jefferson Nickel Peace Medal Proof</v>
      </c>
    </row>
    <row r="18" spans="1:73">
      <c r="A18">
        <v>1976</v>
      </c>
      <c r="B18" s="218">
        <v>0</v>
      </c>
      <c r="C18" s="219" t="str">
        <v>Nickel</v>
      </c>
      <c r="D18" t="str">
        <v xml:space="preserve">JEF1976NIC-AC </v>
      </c>
      <c r="E18" t="str">
        <v>Jefferson Nickel</v>
      </c>
      <c r="F18" s="219" t="str">
        <v>About Uncirculated</v>
      </c>
      <c r="G18" s="169">
        <v>0.05</v>
      </c>
      <c r="H18" s="226">
        <v>0.05</v>
      </c>
      <c r="I18" s="136">
        <v>1</v>
      </c>
      <c r="J18" s="219">
        <v>0</v>
      </c>
      <c r="K18" s="219">
        <v>0</v>
      </c>
      <c r="L18" s="219" t="str">
        <f>IF(A18&lt;&gt;"","A"&amp;MATCH(D18,CoinCollection!E:E,),"")</f>
        <v>A1407</v>
      </c>
      <c r="N18" s="136"/>
      <c r="Y18" s="218" t="str">
        <f>IF(Q18&lt;&gt;"","A"&amp;MATCH(Q18,CoinCollection!E:E,),"")</f>
        <v/>
      </c>
      <c r="AA18" s="136">
        <v>1970</v>
      </c>
      <c r="AB18" s="218">
        <v>0</v>
      </c>
      <c r="AC18" t="str">
        <v>Penny</v>
      </c>
      <c r="AD18" t="str">
        <v>PNY1970's-Tube-AB</v>
      </c>
      <c r="AE18" t="str">
        <v>1970'S Tubes Series Pennies</v>
      </c>
      <c r="AF18" s="228" t="str">
        <v>About Uncirculated</v>
      </c>
      <c r="AG18" s="226">
        <v>0</v>
      </c>
      <c r="AH18" s="226">
        <v>0</v>
      </c>
      <c r="AI18" s="136">
        <v>47</v>
      </c>
      <c r="AJ18" s="219">
        <v>0</v>
      </c>
      <c r="AK18" s="218">
        <v>0</v>
      </c>
      <c r="AL18" s="218" t="str">
        <f>IF(AA18&lt;&gt;"","A"&amp;MATCH(AD18,CoinCollection!E:E,),"")</f>
        <v>A2401</v>
      </c>
      <c r="AN18">
        <v>1949</v>
      </c>
      <c r="AO18" s="218">
        <v>0</v>
      </c>
      <c r="AP18" t="str">
        <v>Half Dollar</v>
      </c>
      <c r="AQ18" t="str">
        <v>FRN1949HAV-AB</v>
      </c>
      <c r="AR18" t="str">
        <v>Franklin Half</v>
      </c>
      <c r="AS18" s="228" t="str">
        <v>About Uncirculated</v>
      </c>
      <c r="AT18" s="225">
        <v>19.489999999999998</v>
      </c>
      <c r="AU18" s="225">
        <v>69</v>
      </c>
      <c r="AV18" s="136">
        <v>1</v>
      </c>
      <c r="AW18" s="219">
        <v>0</v>
      </c>
      <c r="AX18" s="218">
        <v>0</v>
      </c>
      <c r="AY18" s="136" t="str">
        <f>IF(AN18&lt;&gt;"","A"&amp;MATCH(AQ18,CoinCollection!E:E,),"")</f>
        <v>A2053</v>
      </c>
      <c r="BA18">
        <v>1913</v>
      </c>
      <c r="BB18" s="218" t="str">
        <v>D</v>
      </c>
      <c r="BC18" t="str">
        <v>Penny</v>
      </c>
      <c r="BD18" t="str">
        <v>WHT1913CNT-AB</v>
      </c>
      <c r="BE18" t="str">
        <v>Wheat Penny</v>
      </c>
      <c r="BF18" t="str">
        <v>Extremely Fine</v>
      </c>
      <c r="BG18" s="225">
        <v>1</v>
      </c>
      <c r="BH18" s="225">
        <v>4.12</v>
      </c>
      <c r="BI18" s="136">
        <v>1</v>
      </c>
      <c r="BJ18" s="219">
        <v>0</v>
      </c>
      <c r="BK18" s="218">
        <v>0</v>
      </c>
      <c r="BL18" s="136" t="str">
        <f>IF(BA18&lt;&gt;"","A"&amp;MATCH(BD18,CoinCollection!E:E,),"")</f>
        <v>A53</v>
      </c>
      <c r="BM18" t="s">
        <v>2590</v>
      </c>
      <c r="BO18" t="s">
        <v>2608</v>
      </c>
      <c r="BU18" t="str">
        <v>Jefferson Nickel Keelboat</v>
      </c>
    </row>
    <row r="19" spans="1:73">
      <c r="A19">
        <v>1976</v>
      </c>
      <c r="B19" s="218">
        <v>0</v>
      </c>
      <c r="C19" s="219" t="str">
        <v>Nickel</v>
      </c>
      <c r="D19" t="str">
        <v xml:space="preserve">JEF1976NIC-AD </v>
      </c>
      <c r="E19" t="str">
        <v>Jefferson Nickel</v>
      </c>
      <c r="F19" s="219" t="str">
        <v>About Uncirculated</v>
      </c>
      <c r="G19" s="169">
        <v>0.05</v>
      </c>
      <c r="H19" s="226">
        <v>0.05</v>
      </c>
      <c r="I19" s="136">
        <v>1</v>
      </c>
      <c r="J19" s="219">
        <v>0</v>
      </c>
      <c r="K19" s="219">
        <v>0</v>
      </c>
      <c r="L19" s="219" t="str">
        <f>IF(A19&lt;&gt;"","A"&amp;MATCH(D19,CoinCollection!E:E,),"")</f>
        <v>A1408</v>
      </c>
      <c r="N19" s="136"/>
      <c r="Y19" s="218" t="str">
        <f>IF(Q19&lt;&gt;"","A"&amp;MATCH(Q19,CoinCollection!E:E,),"")</f>
        <v/>
      </c>
      <c r="AA19" s="136">
        <v>1970</v>
      </c>
      <c r="AB19" s="218">
        <v>0</v>
      </c>
      <c r="AC19" t="str">
        <v>Penny</v>
      </c>
      <c r="AD19" t="str">
        <v>PNY1970's-Tube-AC</v>
      </c>
      <c r="AE19" t="str">
        <v>1970'S Tubes Series Pennies</v>
      </c>
      <c r="AF19" s="228" t="str">
        <v>About Uncirculated</v>
      </c>
      <c r="AG19" s="226">
        <v>0</v>
      </c>
      <c r="AH19" s="226">
        <v>0</v>
      </c>
      <c r="AI19" s="136">
        <v>46</v>
      </c>
      <c r="AJ19" s="219">
        <v>0</v>
      </c>
      <c r="AK19" s="218">
        <v>0</v>
      </c>
      <c r="AL19" s="218" t="str">
        <f>IF(AA19&lt;&gt;"","A"&amp;MATCH(AD19,CoinCollection!E:E,),"")</f>
        <v>A2402</v>
      </c>
      <c r="AN19">
        <v>1950</v>
      </c>
      <c r="AO19" s="218" t="str">
        <v>D</v>
      </c>
      <c r="AP19" t="str">
        <v>Half Dollar</v>
      </c>
      <c r="AQ19" t="str">
        <v>FRN1950HAV-AB</v>
      </c>
      <c r="AR19" t="str">
        <v>Franklin Half</v>
      </c>
      <c r="AS19" s="228" t="str">
        <v>About Uncirculated</v>
      </c>
      <c r="AT19" s="225">
        <v>17.489999999999998</v>
      </c>
      <c r="AU19" s="225">
        <v>34</v>
      </c>
      <c r="AV19" s="136">
        <v>1</v>
      </c>
      <c r="AW19" s="219">
        <v>0</v>
      </c>
      <c r="AX19" s="218">
        <v>0</v>
      </c>
      <c r="AY19" s="136" t="str">
        <f>IF(AN19&lt;&gt;"","A"&amp;MATCH(AQ19,CoinCollection!E:E,),"")</f>
        <v>A2055</v>
      </c>
      <c r="BA19">
        <v>1913</v>
      </c>
      <c r="BB19" s="218" t="str">
        <v>S</v>
      </c>
      <c r="BC19" t="str">
        <v>Penny</v>
      </c>
      <c r="BD19" t="str">
        <v>WHT1913CNT-AC</v>
      </c>
      <c r="BE19" t="str">
        <v>Wheat Penny</v>
      </c>
      <c r="BF19" t="str">
        <v>Extremely Fine</v>
      </c>
      <c r="BG19" s="225">
        <v>17</v>
      </c>
      <c r="BH19" s="225">
        <v>21</v>
      </c>
      <c r="BI19" s="136">
        <v>1</v>
      </c>
      <c r="BJ19" s="219">
        <v>0</v>
      </c>
      <c r="BK19" s="218">
        <v>0</v>
      </c>
      <c r="BL19" s="136" t="str">
        <f>IF(BA19&lt;&gt;"","A"&amp;MATCH(BD19,CoinCollection!E:E,),"")</f>
        <v>A54</v>
      </c>
      <c r="BM19" t="s">
        <v>2041</v>
      </c>
      <c r="BO19" t="s">
        <v>2611</v>
      </c>
      <c r="BU19" t="str">
        <v>Jefferson Nickel Keelboat Proof</v>
      </c>
    </row>
    <row r="20" spans="1:73">
      <c r="A20">
        <v>1976</v>
      </c>
      <c r="B20" s="218">
        <v>0</v>
      </c>
      <c r="C20" s="219" t="str">
        <v>Nickel</v>
      </c>
      <c r="D20" t="str">
        <v xml:space="preserve">JEF1976NIC-AE </v>
      </c>
      <c r="E20" t="str">
        <v>Jefferson Nickel</v>
      </c>
      <c r="F20" s="219" t="str">
        <v>About Uncirculated</v>
      </c>
      <c r="G20" s="169">
        <v>0.05</v>
      </c>
      <c r="H20" s="226">
        <v>0.05</v>
      </c>
      <c r="I20" s="136">
        <v>1</v>
      </c>
      <c r="J20" s="219">
        <v>0</v>
      </c>
      <c r="K20" s="219">
        <v>0</v>
      </c>
      <c r="L20" s="219" t="str">
        <f>IF(A20&lt;&gt;"","A"&amp;MATCH(D20,CoinCollection!E:E,),"")</f>
        <v>A1409</v>
      </c>
      <c r="N20" s="136"/>
      <c r="Y20" s="218" t="str">
        <f>IF(Q20&lt;&gt;"","A"&amp;MATCH(Q20,CoinCollection!E:E,),"")</f>
        <v/>
      </c>
      <c r="AA20" s="136">
        <v>1970</v>
      </c>
      <c r="AB20" s="218">
        <v>0</v>
      </c>
      <c r="AC20" t="str">
        <v>Penny</v>
      </c>
      <c r="AD20" t="str">
        <v>PNY1970's-Tube-AW</v>
      </c>
      <c r="AE20" t="str">
        <v>1970'S Tubes Series Pennies</v>
      </c>
      <c r="AF20" s="228" t="str">
        <v>About Uncirculated</v>
      </c>
      <c r="AG20" s="226">
        <v>0</v>
      </c>
      <c r="AH20" s="226">
        <v>0.48</v>
      </c>
      <c r="AI20" s="136">
        <v>48</v>
      </c>
      <c r="AJ20" s="219">
        <v>0</v>
      </c>
      <c r="AK20" s="218">
        <v>0</v>
      </c>
      <c r="AL20" s="218" t="str">
        <f>IF(AA20&lt;&gt;"","A"&amp;MATCH(AD20,CoinCollection!E:E,),"")</f>
        <v>A2403</v>
      </c>
      <c r="AN20">
        <v>1951</v>
      </c>
      <c r="AO20" s="218" t="str">
        <v>D</v>
      </c>
      <c r="AP20" t="str">
        <v>Half Dollar</v>
      </c>
      <c r="AQ20" t="str">
        <v>FRN1951HAV-AB</v>
      </c>
      <c r="AR20" t="str">
        <v>Franklin Half</v>
      </c>
      <c r="AS20" s="228" t="str">
        <v>About Uncirculated</v>
      </c>
      <c r="AT20" s="225">
        <v>17</v>
      </c>
      <c r="AU20" s="225">
        <v>44</v>
      </c>
      <c r="AV20" s="136">
        <v>1</v>
      </c>
      <c r="AW20" s="219">
        <v>0</v>
      </c>
      <c r="AX20" s="218">
        <v>0</v>
      </c>
      <c r="AY20" s="136" t="str">
        <f>IF(AN20&lt;&gt;"","A"&amp;MATCH(AQ20,CoinCollection!E:E,),"")</f>
        <v>A2057</v>
      </c>
      <c r="BA20">
        <v>1913</v>
      </c>
      <c r="BB20" s="218">
        <v>0</v>
      </c>
      <c r="BC20" t="str">
        <v>Penny</v>
      </c>
      <c r="BD20" t="str">
        <v>WHT1913CNT-AD</v>
      </c>
      <c r="BE20" t="str">
        <v>Wheat Penny</v>
      </c>
      <c r="BF20" t="str">
        <v>Extremely Fine</v>
      </c>
      <c r="BG20" s="225">
        <v>0.01</v>
      </c>
      <c r="BH20" s="225">
        <v>0.01</v>
      </c>
      <c r="BI20" s="136">
        <v>1</v>
      </c>
      <c r="BJ20" s="219">
        <v>0</v>
      </c>
      <c r="BK20" s="218">
        <v>0</v>
      </c>
      <c r="BL20" s="136" t="str">
        <f>IF(BA20&lt;&gt;"","A"&amp;MATCH(BD20,CoinCollection!E:E,),"")</f>
        <v>A55</v>
      </c>
      <c r="BM20" t="s">
        <v>3858</v>
      </c>
      <c r="BO20" t="s">
        <v>2083</v>
      </c>
      <c r="BU20" t="str">
        <v>Jefferson Nickel Bison Proof</v>
      </c>
    </row>
    <row r="21" spans="1:73">
      <c r="A21">
        <v>1976</v>
      </c>
      <c r="B21" s="218" t="str">
        <v>D</v>
      </c>
      <c r="C21" s="219" t="str">
        <v>Nickel</v>
      </c>
      <c r="D21" t="str">
        <v xml:space="preserve">JEF1976NIC-AF </v>
      </c>
      <c r="E21" t="str">
        <v>Jefferson Nickel</v>
      </c>
      <c r="F21" s="219" t="str">
        <v>About Uncirculated</v>
      </c>
      <c r="G21" s="169">
        <v>0.05</v>
      </c>
      <c r="H21" s="226">
        <v>0.05</v>
      </c>
      <c r="I21" s="136">
        <v>1</v>
      </c>
      <c r="J21" s="219">
        <v>0</v>
      </c>
      <c r="K21" s="219">
        <v>0</v>
      </c>
      <c r="L21" s="219" t="str">
        <f>IF(A21&lt;&gt;"","A"&amp;MATCH(D21,CoinCollection!E:E,),"")</f>
        <v>A1410</v>
      </c>
      <c r="N21" s="136"/>
      <c r="Y21" s="218" t="str">
        <f>IF(Q21&lt;&gt;"","A"&amp;MATCH(Q21,CoinCollection!E:E,),"")</f>
        <v/>
      </c>
      <c r="AA21" s="136">
        <v>1970</v>
      </c>
      <c r="AB21" s="218">
        <v>0</v>
      </c>
      <c r="AC21" t="str">
        <v>Penny</v>
      </c>
      <c r="AD21" t="str">
        <v>PNY1970's-Tube-AX</v>
      </c>
      <c r="AE21" t="str">
        <v>1970'S Tubes Series Pennies</v>
      </c>
      <c r="AF21" s="228" t="str">
        <v>About Uncirculated</v>
      </c>
      <c r="AG21" s="226">
        <v>0</v>
      </c>
      <c r="AH21" s="226">
        <v>0.5</v>
      </c>
      <c r="AI21" s="136">
        <v>50</v>
      </c>
      <c r="AJ21" s="219">
        <v>0</v>
      </c>
      <c r="AK21" s="218">
        <v>0</v>
      </c>
      <c r="AL21" s="218" t="str">
        <f>IF(AA21&lt;&gt;"","A"&amp;MATCH(AD21,CoinCollection!E:E,),"")</f>
        <v>A2404</v>
      </c>
      <c r="AN21">
        <v>1951</v>
      </c>
      <c r="AO21" s="218" t="str">
        <v>S</v>
      </c>
      <c r="AP21" t="str">
        <v>Half Dollar</v>
      </c>
      <c r="AQ21" t="str">
        <v>FRN1951HAV-AC</v>
      </c>
      <c r="AR21" t="str">
        <v>Franklin Half</v>
      </c>
      <c r="AS21" s="228" t="str">
        <v>About Uncirculated</v>
      </c>
      <c r="AT21" s="225">
        <v>17</v>
      </c>
      <c r="AU21" s="225">
        <v>27</v>
      </c>
      <c r="AV21" s="136">
        <v>1</v>
      </c>
      <c r="AW21" s="219">
        <v>0</v>
      </c>
      <c r="AX21" s="218">
        <v>0</v>
      </c>
      <c r="AY21" s="136" t="str">
        <f>IF(AN21&lt;&gt;"","A"&amp;MATCH(AQ21,CoinCollection!E:E,),"")</f>
        <v>A2058</v>
      </c>
      <c r="BA21">
        <v>1914</v>
      </c>
      <c r="BB21" s="218">
        <v>0</v>
      </c>
      <c r="BC21" t="str">
        <v>Penny</v>
      </c>
      <c r="BD21" t="str">
        <v>WHT1914CNT-AA</v>
      </c>
      <c r="BE21" t="str">
        <v>Wheat Penny</v>
      </c>
      <c r="BF21" t="str">
        <v>Extremely Fine</v>
      </c>
      <c r="BG21" s="225">
        <v>0.4</v>
      </c>
      <c r="BH21" s="225">
        <v>0.4</v>
      </c>
      <c r="BI21" s="136">
        <v>1</v>
      </c>
      <c r="BJ21" s="219">
        <v>0</v>
      </c>
      <c r="BK21" s="218">
        <v>0</v>
      </c>
      <c r="BL21" s="136" t="str">
        <f>IF(BA21&lt;&gt;"","A"&amp;MATCH(BD21,CoinCollection!E:E,),"")</f>
        <v>A56</v>
      </c>
      <c r="BM21" t="s">
        <v>2574</v>
      </c>
      <c r="BO21" t="s">
        <v>2236</v>
      </c>
      <c r="BU21" t="str">
        <v>Murcury Dime</v>
      </c>
    </row>
    <row r="22" spans="1:73">
      <c r="A22">
        <v>1976</v>
      </c>
      <c r="B22" s="218" t="str">
        <v>D</v>
      </c>
      <c r="C22" s="219" t="str">
        <v>Nickel</v>
      </c>
      <c r="D22" t="str">
        <v>JEF1976NIC-AG</v>
      </c>
      <c r="E22" t="str">
        <v>Jefferson Nickel</v>
      </c>
      <c r="F22" s="219" t="str">
        <v>About Uncirculated</v>
      </c>
      <c r="G22" s="169">
        <v>0.05</v>
      </c>
      <c r="H22" s="226">
        <v>0.05</v>
      </c>
      <c r="I22" s="136">
        <v>1</v>
      </c>
      <c r="J22" s="219">
        <v>0</v>
      </c>
      <c r="K22" s="219">
        <v>0</v>
      </c>
      <c r="L22" s="219" t="str">
        <f>IF(A22&lt;&gt;"","A"&amp;MATCH(D22,CoinCollection!E:E,),"")</f>
        <v>A1411</v>
      </c>
      <c r="N22" s="136"/>
      <c r="Y22" s="218" t="str">
        <f>IF(Q22&lt;&gt;"","A"&amp;MATCH(Q22,CoinCollection!E:E,),"")</f>
        <v/>
      </c>
      <c r="AA22" s="136">
        <v>1970</v>
      </c>
      <c r="AB22" s="218">
        <v>0</v>
      </c>
      <c r="AC22" t="str">
        <v>Penny</v>
      </c>
      <c r="AD22" t="str">
        <v>PNY1970's-Tube-BM</v>
      </c>
      <c r="AE22" t="str">
        <v>Lincoln Pennies Tubes Assorted Dates [Dads]</v>
      </c>
      <c r="AF22" s="228" t="str">
        <v>About Uncirculated</v>
      </c>
      <c r="AG22" s="226">
        <v>0.2</v>
      </c>
      <c r="AH22" s="226">
        <v>1</v>
      </c>
      <c r="AI22" s="136">
        <v>20</v>
      </c>
      <c r="AJ22" s="219" t="str">
        <v>Book Value based on .05 each</v>
      </c>
      <c r="AK22" s="218">
        <v>0</v>
      </c>
      <c r="AL22" s="218" t="str">
        <f>IF(AA22&lt;&gt;"","A"&amp;MATCH(AD22,CoinCollection!E:E,),"")</f>
        <v>A2405</v>
      </c>
      <c r="AN22">
        <v>1955</v>
      </c>
      <c r="AO22" s="218">
        <v>0</v>
      </c>
      <c r="AP22" t="str">
        <v>Half Dollar</v>
      </c>
      <c r="AQ22" t="str">
        <v>FRN1955HAV-AA</v>
      </c>
      <c r="AR22" t="str">
        <v>Franklin Half</v>
      </c>
      <c r="AS22" s="228" t="str">
        <v>About Uncirculated</v>
      </c>
      <c r="AT22" s="225">
        <v>19.350000000000001</v>
      </c>
      <c r="AU22" s="225">
        <v>32</v>
      </c>
      <c r="AV22" s="136">
        <v>1</v>
      </c>
      <c r="AW22" s="219">
        <v>0</v>
      </c>
      <c r="AX22" s="218">
        <v>0</v>
      </c>
      <c r="AY22" s="136" t="str">
        <f>IF(AN22&lt;&gt;"","A"&amp;MATCH(AQ22,CoinCollection!E:E,),"")</f>
        <v>A2062</v>
      </c>
      <c r="BA22">
        <v>1914</v>
      </c>
      <c r="BB22" s="218">
        <v>0</v>
      </c>
      <c r="BC22" t="str">
        <v>Penny</v>
      </c>
      <c r="BD22" t="str">
        <v>WHT1914CNT-AB</v>
      </c>
      <c r="BE22" t="str">
        <v>Wheat Penny</v>
      </c>
      <c r="BF22" t="str">
        <v>Extremely Fine</v>
      </c>
      <c r="BG22" s="225">
        <v>0.01</v>
      </c>
      <c r="BH22" s="225">
        <v>2.5</v>
      </c>
      <c r="BI22" s="136">
        <v>1</v>
      </c>
      <c r="BJ22" s="219">
        <v>0</v>
      </c>
      <c r="BK22" s="218">
        <v>0</v>
      </c>
      <c r="BL22" s="136" t="str">
        <f>IF(BA22&lt;&gt;"","A"&amp;MATCH(BD22,CoinCollection!E:E,),"")</f>
        <v>A57</v>
      </c>
      <c r="BM22" t="s">
        <v>2593</v>
      </c>
      <c r="BO22" t="s">
        <v>2091</v>
      </c>
      <c r="BU22" t="str">
        <v>Roosevelt Dime</v>
      </c>
    </row>
    <row r="23" spans="1:73">
      <c r="A23">
        <v>1976</v>
      </c>
      <c r="B23" s="218" t="str">
        <v>S</v>
      </c>
      <c r="C23" s="219" t="str">
        <v>Nickel</v>
      </c>
      <c r="D23" t="str">
        <v>JEF1976NIC-AH</v>
      </c>
      <c r="E23" t="str">
        <v>Jefferson Nickel Proof</v>
      </c>
      <c r="F23" s="219" t="str">
        <v>Proof</v>
      </c>
      <c r="G23" s="169">
        <v>1</v>
      </c>
      <c r="H23" s="226">
        <v>1</v>
      </c>
      <c r="I23" s="136">
        <v>1</v>
      </c>
      <c r="J23" s="219">
        <v>0</v>
      </c>
      <c r="K23" s="219">
        <v>0</v>
      </c>
      <c r="L23" s="219" t="str">
        <f>IF(A23&lt;&gt;"","A"&amp;MATCH(D23,CoinCollection!E:E,),"")</f>
        <v>A1412</v>
      </c>
      <c r="N23" s="136"/>
      <c r="X23" s="219"/>
      <c r="Y23" s="218" t="str">
        <f>IF(Q23&lt;&gt;"","A"&amp;MATCH(Q23,CoinCollection!E:E,),"")</f>
        <v/>
      </c>
      <c r="AA23" s="136">
        <v>1970</v>
      </c>
      <c r="AB23" s="218">
        <v>0</v>
      </c>
      <c r="AC23" t="str">
        <v>Quarter</v>
      </c>
      <c r="AD23" t="str">
        <v>QTR1970's-Tube-BP</v>
      </c>
      <c r="AE23" t="str">
        <v>Quarters Tubes with Assorted Dates</v>
      </c>
      <c r="AF23" s="228" t="str">
        <v>About Uncirculated</v>
      </c>
      <c r="AG23" s="226">
        <v>10</v>
      </c>
      <c r="AH23" s="226">
        <v>12</v>
      </c>
      <c r="AI23" s="136">
        <v>40</v>
      </c>
      <c r="AJ23" s="219">
        <v>0</v>
      </c>
      <c r="AK23" s="218">
        <v>0</v>
      </c>
      <c r="AL23" s="218" t="str">
        <f>IF(AA23&lt;&gt;"","A"&amp;MATCH(AD23,CoinCollection!E:E,),"")</f>
        <v>A2407</v>
      </c>
      <c r="AN23">
        <v>2025</v>
      </c>
      <c r="AO23" s="218" t="str">
        <v>S</v>
      </c>
      <c r="AP23" t="str">
        <v>Half Dollar</v>
      </c>
      <c r="AQ23" t="str">
        <v>KEN2025HAV-AA</v>
      </c>
      <c r="AR23" t="str">
        <v>Kennedy Half Dollar Proof</v>
      </c>
      <c r="AS23" s="228" t="str">
        <v>Proof</v>
      </c>
      <c r="AT23" s="225">
        <v>18</v>
      </c>
      <c r="AU23" s="225">
        <v>60</v>
      </c>
      <c r="AV23" s="136">
        <v>1</v>
      </c>
      <c r="AW23" s="219" t="str">
        <v>Satin Finish</v>
      </c>
      <c r="AX23" s="218">
        <v>0</v>
      </c>
      <c r="AY23" s="136" t="str">
        <f>IF(AN23&lt;&gt;"","A"&amp;MATCH(AQ23,CoinCollection!E:E,),"")</f>
        <v>A2219</v>
      </c>
      <c r="BA23">
        <v>1914</v>
      </c>
      <c r="BB23" s="218" t="str">
        <v>S</v>
      </c>
      <c r="BC23" t="str">
        <v>Penny</v>
      </c>
      <c r="BD23" t="str">
        <v>WHT1914CNT-AC</v>
      </c>
      <c r="BE23" t="str">
        <v>Wheat Penny</v>
      </c>
      <c r="BF23" t="str">
        <v>Extremely Fine</v>
      </c>
      <c r="BG23" s="225">
        <v>23</v>
      </c>
      <c r="BH23" s="225">
        <v>46</v>
      </c>
      <c r="BI23" s="136">
        <v>1</v>
      </c>
      <c r="BJ23" s="219">
        <v>0</v>
      </c>
      <c r="BK23" s="218">
        <v>0</v>
      </c>
      <c r="BL23" s="136" t="str">
        <f>IF(BA23&lt;&gt;"","A"&amp;MATCH(BD23,CoinCollection!E:E,),"")</f>
        <v>A58</v>
      </c>
      <c r="BO23" t="s">
        <v>3905</v>
      </c>
      <c r="BU23" t="str">
        <v>Washington Quarter</v>
      </c>
    </row>
    <row r="24" spans="1:73">
      <c r="A24">
        <v>1976</v>
      </c>
      <c r="B24" s="218" t="str">
        <v>S</v>
      </c>
      <c r="C24" s="219" t="str">
        <v>Nickel</v>
      </c>
      <c r="D24" t="str">
        <v>JEF1976NIC-AI</v>
      </c>
      <c r="E24" t="str">
        <v>Jefferson Nickel Proof</v>
      </c>
      <c r="F24" s="219" t="str">
        <v>Proof</v>
      </c>
      <c r="G24" s="169">
        <v>1</v>
      </c>
      <c r="H24" s="226">
        <v>1</v>
      </c>
      <c r="I24" s="136">
        <v>1</v>
      </c>
      <c r="J24" s="219">
        <v>0</v>
      </c>
      <c r="K24" s="219">
        <v>0</v>
      </c>
      <c r="L24" s="219" t="str">
        <f>IF(A24&lt;&gt;"","A"&amp;MATCH(D24,CoinCollection!E:E,),"")</f>
        <v>A1413</v>
      </c>
      <c r="N24" s="136"/>
      <c r="Y24" s="218" t="str">
        <f>IF(O24&lt;&gt;"","A"&amp;MATCH(R24,CoinCollection!E:E,),"")</f>
        <v/>
      </c>
      <c r="AA24" s="136">
        <v>1976</v>
      </c>
      <c r="AB24" s="218">
        <v>0</v>
      </c>
      <c r="AC24" t="str">
        <v>Quarter</v>
      </c>
      <c r="AD24" t="str">
        <v>QTR1976-Tube-BF</v>
      </c>
      <c r="AE24" t="str">
        <v>Tubes Bicentennial Quarters</v>
      </c>
      <c r="AF24" s="228" t="str">
        <v>About Uncirculated</v>
      </c>
      <c r="AG24" s="226">
        <v>7.5</v>
      </c>
      <c r="AH24" s="226">
        <v>0</v>
      </c>
      <c r="AI24" s="136">
        <v>25</v>
      </c>
      <c r="AJ24" s="219">
        <v>0</v>
      </c>
      <c r="AK24" s="218">
        <v>0</v>
      </c>
      <c r="AL24" s="218" t="str">
        <f>IF(AA24&lt;&gt;"","A"&amp;MATCH(AD24,CoinCollection!E:E,),"")</f>
        <v>A2408</v>
      </c>
      <c r="AN24">
        <v>2025</v>
      </c>
      <c r="AO24" s="218" t="str">
        <v>S</v>
      </c>
      <c r="AP24" t="str">
        <v>Half Dollar</v>
      </c>
      <c r="AQ24" t="str">
        <v>KEN2025HAV-AB</v>
      </c>
      <c r="AR24" t="str">
        <v>Kennedy Half Dollar Proof</v>
      </c>
      <c r="AS24" s="228" t="str">
        <v>Proof</v>
      </c>
      <c r="AT24" s="225">
        <v>18</v>
      </c>
      <c r="AU24" s="225">
        <v>60</v>
      </c>
      <c r="AV24" s="136">
        <v>1</v>
      </c>
      <c r="AW24" s="219" t="str">
        <v>Satin Finish</v>
      </c>
      <c r="AX24" s="218">
        <v>0</v>
      </c>
      <c r="AY24" s="136" t="str">
        <f>IF(AN24&lt;&gt;"","A"&amp;MATCH(AQ24,CoinCollection!E:E,),"")</f>
        <v>A2220</v>
      </c>
      <c r="BA24">
        <v>1915</v>
      </c>
      <c r="BB24" s="218" t="str">
        <v>D</v>
      </c>
      <c r="BC24" t="str">
        <v>Penny</v>
      </c>
      <c r="BD24" t="str">
        <v>WHT1915CNT-AA</v>
      </c>
      <c r="BE24" t="str">
        <v>Wheat Penny</v>
      </c>
      <c r="BF24" t="str">
        <v>Extremely Fine</v>
      </c>
      <c r="BG24" s="225">
        <v>1</v>
      </c>
      <c r="BH24" s="225">
        <v>3</v>
      </c>
      <c r="BI24" s="136">
        <v>1</v>
      </c>
      <c r="BJ24" s="219">
        <v>0</v>
      </c>
      <c r="BK24" s="218">
        <v>0</v>
      </c>
      <c r="BL24" s="136" t="str">
        <f>IF(BA24&lt;&gt;"","A"&amp;MATCH(BD24,CoinCollection!E:E,),"")</f>
        <v>A59</v>
      </c>
      <c r="BO24" t="s">
        <v>2098</v>
      </c>
      <c r="BU24" t="str">
        <v>Standing Liberty Half</v>
      </c>
    </row>
    <row r="25" spans="1:73">
      <c r="A25">
        <v>1976</v>
      </c>
      <c r="B25" s="218" t="str">
        <v/>
      </c>
      <c r="C25" s="219" t="str">
        <v>Quarter</v>
      </c>
      <c r="D25" t="str">
        <v>WSH1976QTR-AA</v>
      </c>
      <c r="E25" t="str">
        <v>Washington Quarter</v>
      </c>
      <c r="F25" s="219" t="str">
        <v>About Uncirculated</v>
      </c>
      <c r="G25" s="169">
        <v>0.25</v>
      </c>
      <c r="H25" s="226">
        <v>0.25</v>
      </c>
      <c r="I25" s="136">
        <v>1</v>
      </c>
      <c r="J25" s="219">
        <v>0</v>
      </c>
      <c r="K25" s="219">
        <v>0</v>
      </c>
      <c r="L25" s="219" t="str">
        <f>IF(A25&lt;&gt;"","A"&amp;MATCH(D25,CoinCollection!E:E,),"")</f>
        <v>A1862</v>
      </c>
      <c r="N25" s="136"/>
      <c r="Y25" s="218" t="str">
        <f>IF(O25&lt;&gt;"","A"&amp;MATCH(R25,CoinCollection!E:E,),"")</f>
        <v/>
      </c>
      <c r="AA25" s="136">
        <v>1980</v>
      </c>
      <c r="AB25" s="218">
        <v>0</v>
      </c>
      <c r="AC25" t="str">
        <v>Penny</v>
      </c>
      <c r="AD25" t="str">
        <v>PNY1980'S-Tube-AD</v>
      </c>
      <c r="AE25" t="str">
        <v>1980'S Series Tube Pennies</v>
      </c>
      <c r="AF25" s="228" t="str">
        <v>About Uncirculated</v>
      </c>
      <c r="AG25" s="226">
        <v>0</v>
      </c>
      <c r="AH25" s="226">
        <v>0</v>
      </c>
      <c r="AI25" s="136">
        <v>43</v>
      </c>
      <c r="AJ25" s="219">
        <v>0</v>
      </c>
      <c r="AK25" s="218">
        <v>0</v>
      </c>
      <c r="AL25" s="218" t="str">
        <f>IF(AA25&lt;&gt;"","A"&amp;MATCH(AD25,CoinCollection!E:E,),"")</f>
        <v>A2409</v>
      </c>
      <c r="AN25">
        <v>1883</v>
      </c>
      <c r="AO25" s="218" t="str">
        <v>O</v>
      </c>
      <c r="AP25" t="str">
        <v>Dollar</v>
      </c>
      <c r="AQ25" t="str">
        <v>MOR1883DOL-AA</v>
      </c>
      <c r="AR25" t="str">
        <v>Morgan Doller</v>
      </c>
      <c r="AS25" s="228" t="str">
        <v>Brilliant Unciculated</v>
      </c>
      <c r="AT25" s="225">
        <v>28</v>
      </c>
      <c r="AU25" s="225">
        <v>85</v>
      </c>
      <c r="AV25" s="136">
        <v>1</v>
      </c>
      <c r="AW25" s="219">
        <v>0</v>
      </c>
      <c r="AX25" s="218">
        <v>0</v>
      </c>
      <c r="AY25" s="136" t="str">
        <f>IF(AN25&lt;&gt;"","A"&amp;MATCH(AQ25,CoinCollection!E:E,),"")</f>
        <v>A2223</v>
      </c>
      <c r="BA25">
        <v>1915</v>
      </c>
      <c r="BB25" s="218" t="str">
        <v>S</v>
      </c>
      <c r="BC25" t="str">
        <v>Penny</v>
      </c>
      <c r="BD25" t="str">
        <v>WHT1915CNT-AB</v>
      </c>
      <c r="BE25" t="str">
        <v>Wheat Penny</v>
      </c>
      <c r="BF25" t="str">
        <v>Extremely Fine</v>
      </c>
      <c r="BG25" s="225">
        <v>14</v>
      </c>
      <c r="BH25" s="225">
        <v>35</v>
      </c>
      <c r="BI25" s="136">
        <v>1</v>
      </c>
      <c r="BJ25" s="219">
        <v>0</v>
      </c>
      <c r="BK25" s="218">
        <v>0</v>
      </c>
      <c r="BL25" s="136" t="str">
        <f>IF(BA25&lt;&gt;"","A"&amp;MATCH(BD25,CoinCollection!E:E,),"")</f>
        <v>A60</v>
      </c>
      <c r="BO25" t="s">
        <v>2574</v>
      </c>
      <c r="BU25" t="str">
        <v>Franklin Half</v>
      </c>
    </row>
    <row r="26" spans="1:73">
      <c r="A26">
        <v>1976</v>
      </c>
      <c r="B26" s="218" t="str">
        <v>P</v>
      </c>
      <c r="C26" s="219" t="str">
        <v>Quarter</v>
      </c>
      <c r="D26" t="str">
        <v>WSH1976QTR-AB</v>
      </c>
      <c r="E26" t="str">
        <v>Washington Quarter</v>
      </c>
      <c r="F26" s="219" t="str">
        <v>About Uncirculated</v>
      </c>
      <c r="G26" s="169">
        <v>0.25</v>
      </c>
      <c r="H26" s="226">
        <v>0.25</v>
      </c>
      <c r="I26" s="136">
        <v>1</v>
      </c>
      <c r="J26" s="219">
        <v>0</v>
      </c>
      <c r="K26" s="219">
        <v>0</v>
      </c>
      <c r="L26" s="219" t="str">
        <f>IF(A26&lt;&gt;"","A"&amp;MATCH(D26,CoinCollection!E:E,),"")</f>
        <v>A1863</v>
      </c>
      <c r="N26" s="136"/>
      <c r="Y26" s="218" t="str">
        <f>IF(O26&lt;&gt;"","A"&amp;MATCH(R26,CoinCollection!E:E,),"")</f>
        <v/>
      </c>
      <c r="AA26" s="136">
        <v>1980</v>
      </c>
      <c r="AB26" s="218">
        <v>0</v>
      </c>
      <c r="AC26" t="str">
        <v>Penny</v>
      </c>
      <c r="AD26" t="str">
        <v>PNY1980's-Tube-AY</v>
      </c>
      <c r="AE26" t="str">
        <v>1980'S Series Tube Pennies</v>
      </c>
      <c r="AF26" s="228" t="str">
        <v>About Uncirculated</v>
      </c>
      <c r="AG26" s="226">
        <v>0</v>
      </c>
      <c r="AH26" s="226">
        <v>0.5</v>
      </c>
      <c r="AI26" s="136">
        <v>50</v>
      </c>
      <c r="AJ26" s="219">
        <v>0</v>
      </c>
      <c r="AK26" s="218">
        <v>0</v>
      </c>
      <c r="AL26" s="218" t="str">
        <f>IF(AA26&lt;&gt;"","A"&amp;MATCH(AD26,CoinCollection!E:E,),"")</f>
        <v>A2410</v>
      </c>
      <c r="AN26">
        <v>1885</v>
      </c>
      <c r="AO26" s="218">
        <v>0</v>
      </c>
      <c r="AP26" t="str">
        <v>Dollar</v>
      </c>
      <c r="AQ26" t="str">
        <v>MOR1885DOL-AA</v>
      </c>
      <c r="AR26" t="str">
        <v>Morgan Dollar</v>
      </c>
      <c r="AS26" s="228" t="str">
        <v>About Uncirculated</v>
      </c>
      <c r="AT26" s="225">
        <v>13.5</v>
      </c>
      <c r="AU26" s="225">
        <v>65</v>
      </c>
      <c r="AV26" s="136">
        <v>1</v>
      </c>
      <c r="AW26" s="219">
        <v>0</v>
      </c>
      <c r="AX26" s="218">
        <v>0</v>
      </c>
      <c r="AY26" s="136" t="str">
        <f>IF(AN26&lt;&gt;"","A"&amp;MATCH(AQ26,CoinCollection!E:E,),"")</f>
        <v>A2224</v>
      </c>
      <c r="BA26">
        <v>1915</v>
      </c>
      <c r="BB26" s="218">
        <v>0</v>
      </c>
      <c r="BC26" t="str">
        <v>Penny</v>
      </c>
      <c r="BD26" t="str">
        <v>WHT1915CNT-AC</v>
      </c>
      <c r="BE26" t="str">
        <v>Wheat Penny</v>
      </c>
      <c r="BF26" t="str">
        <v>Extremely Fine</v>
      </c>
      <c r="BG26" s="225">
        <v>1.5</v>
      </c>
      <c r="BH26" s="225">
        <v>5</v>
      </c>
      <c r="BI26" s="136">
        <v>1</v>
      </c>
      <c r="BJ26" s="219">
        <v>0</v>
      </c>
      <c r="BK26" s="218">
        <v>0</v>
      </c>
      <c r="BL26" s="136" t="str">
        <f>IF(BA26&lt;&gt;"","A"&amp;MATCH(BD26,CoinCollection!E:E,),"")</f>
        <v>A61</v>
      </c>
      <c r="BO26" t="s">
        <v>2606</v>
      </c>
      <c r="BU26" t="str">
        <v>Kennedy Half Dollar</v>
      </c>
    </row>
    <row r="27" spans="1:73">
      <c r="A27">
        <v>1976</v>
      </c>
      <c r="B27" s="218" t="str">
        <v/>
      </c>
      <c r="C27" s="219" t="str">
        <v>Quarter</v>
      </c>
      <c r="D27" t="str">
        <v>WSH1976QTR-AC</v>
      </c>
      <c r="E27" t="str">
        <v>Washington Quarter</v>
      </c>
      <c r="F27" s="219" t="str">
        <v>About Uncirculated</v>
      </c>
      <c r="G27" s="169">
        <v>0.25</v>
      </c>
      <c r="H27" s="226">
        <v>0.25</v>
      </c>
      <c r="I27" s="136">
        <v>1</v>
      </c>
      <c r="J27" s="219">
        <v>0</v>
      </c>
      <c r="K27" s="219">
        <v>0</v>
      </c>
      <c r="L27" s="219" t="str">
        <f>IF(A27&lt;&gt;"","A"&amp;MATCH(D27,CoinCollection!E:E,),"")</f>
        <v>A1864</v>
      </c>
      <c r="N27" s="136"/>
      <c r="Y27" s="218" t="str">
        <f>IF(O27&lt;&gt;"","A"&amp;MATCH(R27,CoinCollection!E:E,),"")</f>
        <v/>
      </c>
      <c r="AA27" s="136">
        <v>1980</v>
      </c>
      <c r="AB27" s="218">
        <v>0</v>
      </c>
      <c r="AC27" t="str">
        <v>Penny</v>
      </c>
      <c r="AD27" t="str">
        <v>PNY1980's-Tube-AZ</v>
      </c>
      <c r="AE27" t="str">
        <v>1980'S Series Tube Pennies</v>
      </c>
      <c r="AF27" s="228" t="str">
        <v>About Uncirculated</v>
      </c>
      <c r="AG27" s="226">
        <v>0</v>
      </c>
      <c r="AH27" s="226">
        <v>0.5</v>
      </c>
      <c r="AI27" s="136">
        <v>50</v>
      </c>
      <c r="AJ27" s="219">
        <v>0</v>
      </c>
      <c r="AK27" s="218">
        <v>0</v>
      </c>
      <c r="AL27" s="218" t="str">
        <f>IF(AA27&lt;&gt;"","A"&amp;MATCH(AD27,CoinCollection!E:E,),"")</f>
        <v>A2411</v>
      </c>
      <c r="AN27">
        <v>1891</v>
      </c>
      <c r="AO27" s="218">
        <v>0</v>
      </c>
      <c r="AP27" t="str">
        <v>Dollar</v>
      </c>
      <c r="AQ27" t="str">
        <v>MOR1891DOL-AA</v>
      </c>
      <c r="AR27" t="str">
        <v>Morgan Dollar</v>
      </c>
      <c r="AS27" s="228" t="str">
        <v>About Uncirculated</v>
      </c>
      <c r="AT27" s="225">
        <v>18</v>
      </c>
      <c r="AU27" s="225">
        <v>80</v>
      </c>
      <c r="AV27" s="136">
        <v>1</v>
      </c>
      <c r="AW27" s="219">
        <v>0</v>
      </c>
      <c r="AX27" s="218">
        <v>0</v>
      </c>
      <c r="AY27" s="136" t="str">
        <f>IF(AN27&lt;&gt;"","A"&amp;MATCH(AQ27,CoinCollection!E:E,),"")</f>
        <v>A2225</v>
      </c>
      <c r="BA27">
        <v>1915</v>
      </c>
      <c r="BB27" s="218">
        <v>0</v>
      </c>
      <c r="BC27" t="str">
        <v>Penny</v>
      </c>
      <c r="BD27" t="str">
        <v>WHT1915CNT-AD</v>
      </c>
      <c r="BE27" t="str">
        <v>Wheat Penny</v>
      </c>
      <c r="BF27" t="str">
        <v>Extremely Fine</v>
      </c>
      <c r="BG27" s="225">
        <v>0.01</v>
      </c>
      <c r="BH27" s="225">
        <v>0.01</v>
      </c>
      <c r="BI27" s="136">
        <v>1</v>
      </c>
      <c r="BJ27" s="219">
        <v>0</v>
      </c>
      <c r="BK27" s="218">
        <v>0</v>
      </c>
      <c r="BL27" s="136" t="str">
        <f>IF(BA27&lt;&gt;"","A"&amp;MATCH(BD27,CoinCollection!E:E,),"")</f>
        <v>A62</v>
      </c>
      <c r="BO27" t="s">
        <v>1992</v>
      </c>
      <c r="BU27" t="str">
        <v>Kennedy Half Dollar Proof</v>
      </c>
    </row>
    <row r="28" spans="1:73">
      <c r="A28">
        <v>1976</v>
      </c>
      <c r="B28" s="218" t="str">
        <v>D</v>
      </c>
      <c r="C28" s="219" t="str">
        <v>Quarter</v>
      </c>
      <c r="D28" t="str">
        <v>WSH1976QTR-AD</v>
      </c>
      <c r="E28" t="str">
        <v>Washington Quarter</v>
      </c>
      <c r="F28" s="219" t="str">
        <v>About Uncirculated</v>
      </c>
      <c r="G28" s="169">
        <v>0.25</v>
      </c>
      <c r="H28" s="226">
        <v>0.25</v>
      </c>
      <c r="I28" s="136">
        <v>1</v>
      </c>
      <c r="J28" s="219">
        <v>0</v>
      </c>
      <c r="K28" s="219">
        <v>0</v>
      </c>
      <c r="L28" s="219" t="str">
        <f>IF(A28&lt;&gt;"","A"&amp;MATCH(D28,CoinCollection!E:E,),"")</f>
        <v>A1865</v>
      </c>
      <c r="N28" s="136"/>
      <c r="Y28" s="218" t="str">
        <f>IF(O28&lt;&gt;"","A"&amp;MATCH(R28,CoinCollection!E:E,),"")</f>
        <v/>
      </c>
      <c r="AA28" s="136">
        <v>1990</v>
      </c>
      <c r="AB28" s="218">
        <v>0</v>
      </c>
      <c r="AC28" t="str">
        <v>Dime</v>
      </c>
      <c r="AD28" t="str">
        <v>DIM1990's-Tube-BJ</v>
      </c>
      <c r="AE28" t="str">
        <v>Roosevelt Dimes Tubes Assorted Dates</v>
      </c>
      <c r="AF28" s="228" t="str">
        <v>About Uncirculated</v>
      </c>
      <c r="AG28" s="226">
        <v>4</v>
      </c>
      <c r="AH28" s="226">
        <v>6</v>
      </c>
      <c r="AI28" s="136">
        <v>45</v>
      </c>
      <c r="AJ28" s="219">
        <v>0</v>
      </c>
      <c r="AK28" s="218">
        <v>0</v>
      </c>
      <c r="AL28" s="218" t="str">
        <f>IF(AA28&lt;&gt;"","A"&amp;MATCH(AD28,CoinCollection!E:E,),"")</f>
        <v>A2412</v>
      </c>
      <c r="AN28">
        <v>1904</v>
      </c>
      <c r="AO28" s="218">
        <v>0</v>
      </c>
      <c r="AP28" t="str">
        <v>Dollar</v>
      </c>
      <c r="AQ28" t="str">
        <v>MOR1904DOL-AA</v>
      </c>
      <c r="AR28" t="str">
        <v>Morgan Dollar</v>
      </c>
      <c r="AS28" s="228" t="str">
        <v>About Uncirculated</v>
      </c>
      <c r="AT28" s="225">
        <v>35</v>
      </c>
      <c r="AU28" s="225">
        <v>50</v>
      </c>
      <c r="AV28" s="136">
        <v>1</v>
      </c>
      <c r="AW28" s="219">
        <v>0</v>
      </c>
      <c r="AX28" s="218">
        <v>0</v>
      </c>
      <c r="AY28" s="136" t="str">
        <f>IF(AN28&lt;&gt;"","A"&amp;MATCH(AQ28,CoinCollection!E:E,),"")</f>
        <v>A2226</v>
      </c>
      <c r="BA28">
        <v>1916</v>
      </c>
      <c r="BB28" s="218">
        <v>0</v>
      </c>
      <c r="BC28" t="str">
        <v>Penny</v>
      </c>
      <c r="BD28" t="str">
        <v>WHT1916CNT-AA</v>
      </c>
      <c r="BE28" t="str">
        <v>Wheat Penny</v>
      </c>
      <c r="BF28" t="str">
        <v>Extremely Fine</v>
      </c>
      <c r="BG28" s="225">
        <v>0.2</v>
      </c>
      <c r="BH28" s="225">
        <v>0.3</v>
      </c>
      <c r="BI28" s="136">
        <v>1</v>
      </c>
      <c r="BJ28" s="219">
        <v>0</v>
      </c>
      <c r="BK28" s="218">
        <v>0</v>
      </c>
      <c r="BL28" s="136" t="str">
        <f>IF(BA28&lt;&gt;"","A"&amp;MATCH(BD28,CoinCollection!E:E,),"")</f>
        <v>A63</v>
      </c>
      <c r="BO28" t="s">
        <v>2605</v>
      </c>
      <c r="BU28" t="str">
        <v>Liberty Halp Dollar</v>
      </c>
    </row>
    <row r="29" spans="1:73">
      <c r="A29">
        <v>1976</v>
      </c>
      <c r="B29" s="218" t="str">
        <v/>
      </c>
      <c r="C29" s="219" t="str">
        <v>Quarter</v>
      </c>
      <c r="D29" t="str">
        <v>WSH1976QTR-AE</v>
      </c>
      <c r="E29" t="str">
        <v>Washington Quarter</v>
      </c>
      <c r="F29" s="219" t="str">
        <v>About Uncirculated</v>
      </c>
      <c r="G29" s="169">
        <v>0.25</v>
      </c>
      <c r="H29" s="226">
        <v>0.25</v>
      </c>
      <c r="I29" s="136">
        <v>1</v>
      </c>
      <c r="J29" s="219">
        <v>0</v>
      </c>
      <c r="K29" s="219">
        <v>0</v>
      </c>
      <c r="L29" s="219" t="str">
        <f>IF(A29&lt;&gt;"","A"&amp;MATCH(D29,CoinCollection!E:E,),"")</f>
        <v>A1866</v>
      </c>
      <c r="N29" s="136"/>
      <c r="Y29" s="218" t="str">
        <f>IF(O29&lt;&gt;"","A"&amp;MATCH(R29,CoinCollection!E:E,),"")</f>
        <v/>
      </c>
      <c r="AA29" s="136">
        <v>1990</v>
      </c>
      <c r="AB29" s="218">
        <v>0</v>
      </c>
      <c r="AC29" t="str">
        <v>Penny</v>
      </c>
      <c r="AD29" t="str">
        <v>PNY1990's-Tube-BA</v>
      </c>
      <c r="AE29" t="str">
        <v>1990'S Series Tubes Pennies</v>
      </c>
      <c r="AF29" s="228" t="str">
        <v>About Uncirculated</v>
      </c>
      <c r="AG29" s="226">
        <v>0</v>
      </c>
      <c r="AH29" s="226">
        <v>0.5</v>
      </c>
      <c r="AI29" s="136">
        <v>50</v>
      </c>
      <c r="AJ29" s="219">
        <v>0</v>
      </c>
      <c r="AK29" s="218">
        <v>0</v>
      </c>
      <c r="AL29" s="218" t="str">
        <f>IF(AA29&lt;&gt;"","A"&amp;MATCH(AD29,CoinCollection!E:E,),"")</f>
        <v>A2413</v>
      </c>
      <c r="AN29">
        <v>1921</v>
      </c>
      <c r="AO29" s="218" t="str">
        <v>S</v>
      </c>
      <c r="AP29" t="str">
        <v>Dollar</v>
      </c>
      <c r="AQ29" t="str">
        <v>MOR1921DOL-AA</v>
      </c>
      <c r="AR29" t="str">
        <v>Morgan Dollar</v>
      </c>
      <c r="AS29" s="228" t="str">
        <v>About Uncirculated</v>
      </c>
      <c r="AT29" s="225">
        <v>39</v>
      </c>
      <c r="AU29" s="225">
        <v>50</v>
      </c>
      <c r="AV29" s="136">
        <v>1</v>
      </c>
      <c r="AW29" s="219">
        <v>0</v>
      </c>
      <c r="AX29" s="218">
        <v>0</v>
      </c>
      <c r="AY29" s="136" t="str">
        <f>IF(AN29&lt;&gt;"","A"&amp;MATCH(AQ29,CoinCollection!E:E,),"")</f>
        <v>A2227</v>
      </c>
      <c r="BA29">
        <v>1916</v>
      </c>
      <c r="BB29" s="218">
        <v>0</v>
      </c>
      <c r="BC29" t="str">
        <v>Penny</v>
      </c>
      <c r="BD29" t="str">
        <v>WHT1916CNT-AB</v>
      </c>
      <c r="BE29" t="str">
        <v>Wheat Penny</v>
      </c>
      <c r="BF29" t="str">
        <v>Extremely Fine</v>
      </c>
      <c r="BG29" s="225">
        <v>0.2</v>
      </c>
      <c r="BH29" s="225">
        <v>0.3</v>
      </c>
      <c r="BI29" s="136">
        <v>1</v>
      </c>
      <c r="BJ29" s="219">
        <v>0</v>
      </c>
      <c r="BK29" s="218">
        <v>0</v>
      </c>
      <c r="BL29" s="136" t="str">
        <f>IF(BA29&lt;&gt;"","A"&amp;MATCH(BD29,CoinCollection!E:E,),"")</f>
        <v>A64</v>
      </c>
      <c r="BO29" t="s">
        <v>2604</v>
      </c>
      <c r="BU29" t="str">
        <v>Morgan Doller</v>
      </c>
    </row>
    <row r="30" spans="1:73">
      <c r="A30">
        <v>1976</v>
      </c>
      <c r="B30" s="218" t="str">
        <v/>
      </c>
      <c r="C30" s="219" t="str">
        <v>Quarter</v>
      </c>
      <c r="D30" t="str">
        <v>WSH1976QTR-AF</v>
      </c>
      <c r="E30" t="str">
        <v>Washington Quarter</v>
      </c>
      <c r="F30" s="219" t="str">
        <v>About Uncirculated</v>
      </c>
      <c r="G30" s="169">
        <v>0.25</v>
      </c>
      <c r="H30" s="226">
        <v>0.25</v>
      </c>
      <c r="I30" s="136">
        <v>1</v>
      </c>
      <c r="J30" s="219">
        <v>0</v>
      </c>
      <c r="K30" s="219">
        <v>0</v>
      </c>
      <c r="L30" s="219" t="str">
        <f>IF(A30&lt;&gt;"","A"&amp;MATCH(D30,CoinCollection!E:E,),"")</f>
        <v>A1867</v>
      </c>
      <c r="N30" s="136"/>
      <c r="Y30" s="218" t="str">
        <f>IF(O30&lt;&gt;"","A"&amp;MATCH(R30,CoinCollection!E:E,),"")</f>
        <v/>
      </c>
      <c r="AA30" s="136">
        <v>1990</v>
      </c>
      <c r="AB30" s="218">
        <v>0</v>
      </c>
      <c r="AC30" t="str">
        <v>Penny</v>
      </c>
      <c r="AD30" t="str">
        <v>PNY1990'S-Tube-BB</v>
      </c>
      <c r="AE30" t="str">
        <v>1990'S Series Tubes Pennies</v>
      </c>
      <c r="AF30" s="228" t="str">
        <v>About Uncirculated</v>
      </c>
      <c r="AG30" s="226">
        <v>0</v>
      </c>
      <c r="AH30" s="226">
        <v>0.49</v>
      </c>
      <c r="AI30" s="136">
        <v>49</v>
      </c>
      <c r="AJ30" s="219">
        <v>0</v>
      </c>
      <c r="AK30" s="218">
        <v>0</v>
      </c>
      <c r="AL30" s="218" t="str">
        <f>IF(AA30&lt;&gt;"","A"&amp;MATCH(AD30,CoinCollection!E:E,),"")</f>
        <v>A2414</v>
      </c>
      <c r="AN30">
        <v>1921</v>
      </c>
      <c r="AO30" s="218">
        <v>0</v>
      </c>
      <c r="AP30" t="str">
        <v>Dollar</v>
      </c>
      <c r="AQ30" t="str">
        <v>MOR1921DOL-AB</v>
      </c>
      <c r="AR30" t="str">
        <v>Morgan Dollar</v>
      </c>
      <c r="AS30" s="228" t="str">
        <v>About Uncirculated</v>
      </c>
      <c r="AT30" s="225">
        <v>15</v>
      </c>
      <c r="AU30" s="225">
        <v>50</v>
      </c>
      <c r="AV30" s="136">
        <v>1</v>
      </c>
      <c r="AW30" s="219">
        <v>0</v>
      </c>
      <c r="AX30" s="218">
        <v>0</v>
      </c>
      <c r="AY30" s="136" t="str">
        <f>IF(AN30&lt;&gt;"","A"&amp;MATCH(AQ30,CoinCollection!E:E,),"")</f>
        <v>A2228</v>
      </c>
      <c r="BA30">
        <v>1916</v>
      </c>
      <c r="BB30" s="218" t="str">
        <v>S</v>
      </c>
      <c r="BC30" t="str">
        <v>Penny</v>
      </c>
      <c r="BD30" t="str">
        <v>WHT1916CNT-AC</v>
      </c>
      <c r="BE30" t="str">
        <v>Wheat Penny</v>
      </c>
      <c r="BF30" t="str">
        <v>Extremely Fine</v>
      </c>
      <c r="BG30" s="225">
        <v>1.75</v>
      </c>
      <c r="BH30" s="225">
        <v>1.75</v>
      </c>
      <c r="BI30" s="136">
        <v>1</v>
      </c>
      <c r="BJ30" s="219">
        <v>0</v>
      </c>
      <c r="BK30" s="218">
        <v>0</v>
      </c>
      <c r="BL30" s="136" t="str">
        <f>IF(BA30&lt;&gt;"","A"&amp;MATCH(BD30,CoinCollection!E:E,),"")</f>
        <v>A65</v>
      </c>
      <c r="BO30" t="s">
        <v>3858</v>
      </c>
      <c r="BU30" t="str">
        <v>Morgan Dollar</v>
      </c>
    </row>
    <row r="31" spans="1:73">
      <c r="A31">
        <v>1976</v>
      </c>
      <c r="B31" s="218" t="str">
        <v>D</v>
      </c>
      <c r="C31" s="219" t="str">
        <v>Quarter</v>
      </c>
      <c r="D31" t="str">
        <v>WSH1976QTR-AG</v>
      </c>
      <c r="E31" t="str">
        <v>Washington Quarter</v>
      </c>
      <c r="F31" s="219" t="str">
        <v>About Uncirculated</v>
      </c>
      <c r="G31" s="169">
        <v>0.25</v>
      </c>
      <c r="H31" s="226">
        <v>0.25</v>
      </c>
      <c r="I31" s="136">
        <v>1</v>
      </c>
      <c r="J31" s="219">
        <v>0</v>
      </c>
      <c r="K31" s="219">
        <v>0</v>
      </c>
      <c r="L31" s="219" t="str">
        <f>IF(A31&lt;&gt;"","A"&amp;MATCH(D31,CoinCollection!E:E,),"")</f>
        <v>A1868</v>
      </c>
      <c r="N31" s="136"/>
      <c r="Y31" s="218" t="str">
        <f>IF(O31&lt;&gt;"","A"&amp;MATCH(R31,CoinCollection!E:E,),"")</f>
        <v/>
      </c>
      <c r="AA31" s="136">
        <v>2000</v>
      </c>
      <c r="AB31" s="218">
        <v>0</v>
      </c>
      <c r="AC31" t="str">
        <v>Penny</v>
      </c>
      <c r="AD31" t="str">
        <v>PNY2000's-Tube-BC</v>
      </c>
      <c r="AE31" t="str">
        <v>2000'S Series Tube Pennies</v>
      </c>
      <c r="AF31" s="228" t="str">
        <v>About Uncirculated</v>
      </c>
      <c r="AG31" s="226">
        <v>0</v>
      </c>
      <c r="AH31" s="226">
        <v>0.5</v>
      </c>
      <c r="AI31" s="136">
        <v>50</v>
      </c>
      <c r="AJ31" s="219">
        <v>0</v>
      </c>
      <c r="AK31" s="218">
        <v>0</v>
      </c>
      <c r="AL31" s="218" t="str">
        <f>IF(AA31&lt;&gt;"","A"&amp;MATCH(AD31,CoinCollection!E:E,),"")</f>
        <v>A2417</v>
      </c>
      <c r="AN31">
        <v>1921</v>
      </c>
      <c r="AO31" s="218" t="str">
        <v>D</v>
      </c>
      <c r="AP31" t="str">
        <v>Dollar</v>
      </c>
      <c r="AQ31" t="str">
        <v>MOR1921DOL-AC</v>
      </c>
      <c r="AR31" t="str">
        <v>Morgan Dollar</v>
      </c>
      <c r="AS31" s="228" t="str">
        <v>About Uncirculated</v>
      </c>
      <c r="AT31" s="225">
        <v>15</v>
      </c>
      <c r="AU31" s="225">
        <v>50</v>
      </c>
      <c r="AV31" s="136">
        <v>1</v>
      </c>
      <c r="AW31" s="219">
        <v>0</v>
      </c>
      <c r="AX31" s="218">
        <v>0</v>
      </c>
      <c r="AY31" s="136" t="str">
        <f>IF(AN31&lt;&gt;"","A"&amp;MATCH(AQ31,CoinCollection!E:E,),"")</f>
        <v>A2229</v>
      </c>
      <c r="BA31">
        <v>1916</v>
      </c>
      <c r="BB31" s="218" t="str">
        <v>S</v>
      </c>
      <c r="BC31" t="str">
        <v>Penny</v>
      </c>
      <c r="BD31" t="str">
        <v>WHT1916CNT-AD</v>
      </c>
      <c r="BE31" t="str">
        <v>Wheat Penny</v>
      </c>
      <c r="BF31" t="str">
        <v>Extremely Fine</v>
      </c>
      <c r="BG31" s="225">
        <v>1.75</v>
      </c>
      <c r="BH31" s="225">
        <v>1.75</v>
      </c>
      <c r="BI31" s="136">
        <v>1</v>
      </c>
      <c r="BJ31" s="219">
        <v>0</v>
      </c>
      <c r="BK31" s="218">
        <v>0</v>
      </c>
      <c r="BL31" s="136" t="str">
        <f>IF(BA31&lt;&gt;"","A"&amp;MATCH(BD31,CoinCollection!E:E,),"")</f>
        <v>A66</v>
      </c>
      <c r="BO31" t="s">
        <v>2603</v>
      </c>
      <c r="BU31" t="str">
        <v>Peace Dollar</v>
      </c>
    </row>
    <row r="32" spans="1:73">
      <c r="A32">
        <v>1976</v>
      </c>
      <c r="B32" s="218">
        <v>0</v>
      </c>
      <c r="C32" s="219" t="str">
        <v>Half Dollar</v>
      </c>
      <c r="D32" t="str">
        <v>KEN1976HAV-AB</v>
      </c>
      <c r="E32" t="str">
        <v>Kennedy Half Dollar</v>
      </c>
      <c r="F32" s="219" t="str">
        <v>About Uncirculated</v>
      </c>
      <c r="G32" s="169">
        <v>0.5</v>
      </c>
      <c r="H32" s="226">
        <v>4.4000000000000004</v>
      </c>
      <c r="I32" s="136">
        <v>1</v>
      </c>
      <c r="J32" s="219">
        <v>0</v>
      </c>
      <c r="K32" s="219">
        <v>0</v>
      </c>
      <c r="L32" s="219" t="str">
        <f>IF(A32&lt;&gt;"","A"&amp;MATCH(D32,CoinCollection!E:E,),"")</f>
        <v>A2152</v>
      </c>
      <c r="N32" s="136"/>
      <c r="Y32" s="218" t="str">
        <f>IF(O32&lt;&gt;"","A"&amp;MATCH(R32,CoinCollection!E:E,),"")</f>
        <v/>
      </c>
      <c r="AA32" s="136">
        <v>2010</v>
      </c>
      <c r="AB32" s="218">
        <v>0</v>
      </c>
      <c r="AC32" t="str">
        <v>Penny</v>
      </c>
      <c r="AD32" t="str">
        <v>PNY2010's-Tube-BD</v>
      </c>
      <c r="AE32" t="str">
        <v>2010'S Tubes Series Pennies</v>
      </c>
      <c r="AF32" s="228" t="str">
        <v>About Uncirculated</v>
      </c>
      <c r="AG32" s="226">
        <v>0</v>
      </c>
      <c r="AH32" s="226">
        <v>0.48</v>
      </c>
      <c r="AI32" s="136">
        <v>48</v>
      </c>
      <c r="AJ32" s="219">
        <v>0</v>
      </c>
      <c r="AK32" s="218">
        <v>0</v>
      </c>
      <c r="AL32" s="218" t="str">
        <f>IF(AA32&lt;&gt;"","A"&amp;MATCH(AD32,CoinCollection!E:E,),"")</f>
        <v>A2421</v>
      </c>
      <c r="AN32">
        <v>1922</v>
      </c>
      <c r="AO32" s="218">
        <v>0</v>
      </c>
      <c r="AP32" t="str">
        <v>Dollar</v>
      </c>
      <c r="AQ32" t="str">
        <v>MOR1922DOL-AA</v>
      </c>
      <c r="AR32" t="str">
        <v>Morgan Dollar</v>
      </c>
      <c r="AS32" s="228" t="str">
        <v>About Uncirculated</v>
      </c>
      <c r="AT32" s="225">
        <v>1</v>
      </c>
      <c r="AU32" s="225">
        <v>60</v>
      </c>
      <c r="AV32" s="136">
        <v>1</v>
      </c>
      <c r="AW32" s="219">
        <v>0</v>
      </c>
      <c r="AX32" s="218">
        <v>0</v>
      </c>
      <c r="AY32" s="136" t="str">
        <f>IF(AN32&lt;&gt;"","A"&amp;MATCH(AQ32,CoinCollection!E:E,),"")</f>
        <v>A2230</v>
      </c>
      <c r="BA32">
        <v>1916</v>
      </c>
      <c r="BB32" s="218" t="str">
        <v>D</v>
      </c>
      <c r="BC32" t="str">
        <v>Penny</v>
      </c>
      <c r="BD32" t="str">
        <v>WHT1916CNT-AE</v>
      </c>
      <c r="BE32" t="str">
        <v>Wheat Penny</v>
      </c>
      <c r="BF32" t="str">
        <v>Extremely Fine</v>
      </c>
      <c r="BG32" s="225">
        <v>0.75</v>
      </c>
      <c r="BH32" s="225">
        <v>3</v>
      </c>
      <c r="BI32" s="136">
        <v>1</v>
      </c>
      <c r="BJ32" s="219">
        <v>0</v>
      </c>
      <c r="BK32" s="218">
        <v>0</v>
      </c>
      <c r="BL32" s="136" t="str">
        <f>IF(BA32&lt;&gt;"","A"&amp;MATCH(BD32,CoinCollection!E:E,),"")</f>
        <v>A67</v>
      </c>
      <c r="BO32" t="s">
        <v>4631</v>
      </c>
      <c r="BU32" t="str">
        <v>Eisenhower Dollar</v>
      </c>
    </row>
    <row r="33" spans="1:73">
      <c r="A33">
        <v>1976</v>
      </c>
      <c r="B33" s="218">
        <v>0</v>
      </c>
      <c r="C33" s="219" t="str">
        <v>Half Dollar</v>
      </c>
      <c r="D33" t="str">
        <v>KEN1976HAV-AC</v>
      </c>
      <c r="E33" t="str">
        <v>Kennedy Half Dollar</v>
      </c>
      <c r="F33" s="219" t="str">
        <v>About Uncirculated</v>
      </c>
      <c r="G33" s="169">
        <v>0.5</v>
      </c>
      <c r="H33" s="226">
        <v>4.4000000000000004</v>
      </c>
      <c r="I33" s="136">
        <v>1</v>
      </c>
      <c r="J33" s="219">
        <v>0</v>
      </c>
      <c r="K33" s="219">
        <v>0</v>
      </c>
      <c r="L33" s="219" t="str">
        <f>IF(A33&lt;&gt;"","A"&amp;MATCH(D33,CoinCollection!E:E,),"")</f>
        <v>A2153</v>
      </c>
      <c r="N33" s="136"/>
      <c r="Y33" s="218" t="str">
        <f>IF(O33&lt;&gt;"","A"&amp;MATCH(R33,CoinCollection!E:E,),"")</f>
        <v/>
      </c>
      <c r="AA33" s="136">
        <v>2010</v>
      </c>
      <c r="AB33" s="218">
        <v>0</v>
      </c>
      <c r="AC33" t="str">
        <v>Quarter</v>
      </c>
      <c r="AD33" t="str">
        <v>QTR2010-Tube-AM</v>
      </c>
      <c r="AE33" t="str">
        <v>National Parks Issue Tubes 2010-2019</v>
      </c>
      <c r="AF33" s="228" t="str">
        <v>About Uncirculated</v>
      </c>
      <c r="AG33" s="226">
        <v>0</v>
      </c>
      <c r="AH33" s="226">
        <v>11.5</v>
      </c>
      <c r="AI33" s="136">
        <v>46</v>
      </c>
      <c r="AJ33" s="219">
        <v>0</v>
      </c>
      <c r="AK33" s="218">
        <v>0</v>
      </c>
      <c r="AL33" s="218" t="str">
        <f>IF(AA33&lt;&gt;"","A"&amp;MATCH(AD33,CoinCollection!E:E,),"")</f>
        <v>A2422</v>
      </c>
      <c r="AN33">
        <v>1923</v>
      </c>
      <c r="AO33" s="218">
        <v>0</v>
      </c>
      <c r="AP33" t="str">
        <v>Dollar</v>
      </c>
      <c r="AQ33" t="str">
        <v>MOR1923DOL-AA</v>
      </c>
      <c r="AR33" t="str">
        <v>Morgan Dollar</v>
      </c>
      <c r="AS33" s="228" t="str">
        <v>About Uncirculated</v>
      </c>
      <c r="AT33" s="225">
        <v>9</v>
      </c>
      <c r="AU33" s="225">
        <v>80</v>
      </c>
      <c r="AV33" s="136">
        <v>1</v>
      </c>
      <c r="AW33" s="219">
        <v>0</v>
      </c>
      <c r="AX33" s="218">
        <v>0</v>
      </c>
      <c r="AY33" s="136" t="str">
        <f>IF(AN33&lt;&gt;"","A"&amp;MATCH(AQ33,CoinCollection!E:E,),"")</f>
        <v>A2231</v>
      </c>
      <c r="BA33">
        <v>1917</v>
      </c>
      <c r="BB33" s="218">
        <v>0</v>
      </c>
      <c r="BC33" t="str">
        <v>Penny</v>
      </c>
      <c r="BD33" t="str">
        <v>WHT1917CNT-AA</v>
      </c>
      <c r="BE33" t="str">
        <v>Wheat Penny</v>
      </c>
      <c r="BF33" t="str">
        <v>Extremely Fine</v>
      </c>
      <c r="BG33" s="225">
        <v>0.2</v>
      </c>
      <c r="BH33" s="225">
        <v>0.2</v>
      </c>
      <c r="BI33" s="136">
        <v>1</v>
      </c>
      <c r="BJ33" s="219">
        <v>0</v>
      </c>
      <c r="BK33" s="218">
        <v>0</v>
      </c>
      <c r="BL33" s="136" t="str">
        <f>IF(BA33&lt;&gt;"","A"&amp;MATCH(BD33,CoinCollection!E:E,),"")</f>
        <v>A68</v>
      </c>
      <c r="BO33" t="s">
        <v>3821</v>
      </c>
      <c r="BU33" t="str">
        <v>Canadian Dollar</v>
      </c>
    </row>
    <row r="34" spans="1:73">
      <c r="A34">
        <v>1976</v>
      </c>
      <c r="B34" s="218">
        <v>0</v>
      </c>
      <c r="C34" s="219" t="str">
        <v>Half Dollar</v>
      </c>
      <c r="D34" t="str">
        <v>KEN1976HAV-AD</v>
      </c>
      <c r="E34" t="str">
        <v>Kennedy Half Dollar</v>
      </c>
      <c r="F34" s="219" t="str">
        <v>About Uncirculated</v>
      </c>
      <c r="G34" s="169">
        <v>0.5</v>
      </c>
      <c r="H34" s="226">
        <v>4.4000000000000004</v>
      </c>
      <c r="I34" s="136">
        <v>1</v>
      </c>
      <c r="J34" s="219">
        <v>0</v>
      </c>
      <c r="K34" s="219">
        <v>0</v>
      </c>
      <c r="L34" s="219" t="str">
        <f>IF(A34&lt;&gt;"","A"&amp;MATCH(D34,CoinCollection!E:E,),"")</f>
        <v>A2154</v>
      </c>
      <c r="N34" s="136"/>
      <c r="Y34" s="218" t="str">
        <f>IF(O34&lt;&gt;"","A"&amp;MATCH(R34,CoinCollection!E:E,),"")</f>
        <v/>
      </c>
      <c r="AA34" s="136">
        <v>2010</v>
      </c>
      <c r="AB34" s="218">
        <v>0</v>
      </c>
      <c r="AC34" t="str">
        <v>Quarter</v>
      </c>
      <c r="AD34" t="str">
        <v>QTR2010-Tube-AN</v>
      </c>
      <c r="AE34" t="str">
        <v>National Parks Issue Tubes 2010-2019</v>
      </c>
      <c r="AF34" s="228" t="str">
        <v>About Uncirculated</v>
      </c>
      <c r="AG34" s="226">
        <v>0</v>
      </c>
      <c r="AH34" s="226">
        <v>11.5</v>
      </c>
      <c r="AI34" s="136">
        <v>46</v>
      </c>
      <c r="AJ34" s="219">
        <v>0</v>
      </c>
      <c r="AK34" s="218">
        <v>0</v>
      </c>
      <c r="AL34" s="218" t="str">
        <f>IF(AA34&lt;&gt;"","A"&amp;MATCH(AD34,CoinCollection!E:E,),"")</f>
        <v>A2423</v>
      </c>
      <c r="AN34">
        <v>1924</v>
      </c>
      <c r="AO34" s="218">
        <v>0</v>
      </c>
      <c r="AP34" t="str">
        <v>Dollar</v>
      </c>
      <c r="AQ34" t="str">
        <v>PEC1924DOL-AA</v>
      </c>
      <c r="AR34" t="str">
        <v>Morgan Dollar</v>
      </c>
      <c r="AS34" s="228" t="str">
        <v>About Uncirculated</v>
      </c>
      <c r="AT34" s="225">
        <v>1</v>
      </c>
      <c r="AU34" s="225">
        <v>200</v>
      </c>
      <c r="AV34" s="136">
        <v>1</v>
      </c>
      <c r="AW34" s="219">
        <v>0</v>
      </c>
      <c r="AX34" s="218">
        <v>0</v>
      </c>
      <c r="AY34" s="136" t="str">
        <f>IF(AN34&lt;&gt;"","A"&amp;MATCH(AQ34,CoinCollection!E:E,),"")</f>
        <v>A2232</v>
      </c>
      <c r="BA34">
        <v>1917</v>
      </c>
      <c r="BB34" s="218">
        <v>0</v>
      </c>
      <c r="BC34" t="str">
        <v>Penny</v>
      </c>
      <c r="BD34" t="str">
        <v>WHT1917CNT-AB</v>
      </c>
      <c r="BE34" t="str">
        <v>Wheat Penny</v>
      </c>
      <c r="BF34" t="str">
        <v>Extremely Fine</v>
      </c>
      <c r="BG34" s="225">
        <v>0.2</v>
      </c>
      <c r="BH34" s="225">
        <v>0.2</v>
      </c>
      <c r="BI34" s="136">
        <v>1</v>
      </c>
      <c r="BJ34" s="219">
        <v>0</v>
      </c>
      <c r="BK34" s="218">
        <v>0</v>
      </c>
      <c r="BL34" s="136" t="str">
        <f>IF(BA34&lt;&gt;"","A"&amp;MATCH(BD34,CoinCollection!E:E,),"")</f>
        <v>A69</v>
      </c>
      <c r="BO34" t="s">
        <v>2086</v>
      </c>
      <c r="BU34" t="str">
        <v>Eisenhower Dollar Variety I*</v>
      </c>
    </row>
    <row r="35" spans="1:73">
      <c r="A35">
        <v>1976</v>
      </c>
      <c r="B35" s="218">
        <v>0</v>
      </c>
      <c r="C35" s="219" t="str">
        <v>Half Dollar</v>
      </c>
      <c r="D35" t="str">
        <v>KEN1976HAV-AE</v>
      </c>
      <c r="E35" t="str">
        <v>Kennedy Half Dollar</v>
      </c>
      <c r="F35" s="219" t="str">
        <v>About Uncirculated</v>
      </c>
      <c r="G35" s="169">
        <v>0.5</v>
      </c>
      <c r="H35" s="226">
        <v>4.4000000000000004</v>
      </c>
      <c r="I35" s="136">
        <v>1</v>
      </c>
      <c r="J35" s="219">
        <v>0</v>
      </c>
      <c r="K35" s="219">
        <v>0</v>
      </c>
      <c r="L35" s="219" t="str">
        <f>IF(A35&lt;&gt;"","A"&amp;MATCH(D35,CoinCollection!E:E,),"")</f>
        <v>A2155</v>
      </c>
      <c r="N35" s="136"/>
      <c r="Y35" s="218" t="str">
        <f>IF(O35&lt;&gt;"","A"&amp;MATCH(R35,CoinCollection!E:E,),"")</f>
        <v/>
      </c>
      <c r="AA35" s="136">
        <v>2010</v>
      </c>
      <c r="AB35" s="218">
        <v>0</v>
      </c>
      <c r="AC35" t="str">
        <v>Quarter</v>
      </c>
      <c r="AD35" t="str">
        <v>QTR2010-Tube-AO</v>
      </c>
      <c r="AE35" t="str">
        <v>National Parks Issue Tubes 2010-2019</v>
      </c>
      <c r="AF35" s="228" t="str">
        <v>About Uncirculated</v>
      </c>
      <c r="AG35" s="226">
        <v>0</v>
      </c>
      <c r="AH35" s="226">
        <v>11.5</v>
      </c>
      <c r="AI35" s="136">
        <v>46</v>
      </c>
      <c r="AJ35" s="219">
        <v>0</v>
      </c>
      <c r="AK35" s="218">
        <v>0</v>
      </c>
      <c r="AL35" s="218" t="str">
        <f>IF(AA35&lt;&gt;"","A"&amp;MATCH(AD35,CoinCollection!E:E,),"")</f>
        <v>A2424</v>
      </c>
      <c r="AN35">
        <v>1924</v>
      </c>
      <c r="AO35" s="218">
        <v>0</v>
      </c>
      <c r="AP35" t="str">
        <v>Dollar</v>
      </c>
      <c r="AQ35" t="str">
        <v>PEC1924DOL-AD</v>
      </c>
      <c r="AR35" t="str">
        <v>Peace Dollar</v>
      </c>
      <c r="AS35" s="228" t="str">
        <v>About Uncirculated</v>
      </c>
      <c r="AT35" s="225">
        <v>1</v>
      </c>
      <c r="AU35" s="225">
        <v>200</v>
      </c>
      <c r="AV35" s="136">
        <v>1</v>
      </c>
      <c r="AW35" s="219">
        <v>0</v>
      </c>
      <c r="AX35" s="218">
        <v>0</v>
      </c>
      <c r="AY35" s="136" t="str">
        <f>IF(AN35&lt;&gt;"","A"&amp;MATCH(AQ35,CoinCollection!E:E,),"")</f>
        <v>A2233</v>
      </c>
      <c r="BA35">
        <v>1917</v>
      </c>
      <c r="BB35" s="218">
        <v>0</v>
      </c>
      <c r="BC35" t="str">
        <v>Penny</v>
      </c>
      <c r="BD35" t="str">
        <v>WHT1917CNT-AC</v>
      </c>
      <c r="BE35" t="str">
        <v>Wheat Penny</v>
      </c>
      <c r="BF35" t="str">
        <v>Extremely Fine</v>
      </c>
      <c r="BG35" s="225">
        <v>0.25</v>
      </c>
      <c r="BH35" s="225">
        <v>0.25</v>
      </c>
      <c r="BI35" s="136">
        <v>1</v>
      </c>
      <c r="BJ35" s="219">
        <v>0</v>
      </c>
      <c r="BK35" s="218">
        <v>0</v>
      </c>
      <c r="BL35" s="136" t="str">
        <f>IF(BA35&lt;&gt;"","A"&amp;MATCH(BD35,CoinCollection!E:E,),"")</f>
        <v>A70</v>
      </c>
      <c r="BO35" t="s">
        <v>2088</v>
      </c>
      <c r="BU35" t="str">
        <v>Susan B Anthony</v>
      </c>
    </row>
    <row r="36" spans="1:73">
      <c r="A36">
        <v>1976</v>
      </c>
      <c r="B36" s="218">
        <v>0</v>
      </c>
      <c r="C36" s="219" t="str">
        <v>Half Dollar</v>
      </c>
      <c r="D36" t="str">
        <v>KEN1976HAV-AF</v>
      </c>
      <c r="E36" t="str">
        <v>Kennedy Half Dollar</v>
      </c>
      <c r="F36" s="219" t="str">
        <v>About Uncirculated</v>
      </c>
      <c r="G36" s="169">
        <v>0.5</v>
      </c>
      <c r="H36" s="226">
        <v>4.4000000000000004</v>
      </c>
      <c r="I36" s="136">
        <v>1</v>
      </c>
      <c r="J36" s="219">
        <v>0</v>
      </c>
      <c r="K36" s="219">
        <v>0</v>
      </c>
      <c r="L36" s="219" t="str">
        <f>IF(A36&lt;&gt;"","A"&amp;MATCH(D36,CoinCollection!E:E,),"")</f>
        <v>A2156</v>
      </c>
      <c r="N36" s="136"/>
      <c r="Y36" s="218" t="str">
        <f>IF(O36&lt;&gt;"","A"&amp;MATCH(R36,CoinCollection!E:E,),"")</f>
        <v/>
      </c>
      <c r="AA36" s="136">
        <v>2020</v>
      </c>
      <c r="AB36" s="218">
        <v>0</v>
      </c>
      <c r="AC36" t="str">
        <v>Nickel</v>
      </c>
      <c r="AD36" t="str">
        <v>Tube2020NIC-BL</v>
      </c>
      <c r="AE36" t="str">
        <v>Jefferson Nickel Tube Assorted Dates</v>
      </c>
      <c r="AF36" s="228" t="str">
        <v>About Uncirculated</v>
      </c>
      <c r="AG36" s="226">
        <v>2</v>
      </c>
      <c r="AH36" s="226">
        <v>6</v>
      </c>
      <c r="AI36" s="136">
        <v>40</v>
      </c>
      <c r="AJ36" s="219">
        <v>0</v>
      </c>
      <c r="AK36" s="218">
        <v>0</v>
      </c>
      <c r="AL36" s="218" t="str">
        <f>IF(AA36&lt;&gt;"","A"&amp;MATCH(AD36,CoinCollection!E:E,),"")</f>
        <v>A2427</v>
      </c>
      <c r="AN36">
        <v>1926</v>
      </c>
      <c r="AO36" s="218">
        <v>0</v>
      </c>
      <c r="AP36" t="str">
        <v>Dollar</v>
      </c>
      <c r="AQ36" t="str">
        <v>PEC1926DOL-AA</v>
      </c>
      <c r="AR36" t="str">
        <v>Peace Dollar</v>
      </c>
      <c r="AS36" s="228" t="str">
        <v>About Uncirculated</v>
      </c>
      <c r="AT36" s="225">
        <v>25</v>
      </c>
      <c r="AU36" s="225">
        <v>70</v>
      </c>
      <c r="AV36" s="136">
        <v>1</v>
      </c>
      <c r="AW36" s="219">
        <v>0</v>
      </c>
      <c r="AX36" s="218">
        <v>0</v>
      </c>
      <c r="AY36" s="136" t="str">
        <f>IF(AN36&lt;&gt;"","A"&amp;MATCH(AQ36,CoinCollection!E:E,),"")</f>
        <v>A2234</v>
      </c>
      <c r="BA36">
        <v>1917</v>
      </c>
      <c r="BB36" s="218">
        <v>0</v>
      </c>
      <c r="BC36" t="str">
        <v>Penny</v>
      </c>
      <c r="BD36" t="str">
        <v>WHT1917CNT-AD</v>
      </c>
      <c r="BE36" t="str">
        <v>Wheat Penny</v>
      </c>
      <c r="BF36" t="str">
        <v>Extremely Fine</v>
      </c>
      <c r="BG36" s="225">
        <v>0.2</v>
      </c>
      <c r="BH36" s="225">
        <v>0.2</v>
      </c>
      <c r="BI36" s="136">
        <v>1</v>
      </c>
      <c r="BJ36" s="219">
        <v>0</v>
      </c>
      <c r="BK36" s="218">
        <v>0</v>
      </c>
      <c r="BL36" s="136" t="str">
        <f>IF(BA36&lt;&gt;"","A"&amp;MATCH(BD36,CoinCollection!E:E,),"")</f>
        <v>A71</v>
      </c>
      <c r="BO36" t="s">
        <v>2601</v>
      </c>
      <c r="BU36" t="str">
        <v>American Eagle Unc</v>
      </c>
    </row>
    <row r="37" spans="1:73">
      <c r="A37">
        <v>1976</v>
      </c>
      <c r="B37" s="218">
        <v>0</v>
      </c>
      <c r="C37" s="219" t="str">
        <v>Half Dollar</v>
      </c>
      <c r="D37" t="str">
        <v>KEN1976HAV-AG</v>
      </c>
      <c r="E37" t="str">
        <v>Kennedy Half Dollar</v>
      </c>
      <c r="F37" s="219" t="str">
        <v>About Uncirculated</v>
      </c>
      <c r="G37" s="169">
        <v>0.5</v>
      </c>
      <c r="H37" s="226">
        <v>4.4000000000000004</v>
      </c>
      <c r="I37" s="136">
        <v>1</v>
      </c>
      <c r="J37" s="219">
        <v>0</v>
      </c>
      <c r="K37" s="219">
        <v>0</v>
      </c>
      <c r="L37" s="219" t="str">
        <f>IF(A37&lt;&gt;"","A"&amp;MATCH(D37,CoinCollection!E:E,),"")</f>
        <v>A2157</v>
      </c>
      <c r="N37" s="136"/>
      <c r="Y37" s="218" t="str">
        <f>IF(O37&lt;&gt;"","A"&amp;MATCH(R37,CoinCollection!E:E,),"")</f>
        <v/>
      </c>
      <c r="AA37" s="136">
        <v>2004</v>
      </c>
      <c r="AB37" s="218">
        <v>0</v>
      </c>
      <c r="AC37" t="str">
        <v>Nickel</v>
      </c>
      <c r="AD37" t="str">
        <v>Roll2004NIC-AA</v>
      </c>
      <c r="AE37" t="str">
        <v>Jefferson Nickel Roll Hand Shake</v>
      </c>
      <c r="AF37" s="228" t="str">
        <v>About Uncirculated</v>
      </c>
      <c r="AG37" s="226">
        <v>0</v>
      </c>
      <c r="AH37" s="226">
        <v>2</v>
      </c>
      <c r="AI37" s="136">
        <v>40</v>
      </c>
      <c r="AJ37" s="219" t="str">
        <v>Hand Shake</v>
      </c>
      <c r="AK37" s="218">
        <v>0</v>
      </c>
      <c r="AL37" s="218" t="str">
        <f>IF(AA37&lt;&gt;"","A"&amp;MATCH(AD37,CoinCollection!E:E,),"")</f>
        <v>A2429</v>
      </c>
      <c r="AN37">
        <v>1934</v>
      </c>
      <c r="AO37" s="218" t="str">
        <v>S</v>
      </c>
      <c r="AP37" t="str">
        <v>Dollar</v>
      </c>
      <c r="AQ37" t="str">
        <v>PEC1934DOL-AA</v>
      </c>
      <c r="AR37" t="str">
        <v>Peace Dollar</v>
      </c>
      <c r="AS37" s="228" t="str">
        <v>Extremely Fine</v>
      </c>
      <c r="AT37" s="225">
        <v>40</v>
      </c>
      <c r="AU37" s="225">
        <v>75</v>
      </c>
      <c r="AV37" s="136">
        <v>1</v>
      </c>
      <c r="AW37" s="219">
        <v>0</v>
      </c>
      <c r="AX37" s="218">
        <v>0</v>
      </c>
      <c r="AY37" s="136" t="str">
        <f>IF(AN37&lt;&gt;"","A"&amp;MATCH(AQ37,CoinCollection!E:E,),"")</f>
        <v>A2235</v>
      </c>
      <c r="BA37">
        <v>1917</v>
      </c>
      <c r="BB37" s="218" t="str">
        <v>S</v>
      </c>
      <c r="BC37" t="str">
        <v>Penny</v>
      </c>
      <c r="BD37" t="str">
        <v>WHT1917CNT-AE</v>
      </c>
      <c r="BE37" t="str">
        <v>Wheat Penny</v>
      </c>
      <c r="BF37" t="str">
        <v>Extremely Fine</v>
      </c>
      <c r="BG37" s="225">
        <v>0.25</v>
      </c>
      <c r="BH37" s="225">
        <v>0.25</v>
      </c>
      <c r="BI37" s="136">
        <v>1</v>
      </c>
      <c r="BJ37" s="219">
        <v>0</v>
      </c>
      <c r="BK37" s="218">
        <v>0</v>
      </c>
      <c r="BL37" s="136" t="str">
        <f>IF(BA37&lt;&gt;"","A"&amp;MATCH(BD37,CoinCollection!E:E,),"")</f>
        <v>A72</v>
      </c>
      <c r="BO37" t="s">
        <v>2600</v>
      </c>
      <c r="BU37" t="str">
        <v>Liberty Silver Dollar</v>
      </c>
    </row>
    <row r="38" spans="1:73">
      <c r="A38">
        <v>1976</v>
      </c>
      <c r="B38" s="218">
        <v>0</v>
      </c>
      <c r="C38" s="219" t="str">
        <v>Half Dollar</v>
      </c>
      <c r="D38" t="str">
        <v>KEN1976HAV-AH</v>
      </c>
      <c r="E38" t="str">
        <v>Kennedy Half Dollar</v>
      </c>
      <c r="F38" s="219" t="str">
        <v>About Uncirculated</v>
      </c>
      <c r="G38" s="169">
        <v>0.5</v>
      </c>
      <c r="H38" s="226">
        <v>4.4000000000000004</v>
      </c>
      <c r="I38" s="136">
        <v>1</v>
      </c>
      <c r="J38" s="219">
        <v>0</v>
      </c>
      <c r="K38" s="219">
        <v>0</v>
      </c>
      <c r="L38" s="219" t="str">
        <f>IF(A38&lt;&gt;"","A"&amp;MATCH(D38,CoinCollection!E:E,),"")</f>
        <v>A2158</v>
      </c>
      <c r="N38" s="136"/>
      <c r="Y38" s="218" t="str">
        <f>IF(O38&lt;&gt;"","A"&amp;MATCH(R38,CoinCollection!E:E,),"")</f>
        <v/>
      </c>
      <c r="AA38" s="136">
        <v>2004</v>
      </c>
      <c r="AB38" s="218">
        <v>0</v>
      </c>
      <c r="AC38" t="str">
        <v>Nickel</v>
      </c>
      <c r="AD38" t="str">
        <v>Roll2004NIC-AD</v>
      </c>
      <c r="AE38" t="str">
        <v>Jefferson Nickel Roll Fishing Boat</v>
      </c>
      <c r="AF38" s="228" t="str">
        <v>About Uncirculated</v>
      </c>
      <c r="AG38" s="226">
        <v>0</v>
      </c>
      <c r="AH38" s="226">
        <v>2</v>
      </c>
      <c r="AI38" s="136">
        <v>40</v>
      </c>
      <c r="AJ38" s="219" t="str">
        <v>Fishing Boat</v>
      </c>
      <c r="AK38" s="218">
        <v>0</v>
      </c>
      <c r="AL38" s="218" t="str">
        <f>IF(AA38&lt;&gt;"","A"&amp;MATCH(AD38,CoinCollection!E:E,),"")</f>
        <v>A2430</v>
      </c>
      <c r="AN38">
        <v>1935</v>
      </c>
      <c r="AO38" s="218" t="str">
        <v>S</v>
      </c>
      <c r="AP38" t="str">
        <v>Dollar</v>
      </c>
      <c r="AQ38" t="str">
        <v>PEC1935DOL-AA</v>
      </c>
      <c r="AR38" t="str">
        <v>Peace Dollar</v>
      </c>
      <c r="AS38" s="228" t="str">
        <v>Extremely Fine</v>
      </c>
      <c r="AT38" s="225">
        <v>35</v>
      </c>
      <c r="AU38" s="225">
        <v>85</v>
      </c>
      <c r="AV38" s="136">
        <v>1</v>
      </c>
      <c r="AW38" s="219">
        <v>0</v>
      </c>
      <c r="AX38" s="218">
        <v>0</v>
      </c>
      <c r="AY38" s="136" t="str">
        <f>IF(AN38&lt;&gt;"","A"&amp;MATCH(AQ38,CoinCollection!E:E,),"")</f>
        <v>A2236</v>
      </c>
      <c r="BA38">
        <v>1917</v>
      </c>
      <c r="BB38" s="218" t="str">
        <v>S</v>
      </c>
      <c r="BC38" t="str">
        <v>Penny</v>
      </c>
      <c r="BD38" t="str">
        <v>WHT1917CNT-AF</v>
      </c>
      <c r="BE38" t="str">
        <v>Wheat Penny</v>
      </c>
      <c r="BF38" t="str">
        <v>Extremely Fine</v>
      </c>
      <c r="BG38" s="225">
        <v>1.5</v>
      </c>
      <c r="BH38" s="225">
        <v>1.5</v>
      </c>
      <c r="BI38" s="136">
        <v>1</v>
      </c>
      <c r="BJ38" s="219">
        <v>0</v>
      </c>
      <c r="BK38" s="218">
        <v>0</v>
      </c>
      <c r="BL38" s="136" t="str">
        <f>IF(BA38&lt;&gt;"","A"&amp;MATCH(BD38,CoinCollection!E:E,),"")</f>
        <v>A73</v>
      </c>
      <c r="BO38" t="s">
        <v>2599</v>
      </c>
      <c r="BU38" t="str">
        <v>US Constitution</v>
      </c>
    </row>
    <row r="39" spans="1:73">
      <c r="A39">
        <v>1976</v>
      </c>
      <c r="B39" s="218">
        <v>0</v>
      </c>
      <c r="C39" s="219" t="str">
        <v>Half Dollar</v>
      </c>
      <c r="D39" t="str">
        <v>KEN1976HAV-AI</v>
      </c>
      <c r="E39" t="str">
        <v>Kennedy Half Dollar</v>
      </c>
      <c r="F39" s="219" t="str">
        <v>About Uncirculated</v>
      </c>
      <c r="G39" s="169">
        <v>0.5</v>
      </c>
      <c r="H39" s="226">
        <v>4.4000000000000004</v>
      </c>
      <c r="I39" s="136">
        <v>1</v>
      </c>
      <c r="J39" s="219">
        <v>0</v>
      </c>
      <c r="K39" s="219">
        <v>0</v>
      </c>
      <c r="L39" s="219" t="str">
        <f>IF(A39&lt;&gt;"","A"&amp;MATCH(D39,CoinCollection!E:E,),"")</f>
        <v>A2159</v>
      </c>
      <c r="N39" s="136"/>
      <c r="Y39" s="218" t="str">
        <f>IF(O39&lt;&gt;"","A"&amp;MATCH(R39,CoinCollection!E:E,),"")</f>
        <v/>
      </c>
      <c r="AA39" s="136">
        <v>2005</v>
      </c>
      <c r="AB39" s="218">
        <v>0</v>
      </c>
      <c r="AC39" t="str">
        <v>Nickel</v>
      </c>
      <c r="AD39" t="str">
        <v>JEF2005NIC-AA</v>
      </c>
      <c r="AE39" t="str">
        <v>Jefferson Nickel Roll Bison Roll</v>
      </c>
      <c r="AF39" s="228" t="str">
        <v>About Uncirculated</v>
      </c>
      <c r="AG39" s="226">
        <v>2</v>
      </c>
      <c r="AH39" s="226">
        <v>13.6</v>
      </c>
      <c r="AI39" s="136">
        <v>40</v>
      </c>
      <c r="AJ39" s="219" t="str">
        <v>BISON ROLL</v>
      </c>
      <c r="AK39" s="218">
        <v>0</v>
      </c>
      <c r="AL39" s="218" t="str">
        <f>IF(AA39&lt;&gt;"","A"&amp;MATCH(AD39,CoinCollection!E:E,),"")</f>
        <v>A2431</v>
      </c>
      <c r="AN39">
        <v>1975</v>
      </c>
      <c r="AO39" s="218" t="str">
        <v>P</v>
      </c>
      <c r="AP39" t="str">
        <v>Dollar</v>
      </c>
      <c r="AQ39" t="str">
        <v>CAN1975DOL-AA</v>
      </c>
      <c r="AR39" t="str">
        <v>Canadian Dollar</v>
      </c>
      <c r="AS39" s="228" t="str">
        <v>About Uncirculated</v>
      </c>
      <c r="AT39" s="225">
        <v>1</v>
      </c>
      <c r="AU39" s="225">
        <v>70</v>
      </c>
      <c r="AV39" s="136">
        <v>1</v>
      </c>
      <c r="AW39" s="219">
        <v>0</v>
      </c>
      <c r="AX39" s="218">
        <v>0</v>
      </c>
      <c r="AY39" s="136" t="str">
        <f>IF(AN39&lt;&gt;"","A"&amp;MATCH(AQ39,CoinCollection!E:E,),"")</f>
        <v>A2245</v>
      </c>
      <c r="BA39">
        <v>1917</v>
      </c>
      <c r="BB39" s="218" t="str">
        <v>D</v>
      </c>
      <c r="BC39" t="str">
        <v>Penny</v>
      </c>
      <c r="BD39" t="str">
        <v>WHT1917CNT-AG</v>
      </c>
      <c r="BE39" t="str">
        <v>Wheat Penny</v>
      </c>
      <c r="BF39" t="str">
        <v>Extremely Fine</v>
      </c>
      <c r="BG39" s="225">
        <v>1.5</v>
      </c>
      <c r="BH39" s="225">
        <v>3.98</v>
      </c>
      <c r="BI39" s="136">
        <v>1</v>
      </c>
      <c r="BJ39" s="219">
        <v>0</v>
      </c>
      <c r="BK39" s="218">
        <v>0</v>
      </c>
      <c r="BL39" s="136" t="str">
        <f>IF(BA39&lt;&gt;"","A"&amp;MATCH(BD39,CoinCollection!E:E,),"")</f>
        <v>A74</v>
      </c>
      <c r="BO39" t="s">
        <v>2070</v>
      </c>
      <c r="BU39" t="str">
        <v>Uso Silver Dollar</v>
      </c>
    </row>
    <row r="40" spans="1:73">
      <c r="A40">
        <v>1976</v>
      </c>
      <c r="B40" s="218">
        <v>0</v>
      </c>
      <c r="C40" s="219" t="str">
        <v>Half Dollar</v>
      </c>
      <c r="D40" t="str">
        <v>KEN1976HAV-AJ</v>
      </c>
      <c r="E40" t="str">
        <v>Kennedy Half Dollar</v>
      </c>
      <c r="F40" s="219" t="str">
        <v>About Uncirculated</v>
      </c>
      <c r="G40" s="169">
        <v>0.5</v>
      </c>
      <c r="H40" s="226">
        <v>4.4000000000000004</v>
      </c>
      <c r="I40" s="136">
        <v>1</v>
      </c>
      <c r="J40" s="219">
        <v>0</v>
      </c>
      <c r="K40" s="219">
        <v>0</v>
      </c>
      <c r="L40" s="219" t="str">
        <f>IF(A40&lt;&gt;"","A"&amp;MATCH(D40,CoinCollection!E:E,),"")</f>
        <v>A2160</v>
      </c>
      <c r="N40" s="136"/>
      <c r="Y40" s="218" t="str">
        <f>IF(O40&lt;&gt;"","A"&amp;MATCH(R40,CoinCollection!E:E,),"")</f>
        <v/>
      </c>
      <c r="AA40" s="136">
        <v>2005</v>
      </c>
      <c r="AB40" s="218">
        <v>0</v>
      </c>
      <c r="AC40" t="str">
        <v>Nickel</v>
      </c>
      <c r="AD40" t="str">
        <v>JEF2005NIC-AB</v>
      </c>
      <c r="AE40" t="str">
        <v>Jefferson Nickel Roll Peace Medal</v>
      </c>
      <c r="AF40" s="228" t="str">
        <v>About Uncirculated</v>
      </c>
      <c r="AG40" s="226">
        <v>2</v>
      </c>
      <c r="AH40" s="226">
        <v>9.6</v>
      </c>
      <c r="AI40" s="136">
        <v>40</v>
      </c>
      <c r="AJ40" s="219" t="str">
        <v>PEACE MEDAL- ROLL</v>
      </c>
      <c r="AK40" s="218">
        <v>0</v>
      </c>
      <c r="AL40" s="218" t="str">
        <f>IF(AA40&lt;&gt;"","A"&amp;MATCH(AD40,CoinCollection!E:E,),"")</f>
        <v>A2432</v>
      </c>
      <c r="AN40">
        <v>1975</v>
      </c>
      <c r="AO40" s="218">
        <v>0</v>
      </c>
      <c r="AP40" t="str">
        <v>Dollar</v>
      </c>
      <c r="AQ40" t="str">
        <v>CAN1975DOL-AB</v>
      </c>
      <c r="AR40" t="str">
        <v>Canadian Dollar</v>
      </c>
      <c r="AS40" s="228" t="str">
        <v>About Uncirculated</v>
      </c>
      <c r="AT40" s="225">
        <v>1</v>
      </c>
      <c r="AU40" s="225">
        <v>70</v>
      </c>
      <c r="AV40" s="136">
        <v>1</v>
      </c>
      <c r="AW40" s="219">
        <v>0</v>
      </c>
      <c r="AX40" s="218">
        <v>0</v>
      </c>
      <c r="AY40" s="136" t="str">
        <f>IF(AN40&lt;&gt;"","A"&amp;MATCH(AQ40,CoinCollection!E:E,),"")</f>
        <v>A2246</v>
      </c>
      <c r="BA40">
        <v>1918</v>
      </c>
      <c r="BB40" s="218">
        <v>0</v>
      </c>
      <c r="BC40" t="str">
        <v>Penny</v>
      </c>
      <c r="BD40" t="str">
        <v>WHT1918CNT-AA</v>
      </c>
      <c r="BE40" t="str">
        <v>Wheat Penny</v>
      </c>
      <c r="BF40" t="str">
        <v>Extremely Fine</v>
      </c>
      <c r="BG40" s="225">
        <v>0.2</v>
      </c>
      <c r="BH40" s="225">
        <v>0.2</v>
      </c>
      <c r="BI40" s="136">
        <v>1</v>
      </c>
      <c r="BJ40" s="219">
        <v>0</v>
      </c>
      <c r="BK40" s="218">
        <v>0</v>
      </c>
      <c r="BL40" s="136" t="str">
        <f>IF(BA40&lt;&gt;"","A"&amp;MATCH(BD40,CoinCollection!E:E,),"")</f>
        <v>A75</v>
      </c>
      <c r="BO40" t="s">
        <v>2041</v>
      </c>
      <c r="BU40" t="str">
        <v>Korean Memorial</v>
      </c>
    </row>
    <row r="41" spans="1:73">
      <c r="A41">
        <v>1976</v>
      </c>
      <c r="B41" s="218">
        <v>0</v>
      </c>
      <c r="C41" s="219" t="str">
        <v>Half Dollar</v>
      </c>
      <c r="D41" t="str">
        <v>KEN1976HAV-AK</v>
      </c>
      <c r="E41" t="str">
        <v>Kennedy Half Dollar</v>
      </c>
      <c r="F41" s="219" t="str">
        <v>About Uncirculated</v>
      </c>
      <c r="G41" s="169">
        <v>0.5</v>
      </c>
      <c r="H41" s="226">
        <v>4.4000000000000004</v>
      </c>
      <c r="I41" s="136">
        <v>1</v>
      </c>
      <c r="J41" s="219">
        <v>0</v>
      </c>
      <c r="K41" s="219">
        <v>0</v>
      </c>
      <c r="L41" s="219" t="str">
        <f>IF(A41&lt;&gt;"","A"&amp;MATCH(D41,CoinCollection!E:E,),"")</f>
        <v>A2161</v>
      </c>
      <c r="N41" s="136"/>
      <c r="Y41" s="218" t="str">
        <f>IF(O41&lt;&gt;"","A"&amp;MATCH(R41,CoinCollection!E:E,),"")</f>
        <v/>
      </c>
      <c r="AA41" s="136">
        <v>2005</v>
      </c>
      <c r="AB41" s="218">
        <v>0</v>
      </c>
      <c r="AC41" t="str">
        <v>Nickel</v>
      </c>
      <c r="AD41" t="str">
        <v>JEF2005NIC-AC</v>
      </c>
      <c r="AE41" t="str">
        <v>Jefferson Nickel Roll Ocean In View</v>
      </c>
      <c r="AF41" s="228" t="str">
        <v>About Uncirculated</v>
      </c>
      <c r="AG41" s="226">
        <v>2</v>
      </c>
      <c r="AH41" s="226">
        <v>9.6</v>
      </c>
      <c r="AI41" s="136">
        <v>40</v>
      </c>
      <c r="AJ41" s="219" t="str">
        <v>OCEAN IN VIEW- ROLL</v>
      </c>
      <c r="AK41" s="218">
        <v>0</v>
      </c>
      <c r="AL41" s="218" t="str">
        <f>IF(AA41&lt;&gt;"","A"&amp;MATCH(AD41,CoinCollection!E:E,),"")</f>
        <v>A2433</v>
      </c>
      <c r="AN41">
        <v>1975</v>
      </c>
      <c r="AO41" s="218">
        <v>0</v>
      </c>
      <c r="AP41" t="str">
        <v>Dollar</v>
      </c>
      <c r="AQ41" t="str">
        <v>CAN1975DOL-AC</v>
      </c>
      <c r="AR41" t="str">
        <v>Canadian Dollar</v>
      </c>
      <c r="AS41" s="228" t="str">
        <v>About Uncirculated</v>
      </c>
      <c r="AT41" s="225">
        <v>1</v>
      </c>
      <c r="AU41" s="225">
        <v>70</v>
      </c>
      <c r="AV41" s="136">
        <v>1</v>
      </c>
      <c r="AW41" s="219">
        <v>0</v>
      </c>
      <c r="AX41" s="218">
        <v>0</v>
      </c>
      <c r="AY41" s="136" t="str">
        <f>IF(AN41&lt;&gt;"","A"&amp;MATCH(AQ41,CoinCollection!E:E,),"")</f>
        <v>A2247</v>
      </c>
      <c r="BA41">
        <v>1918</v>
      </c>
      <c r="BB41" s="218">
        <v>0</v>
      </c>
      <c r="BC41" t="str">
        <v>Penny</v>
      </c>
      <c r="BD41" t="str">
        <v>WHT1918CNT-AB</v>
      </c>
      <c r="BE41" t="str">
        <v>Wheat Penny</v>
      </c>
      <c r="BF41" t="str">
        <v>Extremely Fine</v>
      </c>
      <c r="BG41" s="225">
        <v>0.2</v>
      </c>
      <c r="BH41" s="225">
        <v>0.2</v>
      </c>
      <c r="BI41" s="136">
        <v>1</v>
      </c>
      <c r="BJ41" s="219">
        <v>0</v>
      </c>
      <c r="BK41" s="218">
        <v>0</v>
      </c>
      <c r="BL41" s="136" t="str">
        <f>IF(BA41&lt;&gt;"","A"&amp;MATCH(BD41,CoinCollection!E:E,),"")</f>
        <v>A76</v>
      </c>
      <c r="BO41" t="s">
        <v>2081</v>
      </c>
      <c r="BU41" t="str">
        <v>Mt Rushmore Proof</v>
      </c>
    </row>
    <row r="42" spans="1:73">
      <c r="A42">
        <v>1976</v>
      </c>
      <c r="B42" s="218">
        <v>0</v>
      </c>
      <c r="C42" s="219" t="str">
        <v>Half Dollar</v>
      </c>
      <c r="D42" t="str">
        <v>KEN1976HAV-AL</v>
      </c>
      <c r="E42" t="str">
        <v>Kennedy Half Dollar</v>
      </c>
      <c r="F42" s="219" t="str">
        <v>About Uncirculated</v>
      </c>
      <c r="G42" s="169">
        <v>0.5</v>
      </c>
      <c r="H42" s="226">
        <v>4.4000000000000004</v>
      </c>
      <c r="I42" s="136">
        <v>1</v>
      </c>
      <c r="J42" s="219">
        <v>0</v>
      </c>
      <c r="K42" s="219">
        <v>0</v>
      </c>
      <c r="L42" s="219" t="str">
        <f>IF(A42&lt;&gt;"","A"&amp;MATCH(D42,CoinCollection!E:E,),"")</f>
        <v>A2162</v>
      </c>
      <c r="N42" s="136"/>
      <c r="Y42" s="218" t="str">
        <f>IF(O42&lt;&gt;"","A"&amp;MATCH(R42,CoinCollection!E:E,),"")</f>
        <v/>
      </c>
      <c r="AA42" s="136">
        <v>2005</v>
      </c>
      <c r="AB42" s="218" t="str">
        <v>P</v>
      </c>
      <c r="AC42" t="str">
        <v>Nickel</v>
      </c>
      <c r="AD42" t="str">
        <v>Roll2005NIC-AB</v>
      </c>
      <c r="AE42" t="str">
        <v>Jefferson Nickel Roll Ocean In View</v>
      </c>
      <c r="AF42" s="228" t="str">
        <v>About Uncirculated</v>
      </c>
      <c r="AG42" s="226">
        <v>0</v>
      </c>
      <c r="AH42" s="226">
        <v>2</v>
      </c>
      <c r="AI42" s="136">
        <v>40</v>
      </c>
      <c r="AJ42" s="219" t="str">
        <v>Ocean View</v>
      </c>
      <c r="AK42" s="218">
        <v>0</v>
      </c>
      <c r="AL42" s="218" t="str">
        <f>IF(AA42&lt;&gt;"","A"&amp;MATCH(AD42,CoinCollection!E:E,),"")</f>
        <v>A2434</v>
      </c>
      <c r="AN42">
        <v>1975</v>
      </c>
      <c r="AO42" s="218">
        <v>0</v>
      </c>
      <c r="AP42" t="str">
        <v>Dollar</v>
      </c>
      <c r="AQ42" t="str">
        <v>CAN1975DOL-AD</v>
      </c>
      <c r="AR42" t="str">
        <v>Canadian Dollar</v>
      </c>
      <c r="AS42" s="228" t="str">
        <v>About Uncirculated</v>
      </c>
      <c r="AT42" s="225">
        <v>1</v>
      </c>
      <c r="AU42" s="225">
        <v>70</v>
      </c>
      <c r="AV42" s="136">
        <v>1</v>
      </c>
      <c r="AW42" s="219">
        <v>0</v>
      </c>
      <c r="AX42" s="218">
        <v>0</v>
      </c>
      <c r="AY42" s="136" t="str">
        <f>IF(AN42&lt;&gt;"","A"&amp;MATCH(AQ42,CoinCollection!E:E,),"")</f>
        <v>A2248</v>
      </c>
      <c r="BA42">
        <v>1918</v>
      </c>
      <c r="BB42" s="218">
        <v>0</v>
      </c>
      <c r="BC42" t="str">
        <v>Penny</v>
      </c>
      <c r="BD42" t="str">
        <v>WHT1918CNT-AC</v>
      </c>
      <c r="BE42" t="str">
        <v>Wheat Penny</v>
      </c>
      <c r="BF42" t="str">
        <v>Extremely Fine</v>
      </c>
      <c r="BG42" s="225">
        <v>0.2</v>
      </c>
      <c r="BH42" s="225">
        <v>0.2</v>
      </c>
      <c r="BI42" s="136">
        <v>1</v>
      </c>
      <c r="BJ42" s="219">
        <v>0</v>
      </c>
      <c r="BK42" s="218">
        <v>0</v>
      </c>
      <c r="BL42" s="136" t="str">
        <f>IF(BA42&lt;&gt;"","A"&amp;MATCH(BD42,CoinCollection!E:E,),"")</f>
        <v>A77</v>
      </c>
      <c r="BO42" t="s">
        <v>2094</v>
      </c>
      <c r="BU42" t="str">
        <v>Marshaal Island</v>
      </c>
    </row>
    <row r="43" spans="1:73">
      <c r="A43">
        <v>1976</v>
      </c>
      <c r="B43" s="218">
        <v>0</v>
      </c>
      <c r="C43" s="219" t="str">
        <v>Half Dollar</v>
      </c>
      <c r="D43" t="str">
        <v>KEN1976HAV-AM</v>
      </c>
      <c r="E43" t="str">
        <v>Kennedy Half Dollar</v>
      </c>
      <c r="F43" s="219" t="str">
        <v>About Uncirculated</v>
      </c>
      <c r="G43" s="169">
        <v>0.5</v>
      </c>
      <c r="H43" s="226">
        <v>4.4000000000000004</v>
      </c>
      <c r="I43" s="136">
        <v>1</v>
      </c>
      <c r="J43" s="219">
        <v>0</v>
      </c>
      <c r="K43" s="219">
        <v>0</v>
      </c>
      <c r="L43" s="219" t="str">
        <f>IF(A43&lt;&gt;"","A"&amp;MATCH(D43,CoinCollection!E:E,),"")</f>
        <v>A2163</v>
      </c>
      <c r="N43" s="136"/>
      <c r="Y43" s="218" t="str">
        <f>IF(O43&lt;&gt;"","A"&amp;MATCH(R43,CoinCollection!E:E,),"")</f>
        <v/>
      </c>
      <c r="AA43" s="136">
        <v>2005</v>
      </c>
      <c r="AB43" s="218" t="str">
        <v>P</v>
      </c>
      <c r="AC43" t="str">
        <v>Nickel</v>
      </c>
      <c r="AD43" t="str">
        <v>Roll2005NIC-AC</v>
      </c>
      <c r="AE43" t="str">
        <v>Jefferson Nickel Buffalo Roll Bison</v>
      </c>
      <c r="AF43" s="228" t="str">
        <v>About Uncirculated</v>
      </c>
      <c r="AG43" s="226">
        <v>0</v>
      </c>
      <c r="AH43" s="226">
        <v>2</v>
      </c>
      <c r="AI43" s="136">
        <v>40</v>
      </c>
      <c r="AJ43" s="219" t="str">
        <v>Buffalo</v>
      </c>
      <c r="AK43" s="218">
        <v>0</v>
      </c>
      <c r="AL43" s="218" t="str">
        <f>IF(AA43&lt;&gt;"","A"&amp;MATCH(AD43,CoinCollection!E:E,),"")</f>
        <v>A2435</v>
      </c>
      <c r="AN43">
        <v>1975</v>
      </c>
      <c r="AO43" s="218">
        <v>0</v>
      </c>
      <c r="AP43" t="str">
        <v>Dollar</v>
      </c>
      <c r="AQ43" t="str">
        <v>CAN1975DOL-AE</v>
      </c>
      <c r="AR43" t="str">
        <v>Canadian Dollar</v>
      </c>
      <c r="AS43" s="228" t="str">
        <v>About Uncirculated</v>
      </c>
      <c r="AT43" s="225">
        <v>1</v>
      </c>
      <c r="AU43" s="225">
        <v>70</v>
      </c>
      <c r="AV43" s="136">
        <v>1</v>
      </c>
      <c r="AW43" s="219">
        <v>0</v>
      </c>
      <c r="AX43" s="218">
        <v>0</v>
      </c>
      <c r="AY43" s="136" t="str">
        <f>IF(AN43&lt;&gt;"","A"&amp;MATCH(AQ43,CoinCollection!E:E,),"")</f>
        <v>A2249</v>
      </c>
      <c r="BA43">
        <v>1918</v>
      </c>
      <c r="BB43" s="218">
        <v>0</v>
      </c>
      <c r="BC43" t="str">
        <v>Penny</v>
      </c>
      <c r="BD43" t="str">
        <v>WHT1918CNT-AD</v>
      </c>
      <c r="BE43" t="str">
        <v>Wheat Penny</v>
      </c>
      <c r="BF43" t="str">
        <v>Extremely Fine</v>
      </c>
      <c r="BG43" s="225">
        <v>0.2</v>
      </c>
      <c r="BH43" s="225">
        <v>0.2</v>
      </c>
      <c r="BI43" s="136">
        <v>1</v>
      </c>
      <c r="BJ43" s="219">
        <v>0</v>
      </c>
      <c r="BK43" s="218">
        <v>0</v>
      </c>
      <c r="BL43" s="136" t="str">
        <f>IF(BA43&lt;&gt;"","A"&amp;MATCH(BD43,CoinCollection!E:E,),"")</f>
        <v>A78</v>
      </c>
      <c r="BO43" t="s">
        <v>2084</v>
      </c>
      <c r="BU43" t="str">
        <v>American Eagle Proof</v>
      </c>
    </row>
    <row r="44" spans="1:73">
      <c r="A44">
        <v>1976</v>
      </c>
      <c r="B44" s="218">
        <v>0</v>
      </c>
      <c r="C44" s="219" t="str">
        <v>Half Dollar</v>
      </c>
      <c r="D44" t="str">
        <v>KEN1976HAV-AN</v>
      </c>
      <c r="E44" t="str">
        <v>Kennedy Half Dollar</v>
      </c>
      <c r="F44" s="219" t="str">
        <v>About Uncirculated</v>
      </c>
      <c r="G44" s="169">
        <v>0.5</v>
      </c>
      <c r="H44" s="226">
        <v>4.4000000000000004</v>
      </c>
      <c r="I44" s="136">
        <v>1</v>
      </c>
      <c r="J44" s="219">
        <v>0</v>
      </c>
      <c r="K44" s="219">
        <v>0</v>
      </c>
      <c r="L44" s="219" t="str">
        <f>IF(A44&lt;&gt;"","A"&amp;MATCH(D44,CoinCollection!E:E,),"")</f>
        <v>A2164</v>
      </c>
      <c r="N44" s="136"/>
      <c r="Y44" s="218" t="str">
        <f>IF(O44&lt;&gt;"","A"&amp;MATCH(R44,CoinCollection!E:E,),"")</f>
        <v/>
      </c>
      <c r="AA44" s="136">
        <v>2025</v>
      </c>
      <c r="AB44" s="218" t="str">
        <v>P</v>
      </c>
      <c r="AC44" t="str">
        <v>Penny</v>
      </c>
      <c r="AD44" t="str">
        <v>SLD2025CNT-AA</v>
      </c>
      <c r="AE44" t="str">
        <v>Shield Penny Roll</v>
      </c>
      <c r="AF44" s="228" t="str">
        <v>Mint State</v>
      </c>
      <c r="AG44" s="226">
        <v>8</v>
      </c>
      <c r="AH44" s="226">
        <v>8</v>
      </c>
      <c r="AI44" s="136">
        <v>50</v>
      </c>
      <c r="AJ44" s="219" t="str">
        <v>Roll</v>
      </c>
      <c r="AK44" s="218">
        <v>0</v>
      </c>
      <c r="AL44" s="218" t="str">
        <f>IF(AA44&lt;&gt;"","A"&amp;MATCH(AD44,CoinCollection!E:E,),"")</f>
        <v>A2436</v>
      </c>
      <c r="AN44">
        <v>1975</v>
      </c>
      <c r="AO44" s="218">
        <v>0</v>
      </c>
      <c r="AP44" t="str">
        <v>Dollar</v>
      </c>
      <c r="AQ44" t="str">
        <v>CAN1975DOL-AF</v>
      </c>
      <c r="AR44" t="str">
        <v>Canadian Dollar</v>
      </c>
      <c r="AS44" s="228" t="str">
        <v>About Uncirculated</v>
      </c>
      <c r="AT44" s="225">
        <v>1</v>
      </c>
      <c r="AU44" s="225">
        <v>70</v>
      </c>
      <c r="AV44" s="136">
        <v>1</v>
      </c>
      <c r="AW44" s="219">
        <v>0</v>
      </c>
      <c r="AX44" s="218">
        <v>0</v>
      </c>
      <c r="AY44" s="136" t="str">
        <f>IF(AN44&lt;&gt;"","A"&amp;MATCH(AQ44,CoinCollection!E:E,),"")</f>
        <v>A2250</v>
      </c>
      <c r="BA44">
        <v>1918</v>
      </c>
      <c r="BB44" s="218">
        <v>0</v>
      </c>
      <c r="BC44" t="str">
        <v>Penny</v>
      </c>
      <c r="BD44" t="str">
        <v>WHT1918CNT-AE</v>
      </c>
      <c r="BE44" t="str">
        <v>Wheat Penny</v>
      </c>
      <c r="BF44" t="str">
        <v>Extremely Fine</v>
      </c>
      <c r="BG44" s="225">
        <v>0.25</v>
      </c>
      <c r="BH44" s="225">
        <v>0.25</v>
      </c>
      <c r="BI44" s="136">
        <v>1</v>
      </c>
      <c r="BJ44" s="219">
        <v>0</v>
      </c>
      <c r="BK44" s="218">
        <v>0</v>
      </c>
      <c r="BL44" s="136" t="str">
        <f>IF(BA44&lt;&gt;"","A"&amp;MATCH(BD44,CoinCollection!E:E,),"")</f>
        <v>A79</v>
      </c>
      <c r="BO44" t="s">
        <v>2595</v>
      </c>
      <c r="BU44" t="str">
        <v>Olympic Dollar</v>
      </c>
    </row>
    <row r="45" spans="1:73">
      <c r="A45">
        <v>1976</v>
      </c>
      <c r="B45" s="218" t="str">
        <v>D</v>
      </c>
      <c r="C45" s="219" t="str">
        <v>Half Dollar</v>
      </c>
      <c r="D45" t="str">
        <v>KEN1976HAV-AO</v>
      </c>
      <c r="E45" t="str">
        <v>Kennedy Half Dollar</v>
      </c>
      <c r="F45" s="219" t="str">
        <v>About Uncirculated</v>
      </c>
      <c r="G45" s="169">
        <v>0.5</v>
      </c>
      <c r="H45" s="226">
        <v>3.03</v>
      </c>
      <c r="I45" s="136">
        <v>1</v>
      </c>
      <c r="J45" s="219">
        <v>0</v>
      </c>
      <c r="K45" s="219">
        <v>0</v>
      </c>
      <c r="L45" s="219" t="str">
        <f>IF(A45&lt;&gt;"","A"&amp;MATCH(D45,CoinCollection!E:E,),"")</f>
        <v>A2165</v>
      </c>
      <c r="N45" s="136"/>
      <c r="Y45" s="218" t="str">
        <f>IF(O45&lt;&gt;"","A"&amp;MATCH(R45,CoinCollection!E:E,),"")</f>
        <v/>
      </c>
      <c r="AA45" s="136">
        <v>2025</v>
      </c>
      <c r="AB45" s="218" t="str">
        <v>D</v>
      </c>
      <c r="AC45" t="str">
        <v>Penny</v>
      </c>
      <c r="AD45" t="str">
        <v>SLD2025CNT-AB</v>
      </c>
      <c r="AE45" t="str">
        <v>Shield Penny Roll</v>
      </c>
      <c r="AF45" s="228" t="str">
        <v>Mint State</v>
      </c>
      <c r="AG45" s="226">
        <v>8</v>
      </c>
      <c r="AH45" s="226">
        <v>8</v>
      </c>
      <c r="AI45" s="136">
        <v>50</v>
      </c>
      <c r="AJ45" s="219" t="str">
        <v>Roll</v>
      </c>
      <c r="AK45" s="218">
        <v>0</v>
      </c>
      <c r="AL45" s="218" t="str">
        <f>IF(AA45&lt;&gt;"","A"&amp;MATCH(AD45,CoinCollection!E:E,),"")</f>
        <v>A2437</v>
      </c>
      <c r="AN45">
        <v>1987</v>
      </c>
      <c r="AO45" s="218">
        <v>0</v>
      </c>
      <c r="AP45" t="str">
        <v>Dollar</v>
      </c>
      <c r="AQ45" t="str">
        <v>OTH1987DOL-AA</v>
      </c>
      <c r="AR45" t="str">
        <v>US Constitution</v>
      </c>
      <c r="AS45" s="228" t="str">
        <v>About Uncirculated</v>
      </c>
      <c r="AT45" s="225">
        <v>1</v>
      </c>
      <c r="AU45" s="225">
        <v>45</v>
      </c>
      <c r="AV45" s="136">
        <v>1</v>
      </c>
      <c r="AW45" s="219">
        <v>0</v>
      </c>
      <c r="AX45" s="218">
        <v>0</v>
      </c>
      <c r="AY45" s="136" t="str">
        <f>IF(AN45&lt;&gt;"","A"&amp;MATCH(AQ45,CoinCollection!E:E,),"")</f>
        <v>A2286</v>
      </c>
      <c r="BA45">
        <v>1918</v>
      </c>
      <c r="BB45" s="218" t="str">
        <v>D</v>
      </c>
      <c r="BC45" t="str">
        <v>Penny</v>
      </c>
      <c r="BD45" t="str">
        <v>WHT1918CNT-AF</v>
      </c>
      <c r="BE45" t="str">
        <v>Wheat Penny</v>
      </c>
      <c r="BF45" t="str">
        <v>Extremely Fine</v>
      </c>
      <c r="BG45" s="225">
        <v>0.25</v>
      </c>
      <c r="BH45" s="225">
        <v>0.25</v>
      </c>
      <c r="BI45" s="136">
        <v>1</v>
      </c>
      <c r="BJ45" s="219">
        <v>0</v>
      </c>
      <c r="BK45" s="218">
        <v>0</v>
      </c>
      <c r="BL45" s="136" t="str">
        <f>IF(BA45&lt;&gt;"","A"&amp;MATCH(BD45,CoinCollection!E:E,),"")</f>
        <v>A80</v>
      </c>
      <c r="BO45" t="s">
        <v>2594</v>
      </c>
      <c r="BU45" t="str">
        <v>Sacagawea Dollar</v>
      </c>
    </row>
    <row r="46" spans="1:73">
      <c r="A46">
        <v>1976</v>
      </c>
      <c r="B46" s="218">
        <v>0</v>
      </c>
      <c r="C46" s="219" t="str">
        <v>Half Dollar</v>
      </c>
      <c r="D46" t="str">
        <v>KEN1976HAV-AP</v>
      </c>
      <c r="E46" t="str">
        <v>Kennedy Half Dollar</v>
      </c>
      <c r="F46" s="219" t="str">
        <v>About Uncirculated</v>
      </c>
      <c r="G46" s="169">
        <v>0.5</v>
      </c>
      <c r="H46" s="226">
        <v>4.4000000000000004</v>
      </c>
      <c r="I46" s="136">
        <v>1</v>
      </c>
      <c r="J46" s="219">
        <v>0</v>
      </c>
      <c r="K46" s="219">
        <v>0</v>
      </c>
      <c r="L46" s="219" t="str">
        <f>IF(A46&lt;&gt;"","A"&amp;MATCH(D46,CoinCollection!E:E,),"")</f>
        <v>A2166</v>
      </c>
      <c r="N46" s="136"/>
      <c r="Y46" s="218" t="str">
        <f>IF(O46&lt;&gt;"","A"&amp;MATCH(R46,CoinCollection!E:E,),"")</f>
        <v/>
      </c>
      <c r="AA46" s="136">
        <v>1909</v>
      </c>
      <c r="AB46" s="218">
        <v>0</v>
      </c>
      <c r="AC46" t="str">
        <v>Penny</v>
      </c>
      <c r="AD46" t="str">
        <v>Book1909PNY-AF</v>
      </c>
      <c r="AE46" t="str">
        <v>Penney Book</v>
      </c>
      <c r="AF46" s="228" t="str">
        <v>About Uncirculated</v>
      </c>
      <c r="AG46" s="226">
        <v>0.25</v>
      </c>
      <c r="AH46" s="226">
        <v>0</v>
      </c>
      <c r="AI46" s="136">
        <v>25</v>
      </c>
      <c r="AJ46" s="219" t="str">
        <v>Missing: 64</v>
      </c>
      <c r="AK46" s="218">
        <v>0</v>
      </c>
      <c r="AL46" s="218" t="str">
        <f>IF(AA46&lt;&gt;"","A"&amp;MATCH(AD46,CoinCollection!E:E,),"")</f>
        <v>A2438</v>
      </c>
      <c r="AN46">
        <v>1991</v>
      </c>
      <c r="AO46" s="218">
        <v>0</v>
      </c>
      <c r="AP46" t="str">
        <v>Dollar</v>
      </c>
      <c r="AQ46" t="str">
        <v>AE1991DOL-AA</v>
      </c>
      <c r="AR46" t="str">
        <v>American Eagle Unc</v>
      </c>
      <c r="AS46" s="228" t="str">
        <v>About Uncirculated</v>
      </c>
      <c r="AT46" s="225">
        <v>1</v>
      </c>
      <c r="AU46" s="225">
        <v>32</v>
      </c>
      <c r="AV46" s="136">
        <v>1</v>
      </c>
      <c r="AW46" s="219">
        <v>0</v>
      </c>
      <c r="AX46" s="218">
        <v>0</v>
      </c>
      <c r="AY46" s="136" t="str">
        <f>IF(AN46&lt;&gt;"","A"&amp;MATCH(AQ46,CoinCollection!E:E,),"")</f>
        <v>A2290</v>
      </c>
      <c r="BA46">
        <v>1919</v>
      </c>
      <c r="BB46" s="218">
        <v>0</v>
      </c>
      <c r="BC46" t="str">
        <v>Penny</v>
      </c>
      <c r="BD46" t="str">
        <v>WHT1919CNT-AA</v>
      </c>
      <c r="BE46" t="str">
        <v>Wheat Penny</v>
      </c>
      <c r="BF46" t="str">
        <v>Extremely Fine</v>
      </c>
      <c r="BG46" s="225">
        <v>0.25</v>
      </c>
      <c r="BH46" s="225">
        <v>0.25</v>
      </c>
      <c r="BI46" s="136">
        <v>1</v>
      </c>
      <c r="BJ46" s="219">
        <v>0</v>
      </c>
      <c r="BK46" s="218">
        <v>0</v>
      </c>
      <c r="BL46" s="136" t="str">
        <f>IF(BA46&lt;&gt;"","A"&amp;MATCH(BD46,CoinCollection!E:E,),"")</f>
        <v>A81</v>
      </c>
      <c r="BO46" t="s">
        <v>2598</v>
      </c>
      <c r="BU46" t="str">
        <v>Presidential Dollar George Washington</v>
      </c>
    </row>
    <row r="47" spans="1:73">
      <c r="A47">
        <v>1976</v>
      </c>
      <c r="B47" s="218">
        <v>0</v>
      </c>
      <c r="C47" s="219" t="str">
        <v>Half Dollar</v>
      </c>
      <c r="D47" t="str">
        <v>KEN1976HAV-AQ</v>
      </c>
      <c r="E47" t="str">
        <v>Kennedy Half Dollar</v>
      </c>
      <c r="F47" s="219" t="str">
        <v>About Uncirculated</v>
      </c>
      <c r="G47" s="169">
        <v>0.5</v>
      </c>
      <c r="H47" s="226">
        <v>4.4000000000000004</v>
      </c>
      <c r="I47" s="136">
        <v>1</v>
      </c>
      <c r="J47" s="219">
        <v>0</v>
      </c>
      <c r="K47" s="219">
        <v>0</v>
      </c>
      <c r="L47" s="219" t="str">
        <f>IF(A47&lt;&gt;"","A"&amp;MATCH(D47,CoinCollection!E:E,),"")</f>
        <v>A2167</v>
      </c>
      <c r="N47" s="136"/>
      <c r="Y47" s="218" t="str">
        <f>IF(O47&lt;&gt;"","A"&amp;MATCH(R47,CoinCollection!E:E,),"")</f>
        <v/>
      </c>
      <c r="AA47" s="136">
        <v>1938</v>
      </c>
      <c r="AB47" s="218">
        <v>0</v>
      </c>
      <c r="AC47" t="str">
        <v>Nickel</v>
      </c>
      <c r="AD47" t="str">
        <v>Book1938JEF-AA</v>
      </c>
      <c r="AE47" t="str">
        <v>Jefferson Nickel Book</v>
      </c>
      <c r="AF47" s="228" t="str">
        <v>About Uncirculated</v>
      </c>
      <c r="AG47" s="226">
        <v>1.1499999999999999</v>
      </c>
      <c r="AH47" s="226">
        <v>1.1499999999999999</v>
      </c>
      <c r="AI47" s="136">
        <v>23</v>
      </c>
      <c r="AJ47" s="219" t="str">
        <v>42 Nickels Missing From Book</v>
      </c>
      <c r="AK47" s="218">
        <v>0</v>
      </c>
      <c r="AL47" s="218" t="str">
        <f>IF(AA47&lt;&gt;"","A"&amp;MATCH(AD47,CoinCollection!E:E,),"")</f>
        <v>A2439</v>
      </c>
      <c r="AN47">
        <v>1991</v>
      </c>
      <c r="AO47" s="218">
        <v>0</v>
      </c>
      <c r="AP47" t="str">
        <v>Dollar</v>
      </c>
      <c r="AQ47" t="str">
        <v>OTH1991DOL-AA</v>
      </c>
      <c r="AR47" t="str">
        <v>Uso Silver Dollar</v>
      </c>
      <c r="AS47" s="228" t="str">
        <v>About Uncirculated</v>
      </c>
      <c r="AT47" s="225">
        <v>1</v>
      </c>
      <c r="AU47" s="225">
        <v>25</v>
      </c>
      <c r="AV47" s="136">
        <v>1</v>
      </c>
      <c r="AW47" s="219">
        <v>0</v>
      </c>
      <c r="AX47" s="218">
        <v>0</v>
      </c>
      <c r="AY47" s="136" t="str">
        <f>IF(AN47&lt;&gt;"","A"&amp;MATCH(AQ47,CoinCollection!E:E,),"")</f>
        <v>A2291</v>
      </c>
      <c r="BA47">
        <v>1919</v>
      </c>
      <c r="BB47" s="218">
        <v>0</v>
      </c>
      <c r="BC47" t="str">
        <v>Penny</v>
      </c>
      <c r="BD47" t="str">
        <v>WHT1919CNT-AB</v>
      </c>
      <c r="BE47" t="str">
        <v>Wheat Penny</v>
      </c>
      <c r="BF47" t="str">
        <v>Extremely Fine</v>
      </c>
      <c r="BG47" s="225">
        <v>0.15</v>
      </c>
      <c r="BH47" s="225">
        <v>0.15</v>
      </c>
      <c r="BI47" s="136">
        <v>1</v>
      </c>
      <c r="BJ47" s="219">
        <v>0</v>
      </c>
      <c r="BK47" s="218">
        <v>0</v>
      </c>
      <c r="BL47" s="136" t="str">
        <f>IF(BA47&lt;&gt;"","A"&amp;MATCH(BD47,CoinCollection!E:E,),"")</f>
        <v>A82</v>
      </c>
      <c r="BO47" t="s">
        <v>2596</v>
      </c>
      <c r="BU47" t="str">
        <v>Presidential Dollar John Tyler</v>
      </c>
    </row>
    <row r="48" spans="1:73">
      <c r="A48">
        <v>1976</v>
      </c>
      <c r="B48" s="218">
        <v>0</v>
      </c>
      <c r="C48" s="219" t="str">
        <v>Half Dollar</v>
      </c>
      <c r="D48" t="str">
        <v>KEN1976HAV-AR</v>
      </c>
      <c r="E48" t="str">
        <v>Kennedy Half Dollar</v>
      </c>
      <c r="F48" s="219" t="str">
        <v>About Uncirculated</v>
      </c>
      <c r="G48" s="169">
        <v>0.5</v>
      </c>
      <c r="H48" s="226">
        <v>3.38</v>
      </c>
      <c r="I48" s="136">
        <v>1</v>
      </c>
      <c r="J48" s="219" t="str">
        <v>Michael's</v>
      </c>
      <c r="K48" s="219">
        <v>0</v>
      </c>
      <c r="L48" s="219" t="str">
        <f>IF(A48&lt;&gt;"","A"&amp;MATCH(D48,CoinCollection!E:E,),"")</f>
        <v>A2168</v>
      </c>
      <c r="N48" s="136"/>
      <c r="Y48" s="218" t="str">
        <f>IF(O48&lt;&gt;"","A"&amp;MATCH(R48,CoinCollection!E:E,),"")</f>
        <v/>
      </c>
      <c r="AA48" s="136">
        <v>1940</v>
      </c>
      <c r="AB48" s="218">
        <v>0</v>
      </c>
      <c r="AC48" t="str">
        <v>Penny</v>
      </c>
      <c r="AD48" t="str">
        <v>Book1940PNY-AG</v>
      </c>
      <c r="AE48" t="str">
        <v>Penney Book</v>
      </c>
      <c r="AF48" s="228" t="str">
        <v>About Uncirculated</v>
      </c>
      <c r="AG48" s="226">
        <v>0</v>
      </c>
      <c r="AH48" s="226">
        <v>0</v>
      </c>
      <c r="AI48" s="136">
        <v>73</v>
      </c>
      <c r="AJ48" s="219" t="str">
        <v>Missing: 1942 D, 1944 S, 1946 D, 1947 S, 1948 D, 1948 S, 1949 S, 1950 S, 1951 S, 1952, 1952 D, 1953 S, 1954 S, 1955 D,1959, 1971 S, 1973 S</v>
      </c>
      <c r="AK48" s="218">
        <v>0</v>
      </c>
      <c r="AL48" s="218" t="str">
        <f>IF(AA48&lt;&gt;"","A"&amp;MATCH(AD48,CoinCollection!E:E,),"")</f>
        <v>A2440</v>
      </c>
      <c r="AN48">
        <v>1991</v>
      </c>
      <c r="AO48" s="218">
        <v>0</v>
      </c>
      <c r="AP48" t="str">
        <v>Dollar</v>
      </c>
      <c r="AQ48" t="str">
        <v>OTH1991DOL-AB</v>
      </c>
      <c r="AR48" t="str">
        <v>Korean Memorial</v>
      </c>
      <c r="AS48" s="228" t="str">
        <v>About Uncirculated</v>
      </c>
      <c r="AT48" s="225">
        <v>1</v>
      </c>
      <c r="AU48" s="225">
        <v>45</v>
      </c>
      <c r="AV48" s="136">
        <v>1</v>
      </c>
      <c r="AW48" s="219">
        <v>0</v>
      </c>
      <c r="AX48" s="218">
        <v>0</v>
      </c>
      <c r="AY48" s="136" t="str">
        <f>IF(AN48&lt;&gt;"","A"&amp;MATCH(AQ48,CoinCollection!E:E,),"")</f>
        <v>A2292</v>
      </c>
      <c r="BA48">
        <v>1919</v>
      </c>
      <c r="BB48" s="218">
        <v>0</v>
      </c>
      <c r="BC48" t="str">
        <v>Penny</v>
      </c>
      <c r="BD48" t="str">
        <v>WHT1919CNT-AC</v>
      </c>
      <c r="BE48" t="str">
        <v>Wheat Penny</v>
      </c>
      <c r="BF48" t="str">
        <v>Extremely Fine</v>
      </c>
      <c r="BG48" s="225">
        <v>0.15</v>
      </c>
      <c r="BH48" s="225">
        <v>0.15</v>
      </c>
      <c r="BI48" s="136">
        <v>1</v>
      </c>
      <c r="BJ48" s="219">
        <v>0</v>
      </c>
      <c r="BK48" s="218">
        <v>0</v>
      </c>
      <c r="BL48" s="136" t="str">
        <f>IF(BA48&lt;&gt;"","A"&amp;MATCH(BD48,CoinCollection!E:E,),"")</f>
        <v>A83</v>
      </c>
      <c r="BO48" t="s">
        <v>2590</v>
      </c>
      <c r="BU48" t="str">
        <v xml:space="preserve">  </v>
      </c>
    </row>
    <row r="49" spans="1:73">
      <c r="A49">
        <v>1976</v>
      </c>
      <c r="B49" s="218">
        <v>0</v>
      </c>
      <c r="C49" s="219" t="str">
        <v>Half Dollar</v>
      </c>
      <c r="D49" t="str">
        <v>KEN1976HAV-AS</v>
      </c>
      <c r="E49" t="str">
        <v>Kennedy Half Dollar</v>
      </c>
      <c r="F49" s="219" t="str">
        <v>About Uncirculated</v>
      </c>
      <c r="G49" s="169">
        <v>0.5</v>
      </c>
      <c r="H49" s="226">
        <v>3.38</v>
      </c>
      <c r="I49" s="136">
        <v>1</v>
      </c>
      <c r="J49" s="219" t="str">
        <v>Michael's</v>
      </c>
      <c r="K49" s="219">
        <v>0</v>
      </c>
      <c r="L49" s="219" t="str">
        <f>IF(A49&lt;&gt;"","A"&amp;MATCH(D49,CoinCollection!E:E,),"")</f>
        <v>A2169</v>
      </c>
      <c r="N49" s="136"/>
      <c r="Y49" s="218" t="str">
        <f>IF(O49&lt;&gt;"","A"&amp;MATCH(R49,CoinCollection!E:E,),"")</f>
        <v/>
      </c>
      <c r="AA49" s="136">
        <v>1942</v>
      </c>
      <c r="AB49" s="218">
        <v>0</v>
      </c>
      <c r="AC49" t="str">
        <v>Penny</v>
      </c>
      <c r="AD49" t="str">
        <v>Book1942PNY-AD</v>
      </c>
      <c r="AE49" t="str">
        <v>Penney Book</v>
      </c>
      <c r="AF49" s="228" t="str">
        <v>About Uncirculated</v>
      </c>
      <c r="AG49" s="226">
        <v>0.84</v>
      </c>
      <c r="AH49" s="226">
        <v>0</v>
      </c>
      <c r="AI49" s="136">
        <v>84</v>
      </c>
      <c r="AJ49" s="219" t="str">
        <v>Missing: 1944 d, 1945 D, 1947 D,1948 D,1951, 1952 D</v>
      </c>
      <c r="AK49" s="218">
        <v>0</v>
      </c>
      <c r="AL49" s="218" t="str">
        <f>IF(AA49&lt;&gt;"","A"&amp;MATCH(AD49,CoinCollection!E:E,),"")</f>
        <v>A2441</v>
      </c>
      <c r="AN49">
        <v>1991</v>
      </c>
      <c r="AO49" s="218">
        <v>0</v>
      </c>
      <c r="AP49" t="str">
        <v>Dollar</v>
      </c>
      <c r="AQ49" t="str">
        <v>OTH1991DOL-AC</v>
      </c>
      <c r="AR49" t="str">
        <v>Mt Rushmore Proof</v>
      </c>
      <c r="AS49" s="228" t="str">
        <v>Proof</v>
      </c>
      <c r="AT49" s="225">
        <v>1</v>
      </c>
      <c r="AU49" s="225">
        <v>45</v>
      </c>
      <c r="AV49" s="136">
        <v>1</v>
      </c>
      <c r="AW49" s="219" t="str">
        <v>Kennedy Half Dollar</v>
      </c>
      <c r="AX49" s="218">
        <v>0</v>
      </c>
      <c r="AY49" s="136" t="str">
        <f>IF(AN49&lt;&gt;"","A"&amp;MATCH(AQ49,CoinCollection!E:E,),"")</f>
        <v>A2293</v>
      </c>
      <c r="BA49">
        <v>1919</v>
      </c>
      <c r="BB49" s="218">
        <v>0</v>
      </c>
      <c r="BC49" t="str">
        <v>Penny</v>
      </c>
      <c r="BD49" t="str">
        <v>WHT1919CNT-AD</v>
      </c>
      <c r="BE49" t="str">
        <v>Wheat Penny</v>
      </c>
      <c r="BF49" t="str">
        <v>Extremely Fine</v>
      </c>
      <c r="BG49" s="225">
        <v>0.15</v>
      </c>
      <c r="BH49" s="225">
        <v>0.15</v>
      </c>
      <c r="BI49" s="136">
        <v>1</v>
      </c>
      <c r="BJ49" s="219">
        <v>0</v>
      </c>
      <c r="BK49" s="218">
        <v>0</v>
      </c>
      <c r="BL49" s="136" t="str">
        <f>IF(BA49&lt;&gt;"","A"&amp;MATCH(BD49,CoinCollection!E:E,),"")</f>
        <v>A84</v>
      </c>
      <c r="BO49" t="s">
        <v>2079</v>
      </c>
      <c r="BU49">
        <v>0</v>
      </c>
    </row>
    <row r="50" spans="1:73">
      <c r="A50">
        <v>1976</v>
      </c>
      <c r="B50" s="218">
        <v>0</v>
      </c>
      <c r="C50" s="219" t="str">
        <v>Half Dollar</v>
      </c>
      <c r="D50" t="str">
        <v>KEN1976HAV-AT</v>
      </c>
      <c r="E50" t="str">
        <v>Kennedy Half Dollar</v>
      </c>
      <c r="F50" s="219" t="str">
        <v>About Uncirculated</v>
      </c>
      <c r="G50" s="169">
        <v>0.5</v>
      </c>
      <c r="H50" s="226">
        <v>3.38</v>
      </c>
      <c r="I50" s="136">
        <v>1</v>
      </c>
      <c r="J50" s="219">
        <v>0</v>
      </c>
      <c r="K50" s="219">
        <v>0</v>
      </c>
      <c r="L50" s="219" t="str">
        <f>IF(A50&lt;&gt;"","A"&amp;MATCH(D50,CoinCollection!E:E,),"")</f>
        <v>A2170</v>
      </c>
      <c r="N50" s="136"/>
      <c r="Y50" s="218" t="str">
        <f>IF(O50&lt;&gt;"","A"&amp;MATCH(R50,CoinCollection!E:E,),"")</f>
        <v/>
      </c>
      <c r="AA50" s="136">
        <v>1959</v>
      </c>
      <c r="AB50" s="218">
        <v>0</v>
      </c>
      <c r="AC50" t="str">
        <v>Penny</v>
      </c>
      <c r="AD50" t="str">
        <v>Book1959PNY--AE</v>
      </c>
      <c r="AE50" t="str">
        <v>Penney Book</v>
      </c>
      <c r="AF50" s="228" t="str">
        <v>About Uncirculated</v>
      </c>
      <c r="AG50" s="226">
        <v>0.71</v>
      </c>
      <c r="AH50" s="226">
        <v>0</v>
      </c>
      <c r="AI50" s="136">
        <v>71</v>
      </c>
      <c r="AJ50" s="219" t="str">
        <v>Missing: 1988 D,1988 D, 1988 S,1989, 1990 D, 1990 S, 1991 S, 1992 S,1993</v>
      </c>
      <c r="AK50" s="218">
        <v>0</v>
      </c>
      <c r="AL50" s="218" t="str">
        <f>IF(AA50&lt;&gt;"","A"&amp;MATCH(AD50,CoinCollection!E:E,),"")</f>
        <v>A2442</v>
      </c>
      <c r="AN50">
        <v>1991</v>
      </c>
      <c r="AO50" s="218">
        <v>0</v>
      </c>
      <c r="AP50" t="str">
        <v>Medal</v>
      </c>
      <c r="AQ50" t="str">
        <v>OTH1991DOL-AD</v>
      </c>
      <c r="AR50" t="str">
        <v>Marshaal Island</v>
      </c>
      <c r="AS50" s="228" t="str">
        <v>About Uncirculated</v>
      </c>
      <c r="AT50" s="225">
        <v>0</v>
      </c>
      <c r="AU50" s="225">
        <v>55</v>
      </c>
      <c r="AV50" s="136">
        <v>1</v>
      </c>
      <c r="AW50" s="219">
        <v>0</v>
      </c>
      <c r="AX50" s="218">
        <v>0</v>
      </c>
      <c r="AY50" s="136" t="str">
        <f>IF(AN50&lt;&gt;"","A"&amp;MATCH(AQ50,CoinCollection!E:E,),"")</f>
        <v>A2294</v>
      </c>
      <c r="BA50">
        <v>1919</v>
      </c>
      <c r="BB50" s="218" t="str">
        <v>S</v>
      </c>
      <c r="BC50" t="str">
        <v>Penny</v>
      </c>
      <c r="BD50" t="str">
        <v>WHT1919CNT-AE</v>
      </c>
      <c r="BE50" t="str">
        <v>Wheat Penny</v>
      </c>
      <c r="BF50" t="str">
        <v>Extremely Fine</v>
      </c>
      <c r="BG50" s="225">
        <v>0.15</v>
      </c>
      <c r="BH50" s="225">
        <v>0.15</v>
      </c>
      <c r="BI50" s="136">
        <v>1</v>
      </c>
      <c r="BJ50" s="219">
        <v>0</v>
      </c>
      <c r="BK50" s="218">
        <v>0</v>
      </c>
      <c r="BL50" s="136" t="str">
        <f>IF(BA50&lt;&gt;"","A"&amp;MATCH(BD50,CoinCollection!E:E,),"")</f>
        <v>A85</v>
      </c>
      <c r="BO50" t="s">
        <v>2593</v>
      </c>
      <c r="BU50" t="str">
        <v>Presidential Dollar James Garfield</v>
      </c>
    </row>
    <row r="51" spans="1:73">
      <c r="A51">
        <v>1976</v>
      </c>
      <c r="B51" s="218">
        <v>0</v>
      </c>
      <c r="C51" s="219" t="str">
        <v>Dollar</v>
      </c>
      <c r="D51" t="str">
        <v>EIS1976DOL-AA</v>
      </c>
      <c r="E51" t="str">
        <v>Eisenhower Dollar Variety I*</v>
      </c>
      <c r="F51" s="219" t="str">
        <v>About Uncirculated</v>
      </c>
      <c r="G51" s="169">
        <v>1</v>
      </c>
      <c r="H51" s="226">
        <v>1</v>
      </c>
      <c r="I51" s="136">
        <v>1</v>
      </c>
      <c r="J51" s="219">
        <v>0</v>
      </c>
      <c r="K51" s="219">
        <v>0</v>
      </c>
      <c r="L51" s="219" t="str">
        <f>IF(A51&lt;&gt;"","A"&amp;MATCH(D51,CoinCollection!E:E,),"")</f>
        <v>A2251</v>
      </c>
      <c r="N51" s="136"/>
      <c r="Y51" s="218" t="str">
        <f>IF(O51&lt;&gt;"","A"&amp;MATCH(R51,CoinCollection!E:E,),"")</f>
        <v/>
      </c>
      <c r="AA51" s="136">
        <v>1999</v>
      </c>
      <c r="AB51" s="218">
        <v>0</v>
      </c>
      <c r="AC51" t="str">
        <v>Penny</v>
      </c>
      <c r="AD51" t="str">
        <v>Book1999PNY-AH</v>
      </c>
      <c r="AE51" t="str">
        <v>Penney Book</v>
      </c>
      <c r="AF51" s="228" t="str">
        <v>About Uncirculated</v>
      </c>
      <c r="AG51" s="226">
        <v>0</v>
      </c>
      <c r="AH51" s="226">
        <v>0</v>
      </c>
      <c r="AI51" s="136">
        <v>39</v>
      </c>
      <c r="AJ51" s="219" t="str">
        <v>Missing: 21</v>
      </c>
      <c r="AK51" s="218">
        <v>0</v>
      </c>
      <c r="AL51" s="218" t="str">
        <f>IF(AA51&lt;&gt;"","A"&amp;MATCH(AD51,CoinCollection!E:E,),"")</f>
        <v>A2443</v>
      </c>
      <c r="AN51">
        <v>1992</v>
      </c>
      <c r="AO51" s="218">
        <v>0</v>
      </c>
      <c r="AP51" t="str">
        <v>Dollar</v>
      </c>
      <c r="AQ51" t="str">
        <v>OTH1992DOL-AA</v>
      </c>
      <c r="AR51" t="str">
        <v>Olympic Dollar</v>
      </c>
      <c r="AS51" s="228" t="str">
        <v>About Uncirculated</v>
      </c>
      <c r="AT51" s="225">
        <v>1</v>
      </c>
      <c r="AU51" s="225">
        <v>32</v>
      </c>
      <c r="AV51" s="136">
        <v>1</v>
      </c>
      <c r="AW51" s="219">
        <v>0</v>
      </c>
      <c r="AX51" s="218">
        <v>0</v>
      </c>
      <c r="AY51" s="136" t="str">
        <f>IF(AN51&lt;&gt;"","A"&amp;MATCH(AQ51,CoinCollection!E:E,),"")</f>
        <v>A2296</v>
      </c>
      <c r="BA51">
        <v>1919</v>
      </c>
      <c r="BB51" s="218" t="str">
        <v>S</v>
      </c>
      <c r="BC51" t="str">
        <v>Penny</v>
      </c>
      <c r="BD51" t="str">
        <v>WHT1919CNT-AG</v>
      </c>
      <c r="BE51" t="str">
        <v>Wheat Penny</v>
      </c>
      <c r="BF51" t="str">
        <v>Extremely Fine</v>
      </c>
      <c r="BG51" s="225">
        <v>0.01</v>
      </c>
      <c r="BH51" s="225">
        <v>0.01</v>
      </c>
      <c r="BI51" s="136">
        <v>1</v>
      </c>
      <c r="BJ51" s="219">
        <v>0</v>
      </c>
      <c r="BK51" s="218">
        <v>0</v>
      </c>
      <c r="BL51" s="136" t="str">
        <f>IF(BA51&lt;&gt;"","A"&amp;MATCH(BD51,CoinCollection!E:E,),"")</f>
        <v>A86</v>
      </c>
      <c r="BO51" t="s">
        <v>2589</v>
      </c>
      <c r="BU51" t="str">
        <v>Presidential Dollar Ulysses S. Grant</v>
      </c>
    </row>
    <row r="52" spans="1:73">
      <c r="A52">
        <v>1976</v>
      </c>
      <c r="B52" s="218">
        <v>0</v>
      </c>
      <c r="C52" s="219" t="str">
        <v>Quarter</v>
      </c>
      <c r="D52" t="str">
        <v>QTR1976-Tube-BF</v>
      </c>
      <c r="E52" t="str">
        <v>Tubes Bicentennial Quarters</v>
      </c>
      <c r="F52" s="219" t="str">
        <v>About Uncirculated</v>
      </c>
      <c r="G52" s="169">
        <v>7.5</v>
      </c>
      <c r="H52" s="226">
        <v>0</v>
      </c>
      <c r="I52" s="136">
        <v>25</v>
      </c>
      <c r="J52" s="219">
        <v>0</v>
      </c>
      <c r="K52" s="219">
        <v>0</v>
      </c>
      <c r="L52" s="219" t="str">
        <f>IF(A52&lt;&gt;"","A"&amp;MATCH(D52,CoinCollection!E:E,),"")</f>
        <v>A2408</v>
      </c>
      <c r="N52" s="136"/>
      <c r="Y52" s="218" t="str">
        <f>IF(O52&lt;&gt;"","A"&amp;MATCH(R52,CoinCollection!E:E,),"")</f>
        <v/>
      </c>
      <c r="AA52" s="136">
        <v>1999</v>
      </c>
      <c r="AB52" s="218">
        <v>0</v>
      </c>
      <c r="AC52" t="str">
        <v>Quarter</v>
      </c>
      <c r="AD52" t="str">
        <v>Book1999QTR-AB</v>
      </c>
      <c r="AE52" t="str">
        <v>State Quarters Book</v>
      </c>
      <c r="AF52" s="228" t="str">
        <v>About Uncirculated</v>
      </c>
      <c r="AG52" s="226">
        <v>12.5</v>
      </c>
      <c r="AH52" s="226">
        <v>60</v>
      </c>
      <c r="AI52" s="136">
        <v>50</v>
      </c>
      <c r="AJ52" s="219" t="str">
        <v>Blue Book</v>
      </c>
      <c r="AK52" s="218">
        <v>0</v>
      </c>
      <c r="AL52" s="218" t="str">
        <f>IF(AA52&lt;&gt;"","A"&amp;MATCH(AD52,CoinCollection!E:E,),"")</f>
        <v>A2444</v>
      </c>
      <c r="AN52">
        <v>1992</v>
      </c>
      <c r="AO52" s="218">
        <v>0</v>
      </c>
      <c r="AP52" t="str">
        <v>Dollar</v>
      </c>
      <c r="AQ52" t="str">
        <v>OTH1992DOL-AC</v>
      </c>
      <c r="AR52" t="str">
        <v>Olympic Dollar</v>
      </c>
      <c r="AS52" s="228" t="str">
        <v>About Uncirculated</v>
      </c>
      <c r="AT52" s="225">
        <v>1</v>
      </c>
      <c r="AU52" s="225">
        <v>32</v>
      </c>
      <c r="AV52" s="136">
        <v>1</v>
      </c>
      <c r="AW52" s="219">
        <v>0</v>
      </c>
      <c r="AX52" s="218">
        <v>0</v>
      </c>
      <c r="AY52" s="136" t="str">
        <f>IF(AN52&lt;&gt;"","A"&amp;MATCH(AQ52,CoinCollection!E:E,),"")</f>
        <v>A2297</v>
      </c>
      <c r="BA52">
        <v>1920</v>
      </c>
      <c r="BB52" s="218">
        <v>0</v>
      </c>
      <c r="BC52" t="str">
        <v>Penny</v>
      </c>
      <c r="BD52" t="str">
        <v>WHT1920CNT-AA</v>
      </c>
      <c r="BE52" t="str">
        <v>Wheat Penny</v>
      </c>
      <c r="BF52" t="str">
        <v>Extremely Fine</v>
      </c>
      <c r="BG52" s="225">
        <v>0.15</v>
      </c>
      <c r="BH52" s="225">
        <v>0.15</v>
      </c>
      <c r="BI52" s="136">
        <v>1</v>
      </c>
      <c r="BJ52" s="219">
        <v>0</v>
      </c>
      <c r="BK52" s="218">
        <v>0</v>
      </c>
      <c r="BL52" s="136" t="str">
        <f>IF(BA52&lt;&gt;"","A"&amp;MATCH(BD52,CoinCollection!E:E,),"")</f>
        <v>A87</v>
      </c>
      <c r="BO52" t="s">
        <v>2597</v>
      </c>
      <c r="BU52" t="str">
        <v>Morgan Dollar Proof</v>
      </c>
    </row>
    <row r="53" spans="1:73">
      <c r="L53" s="219" t="str">
        <f>IF(A53&lt;&gt;"","A"&amp;MATCH(D53,CoinCollection!E:E,),"")</f>
        <v/>
      </c>
      <c r="N53" s="136"/>
      <c r="Y53" s="218" t="str">
        <f>IF(O53&lt;&gt;"","A"&amp;MATCH(R53,CoinCollection!E:E,),"")</f>
        <v/>
      </c>
      <c r="AA53" s="136">
        <v>1999</v>
      </c>
      <c r="AB53" s="218">
        <v>0</v>
      </c>
      <c r="AC53" t="str">
        <v>Quarter</v>
      </c>
      <c r="AD53" t="str">
        <v>Book1999QTR-AC</v>
      </c>
      <c r="AE53" t="str">
        <v>State Quarters Book</v>
      </c>
      <c r="AF53" s="228" t="str">
        <v>About Uncirculated</v>
      </c>
      <c r="AG53" s="226">
        <v>12.5</v>
      </c>
      <c r="AH53" s="226">
        <v>60</v>
      </c>
      <c r="AI53" s="136">
        <v>50</v>
      </c>
      <c r="AJ53" s="219" t="str">
        <v>Green Book</v>
      </c>
      <c r="AK53" s="218">
        <v>0</v>
      </c>
      <c r="AL53" s="218" t="str">
        <f>IF(AA53&lt;&gt;"","A"&amp;MATCH(AD53,CoinCollection!E:E,),"")</f>
        <v>A2445</v>
      </c>
      <c r="AN53">
        <v>1995</v>
      </c>
      <c r="AO53" s="218">
        <v>0</v>
      </c>
      <c r="AP53" t="str">
        <v>Dollar</v>
      </c>
      <c r="AQ53" t="str">
        <v>AE1995DOL-AA</v>
      </c>
      <c r="AR53" t="str">
        <v>American Eagle Unc</v>
      </c>
      <c r="AS53" s="228" t="str">
        <v>About Uncirculated</v>
      </c>
      <c r="AT53" s="225">
        <v>50</v>
      </c>
      <c r="AU53" s="225">
        <v>50</v>
      </c>
      <c r="AV53" s="136">
        <v>1</v>
      </c>
      <c r="AW53" s="219">
        <v>0</v>
      </c>
      <c r="AX53" s="218">
        <v>0</v>
      </c>
      <c r="AY53" s="136" t="str">
        <f>IF(AN53&lt;&gt;"","A"&amp;MATCH(AQ53,CoinCollection!E:E,),"")</f>
        <v>A2299</v>
      </c>
      <c r="BA53">
        <v>1920</v>
      </c>
      <c r="BB53" s="218">
        <v>0</v>
      </c>
      <c r="BC53" t="str">
        <v>Penny</v>
      </c>
      <c r="BD53" t="str">
        <v>WHT1920CNT-AB</v>
      </c>
      <c r="BE53" t="str">
        <v>Wheat Penny</v>
      </c>
      <c r="BF53" t="str">
        <v>Extremely Fine</v>
      </c>
      <c r="BG53" s="225">
        <v>0.15</v>
      </c>
      <c r="BH53" s="225">
        <v>0.15</v>
      </c>
      <c r="BI53" s="136">
        <v>1</v>
      </c>
      <c r="BJ53" s="219">
        <v>0</v>
      </c>
      <c r="BK53" s="218">
        <v>0</v>
      </c>
      <c r="BL53" s="136" t="str">
        <f>IF(BA53&lt;&gt;"","A"&amp;MATCH(BD53,CoinCollection!E:E,),"")</f>
        <v>A88</v>
      </c>
      <c r="BO53" t="s">
        <v>2591</v>
      </c>
      <c r="BU53" t="str">
        <v>Peace Dollar Proof</v>
      </c>
    </row>
    <row r="54" spans="1:73">
      <c r="L54" s="219" t="str">
        <f>IF(A54&lt;&gt;"","A"&amp;MATCH(D54,CoinCollection!E:E,),"")</f>
        <v/>
      </c>
      <c r="N54" s="136"/>
      <c r="Y54" s="218" t="str">
        <f>IF(O54&lt;&gt;"","A"&amp;MATCH(R54,CoinCollection!E:E,),"")</f>
        <v/>
      </c>
      <c r="AL54" s="218" t="str">
        <f>IF(AA54&lt;&gt;"","A"&amp;MATCH(AD54,CoinCollection!E:E,),"")</f>
        <v/>
      </c>
      <c r="AN54">
        <v>2020</v>
      </c>
      <c r="AO54" s="218">
        <v>0</v>
      </c>
      <c r="AP54" t="str">
        <v>Dollar</v>
      </c>
      <c r="AQ54" t="str">
        <v>AE2020DOL-AA</v>
      </c>
      <c r="AR54" t="str">
        <v>American Eagle Unc</v>
      </c>
      <c r="AS54" s="228" t="str">
        <v>About Uncirculated</v>
      </c>
      <c r="AT54" s="225">
        <v>38.6</v>
      </c>
      <c r="AU54" s="225">
        <v>107</v>
      </c>
      <c r="AV54" s="136">
        <v>1</v>
      </c>
      <c r="AW54" s="219">
        <v>0</v>
      </c>
      <c r="AX54" s="218">
        <v>0</v>
      </c>
      <c r="AY54" s="136" t="str">
        <f>IF(AN54&lt;&gt;"","A"&amp;MATCH(AQ54,CoinCollection!E:E,),"")</f>
        <v>A2318</v>
      </c>
      <c r="BA54">
        <v>1920</v>
      </c>
      <c r="BB54" s="218" t="str">
        <v>D</v>
      </c>
      <c r="BC54" t="str">
        <v>Penny</v>
      </c>
      <c r="BD54" t="str">
        <v>WHT1920CNT-AD</v>
      </c>
      <c r="BE54" t="str">
        <v>Wheat Penny</v>
      </c>
      <c r="BF54" t="str">
        <v>Extremely Fine</v>
      </c>
      <c r="BG54" s="225">
        <v>0.01</v>
      </c>
      <c r="BH54" s="225">
        <v>0.01</v>
      </c>
      <c r="BI54" s="136">
        <v>1</v>
      </c>
      <c r="BJ54" s="219">
        <v>0</v>
      </c>
      <c r="BK54" s="218">
        <v>0</v>
      </c>
      <c r="BL54" s="136" t="str">
        <f>IF(BA54&lt;&gt;"","A"&amp;MATCH(BD54,CoinCollection!E:E,),"")</f>
        <v>A89</v>
      </c>
      <c r="BO54" t="s">
        <v>2588</v>
      </c>
      <c r="BU54" t="str">
        <v>Two Dollar Bill</v>
      </c>
    </row>
    <row r="55" spans="1:73">
      <c r="L55" s="219" t="str">
        <f>IF(A55&lt;&gt;"","A"&amp;MATCH(D55,CoinCollection!E:E,),"")</f>
        <v/>
      </c>
      <c r="N55" s="136"/>
      <c r="Y55" s="218" t="str">
        <f>IF(O55&lt;&gt;"","A"&amp;MATCH(R55,CoinCollection!E:E,),"")</f>
        <v/>
      </c>
      <c r="AL55" s="218" t="str">
        <f>IF(AA55&lt;&gt;"","A"&amp;MATCH(AD55,CoinCollection!E:E,),"")</f>
        <v/>
      </c>
      <c r="AN55">
        <v>2021</v>
      </c>
      <c r="AO55" s="218">
        <v>0</v>
      </c>
      <c r="AP55" t="str">
        <v>Dollar</v>
      </c>
      <c r="AQ55" t="str">
        <v>AE2021DOL-AA</v>
      </c>
      <c r="AR55" t="str">
        <v>American Eagle Unc</v>
      </c>
      <c r="AS55" s="228" t="str">
        <v>About Uncirculated</v>
      </c>
      <c r="AT55" s="225">
        <v>34.840000000000003</v>
      </c>
      <c r="AU55" s="225">
        <v>107</v>
      </c>
      <c r="AV55" s="136">
        <v>1</v>
      </c>
      <c r="AW55" s="219">
        <v>0</v>
      </c>
      <c r="AX55" s="218">
        <v>0</v>
      </c>
      <c r="AY55" s="136" t="str">
        <f>IF(AN55&lt;&gt;"","A"&amp;MATCH(AQ55,CoinCollection!E:E,),"")</f>
        <v>A2319</v>
      </c>
      <c r="BA55">
        <v>1920</v>
      </c>
      <c r="BB55" s="218" t="str">
        <v>D</v>
      </c>
      <c r="BC55" t="str">
        <v>Penny</v>
      </c>
      <c r="BD55" t="str">
        <v>WHT1920CNT-AE</v>
      </c>
      <c r="BE55" t="str">
        <v>Wheat Penny</v>
      </c>
      <c r="BF55" t="str">
        <v>Extremely Fine</v>
      </c>
      <c r="BG55" s="225">
        <v>0.01</v>
      </c>
      <c r="BH55" s="225">
        <v>0.01</v>
      </c>
      <c r="BI55" s="136">
        <v>1</v>
      </c>
      <c r="BJ55" s="219">
        <v>0</v>
      </c>
      <c r="BK55" s="218">
        <v>0</v>
      </c>
      <c r="BL55" s="136" t="str">
        <f>IF(BA55&lt;&gt;"","A"&amp;MATCH(BD55,CoinCollection!E:E,),"")</f>
        <v>A90</v>
      </c>
      <c r="BO55" t="s">
        <v>2073</v>
      </c>
      <c r="BU55" t="str">
        <v>Dollar Bill</v>
      </c>
    </row>
    <row r="56" spans="1:73">
      <c r="L56" s="219" t="str">
        <f>IF(A56&lt;&gt;"","A"&amp;MATCH(D56,CoinCollection!E:E,),"")</f>
        <v/>
      </c>
      <c r="N56" s="136"/>
      <c r="Y56" s="218" t="str">
        <f>IF(O56&lt;&gt;"","A"&amp;MATCH(R56,CoinCollection!E:E,),"")</f>
        <v/>
      </c>
      <c r="AL56" s="218" t="str">
        <f>IF(AA56&lt;&gt;"","A"&amp;MATCH(AD56,CoinCollection!E:E,),"")</f>
        <v/>
      </c>
      <c r="AN56">
        <v>2022</v>
      </c>
      <c r="AO56" s="218">
        <v>0</v>
      </c>
      <c r="AP56" t="str">
        <v>Dollar</v>
      </c>
      <c r="AQ56" t="str">
        <v>AE2022DOL-AA</v>
      </c>
      <c r="AR56" t="str">
        <v>American Eagle Unc</v>
      </c>
      <c r="AS56" s="228" t="str">
        <v>About Uncirculated</v>
      </c>
      <c r="AT56" s="225">
        <v>33.04</v>
      </c>
      <c r="AU56" s="225">
        <v>107</v>
      </c>
      <c r="AV56" s="136">
        <v>1</v>
      </c>
      <c r="AW56" s="219">
        <v>0</v>
      </c>
      <c r="AX56" s="218">
        <v>0</v>
      </c>
      <c r="AY56" s="136" t="str">
        <f>IF(AN56&lt;&gt;"","A"&amp;MATCH(AQ56,CoinCollection!E:E,),"")</f>
        <v>A2320</v>
      </c>
      <c r="BA56">
        <v>1920</v>
      </c>
      <c r="BB56" s="218" t="str">
        <v>S</v>
      </c>
      <c r="BC56" t="str">
        <v>Penny</v>
      </c>
      <c r="BD56" t="str">
        <v>WHT1920CNT-AF</v>
      </c>
      <c r="BE56" t="str">
        <v>Wheat Penny</v>
      </c>
      <c r="BF56" t="str">
        <v>Extremely Fine</v>
      </c>
      <c r="BG56" s="225">
        <v>0</v>
      </c>
      <c r="BH56" s="225">
        <v>0</v>
      </c>
      <c r="BI56" s="136">
        <v>1</v>
      </c>
      <c r="BJ56" s="219">
        <v>0</v>
      </c>
      <c r="BK56" s="218">
        <v>0</v>
      </c>
      <c r="BL56" s="136" t="str">
        <f>IF(BA56&lt;&gt;"","A"&amp;MATCH(BD56,CoinCollection!E:E,),"")</f>
        <v>A91</v>
      </c>
      <c r="BO56" t="s">
        <v>2077</v>
      </c>
    </row>
    <row r="57" spans="1:73">
      <c r="L57" s="219" t="str">
        <f>IF(A57&lt;&gt;"","A"&amp;MATCH(D57,CoinCollection!E:E,),"")</f>
        <v/>
      </c>
      <c r="N57" s="136"/>
      <c r="Y57" s="218" t="str">
        <f>IF(O57&lt;&gt;"","A"&amp;MATCH(R57,CoinCollection!E:E,),"")</f>
        <v/>
      </c>
      <c r="AL57" s="218" t="str">
        <f>IF(AA57&lt;&gt;"","A"&amp;MATCH(AD57,CoinCollection!E:E,),"")</f>
        <v/>
      </c>
      <c r="AN57">
        <v>2022</v>
      </c>
      <c r="AO57" s="218" t="str">
        <v>W</v>
      </c>
      <c r="AP57" t="str">
        <v>Dollar</v>
      </c>
      <c r="AQ57" t="str">
        <v>AE2022DOL-AB</v>
      </c>
      <c r="AR57" t="str">
        <v>American Eagle Unc</v>
      </c>
      <c r="AS57" s="228" t="str">
        <v>About Uncirculated</v>
      </c>
      <c r="AT57" s="225">
        <v>81.95</v>
      </c>
      <c r="AU57" s="225">
        <v>107</v>
      </c>
      <c r="AV57" s="136">
        <v>1</v>
      </c>
      <c r="AW57" s="219">
        <v>0</v>
      </c>
      <c r="AX57" s="218">
        <v>0</v>
      </c>
      <c r="AY57" s="136" t="str">
        <f>IF(AN57&lt;&gt;"","A"&amp;MATCH(AQ57,CoinCollection!E:E,),"")</f>
        <v>A2321</v>
      </c>
      <c r="BA57">
        <v>1921</v>
      </c>
      <c r="BB57" s="218" t="str">
        <v>S</v>
      </c>
      <c r="BC57" t="str">
        <v>Penny</v>
      </c>
      <c r="BD57" t="str">
        <v>WHT1921CNT-AA</v>
      </c>
      <c r="BE57" t="str">
        <v>Wheat Penny</v>
      </c>
      <c r="BF57" t="str">
        <v>Extremely Fine</v>
      </c>
      <c r="BG57" s="225">
        <v>0.85</v>
      </c>
      <c r="BH57" s="225">
        <v>0.85</v>
      </c>
      <c r="BI57" s="136">
        <v>1</v>
      </c>
      <c r="BJ57" s="219">
        <v>0</v>
      </c>
      <c r="BK57" s="218">
        <v>0</v>
      </c>
      <c r="BL57" s="136" t="str">
        <f>IF(BA57&lt;&gt;"","A"&amp;MATCH(BD57,CoinCollection!E:E,),"")</f>
        <v>A92</v>
      </c>
      <c r="BO57" t="s">
        <v>2075</v>
      </c>
    </row>
    <row r="58" spans="1:73">
      <c r="L58" s="219" t="str">
        <f>IF(A58&lt;&gt;"","A"&amp;MATCH(D58,CoinCollection!E:E,),"")</f>
        <v/>
      </c>
      <c r="N58" s="136"/>
      <c r="Y58" s="218" t="str">
        <f>IF(O58&lt;&gt;"","A"&amp;MATCH(R58,CoinCollection!E:E,),"")</f>
        <v/>
      </c>
      <c r="AL58" s="218" t="str">
        <f>IF(AA58&lt;&gt;"","A"&amp;MATCH(AD58,CoinCollection!E:E,),"")</f>
        <v/>
      </c>
      <c r="AN58">
        <v>2023</v>
      </c>
      <c r="AO58" s="218" t="str">
        <v>S</v>
      </c>
      <c r="AP58" t="str">
        <v>Dollar</v>
      </c>
      <c r="AQ58" t="str">
        <v>PEC2023DOL-AA</v>
      </c>
      <c r="AR58" t="str">
        <v>Morgan Dollar</v>
      </c>
      <c r="AS58" s="228" t="str">
        <v>About Uncirculated</v>
      </c>
      <c r="AT58" s="225">
        <v>0</v>
      </c>
      <c r="AU58" s="225">
        <v>107</v>
      </c>
      <c r="AV58" s="136">
        <v>1</v>
      </c>
      <c r="AW58" s="219">
        <v>0</v>
      </c>
      <c r="AX58" s="218">
        <v>0</v>
      </c>
      <c r="AY58" s="136" t="str">
        <f>IF(AN58&lt;&gt;"","A"&amp;MATCH(AQ58,CoinCollection!E:E,),"")</f>
        <v>A2322</v>
      </c>
      <c r="BA58">
        <v>1921</v>
      </c>
      <c r="BB58" s="218">
        <v>0</v>
      </c>
      <c r="BC58" t="str">
        <v>Penny</v>
      </c>
      <c r="BD58" t="str">
        <v>WHT1921CNT-AB</v>
      </c>
      <c r="BE58" t="str">
        <v>Wheat Penny</v>
      </c>
      <c r="BF58" t="str">
        <v>Extremely Fine</v>
      </c>
      <c r="BG58" s="225">
        <v>0.15</v>
      </c>
      <c r="BH58" s="225">
        <v>0.15</v>
      </c>
      <c r="BI58" s="136">
        <v>1</v>
      </c>
      <c r="BJ58" s="219">
        <v>0</v>
      </c>
      <c r="BK58" s="218">
        <v>0</v>
      </c>
      <c r="BL58" s="136" t="str">
        <f>IF(BA58&lt;&gt;"","A"&amp;MATCH(BD58,CoinCollection!E:E,),"")</f>
        <v>A93</v>
      </c>
      <c r="BO58" t="s">
        <v>4522</v>
      </c>
    </row>
    <row r="59" spans="1:73">
      <c r="L59" s="219" t="str">
        <f>IF(A59&lt;&gt;"","A"&amp;MATCH(D59,CoinCollection!E:E,),"")</f>
        <v/>
      </c>
      <c r="N59" s="136"/>
      <c r="Y59" s="218" t="str">
        <f>IF(O59&lt;&gt;"","A"&amp;MATCH(R59,CoinCollection!E:E,),"")</f>
        <v/>
      </c>
      <c r="AL59" s="218" t="str">
        <f>IF(AA59&lt;&gt;"","A"&amp;MATCH(AD59,CoinCollection!E:E,),"")</f>
        <v/>
      </c>
      <c r="AN59">
        <v>2023</v>
      </c>
      <c r="AO59" s="218" t="str">
        <v>S</v>
      </c>
      <c r="AP59" t="str">
        <v>Dollar</v>
      </c>
      <c r="AQ59" t="str">
        <v>PEC2023DOL-AB</v>
      </c>
      <c r="AR59" t="str">
        <v>Peace Dollar</v>
      </c>
      <c r="AS59" s="228" t="str">
        <v>About Uncirculated</v>
      </c>
      <c r="AT59" s="225">
        <v>76</v>
      </c>
      <c r="AU59" s="225">
        <v>107</v>
      </c>
      <c r="AV59" s="136">
        <v>1</v>
      </c>
      <c r="AW59" s="219">
        <v>0</v>
      </c>
      <c r="AX59" s="218">
        <v>0</v>
      </c>
      <c r="AY59" s="136" t="str">
        <f>IF(AN59&lt;&gt;"","A"&amp;MATCH(AQ59,CoinCollection!E:E,),"")</f>
        <v>A2323</v>
      </c>
      <c r="BA59">
        <v>1922</v>
      </c>
      <c r="BB59" s="218" t="str">
        <v>D</v>
      </c>
      <c r="BC59" t="str">
        <v>Penny</v>
      </c>
      <c r="BD59" t="str">
        <v>WHT1922CNT-AA</v>
      </c>
      <c r="BE59" t="str">
        <v>Wheat Penny</v>
      </c>
      <c r="BF59" t="str">
        <v>Extremely Fine</v>
      </c>
      <c r="BG59" s="225">
        <v>25</v>
      </c>
      <c r="BH59" s="225">
        <v>35</v>
      </c>
      <c r="BI59" s="136">
        <v>1</v>
      </c>
      <c r="BJ59" s="219">
        <v>0</v>
      </c>
      <c r="BK59" s="218">
        <v>0</v>
      </c>
      <c r="BL59" s="136" t="str">
        <f>IF(BA59&lt;&gt;"","A"&amp;MATCH(BD59,CoinCollection!E:E,),"")</f>
        <v>A94</v>
      </c>
      <c r="BO59" t="s">
        <v>4515</v>
      </c>
    </row>
    <row r="60" spans="1:73">
      <c r="L60" s="219" t="str">
        <f>IF(A60&lt;&gt;"","A"&amp;MATCH(D60,CoinCollection!E:E,),"")</f>
        <v/>
      </c>
      <c r="N60" s="136"/>
      <c r="Y60" s="218" t="str">
        <f>IF(O60&lt;&gt;"","A"&amp;MATCH(R60,CoinCollection!E:E,),"")</f>
        <v/>
      </c>
      <c r="AL60" s="218" t="str">
        <f>IF(AA60&lt;&gt;"","A"&amp;MATCH(AD60,CoinCollection!E:E,),"")</f>
        <v/>
      </c>
      <c r="AN60">
        <v>2024</v>
      </c>
      <c r="AO60" s="218" t="str">
        <v>W</v>
      </c>
      <c r="AP60" t="str">
        <v>Dollar</v>
      </c>
      <c r="AQ60" t="str">
        <v>AE2024DOL-AA</v>
      </c>
      <c r="AR60" t="str">
        <v>Peace Dollar</v>
      </c>
      <c r="AS60" s="228" t="str">
        <v>About Uncirculated</v>
      </c>
      <c r="AT60" s="225">
        <v>30</v>
      </c>
      <c r="AU60" s="225">
        <v>30</v>
      </c>
      <c r="AV60" s="136">
        <v>1</v>
      </c>
      <c r="AW60" s="219">
        <v>0</v>
      </c>
      <c r="AX60" s="218">
        <v>0</v>
      </c>
      <c r="AY60" s="136" t="str">
        <f>IF(AN60&lt;&gt;"","A"&amp;MATCH(AQ60,CoinCollection!E:E,),"")</f>
        <v>A2324</v>
      </c>
      <c r="BA60">
        <v>1923</v>
      </c>
      <c r="BB60" s="218">
        <v>0</v>
      </c>
      <c r="BC60" t="str">
        <v>Penny</v>
      </c>
      <c r="BD60" t="str">
        <v>WHT1923CNT-AA</v>
      </c>
      <c r="BE60" t="str">
        <v>Wheat Penny</v>
      </c>
      <c r="BF60" t="str">
        <v>Extremely Fine</v>
      </c>
      <c r="BG60" s="225">
        <v>0.3</v>
      </c>
      <c r="BH60" s="225">
        <v>0.3</v>
      </c>
      <c r="BI60" s="136">
        <v>1</v>
      </c>
      <c r="BJ60" s="219">
        <v>0</v>
      </c>
      <c r="BK60" s="218">
        <v>0</v>
      </c>
      <c r="BL60" s="136" t="str">
        <f>IF(BA60&lt;&gt;"","A"&amp;MATCH(BD60,CoinCollection!E:E,),"")</f>
        <v>A95</v>
      </c>
      <c r="BO60" t="s">
        <v>4514</v>
      </c>
    </row>
    <row r="61" spans="1:73">
      <c r="L61" s="219" t="str">
        <f>IF(A61&lt;&gt;"","A"&amp;MATCH(D61,CoinCollection!E:E,),"")</f>
        <v/>
      </c>
      <c r="N61" s="136"/>
      <c r="Y61" s="218" t="str">
        <f>IF(O61&lt;&gt;"","A"&amp;MATCH(R61,CoinCollection!E:E,),"")</f>
        <v/>
      </c>
      <c r="AL61" s="218" t="str">
        <f>IF(AA61&lt;&gt;"","A"&amp;MATCH(AD61,CoinCollection!E:E,),"")</f>
        <v/>
      </c>
      <c r="AN61">
        <v>2025</v>
      </c>
      <c r="AO61" s="218">
        <v>0</v>
      </c>
      <c r="AP61" t="str">
        <v>Dollar</v>
      </c>
      <c r="AQ61" t="str">
        <v>AE2025DOL-AA</v>
      </c>
      <c r="AR61" t="str">
        <v>American Eagle Unc</v>
      </c>
      <c r="AS61" s="228" t="str">
        <v>About Uncirculated</v>
      </c>
      <c r="AT61" s="225">
        <v>38</v>
      </c>
      <c r="AU61" s="225">
        <v>115</v>
      </c>
      <c r="AV61" s="136">
        <v>1</v>
      </c>
      <c r="AW61" s="219">
        <v>0</v>
      </c>
      <c r="AX61" s="218">
        <v>0</v>
      </c>
      <c r="AY61" s="136" t="str">
        <f>IF(AN61&lt;&gt;"","A"&amp;MATCH(AQ61,CoinCollection!E:E,),"")</f>
        <v>A2325</v>
      </c>
      <c r="BA61">
        <v>1923</v>
      </c>
      <c r="BB61" s="218">
        <v>0</v>
      </c>
      <c r="BC61" t="str">
        <v>Penny</v>
      </c>
      <c r="BD61" t="str">
        <v>WHT1923CNT-AB</v>
      </c>
      <c r="BE61" t="str">
        <v>Wheat Penny</v>
      </c>
      <c r="BF61" t="str">
        <v>Extremely Fine</v>
      </c>
      <c r="BG61" s="225">
        <v>0.3</v>
      </c>
      <c r="BH61" s="225">
        <v>0.3</v>
      </c>
      <c r="BI61" s="136">
        <v>1</v>
      </c>
      <c r="BJ61" s="219">
        <v>0</v>
      </c>
      <c r="BK61" s="218">
        <v>0</v>
      </c>
      <c r="BL61" s="136" t="str">
        <f>IF(BA61&lt;&gt;"","A"&amp;MATCH(BD61,CoinCollection!E:E,),"")</f>
        <v>A96</v>
      </c>
      <c r="BO61" t="s">
        <v>2592</v>
      </c>
    </row>
    <row r="62" spans="1:73">
      <c r="L62" s="219" t="str">
        <f>IF(A62&lt;&gt;"","A"&amp;MATCH(D62,CoinCollection!E:E,),"")</f>
        <v/>
      </c>
      <c r="N62" s="136"/>
      <c r="Y62" s="218" t="str">
        <f>IF(O62&lt;&gt;"","A"&amp;MATCH(R62,CoinCollection!E:E,),"")</f>
        <v/>
      </c>
      <c r="AL62" s="218" t="str">
        <f>IF(AA62&lt;&gt;"","A"&amp;MATCH(AD62,CoinCollection!E:E,),"")</f>
        <v/>
      </c>
      <c r="AN62">
        <v>2025</v>
      </c>
      <c r="AO62" s="218" t="str">
        <v>S</v>
      </c>
      <c r="AP62" t="str">
        <v>Dollar</v>
      </c>
      <c r="AQ62" t="str">
        <v>MOR2025DOL-AB</v>
      </c>
      <c r="AR62" t="str">
        <v>Morgan Dollar Proof</v>
      </c>
      <c r="AS62" s="228" t="str">
        <v>Proof</v>
      </c>
      <c r="AT62" s="225">
        <v>169</v>
      </c>
      <c r="AU62" s="225">
        <v>169</v>
      </c>
      <c r="AV62" s="136">
        <v>1</v>
      </c>
      <c r="AW62" s="219" t="str">
        <v>From The Us Mint</v>
      </c>
      <c r="AX62" s="218">
        <v>0</v>
      </c>
      <c r="AY62" s="136" t="str">
        <f>IF(AN62&lt;&gt;"","A"&amp;MATCH(AQ62,CoinCollection!E:E,),"")</f>
        <v>A2326</v>
      </c>
      <c r="BA62">
        <v>1924</v>
      </c>
      <c r="BB62" s="218">
        <v>0</v>
      </c>
      <c r="BC62" t="str">
        <v>Penny</v>
      </c>
      <c r="BD62" t="str">
        <v>WHT1924CNT-AA</v>
      </c>
      <c r="BE62" t="str">
        <v>Wheat Penny</v>
      </c>
      <c r="BF62" t="str">
        <v>Extremely Fine</v>
      </c>
      <c r="BG62" s="225">
        <v>0.5</v>
      </c>
      <c r="BH62" s="225">
        <v>0.5</v>
      </c>
      <c r="BI62" s="136">
        <v>1</v>
      </c>
      <c r="BJ62" s="219">
        <v>0</v>
      </c>
      <c r="BK62" s="218">
        <v>0</v>
      </c>
      <c r="BL62" s="136" t="str">
        <f>IF(BA62&lt;&gt;"","A"&amp;MATCH(BD62,CoinCollection!E:E,),"")</f>
        <v>A97</v>
      </c>
      <c r="BO62" t="s">
        <v>1772</v>
      </c>
    </row>
    <row r="63" spans="1:73">
      <c r="L63" s="219" t="str">
        <f>IF(A63&lt;&gt;"","A"&amp;MATCH(D63,CoinCollection!E:E,),"")</f>
        <v/>
      </c>
      <c r="N63" s="136"/>
      <c r="Y63" s="218" t="str">
        <f>IF(O63&lt;&gt;"","A"&amp;MATCH(R63,CoinCollection!E:E,),"")</f>
        <v/>
      </c>
      <c r="AL63" s="218" t="str">
        <f>IF(AA63&lt;&gt;"","A"&amp;MATCH(AD63,CoinCollection!E:E,),"")</f>
        <v/>
      </c>
      <c r="AN63">
        <v>2025</v>
      </c>
      <c r="AO63" s="218" t="str">
        <v>S</v>
      </c>
      <c r="AP63" t="str">
        <v>Dollar</v>
      </c>
      <c r="AQ63" t="str">
        <v>MOR2025DOL-AC</v>
      </c>
      <c r="AR63" t="str">
        <v>Morgan Dollar Proof</v>
      </c>
      <c r="AS63" s="228" t="str">
        <v>Proof</v>
      </c>
      <c r="AT63" s="225">
        <v>173</v>
      </c>
      <c r="AU63" s="225">
        <v>173</v>
      </c>
      <c r="AV63" s="136">
        <v>1</v>
      </c>
      <c r="AW63" s="219" t="str">
        <v>From The Us Mint</v>
      </c>
      <c r="AX63" s="218">
        <v>0</v>
      </c>
      <c r="AY63" s="136" t="str">
        <f>IF(AN63&lt;&gt;"","A"&amp;MATCH(AQ63,CoinCollection!E:E,),"")</f>
        <v>A2327</v>
      </c>
      <c r="BA63">
        <v>1924</v>
      </c>
      <c r="BB63" s="218">
        <v>0</v>
      </c>
      <c r="BC63" t="str">
        <v>Penny</v>
      </c>
      <c r="BD63" t="str">
        <v>WHT1924CNT-AB</v>
      </c>
      <c r="BE63" t="str">
        <v>Wheat Penny</v>
      </c>
      <c r="BF63" t="str">
        <v>Extremely Fine</v>
      </c>
      <c r="BG63" s="225">
        <v>0.25</v>
      </c>
      <c r="BH63" s="225">
        <v>0.25</v>
      </c>
      <c r="BI63" s="136">
        <v>1</v>
      </c>
      <c r="BJ63" s="219">
        <v>0</v>
      </c>
      <c r="BK63" s="218">
        <v>0</v>
      </c>
      <c r="BL63" s="136" t="str">
        <f>IF(BA63&lt;&gt;"","A"&amp;MATCH(BD63,CoinCollection!E:E,),"")</f>
        <v>A98</v>
      </c>
      <c r="BO63" t="s">
        <v>3754</v>
      </c>
    </row>
    <row r="64" spans="1:73">
      <c r="L64" s="219" t="str">
        <f>IF(A64&lt;&gt;"","A"&amp;MATCH(D64,CoinCollection!E:E,),"")</f>
        <v/>
      </c>
      <c r="N64" s="136"/>
      <c r="Y64" s="218" t="str">
        <f>IF(O64&lt;&gt;"","A"&amp;MATCH(R64,CoinCollection!E:E,),"")</f>
        <v/>
      </c>
      <c r="AL64" s="218" t="str">
        <f>IF(AA64&lt;&gt;"","A"&amp;MATCH(AD64,CoinCollection!E:E,),"")</f>
        <v/>
      </c>
      <c r="AN64">
        <v>2025</v>
      </c>
      <c r="AO64" s="218" t="str">
        <v>P</v>
      </c>
      <c r="AP64" t="str">
        <v>Dollar</v>
      </c>
      <c r="AQ64" t="str">
        <v>MOR2025DOL-AD</v>
      </c>
      <c r="AR64" t="str">
        <v>Morgan Dollar</v>
      </c>
      <c r="AS64" s="228" t="str">
        <v>About Uncirculated</v>
      </c>
      <c r="AT64" s="225">
        <v>95</v>
      </c>
      <c r="AU64" s="225">
        <v>173</v>
      </c>
      <c r="AV64" s="136">
        <v>1</v>
      </c>
      <c r="AW64" s="219" t="str">
        <v>From The Us Mint</v>
      </c>
      <c r="AX64" s="218">
        <v>0</v>
      </c>
      <c r="AY64" s="136" t="str">
        <f>IF(AN64&lt;&gt;"","A"&amp;MATCH(AQ64,CoinCollection!E:E,),"")</f>
        <v>A2328</v>
      </c>
      <c r="BA64">
        <v>1924</v>
      </c>
      <c r="BB64" s="218" t="str">
        <v>S</v>
      </c>
      <c r="BC64" t="str">
        <v>Penny</v>
      </c>
      <c r="BD64" t="str">
        <v>WHT1924CNT-AC</v>
      </c>
      <c r="BE64" t="str">
        <v>Wheat Penny</v>
      </c>
      <c r="BF64" t="str">
        <v>Extremely Fine</v>
      </c>
      <c r="BG64" s="225">
        <v>3.5</v>
      </c>
      <c r="BH64" s="225">
        <v>3.5</v>
      </c>
      <c r="BI64" s="136">
        <v>1</v>
      </c>
      <c r="BJ64" s="219">
        <v>0</v>
      </c>
      <c r="BK64" s="218">
        <v>0</v>
      </c>
      <c r="BL64" s="136" t="str">
        <f>IF(BA64&lt;&gt;"","A"&amp;MATCH(BD64,CoinCollection!E:E,),"")</f>
        <v>A99</v>
      </c>
      <c r="BO64" t="s">
        <v>2067</v>
      </c>
    </row>
    <row r="65" spans="12:67">
      <c r="L65" s="219" t="str">
        <f>IF(A65&lt;&gt;"","A"&amp;MATCH(D65,CoinCollection!E:E,),"")</f>
        <v/>
      </c>
      <c r="N65" s="136"/>
      <c r="Y65" s="218" t="str">
        <f>IF(O65&lt;&gt;"","A"&amp;MATCH(R65,CoinCollection!E:E,),"")</f>
        <v/>
      </c>
      <c r="AL65" s="218" t="str">
        <f>IF(AA65&lt;&gt;"","A"&amp;MATCH(AD65,CoinCollection!E:E,),"")</f>
        <v/>
      </c>
      <c r="AN65">
        <v>2025</v>
      </c>
      <c r="AO65" s="218" t="str">
        <v>P</v>
      </c>
      <c r="AP65" t="str">
        <v>Dollar</v>
      </c>
      <c r="AQ65" t="str">
        <v>MOR2025DOL-AE</v>
      </c>
      <c r="AR65" t="str">
        <v>Morgan Dollar</v>
      </c>
      <c r="AS65" s="228" t="str">
        <v>About Uncirculated</v>
      </c>
      <c r="AT65" s="225">
        <v>91</v>
      </c>
      <c r="AU65" s="225">
        <v>173</v>
      </c>
      <c r="AV65" s="136">
        <v>1</v>
      </c>
      <c r="AW65" s="219" t="str">
        <v>From The Us Mint</v>
      </c>
      <c r="AX65" s="218">
        <v>0</v>
      </c>
      <c r="AY65" s="136" t="str">
        <f>IF(AN65&lt;&gt;"","A"&amp;MATCH(AQ65,CoinCollection!E:E,),"")</f>
        <v>A2329</v>
      </c>
      <c r="BA65">
        <v>1924</v>
      </c>
      <c r="BB65" s="218" t="str">
        <v>S</v>
      </c>
      <c r="BC65" t="str">
        <v>Penny</v>
      </c>
      <c r="BD65" t="str">
        <v>WHT1924CNT-AD</v>
      </c>
      <c r="BE65" t="str">
        <v>Wheat Penny</v>
      </c>
      <c r="BF65" t="str">
        <v>Extremely Fine</v>
      </c>
      <c r="BG65" s="225">
        <v>3.5</v>
      </c>
      <c r="BH65" s="225">
        <v>3.5</v>
      </c>
      <c r="BI65" s="136">
        <v>1</v>
      </c>
      <c r="BJ65" s="219">
        <v>0</v>
      </c>
      <c r="BK65" s="218">
        <v>0</v>
      </c>
      <c r="BL65" s="136" t="str">
        <f>IF(BA65&lt;&gt;"","A"&amp;MATCH(BD65,CoinCollection!E:E,),"")</f>
        <v>A100</v>
      </c>
      <c r="BO65" t="s">
        <v>1988</v>
      </c>
    </row>
    <row r="66" spans="12:67">
      <c r="L66" s="219" t="str">
        <f>IF(A66&lt;&gt;"","A"&amp;MATCH(D66,CoinCollection!E:E,),"")</f>
        <v/>
      </c>
      <c r="N66" s="136"/>
      <c r="Y66" s="218" t="str">
        <f>IF(O66&lt;&gt;"","A"&amp;MATCH(R66,CoinCollection!E:E,),"")</f>
        <v/>
      </c>
      <c r="AL66" s="218" t="str">
        <f>IF(AA66&lt;&gt;"","A"&amp;MATCH(AD66,CoinCollection!E:E,),"")</f>
        <v/>
      </c>
      <c r="AN66">
        <v>2025</v>
      </c>
      <c r="AO66" s="218" t="str">
        <v>S</v>
      </c>
      <c r="AP66" t="str">
        <v>Dollar</v>
      </c>
      <c r="AQ66" t="str">
        <v>PEC2025DOL-AF</v>
      </c>
      <c r="AR66" t="str">
        <v>Peace Dollar Proof</v>
      </c>
      <c r="AS66" s="228" t="str">
        <v>Proof</v>
      </c>
      <c r="AT66" s="225">
        <v>91</v>
      </c>
      <c r="AU66" s="225">
        <v>173</v>
      </c>
      <c r="AV66" s="136">
        <v>1</v>
      </c>
      <c r="AW66" s="219" t="str">
        <v>From The Us Mint</v>
      </c>
      <c r="AX66" s="218">
        <v>0</v>
      </c>
      <c r="AY66" s="136" t="str">
        <f>IF(AN66&lt;&gt;"","A"&amp;MATCH(AQ66,CoinCollection!E:E,),"")</f>
        <v>A2330</v>
      </c>
      <c r="BA66">
        <v>1925</v>
      </c>
      <c r="BB66" s="218">
        <v>0</v>
      </c>
      <c r="BC66" t="str">
        <v>Penny</v>
      </c>
      <c r="BD66" t="str">
        <v>WHT1925CNT-AA</v>
      </c>
      <c r="BE66" t="str">
        <v>Wheat Penny</v>
      </c>
      <c r="BF66" t="str">
        <v>Extremely Fine</v>
      </c>
      <c r="BG66" s="225">
        <v>0.15</v>
      </c>
      <c r="BH66" s="225">
        <v>0.15</v>
      </c>
      <c r="BI66" s="136">
        <v>1</v>
      </c>
      <c r="BJ66" s="219">
        <v>0</v>
      </c>
      <c r="BK66" s="218">
        <v>0</v>
      </c>
      <c r="BL66" s="136" t="str">
        <f>IF(BA66&lt;&gt;"","A"&amp;MATCH(BD66,CoinCollection!E:E,),"")</f>
        <v>A101</v>
      </c>
      <c r="BO66" t="s">
        <v>1989</v>
      </c>
    </row>
    <row r="67" spans="12:67">
      <c r="L67" s="219" t="str">
        <f>IF(A67&lt;&gt;"","A"&amp;MATCH(D67,CoinCollection!E:E,),"")</f>
        <v/>
      </c>
      <c r="N67" s="136"/>
      <c r="Y67" s="218" t="str">
        <f>IF(O67&lt;&gt;"","A"&amp;MATCH(R67,CoinCollection!E:E,),"")</f>
        <v/>
      </c>
      <c r="AL67" s="218" t="str">
        <f>IF(AA67&lt;&gt;"","A"&amp;MATCH(AD67,CoinCollection!E:E,),"")</f>
        <v/>
      </c>
      <c r="AN67">
        <v>2025</v>
      </c>
      <c r="AO67" s="218" t="str">
        <v>S</v>
      </c>
      <c r="AP67" t="str">
        <v>Dollar</v>
      </c>
      <c r="AQ67" t="str">
        <v>PEC2025DOL-AG</v>
      </c>
      <c r="AR67" t="str">
        <v>Peace Dollar Proof</v>
      </c>
      <c r="AS67" s="228" t="str">
        <v>Proof</v>
      </c>
      <c r="AT67" s="225">
        <v>169</v>
      </c>
      <c r="AU67" s="225">
        <v>169</v>
      </c>
      <c r="AV67" s="136">
        <v>1</v>
      </c>
      <c r="AW67" s="219" t="str">
        <v>From The Us Mint</v>
      </c>
      <c r="AX67" s="218">
        <v>0</v>
      </c>
      <c r="AY67" s="136" t="str">
        <f>IF(AN67&lt;&gt;"","A"&amp;MATCH(AQ67,CoinCollection!E:E,),"")</f>
        <v>A2331</v>
      </c>
      <c r="BA67">
        <v>1925</v>
      </c>
      <c r="BB67" s="218">
        <v>0</v>
      </c>
      <c r="BC67" t="str">
        <v>Penny</v>
      </c>
      <c r="BD67" t="str">
        <v>WHT1925CNT-AB</v>
      </c>
      <c r="BE67" t="str">
        <v>Wheat Penny</v>
      </c>
      <c r="BF67" t="str">
        <v>Extremely Fine</v>
      </c>
      <c r="BG67" s="225">
        <v>0.35</v>
      </c>
      <c r="BH67" s="225">
        <v>0.35</v>
      </c>
      <c r="BI67" s="136">
        <v>1</v>
      </c>
      <c r="BJ67" s="219">
        <v>0</v>
      </c>
      <c r="BK67" s="218">
        <v>0</v>
      </c>
      <c r="BL67" s="136" t="str">
        <f>IF(BA67&lt;&gt;"","A"&amp;MATCH(BD67,CoinCollection!E:E,),"")</f>
        <v>A102</v>
      </c>
      <c r="BO67" t="s">
        <v>1987</v>
      </c>
    </row>
    <row r="68" spans="12:67">
      <c r="L68" s="219" t="str">
        <f>IF(A68&lt;&gt;"","A"&amp;MATCH(D68,CoinCollection!E:E,),"")</f>
        <v/>
      </c>
      <c r="N68" s="136"/>
      <c r="Y68" s="218" t="str">
        <f>IF(O68&lt;&gt;"","A"&amp;MATCH(R68,CoinCollection!E:E,),"")</f>
        <v/>
      </c>
      <c r="AL68" s="218" t="str">
        <f>IF(AA68&lt;&gt;"","A"&amp;MATCH(AD68,CoinCollection!E:E,),"")</f>
        <v/>
      </c>
      <c r="AN68">
        <v>2025</v>
      </c>
      <c r="AO68" s="218" t="str">
        <v>S</v>
      </c>
      <c r="AP68" t="str">
        <v>Dollar</v>
      </c>
      <c r="AQ68" t="str">
        <v>PEC2025DOL-AH</v>
      </c>
      <c r="AR68" t="str">
        <v>Peace Dollar</v>
      </c>
      <c r="AS68" s="228" t="str">
        <v>About Uncirculated</v>
      </c>
      <c r="AT68" s="225">
        <v>173</v>
      </c>
      <c r="AU68" s="225">
        <v>173</v>
      </c>
      <c r="AV68" s="136">
        <v>1</v>
      </c>
      <c r="AW68" s="219" t="str">
        <v>From The Us Mint</v>
      </c>
      <c r="AX68" s="218">
        <v>0</v>
      </c>
      <c r="AY68" s="136" t="str">
        <f>IF(AN68&lt;&gt;"","A"&amp;MATCH(AQ68,CoinCollection!E:E,),"")</f>
        <v>A2332</v>
      </c>
      <c r="BA68">
        <v>1925</v>
      </c>
      <c r="BB68" s="218" t="str">
        <v>S</v>
      </c>
      <c r="BC68" t="str">
        <v>Penny</v>
      </c>
      <c r="BD68" t="str">
        <v>WHT1925CNT-AE</v>
      </c>
      <c r="BE68" t="str">
        <v>Wheat Penny</v>
      </c>
      <c r="BF68" t="str">
        <v>Extremely Fine</v>
      </c>
      <c r="BG68" s="225">
        <v>0.01</v>
      </c>
      <c r="BH68" s="225">
        <v>1.25</v>
      </c>
      <c r="BI68" s="136">
        <v>1</v>
      </c>
      <c r="BJ68" s="219">
        <v>0</v>
      </c>
      <c r="BK68" s="218">
        <v>0</v>
      </c>
      <c r="BL68" s="136" t="str">
        <f>IF(BA68&lt;&gt;"","A"&amp;MATCH(BD68,CoinCollection!E:E,),"")</f>
        <v>A103</v>
      </c>
      <c r="BO68" t="s">
        <v>1990</v>
      </c>
    </row>
    <row r="69" spans="12:67">
      <c r="L69" s="219" t="str">
        <f>IF(A69&lt;&gt;"","A"&amp;MATCH(D69,CoinCollection!E:E,),"")</f>
        <v/>
      </c>
      <c r="N69" s="136"/>
      <c r="Y69" s="218" t="str">
        <f>IF(O69&lt;&gt;"","A"&amp;MATCH(R69,CoinCollection!E:E,),"")</f>
        <v/>
      </c>
      <c r="AL69" s="218" t="str">
        <f>IF(AA69&lt;&gt;"","A"&amp;MATCH(AD69,CoinCollection!E:E,),"")</f>
        <v/>
      </c>
      <c r="AN69">
        <v>2025</v>
      </c>
      <c r="AO69" s="218" t="str">
        <v>S</v>
      </c>
      <c r="AP69" t="str">
        <v>Dollar</v>
      </c>
      <c r="AQ69" t="str">
        <v>PEC2025DOL-AI</v>
      </c>
      <c r="AR69" t="str">
        <v>Peace Dollar</v>
      </c>
      <c r="AS69" s="228" t="str">
        <v>About Uncirculated</v>
      </c>
      <c r="AT69" s="225">
        <v>95</v>
      </c>
      <c r="AU69" s="225">
        <v>173</v>
      </c>
      <c r="AV69" s="136">
        <v>1</v>
      </c>
      <c r="AW69" s="219" t="str">
        <v>From The Us Mint</v>
      </c>
      <c r="AX69" s="218">
        <v>0</v>
      </c>
      <c r="AY69" s="136" t="str">
        <f>IF(AN69&lt;&gt;"","A"&amp;MATCH(AQ69,CoinCollection!E:E,),"")</f>
        <v>A2333</v>
      </c>
      <c r="BA69">
        <v>1925</v>
      </c>
      <c r="BB69" s="218" t="str">
        <v>D</v>
      </c>
      <c r="BC69" t="str">
        <v>Penny</v>
      </c>
      <c r="BD69" t="str">
        <v>WHT1925CNT-AF</v>
      </c>
      <c r="BE69" t="str">
        <v>Wheat Penny</v>
      </c>
      <c r="BF69" t="str">
        <v>Extremely Fine</v>
      </c>
      <c r="BG69" s="225">
        <v>1</v>
      </c>
      <c r="BH69" s="225">
        <v>1</v>
      </c>
      <c r="BI69" s="136">
        <v>1</v>
      </c>
      <c r="BJ69" s="219">
        <v>0</v>
      </c>
      <c r="BK69" s="218">
        <v>0</v>
      </c>
      <c r="BL69" s="136" t="str">
        <f>IF(BA69&lt;&gt;"","A"&amp;MATCH(BD69,CoinCollection!E:E,),"")</f>
        <v>A104</v>
      </c>
      <c r="BO69" t="s">
        <v>3737</v>
      </c>
    </row>
    <row r="70" spans="12:67">
      <c r="L70" s="219" t="str">
        <f>IF(A70&lt;&gt;"","A"&amp;MATCH(D70,CoinCollection!E:E,),"")</f>
        <v/>
      </c>
      <c r="N70" s="136"/>
      <c r="Y70" s="218" t="str">
        <f>IF(O70&lt;&gt;"","A"&amp;MATCH(R70,CoinCollection!E:E,),"")</f>
        <v/>
      </c>
      <c r="AL70" s="218" t="str">
        <f>IF(AA70&lt;&gt;"","A"&amp;MATCH(AD70,CoinCollection!E:E,),"")</f>
        <v/>
      </c>
      <c r="AN70">
        <v>1974</v>
      </c>
      <c r="AO70" s="218">
        <v>0</v>
      </c>
      <c r="AP70" t="str">
        <v>Paper Bill</v>
      </c>
      <c r="AQ70">
        <v>0</v>
      </c>
      <c r="AR70" t="str">
        <v>Silver Coin &amp; First Day Cover</v>
      </c>
      <c r="AS70" s="228" t="str">
        <v>About Uncirculated</v>
      </c>
      <c r="AT70" s="225">
        <v>0</v>
      </c>
      <c r="AU70" s="225">
        <v>45</v>
      </c>
      <c r="AV70" s="136">
        <v>1</v>
      </c>
      <c r="AW70" s="219">
        <v>0</v>
      </c>
      <c r="AX70" s="218">
        <v>0</v>
      </c>
      <c r="AY70" s="136" t="e">
        <f>IF(AN70&lt;&gt;"","A"&amp;MATCH(AQ70,CoinCollection!E:E,),"")</f>
        <v>#N/A</v>
      </c>
      <c r="BA70">
        <v>1925</v>
      </c>
      <c r="BB70" s="218" t="str">
        <v>D</v>
      </c>
      <c r="BC70" t="str">
        <v>Penny</v>
      </c>
      <c r="BD70" t="str">
        <v>WHT1925CNT-AG</v>
      </c>
      <c r="BE70" t="str">
        <v>Wheat Penny</v>
      </c>
      <c r="BF70" t="str">
        <v>Extremely Fine</v>
      </c>
      <c r="BG70" s="225">
        <v>1</v>
      </c>
      <c r="BH70" s="225">
        <v>1</v>
      </c>
      <c r="BI70" s="136">
        <v>1</v>
      </c>
      <c r="BJ70" s="219">
        <v>0</v>
      </c>
      <c r="BK70" s="218">
        <v>0</v>
      </c>
      <c r="BL70" s="136" t="str">
        <f>IF(BA70&lt;&gt;"","A"&amp;MATCH(BD70,CoinCollection!E:E,),"")</f>
        <v>A105</v>
      </c>
      <c r="BO70" t="s">
        <v>3742</v>
      </c>
    </row>
    <row r="71" spans="12:67">
      <c r="L71" s="219" t="str">
        <f>IF(A71&lt;&gt;"","A"&amp;MATCH(D71,CoinCollection!E:E,),"")</f>
        <v/>
      </c>
      <c r="N71" s="136"/>
      <c r="Y71" s="218" t="str">
        <f>IF(O71&lt;&gt;"","A"&amp;MATCH(R71,CoinCollection!E:E,),"")</f>
        <v/>
      </c>
      <c r="AL71" s="218" t="str">
        <f>IF(AA71&lt;&gt;"","A"&amp;MATCH(AD71,CoinCollection!E:E,),"")</f>
        <v/>
      </c>
      <c r="AN71">
        <v>1977</v>
      </c>
      <c r="AO71" s="218">
        <v>0</v>
      </c>
      <c r="AP71" t="str">
        <v>Sets</v>
      </c>
      <c r="AQ71" t="str">
        <v>MSET1977SET-AA</v>
      </c>
      <c r="AR71" t="str">
        <v>1977 Mint Proof Set</v>
      </c>
      <c r="AS71" s="228" t="str">
        <v>About Uncirculated</v>
      </c>
      <c r="AT71" s="225">
        <v>0</v>
      </c>
      <c r="AU71" s="225">
        <v>27</v>
      </c>
      <c r="AV71" s="136">
        <v>1</v>
      </c>
      <c r="AW71" s="219">
        <v>0</v>
      </c>
      <c r="AX71" s="218">
        <v>0</v>
      </c>
      <c r="AY71" s="136" t="str">
        <f>IF(AN71&lt;&gt;"","A"&amp;MATCH(AQ71,CoinCollection!E:E,),"")</f>
        <v>A2368</v>
      </c>
      <c r="BA71">
        <v>1926</v>
      </c>
      <c r="BB71" s="218">
        <v>0</v>
      </c>
      <c r="BC71" t="str">
        <v>Penny</v>
      </c>
      <c r="BD71" t="str">
        <v>WHT1926CNT-AA</v>
      </c>
      <c r="BE71" t="str">
        <v>Wheat Penny</v>
      </c>
      <c r="BF71" t="str">
        <v>Extremely Fine</v>
      </c>
      <c r="BG71" s="225">
        <v>0.3</v>
      </c>
      <c r="BH71" s="225">
        <v>0.3</v>
      </c>
      <c r="BI71" s="136">
        <v>1</v>
      </c>
      <c r="BJ71" s="219">
        <v>0</v>
      </c>
      <c r="BK71" s="218">
        <v>0</v>
      </c>
      <c r="BL71" s="136" t="str">
        <f>IF(BA71&lt;&gt;"","A"&amp;MATCH(BD71,CoinCollection!E:E,),"")</f>
        <v>A106</v>
      </c>
      <c r="BO71" t="s">
        <v>3745</v>
      </c>
    </row>
    <row r="72" spans="12:67">
      <c r="L72" s="219" t="str">
        <f>IF(A72&lt;&gt;"","A"&amp;MATCH(D72,CoinCollection!E:E,),"")</f>
        <v/>
      </c>
      <c r="N72" s="136"/>
      <c r="Y72" s="218" t="str">
        <f>IF(O72&lt;&gt;"","A"&amp;MATCH(R72,CoinCollection!E:E,),"")</f>
        <v/>
      </c>
      <c r="AL72" s="218" t="str">
        <f>IF(AA72&lt;&gt;"","A"&amp;MATCH(AD72,CoinCollection!E:E,),"")</f>
        <v/>
      </c>
      <c r="AN72">
        <v>1979</v>
      </c>
      <c r="AO72" s="218">
        <v>0</v>
      </c>
      <c r="AP72" t="str">
        <v>Dollar</v>
      </c>
      <c r="AQ72" t="str">
        <v>SBA1979DOLSV-AA</v>
      </c>
      <c r="AR72" t="str">
        <v>Susan B Anthony Souvenir Set</v>
      </c>
      <c r="AS72" s="228" t="str">
        <v>About Uncirculated</v>
      </c>
      <c r="AT72" s="225">
        <v>0</v>
      </c>
      <c r="AU72" s="225">
        <v>25</v>
      </c>
      <c r="AV72" s="136">
        <v>1</v>
      </c>
      <c r="AW72" s="219">
        <v>0</v>
      </c>
      <c r="AX72" s="218">
        <v>0</v>
      </c>
      <c r="AY72" s="136" t="str">
        <f>IF(AN72&lt;&gt;"","A"&amp;MATCH(AQ72,CoinCollection!E:E,),"")</f>
        <v>A2370</v>
      </c>
      <c r="BA72">
        <v>1926</v>
      </c>
      <c r="BB72" s="218">
        <v>0</v>
      </c>
      <c r="BC72" t="str">
        <v>Penny</v>
      </c>
      <c r="BD72" t="str">
        <v>WHT1926CNT-AB</v>
      </c>
      <c r="BE72" t="str">
        <v>Wheat Penny</v>
      </c>
      <c r="BF72" t="str">
        <v>Extremely Fine</v>
      </c>
      <c r="BG72" s="225">
        <v>0.3</v>
      </c>
      <c r="BH72" s="225">
        <v>0.3</v>
      </c>
      <c r="BI72" s="136">
        <v>1</v>
      </c>
      <c r="BJ72" s="219">
        <v>0</v>
      </c>
      <c r="BK72" s="218">
        <v>0</v>
      </c>
      <c r="BL72" s="136" t="str">
        <f>IF(BA72&lt;&gt;"","A"&amp;MATCH(BD72,CoinCollection!E:E,),"")</f>
        <v>A107</v>
      </c>
      <c r="BO72" t="s">
        <v>3744</v>
      </c>
    </row>
    <row r="73" spans="12:67">
      <c r="L73" s="219" t="str">
        <f>IF(A73&lt;&gt;"","A"&amp;MATCH(D73,CoinCollection!E:E,),"")</f>
        <v/>
      </c>
      <c r="N73" s="136"/>
      <c r="Y73" s="218" t="str">
        <f>IF(O73&lt;&gt;"","A"&amp;MATCH(R73,CoinCollection!E:E,),"")</f>
        <v/>
      </c>
      <c r="AL73" s="218" t="str">
        <f>IF(AA73&lt;&gt;"","A"&amp;MATCH(AD73,CoinCollection!E:E,),"")</f>
        <v/>
      </c>
      <c r="AN73">
        <v>1991</v>
      </c>
      <c r="AO73" s="218">
        <v>0</v>
      </c>
      <c r="AP73" t="str">
        <v>Dollar</v>
      </c>
      <c r="AQ73" t="str">
        <v>SN1991DOL</v>
      </c>
      <c r="AR73" t="str">
        <v xml:space="preserve">Stormin Normin </v>
      </c>
      <c r="AS73" s="228" t="str">
        <v>About Uncirculated</v>
      </c>
      <c r="AT73" s="225">
        <v>0</v>
      </c>
      <c r="AU73" s="225">
        <v>27</v>
      </c>
      <c r="AV73" s="136">
        <v>1</v>
      </c>
      <c r="AW73" s="219">
        <v>0</v>
      </c>
      <c r="AX73" s="218">
        <v>0</v>
      </c>
      <c r="AY73" s="136" t="str">
        <f>IF(AN73&lt;&gt;"","A"&amp;MATCH(AQ73,CoinCollection!E:E,),"")</f>
        <v>A2377</v>
      </c>
      <c r="BA73">
        <v>1926</v>
      </c>
      <c r="BB73" s="218">
        <v>0</v>
      </c>
      <c r="BC73" t="str">
        <v>Penny</v>
      </c>
      <c r="BD73" t="str">
        <v>WHT1926CNT-AC</v>
      </c>
      <c r="BE73" t="str">
        <v>Wheat Penny</v>
      </c>
      <c r="BF73" t="str">
        <v>Extremely Fine</v>
      </c>
      <c r="BG73" s="225">
        <v>0.15</v>
      </c>
      <c r="BH73" s="225">
        <v>0.15</v>
      </c>
      <c r="BI73" s="136">
        <v>1</v>
      </c>
      <c r="BJ73" s="219">
        <v>0</v>
      </c>
      <c r="BK73" s="218">
        <v>0</v>
      </c>
      <c r="BL73" s="136" t="str">
        <f>IF(BA73&lt;&gt;"","A"&amp;MATCH(BD73,CoinCollection!E:E,),"")</f>
        <v>A108</v>
      </c>
      <c r="BO73" t="s">
        <v>3908</v>
      </c>
    </row>
    <row r="74" spans="12:67">
      <c r="L74" s="219" t="str">
        <f>IF(A74&lt;&gt;"","A"&amp;MATCH(D74,CoinCollection!E:E,),"")</f>
        <v/>
      </c>
      <c r="N74" s="136"/>
      <c r="Y74" s="218" t="str">
        <f>IF(O74&lt;&gt;"","A"&amp;MATCH(R74,CoinCollection!E:E,),"")</f>
        <v/>
      </c>
      <c r="AL74" s="218" t="str">
        <f>IF(AA74&lt;&gt;"","A"&amp;MATCH(AD74,CoinCollection!E:E,),"")</f>
        <v/>
      </c>
      <c r="AN74">
        <v>1999</v>
      </c>
      <c r="AO74" s="218">
        <v>0</v>
      </c>
      <c r="AP74" t="str">
        <v>Quarter</v>
      </c>
      <c r="AQ74" t="str">
        <v>QTR1999SET-AA</v>
      </c>
      <c r="AR74" t="str">
        <v>1999 State Quarter Set</v>
      </c>
      <c r="AS74" s="228" t="str">
        <v>About Uncirculated</v>
      </c>
      <c r="AT74" s="225">
        <v>0</v>
      </c>
      <c r="AU74" s="225">
        <v>50</v>
      </c>
      <c r="AV74" s="136">
        <v>1</v>
      </c>
      <c r="AW74" s="219">
        <v>0</v>
      </c>
      <c r="AX74" s="218">
        <v>0</v>
      </c>
      <c r="AY74" s="136" t="str">
        <f>IF(AN74&lt;&gt;"","A"&amp;MATCH(AQ74,CoinCollection!E:E,),"")</f>
        <v>A2381</v>
      </c>
      <c r="BA74">
        <v>1926</v>
      </c>
      <c r="BB74" s="218">
        <v>0</v>
      </c>
      <c r="BC74" t="str">
        <v>Penny</v>
      </c>
      <c r="BD74" t="str">
        <v>WHT1926CNT-AD</v>
      </c>
      <c r="BE74" t="str">
        <v>Wheat Penny</v>
      </c>
      <c r="BF74" t="str">
        <v>Extremely Fine</v>
      </c>
      <c r="BG74" s="225">
        <v>0.2</v>
      </c>
      <c r="BH74" s="225">
        <v>0.2</v>
      </c>
      <c r="BI74" s="136">
        <v>1</v>
      </c>
      <c r="BJ74" s="219">
        <v>0</v>
      </c>
      <c r="BK74" s="218">
        <v>0</v>
      </c>
      <c r="BL74" s="136" t="str">
        <f>IF(BA74&lt;&gt;"","A"&amp;MATCH(BD74,CoinCollection!E:E,),"")</f>
        <v>A109</v>
      </c>
      <c r="BO74" t="s">
        <v>3743</v>
      </c>
    </row>
    <row r="75" spans="12:67">
      <c r="L75" s="219" t="str">
        <f>IF(A75&lt;&gt;"","A"&amp;MATCH(D75,CoinCollection!E:E,),"")</f>
        <v/>
      </c>
      <c r="N75" s="136"/>
      <c r="Y75" s="218" t="str">
        <f>IF(O75&lt;&gt;"","A"&amp;MATCH(R75,CoinCollection!E:E,),"")</f>
        <v/>
      </c>
      <c r="AL75" s="218" t="str">
        <f>IF(AA75&lt;&gt;"","A"&amp;MATCH(AD75,CoinCollection!E:E,),"")</f>
        <v/>
      </c>
      <c r="AN75">
        <v>1970</v>
      </c>
      <c r="AO75" s="218">
        <v>0</v>
      </c>
      <c r="AP75" t="str">
        <v>Half Dollar</v>
      </c>
      <c r="AQ75" t="str">
        <v>DOL1970's-Tube-BI</v>
      </c>
      <c r="AR75" t="str">
        <v>Eisenhower Halves Assorted Dates Tube</v>
      </c>
      <c r="AS75" s="228" t="str">
        <v>About Uncirculated</v>
      </c>
      <c r="AT75" s="225">
        <v>6</v>
      </c>
      <c r="AU75" s="225">
        <v>132</v>
      </c>
      <c r="AV75" s="136">
        <v>6</v>
      </c>
      <c r="AW75" s="219">
        <v>0</v>
      </c>
      <c r="AX75" s="218">
        <v>0</v>
      </c>
      <c r="AY75" s="136" t="str">
        <f>IF(AN75&lt;&gt;"","A"&amp;MATCH(AQ75,CoinCollection!E:E,),"")</f>
        <v>A2397</v>
      </c>
      <c r="BA75">
        <v>1926</v>
      </c>
      <c r="BB75" s="218" t="str">
        <v>S</v>
      </c>
      <c r="BC75" t="str">
        <v>Penny</v>
      </c>
      <c r="BD75" t="str">
        <v>WHT1926CNT-AE</v>
      </c>
      <c r="BE75" t="str">
        <v>Wheat Penny</v>
      </c>
      <c r="BF75" t="str">
        <v>Extremely Fine</v>
      </c>
      <c r="BG75" s="225">
        <v>0.01</v>
      </c>
      <c r="BH75" s="225">
        <v>0</v>
      </c>
      <c r="BI75" s="136">
        <v>1</v>
      </c>
      <c r="BJ75" s="219">
        <v>0</v>
      </c>
      <c r="BK75" s="218">
        <v>0</v>
      </c>
      <c r="BL75" s="136" t="str">
        <f>IF(BA75&lt;&gt;"","A"&amp;MATCH(BD75,CoinCollection!E:E,),"")</f>
        <v>A110</v>
      </c>
      <c r="BO75" t="s">
        <v>3746</v>
      </c>
    </row>
    <row r="76" spans="12:67">
      <c r="L76" s="219" t="str">
        <f>IF(A76&lt;&gt;"","A"&amp;MATCH(D76,CoinCollection!E:E,),"")</f>
        <v/>
      </c>
      <c r="N76" s="136"/>
      <c r="Y76" s="218" t="str">
        <f>IF(O76&lt;&gt;"","A"&amp;MATCH(R76,CoinCollection!E:E,),"")</f>
        <v/>
      </c>
      <c r="AL76" s="218" t="str">
        <f>IF(AA76&lt;&gt;"","A"&amp;MATCH(AD76,CoinCollection!E:E,),"")</f>
        <v/>
      </c>
      <c r="AN76">
        <v>1999</v>
      </c>
      <c r="AO76" s="218">
        <v>0</v>
      </c>
      <c r="AP76" t="str">
        <v>Quarter</v>
      </c>
      <c r="AQ76" t="str">
        <v>Book1999QTR-AB</v>
      </c>
      <c r="AR76" t="str">
        <v>State Quarters Book</v>
      </c>
      <c r="AS76" s="228" t="str">
        <v>About Uncirculated</v>
      </c>
      <c r="AT76" s="225">
        <v>12.5</v>
      </c>
      <c r="AU76" s="225">
        <v>60</v>
      </c>
      <c r="AV76" s="136">
        <v>50</v>
      </c>
      <c r="AW76" s="219" t="str">
        <v>Blue Book</v>
      </c>
      <c r="AX76" s="218">
        <v>0</v>
      </c>
      <c r="AY76" s="136" t="str">
        <f>IF(AN76&lt;&gt;"","A"&amp;MATCH(AQ76,CoinCollection!E:E,),"")</f>
        <v>A2444</v>
      </c>
      <c r="BA76">
        <v>1926</v>
      </c>
      <c r="BB76" s="218" t="str">
        <v>D</v>
      </c>
      <c r="BC76" t="str">
        <v>Penny</v>
      </c>
      <c r="BD76" t="str">
        <v>WHT1926CNT-AF</v>
      </c>
      <c r="BE76" t="str">
        <v>Wheat Penny</v>
      </c>
      <c r="BF76" t="str">
        <v>Extremely Fine</v>
      </c>
      <c r="BG76" s="225">
        <v>0.01</v>
      </c>
      <c r="BH76" s="225">
        <v>0.01</v>
      </c>
      <c r="BI76" s="136">
        <v>1</v>
      </c>
      <c r="BJ76" s="219">
        <v>0</v>
      </c>
      <c r="BK76" s="218">
        <v>0</v>
      </c>
      <c r="BL76" s="136" t="str">
        <f>IF(BA76&lt;&gt;"","A"&amp;MATCH(BD76,CoinCollection!E:E,),"")</f>
        <v>A111</v>
      </c>
      <c r="BO76" t="s">
        <v>3736</v>
      </c>
    </row>
    <row r="77" spans="12:67">
      <c r="L77" s="219" t="str">
        <f>IF(A77&lt;&gt;"","A"&amp;MATCH(D77,CoinCollection!E:E,),"")</f>
        <v/>
      </c>
      <c r="N77" s="136"/>
      <c r="Y77" s="218" t="str">
        <f>IF(O77&lt;&gt;"","A"&amp;MATCH(R77,CoinCollection!E:E,),"")</f>
        <v/>
      </c>
      <c r="AL77" s="218" t="str">
        <f>IF(AA77&lt;&gt;"","A"&amp;MATCH(AD77,CoinCollection!E:E,),"")</f>
        <v/>
      </c>
      <c r="AN77">
        <v>1999</v>
      </c>
      <c r="AO77" s="218">
        <v>0</v>
      </c>
      <c r="AP77" t="str">
        <v>Quarter</v>
      </c>
      <c r="AQ77" t="str">
        <v>Book1999QTR-AC</v>
      </c>
      <c r="AR77" t="str">
        <v>State Quarters Book</v>
      </c>
      <c r="AS77" s="228" t="str">
        <v>About Uncirculated</v>
      </c>
      <c r="AT77" s="225">
        <v>12.5</v>
      </c>
      <c r="AU77" s="225">
        <v>60</v>
      </c>
      <c r="AV77" s="136">
        <v>50</v>
      </c>
      <c r="AW77" s="219" t="str">
        <v>Green Book</v>
      </c>
      <c r="AX77" s="218">
        <v>0</v>
      </c>
      <c r="AY77" s="136" t="str">
        <f>IF(AN77&lt;&gt;"","A"&amp;MATCH(AQ77,CoinCollection!E:E,),"")</f>
        <v>A2445</v>
      </c>
      <c r="BA77">
        <v>1927</v>
      </c>
      <c r="BB77" s="218">
        <v>0</v>
      </c>
      <c r="BC77" t="str">
        <v>Penny</v>
      </c>
      <c r="BD77" t="str">
        <v>WHT1927CNT-AA</v>
      </c>
      <c r="BE77" t="str">
        <v>Wheat Penny</v>
      </c>
      <c r="BF77" t="str">
        <v>Extremely Fine</v>
      </c>
      <c r="BG77" s="225">
        <v>0.27</v>
      </c>
      <c r="BH77" s="225">
        <v>0.27</v>
      </c>
      <c r="BI77" s="136">
        <v>1</v>
      </c>
      <c r="BJ77" s="219">
        <v>0</v>
      </c>
      <c r="BK77" s="218">
        <v>0</v>
      </c>
      <c r="BL77" s="136" t="str">
        <f>IF(BA77&lt;&gt;"","A"&amp;MATCH(BD77,CoinCollection!E:E,),"")</f>
        <v>A112</v>
      </c>
      <c r="BO77" t="s">
        <v>3739</v>
      </c>
    </row>
    <row r="78" spans="12:67">
      <c r="L78" s="219" t="str">
        <f>IF(A78&lt;&gt;"","A"&amp;MATCH(D78,CoinCollection!E:E,),"")</f>
        <v/>
      </c>
      <c r="N78" s="136"/>
      <c r="Y78" s="218" t="str">
        <f>IF(O78&lt;&gt;"","A"&amp;MATCH(R78,CoinCollection!E:E,),"")</f>
        <v/>
      </c>
      <c r="AL78" s="218" t="str">
        <f>IF(AA78&lt;&gt;"","A"&amp;MATCH(AD78,CoinCollection!E:E,),"")</f>
        <v/>
      </c>
      <c r="AY78" s="136" t="str">
        <f>IF(AN78&lt;&gt;"","A"&amp;MATCH(AQ78,CoinCollection!E:E,),"")</f>
        <v/>
      </c>
      <c r="BA78">
        <v>1927</v>
      </c>
      <c r="BB78" s="218">
        <v>0</v>
      </c>
      <c r="BC78" t="str">
        <v>Penny</v>
      </c>
      <c r="BD78" t="str">
        <v>WHT1927CNT-AB</v>
      </c>
      <c r="BE78" t="str">
        <v>Wheat Penny</v>
      </c>
      <c r="BF78" t="str">
        <v>Extremely Fine</v>
      </c>
      <c r="BG78" s="225">
        <v>0.3</v>
      </c>
      <c r="BH78" s="225">
        <v>0.3</v>
      </c>
      <c r="BI78" s="136">
        <v>1</v>
      </c>
      <c r="BJ78" s="219">
        <v>0</v>
      </c>
      <c r="BK78" s="218">
        <v>0</v>
      </c>
      <c r="BL78" s="136" t="str">
        <f>IF(BA78&lt;&gt;"","A"&amp;MATCH(BD78,CoinCollection!E:E,),"")</f>
        <v>A113</v>
      </c>
      <c r="BO78" t="s">
        <v>3738</v>
      </c>
    </row>
    <row r="79" spans="12:67">
      <c r="L79" s="219" t="str">
        <f>IF(A79&lt;&gt;"","A"&amp;MATCH(D79,CoinCollection!E:E,),"")</f>
        <v/>
      </c>
      <c r="N79" s="136"/>
      <c r="Y79" s="218" t="str">
        <f>IF(O79&lt;&gt;"","A"&amp;MATCH(R79,CoinCollection!E:E,),"")</f>
        <v/>
      </c>
      <c r="AL79" s="218" t="str">
        <f>IF(AA79&lt;&gt;"","A"&amp;MATCH(AD79,CoinCollection!E:E,),"")</f>
        <v/>
      </c>
      <c r="AY79" s="136" t="str">
        <f>IF(AN79&lt;&gt;"","A"&amp;MATCH(AQ79,CoinCollection!E:E,),"")</f>
        <v/>
      </c>
      <c r="BA79">
        <v>1927</v>
      </c>
      <c r="BB79" s="218">
        <v>0</v>
      </c>
      <c r="BC79" t="str">
        <v>Penny</v>
      </c>
      <c r="BD79" t="str">
        <v>WHT1927CNT-AC</v>
      </c>
      <c r="BE79" t="str">
        <v>Wheat Penny</v>
      </c>
      <c r="BF79" t="str">
        <v>Extremely Fine</v>
      </c>
      <c r="BG79" s="225">
        <v>0.2</v>
      </c>
      <c r="BH79" s="225">
        <v>0.2</v>
      </c>
      <c r="BI79" s="136">
        <v>1</v>
      </c>
      <c r="BJ79" s="219">
        <v>0</v>
      </c>
      <c r="BK79" s="218">
        <v>0</v>
      </c>
      <c r="BL79" s="136" t="str">
        <f>IF(BA79&lt;&gt;"","A"&amp;MATCH(BD79,CoinCollection!E:E,),"")</f>
        <v>A114</v>
      </c>
      <c r="BO79" t="s">
        <v>3748</v>
      </c>
    </row>
    <row r="80" spans="12:67">
      <c r="L80" s="219" t="str">
        <f>IF(A80&lt;&gt;"","A"&amp;MATCH(D80,CoinCollection!E:E,),"")</f>
        <v/>
      </c>
      <c r="N80" s="136"/>
      <c r="Y80" s="218" t="str">
        <f>IF(O80&lt;&gt;"","A"&amp;MATCH(R80,CoinCollection!E:E,),"")</f>
        <v/>
      </c>
      <c r="AL80" s="218" t="str">
        <f>IF(AA80&lt;&gt;"","A"&amp;MATCH(AD80,CoinCollection!E:E,),"")</f>
        <v/>
      </c>
      <c r="AY80" s="136" t="str">
        <f>IF(AN80&lt;&gt;"","A"&amp;MATCH(AQ80,CoinCollection!E:E,),"")</f>
        <v/>
      </c>
      <c r="BA80">
        <v>1927</v>
      </c>
      <c r="BB80" s="218">
        <v>0</v>
      </c>
      <c r="BC80" t="str">
        <v>Penny</v>
      </c>
      <c r="BD80" t="str">
        <v>WHT1927CNT-AD</v>
      </c>
      <c r="BE80" t="str">
        <v>Wheat Penny</v>
      </c>
      <c r="BF80" t="str">
        <v>Extremely Fine</v>
      </c>
      <c r="BG80" s="225">
        <v>0.2</v>
      </c>
      <c r="BH80" s="225">
        <v>0.2</v>
      </c>
      <c r="BI80" s="136">
        <v>1</v>
      </c>
      <c r="BJ80" s="219">
        <v>0</v>
      </c>
      <c r="BK80" s="218">
        <v>0</v>
      </c>
      <c r="BL80" s="136" t="str">
        <f>IF(BA80&lt;&gt;"","A"&amp;MATCH(BD80,CoinCollection!E:E,),"")</f>
        <v>A115</v>
      </c>
      <c r="BO80" t="s">
        <v>3740</v>
      </c>
    </row>
    <row r="81" spans="12:67">
      <c r="L81" s="219" t="str">
        <f>IF(A81&lt;&gt;"","A"&amp;MATCH(D81,CoinCollection!E:E,),"")</f>
        <v/>
      </c>
      <c r="N81" s="136"/>
      <c r="Y81" s="218" t="str">
        <f>IF(O81&lt;&gt;"","A"&amp;MATCH(R81,CoinCollection!E:E,),"")</f>
        <v/>
      </c>
      <c r="AL81" s="218" t="str">
        <f>IF(AA81&lt;&gt;"","A"&amp;MATCH(AD81,CoinCollection!E:E,),"")</f>
        <v/>
      </c>
      <c r="AY81" s="136" t="str">
        <f>IF(AN81&lt;&gt;"","A"&amp;MATCH(AQ81,CoinCollection!E:E,),"")</f>
        <v/>
      </c>
      <c r="BA81">
        <v>1927</v>
      </c>
      <c r="BB81" s="218" t="str">
        <v>D</v>
      </c>
      <c r="BC81" t="str">
        <v>Penny</v>
      </c>
      <c r="BD81" t="str">
        <v>WHT1927CNT-AE</v>
      </c>
      <c r="BE81" t="str">
        <v>Wheat Penny</v>
      </c>
      <c r="BF81" t="str">
        <v>Extremely Fine</v>
      </c>
      <c r="BG81" s="225">
        <v>0.2</v>
      </c>
      <c r="BH81" s="225">
        <v>0.2</v>
      </c>
      <c r="BI81" s="136">
        <v>1</v>
      </c>
      <c r="BJ81" s="219">
        <v>0</v>
      </c>
      <c r="BK81" s="218">
        <v>0</v>
      </c>
      <c r="BL81" s="136" t="str">
        <f>IF(BA81&lt;&gt;"","A"&amp;MATCH(BD81,CoinCollection!E:E,),"")</f>
        <v>A116</v>
      </c>
      <c r="BO81" t="s">
        <v>3741</v>
      </c>
    </row>
    <row r="82" spans="12:67">
      <c r="L82" s="219" t="str">
        <f>IF(A82&lt;&gt;"","A"&amp;MATCH(D82,CoinCollection!E:E,),"")</f>
        <v/>
      </c>
      <c r="N82" s="136"/>
      <c r="Y82" s="218" t="str">
        <f>IF(O82&lt;&gt;"","A"&amp;MATCH(R82,CoinCollection!E:E,),"")</f>
        <v/>
      </c>
      <c r="AL82" s="218" t="str">
        <f>IF(AA82&lt;&gt;"","A"&amp;MATCH(AD82,CoinCollection!E:E,),"")</f>
        <v/>
      </c>
      <c r="AY82" s="136" t="str">
        <f>IF(AN82&lt;&gt;"","A"&amp;MATCH(AQ82,CoinCollection!E:E,),"")</f>
        <v/>
      </c>
      <c r="BA82">
        <v>1927</v>
      </c>
      <c r="BB82" s="218" t="str">
        <v>S</v>
      </c>
      <c r="BC82" t="str">
        <v>Penny</v>
      </c>
      <c r="BD82" t="str">
        <v>WHT1927CNT-AF</v>
      </c>
      <c r="BE82" t="str">
        <v>Wheat Penny</v>
      </c>
      <c r="BF82" t="str">
        <v>Extremely Fine</v>
      </c>
      <c r="BG82" s="225">
        <v>1</v>
      </c>
      <c r="BH82" s="225">
        <v>1</v>
      </c>
      <c r="BI82" s="136">
        <v>1</v>
      </c>
      <c r="BJ82" s="219">
        <v>0</v>
      </c>
      <c r="BK82" s="218">
        <v>0</v>
      </c>
      <c r="BL82" s="136" t="str">
        <f>IF(BA82&lt;&gt;"","A"&amp;MATCH(BD82,CoinCollection!E:E,),"")</f>
        <v>A117</v>
      </c>
    </row>
    <row r="83" spans="12:67">
      <c r="L83" s="219" t="str">
        <f>IF(A83&lt;&gt;"","A"&amp;MATCH(D83,CoinCollection!E:E,),"")</f>
        <v/>
      </c>
      <c r="N83" s="136"/>
      <c r="Y83" s="218" t="str">
        <f>IF(O83&lt;&gt;"","A"&amp;MATCH(R83,CoinCollection!E:E,),"")</f>
        <v/>
      </c>
      <c r="AL83" s="218" t="str">
        <f>IF(AA83&lt;&gt;"","A"&amp;MATCH(AD83,CoinCollection!E:E,),"")</f>
        <v/>
      </c>
      <c r="AY83" s="136" t="str">
        <f>IF(AN83&lt;&gt;"","A"&amp;MATCH(AQ83,CoinCollection!E:E,),"")</f>
        <v/>
      </c>
      <c r="BA83">
        <v>1927</v>
      </c>
      <c r="BB83" s="218" t="str">
        <v>S</v>
      </c>
      <c r="BC83" t="str">
        <v>Penny</v>
      </c>
      <c r="BD83" t="str">
        <v>WHT1927CNT-AG</v>
      </c>
      <c r="BE83" t="str">
        <v>Wheat Penny</v>
      </c>
      <c r="BF83" t="str">
        <v>Extremely Fine</v>
      </c>
      <c r="BG83" s="225">
        <v>1</v>
      </c>
      <c r="BH83" s="225">
        <v>1</v>
      </c>
      <c r="BI83" s="136">
        <v>1</v>
      </c>
      <c r="BJ83" s="219">
        <v>0</v>
      </c>
      <c r="BK83" s="218">
        <v>0</v>
      </c>
      <c r="BL83" s="136" t="str">
        <f>IF(BA83&lt;&gt;"","A"&amp;MATCH(BD83,CoinCollection!E:E,),"")</f>
        <v>A118</v>
      </c>
    </row>
    <row r="84" spans="12:67">
      <c r="L84" s="219" t="str">
        <f>IF(A84&lt;&gt;"","A"&amp;MATCH(D84,CoinCollection!E:E,),"")</f>
        <v/>
      </c>
      <c r="N84" s="136"/>
      <c r="Y84" s="218" t="str">
        <f>IF(O84&lt;&gt;"","A"&amp;MATCH(R84,CoinCollection!E:E,),"")</f>
        <v/>
      </c>
      <c r="AL84" s="218" t="str">
        <f>IF(AA84&lt;&gt;"","A"&amp;MATCH(AD84,CoinCollection!E:E,),"")</f>
        <v/>
      </c>
      <c r="AY84" s="136" t="str">
        <f>IF(AN84&lt;&gt;"","A"&amp;MATCH(AQ84,CoinCollection!E:E,),"")</f>
        <v/>
      </c>
      <c r="BA84">
        <v>1928</v>
      </c>
      <c r="BB84" s="218" t="str">
        <v>S</v>
      </c>
      <c r="BC84" t="str">
        <v>Penny</v>
      </c>
      <c r="BD84" t="str">
        <v>WHT1928CNT-AA</v>
      </c>
      <c r="BE84" t="str">
        <v>Wheat Penny</v>
      </c>
      <c r="BF84" t="str">
        <v>Extremely Fine</v>
      </c>
      <c r="BG84" s="225">
        <v>0.6</v>
      </c>
      <c r="BH84" s="225">
        <v>0.6</v>
      </c>
      <c r="BI84" s="136">
        <v>1</v>
      </c>
      <c r="BJ84" s="219">
        <v>0</v>
      </c>
      <c r="BK84" s="218">
        <v>0</v>
      </c>
      <c r="BL84" s="136" t="str">
        <f>IF(BA84&lt;&gt;"","A"&amp;MATCH(BD84,CoinCollection!E:E,),"")</f>
        <v>A119</v>
      </c>
    </row>
    <row r="85" spans="12:67">
      <c r="L85" s="219" t="str">
        <f>IF(A85&lt;&gt;"","A"&amp;MATCH(D85,CoinCollection!E:E,),"")</f>
        <v/>
      </c>
      <c r="N85" s="136"/>
      <c r="Y85" s="218" t="str">
        <f>IF(O85&lt;&gt;"","A"&amp;MATCH(R85,CoinCollection!E:E,),"")</f>
        <v/>
      </c>
      <c r="AL85" s="218" t="str">
        <f>IF(AA85&lt;&gt;"","A"&amp;MATCH(AD85,CoinCollection!E:E,),"")</f>
        <v/>
      </c>
      <c r="AY85" s="136" t="str">
        <f>IF(AN85&lt;&gt;"","A"&amp;MATCH(AQ85,CoinCollection!E:E,),"")</f>
        <v/>
      </c>
      <c r="BA85">
        <v>1928</v>
      </c>
      <c r="BB85" s="218" t="str">
        <v>S</v>
      </c>
      <c r="BC85" t="str">
        <v>Penny</v>
      </c>
      <c r="BD85" t="str">
        <v>WHT1928CNT-AB</v>
      </c>
      <c r="BE85" t="str">
        <v>Wheat Penny</v>
      </c>
      <c r="BF85" t="str">
        <v>Extremely Fine</v>
      </c>
      <c r="BG85" s="225">
        <v>0.01</v>
      </c>
      <c r="BH85" s="225">
        <v>0.01</v>
      </c>
      <c r="BI85" s="136">
        <v>1</v>
      </c>
      <c r="BJ85" s="219">
        <v>0</v>
      </c>
      <c r="BK85" s="218">
        <v>0</v>
      </c>
      <c r="BL85" s="136" t="str">
        <f>IF(BA85&lt;&gt;"","A"&amp;MATCH(BD85,CoinCollection!E:E,),"")</f>
        <v>A120</v>
      </c>
    </row>
    <row r="86" spans="12:67">
      <c r="L86" s="219" t="str">
        <f>IF(A86&lt;&gt;"","A"&amp;MATCH(D86,CoinCollection!E:E,),"")</f>
        <v/>
      </c>
      <c r="N86" s="136"/>
      <c r="Y86" s="218" t="str">
        <f>IF(O86&lt;&gt;"","A"&amp;MATCH(R86,CoinCollection!E:E,),"")</f>
        <v/>
      </c>
      <c r="AL86" s="218" t="str">
        <f>IF(AA86&lt;&gt;"","A"&amp;MATCH(AD86,CoinCollection!E:E,),"")</f>
        <v/>
      </c>
      <c r="AY86" s="136" t="str">
        <f>IF(AN86&lt;&gt;"","A"&amp;MATCH(AQ86,CoinCollection!E:E,),"")</f>
        <v/>
      </c>
      <c r="BA86">
        <v>1928</v>
      </c>
      <c r="BB86" s="218" t="str">
        <v>D</v>
      </c>
      <c r="BC86" t="str">
        <v>Penny</v>
      </c>
      <c r="BD86" t="str">
        <v>WHT1928CNT-AC</v>
      </c>
      <c r="BE86" t="str">
        <v>Wheat Penny</v>
      </c>
      <c r="BF86" t="str">
        <v>Extremely Fine</v>
      </c>
      <c r="BG86" s="225">
        <v>0.01</v>
      </c>
      <c r="BH86" s="225">
        <v>0.01</v>
      </c>
      <c r="BI86" s="136">
        <v>1</v>
      </c>
      <c r="BJ86" s="219">
        <v>0</v>
      </c>
      <c r="BK86" s="218">
        <v>0</v>
      </c>
      <c r="BL86" s="136" t="str">
        <f>IF(BA86&lt;&gt;"","A"&amp;MATCH(BD86,CoinCollection!E:E,),"")</f>
        <v>A121</v>
      </c>
    </row>
    <row r="87" spans="12:67">
      <c r="L87" s="219" t="str">
        <f>IF(A87&lt;&gt;"","A"&amp;MATCH(D87,CoinCollection!E:E,),"")</f>
        <v/>
      </c>
      <c r="N87" s="136"/>
      <c r="Y87" s="218" t="str">
        <f>IF(O87&lt;&gt;"","A"&amp;MATCH(R87,CoinCollection!E:E,),"")</f>
        <v/>
      </c>
      <c r="AL87" s="218" t="str">
        <f>IF(AA87&lt;&gt;"","A"&amp;MATCH(AD87,CoinCollection!E:E,),"")</f>
        <v/>
      </c>
      <c r="AY87" s="136" t="str">
        <f>IF(AN87&lt;&gt;"","A"&amp;MATCH(AQ87,CoinCollection!E:E,),"")</f>
        <v/>
      </c>
      <c r="BA87">
        <v>1928</v>
      </c>
      <c r="BB87" s="218" t="str">
        <v>D</v>
      </c>
      <c r="BC87" t="str">
        <v>Penny</v>
      </c>
      <c r="BD87" t="str">
        <v>WHT1928CNT-AD</v>
      </c>
      <c r="BE87" t="str">
        <v>Wheat Penny</v>
      </c>
      <c r="BF87" t="str">
        <v>Extremely Fine</v>
      </c>
      <c r="BG87" s="225">
        <v>0.4</v>
      </c>
      <c r="BH87" s="225">
        <v>0.4</v>
      </c>
      <c r="BI87" s="136">
        <v>1</v>
      </c>
      <c r="BJ87" s="219">
        <v>0</v>
      </c>
      <c r="BK87" s="218">
        <v>0</v>
      </c>
      <c r="BL87" s="136" t="str">
        <f>IF(BA87&lt;&gt;"","A"&amp;MATCH(BD87,CoinCollection!E:E,),"")</f>
        <v>A122</v>
      </c>
    </row>
    <row r="88" spans="12:67">
      <c r="L88" s="219" t="str">
        <f>IF(A88&lt;&gt;"","A"&amp;MATCH(D88,CoinCollection!E:E,),"")</f>
        <v/>
      </c>
      <c r="N88" s="136"/>
      <c r="Y88" s="218" t="str">
        <f>IF(O88&lt;&gt;"","A"&amp;MATCH(R88,CoinCollection!E:E,),"")</f>
        <v/>
      </c>
      <c r="AL88" s="218" t="str">
        <f>IF(AA88&lt;&gt;"","A"&amp;MATCH(AD88,CoinCollection!E:E,),"")</f>
        <v/>
      </c>
      <c r="AY88" s="136" t="str">
        <f>IF(AN88&lt;&gt;"","A"&amp;MATCH(AQ88,CoinCollection!E:E,),"")</f>
        <v/>
      </c>
      <c r="BA88">
        <v>1928</v>
      </c>
      <c r="BB88" s="218">
        <v>0</v>
      </c>
      <c r="BC88" t="str">
        <v>Penny</v>
      </c>
      <c r="BD88" t="str">
        <v>WHT1928CNT-AE</v>
      </c>
      <c r="BE88" t="str">
        <v>Wheat Penny</v>
      </c>
      <c r="BF88" t="str">
        <v>Extremely Fine</v>
      </c>
      <c r="BG88" s="225">
        <v>0.2</v>
      </c>
      <c r="BH88" s="225">
        <v>0.2</v>
      </c>
      <c r="BI88" s="136">
        <v>1</v>
      </c>
      <c r="BJ88" s="219">
        <v>0</v>
      </c>
      <c r="BK88" s="218">
        <v>0</v>
      </c>
      <c r="BL88" s="136" t="str">
        <f>IF(BA88&lt;&gt;"","A"&amp;MATCH(BD88,CoinCollection!E:E,),"")</f>
        <v>A123</v>
      </c>
    </row>
    <row r="89" spans="12:67">
      <c r="L89" s="219" t="str">
        <f>IF(A89&lt;&gt;"","A"&amp;MATCH(D89,CoinCollection!E:E,),"")</f>
        <v/>
      </c>
      <c r="N89" s="136"/>
      <c r="Y89" s="218" t="str">
        <f>IF(O89&lt;&gt;"","A"&amp;MATCH(R89,CoinCollection!E:E,),"")</f>
        <v/>
      </c>
      <c r="AL89" s="218" t="str">
        <f>IF(AA89&lt;&gt;"","A"&amp;MATCH(AD89,CoinCollection!E:E,),"")</f>
        <v/>
      </c>
      <c r="AY89" s="136" t="str">
        <f>IF(AN89&lt;&gt;"","A"&amp;MATCH(AQ89,CoinCollection!E:E,),"")</f>
        <v/>
      </c>
      <c r="BA89">
        <v>1928</v>
      </c>
      <c r="BB89" s="218">
        <v>0</v>
      </c>
      <c r="BC89" t="str">
        <v>Penny</v>
      </c>
      <c r="BD89" t="str">
        <v>WHT1928CNT-AF</v>
      </c>
      <c r="BE89" t="str">
        <v>Wheat Penny</v>
      </c>
      <c r="BF89" t="str">
        <v>Extremely Fine</v>
      </c>
      <c r="BG89" s="225">
        <v>0.01</v>
      </c>
      <c r="BH89" s="225">
        <v>0.01</v>
      </c>
      <c r="BI89" s="136">
        <v>1</v>
      </c>
      <c r="BJ89" s="219">
        <v>0</v>
      </c>
      <c r="BK89" s="218">
        <v>0</v>
      </c>
      <c r="BL89" s="136" t="str">
        <f>IF(BA89&lt;&gt;"","A"&amp;MATCH(BD89,CoinCollection!E:E,),"")</f>
        <v>A124</v>
      </c>
    </row>
    <row r="90" spans="12:67">
      <c r="L90" s="219" t="str">
        <f>IF(A90&lt;&gt;"","A"&amp;MATCH(D90,CoinCollection!E:E,),"")</f>
        <v/>
      </c>
      <c r="N90" s="136"/>
      <c r="Y90" s="218" t="str">
        <f>IF(O90&lt;&gt;"","A"&amp;MATCH(R90,CoinCollection!E:E,),"")</f>
        <v/>
      </c>
      <c r="AL90" s="218" t="str">
        <f>IF(AA90&lt;&gt;"","A"&amp;MATCH(AD90,CoinCollection!E:E,),"")</f>
        <v/>
      </c>
      <c r="AY90" s="136" t="str">
        <f>IF(AN90&lt;&gt;"","A"&amp;MATCH(AQ90,CoinCollection!E:E,),"")</f>
        <v/>
      </c>
      <c r="BA90">
        <v>1929</v>
      </c>
      <c r="BB90" s="218">
        <v>0</v>
      </c>
      <c r="BC90" t="str">
        <v>Penny</v>
      </c>
      <c r="BD90" t="str">
        <v>WHT1929CNT-AA</v>
      </c>
      <c r="BE90" t="str">
        <v>Wheat Penny</v>
      </c>
      <c r="BF90" t="str">
        <v>Extremely Fine</v>
      </c>
      <c r="BG90" s="225">
        <v>0.2</v>
      </c>
      <c r="BH90" s="225">
        <v>0.2</v>
      </c>
      <c r="BI90" s="136">
        <v>1</v>
      </c>
      <c r="BJ90" s="219">
        <v>0</v>
      </c>
      <c r="BK90" s="218">
        <v>0</v>
      </c>
      <c r="BL90" s="136" t="str">
        <f>IF(BA90&lt;&gt;"","A"&amp;MATCH(BD90,CoinCollection!E:E,),"")</f>
        <v>A125</v>
      </c>
    </row>
    <row r="91" spans="12:67">
      <c r="L91" s="219" t="str">
        <f>IF(A91&lt;&gt;"","A"&amp;MATCH(D91,CoinCollection!E:E,),"")</f>
        <v/>
      </c>
      <c r="N91" s="136"/>
      <c r="Y91" s="218" t="str">
        <f>IF(O91&lt;&gt;"","A"&amp;MATCH(R91,CoinCollection!E:E,),"")</f>
        <v/>
      </c>
      <c r="AL91" s="218" t="str">
        <f>IF(AA91&lt;&gt;"","A"&amp;MATCH(AD91,CoinCollection!E:E,),"")</f>
        <v/>
      </c>
      <c r="AY91" s="136" t="str">
        <f>IF(AN91&lt;&gt;"","A"&amp;MATCH(AQ91,CoinCollection!E:E,),"")</f>
        <v/>
      </c>
      <c r="BA91">
        <v>1929</v>
      </c>
      <c r="BB91" s="218" t="str">
        <v>S</v>
      </c>
      <c r="BC91" t="str">
        <v>Penny</v>
      </c>
      <c r="BD91" t="str">
        <v>WHT1929CNT-AB</v>
      </c>
      <c r="BE91" t="str">
        <v>Wheat Penny</v>
      </c>
      <c r="BF91" t="str">
        <v>Extremely Fine</v>
      </c>
      <c r="BG91" s="225">
        <v>0.15</v>
      </c>
      <c r="BH91" s="225">
        <v>0.15</v>
      </c>
      <c r="BI91" s="136">
        <v>1</v>
      </c>
      <c r="BJ91" s="219">
        <v>0</v>
      </c>
      <c r="BK91" s="218">
        <v>0</v>
      </c>
      <c r="BL91" s="136" t="str">
        <f>IF(BA91&lt;&gt;"","A"&amp;MATCH(BD91,CoinCollection!E:E,),"")</f>
        <v>A126</v>
      </c>
    </row>
    <row r="92" spans="12:67">
      <c r="L92" s="219" t="str">
        <f>IF(A92&lt;&gt;"","A"&amp;MATCH(D92,CoinCollection!E:E,),"")</f>
        <v/>
      </c>
      <c r="N92" s="136"/>
      <c r="Y92" s="218" t="str">
        <f>IF(O92&lt;&gt;"","A"&amp;MATCH(R92,CoinCollection!E:E,),"")</f>
        <v/>
      </c>
      <c r="AL92" s="218" t="str">
        <f>IF(AA92&lt;&gt;"","A"&amp;MATCH(AD92,CoinCollection!E:E,),"")</f>
        <v/>
      </c>
      <c r="AY92" s="136" t="str">
        <f>IF(AN92&lt;&gt;"","A"&amp;MATCH(AQ92,CoinCollection!E:E,),"")</f>
        <v/>
      </c>
      <c r="BA92">
        <v>1929</v>
      </c>
      <c r="BB92" s="218" t="str">
        <v>S</v>
      </c>
      <c r="BC92" t="str">
        <v>Penny</v>
      </c>
      <c r="BD92" t="str">
        <v>WHT1929CNT-AC</v>
      </c>
      <c r="BE92" t="str">
        <v>Wheat Penny</v>
      </c>
      <c r="BF92" t="str">
        <v>Extremely Fine</v>
      </c>
      <c r="BG92" s="225">
        <v>0.01</v>
      </c>
      <c r="BH92" s="225">
        <v>0</v>
      </c>
      <c r="BI92" s="136">
        <v>1</v>
      </c>
      <c r="BJ92" s="219">
        <v>0</v>
      </c>
      <c r="BK92" s="218">
        <v>0</v>
      </c>
      <c r="BL92" s="136" t="str">
        <f>IF(BA92&lt;&gt;"","A"&amp;MATCH(BD92,CoinCollection!E:E,),"")</f>
        <v>A127</v>
      </c>
    </row>
    <row r="93" spans="12:67">
      <c r="L93" s="219" t="str">
        <f>IF(A93&lt;&gt;"","A"&amp;MATCH(D93,CoinCollection!E:E,),"")</f>
        <v/>
      </c>
      <c r="N93" s="136"/>
      <c r="Y93" s="218" t="str">
        <f>IF(O93&lt;&gt;"","A"&amp;MATCH(R93,CoinCollection!E:E,),"")</f>
        <v/>
      </c>
      <c r="AL93" s="218" t="str">
        <f>IF(AA93&lt;&gt;"","A"&amp;MATCH(AD93,CoinCollection!E:E,),"")</f>
        <v/>
      </c>
      <c r="AY93" s="136" t="str">
        <f>IF(AN93&lt;&gt;"","A"&amp;MATCH(AQ93,CoinCollection!E:E,),"")</f>
        <v/>
      </c>
      <c r="BA93">
        <v>1929</v>
      </c>
      <c r="BB93" s="218" t="str">
        <v>S</v>
      </c>
      <c r="BC93" t="str">
        <v>Penny</v>
      </c>
      <c r="BD93" t="str">
        <v>WHT1929CNT-AD</v>
      </c>
      <c r="BE93" t="str">
        <v>Wheat Penny</v>
      </c>
      <c r="BF93" t="str">
        <v>Extremely Fine</v>
      </c>
      <c r="BG93" s="225">
        <v>0.01</v>
      </c>
      <c r="BH93" s="225">
        <v>0</v>
      </c>
      <c r="BI93" s="136">
        <v>1</v>
      </c>
      <c r="BJ93" s="219">
        <v>0</v>
      </c>
      <c r="BK93" s="218">
        <v>0</v>
      </c>
      <c r="BL93" s="136" t="str">
        <f>IF(BA93&lt;&gt;"","A"&amp;MATCH(BD93,CoinCollection!E:E,),"")</f>
        <v>A128</v>
      </c>
    </row>
    <row r="94" spans="12:67">
      <c r="L94" s="219" t="str">
        <f>IF(A94&lt;&gt;"","A"&amp;MATCH(D94,CoinCollection!E:E,),"")</f>
        <v/>
      </c>
      <c r="N94" s="136"/>
      <c r="Y94" s="218" t="str">
        <f>IF(O94&lt;&gt;"","A"&amp;MATCH(R94,CoinCollection!E:E,),"")</f>
        <v/>
      </c>
      <c r="AL94" s="218" t="str">
        <f>IF(AA94&lt;&gt;"","A"&amp;MATCH(AD94,CoinCollection!E:E,),"")</f>
        <v/>
      </c>
      <c r="AY94" s="136" t="str">
        <f>IF(AN94&lt;&gt;"","A"&amp;MATCH(AQ94,CoinCollection!E:E,),"")</f>
        <v/>
      </c>
      <c r="BA94">
        <v>1929</v>
      </c>
      <c r="BB94" s="218" t="str">
        <v>D</v>
      </c>
      <c r="BC94" t="str">
        <v>Penny</v>
      </c>
      <c r="BD94" t="str">
        <v>WHT1929CNT-AE</v>
      </c>
      <c r="BE94" t="str">
        <v>Wheat Penny</v>
      </c>
      <c r="BF94" t="str">
        <v>Extremely Fine</v>
      </c>
      <c r="BG94" s="225">
        <v>0.01</v>
      </c>
      <c r="BH94" s="225">
        <v>0.01</v>
      </c>
      <c r="BI94" s="136">
        <v>1</v>
      </c>
      <c r="BJ94" s="219">
        <v>0</v>
      </c>
      <c r="BK94" s="218">
        <v>0</v>
      </c>
      <c r="BL94" s="136" t="str">
        <f>IF(BA94&lt;&gt;"","A"&amp;MATCH(BD94,CoinCollection!E:E,),"")</f>
        <v>A129</v>
      </c>
    </row>
    <row r="95" spans="12:67">
      <c r="L95" s="219" t="str">
        <f>IF(A95&lt;&gt;"","A"&amp;MATCH(D95,CoinCollection!E:E,),"")</f>
        <v/>
      </c>
      <c r="N95" s="136"/>
      <c r="Y95" s="218" t="str">
        <f>IF(O95&lt;&gt;"","A"&amp;MATCH(R95,CoinCollection!E:E,),"")</f>
        <v/>
      </c>
      <c r="AL95" s="218" t="str">
        <f>IF(AA95&lt;&gt;"","A"&amp;MATCH(AD95,CoinCollection!E:E,),"")</f>
        <v/>
      </c>
      <c r="AY95" s="136" t="str">
        <f>IF(AN95&lt;&gt;"","A"&amp;MATCH(AQ95,CoinCollection!E:E,),"")</f>
        <v/>
      </c>
      <c r="BA95">
        <v>1929</v>
      </c>
      <c r="BB95" s="218" t="str">
        <v>D</v>
      </c>
      <c r="BC95" t="str">
        <v>Penny</v>
      </c>
      <c r="BD95" t="str">
        <v>WHT1929CNT-AF</v>
      </c>
      <c r="BE95" t="str">
        <v>Wheat Penny</v>
      </c>
      <c r="BF95" t="str">
        <v>Extremely Fine</v>
      </c>
      <c r="BG95" s="225">
        <v>0.15</v>
      </c>
      <c r="BH95" s="225">
        <v>0.15</v>
      </c>
      <c r="BI95" s="136">
        <v>1</v>
      </c>
      <c r="BJ95" s="219">
        <v>0</v>
      </c>
      <c r="BK95" s="218">
        <v>0</v>
      </c>
      <c r="BL95" s="136" t="str">
        <f>IF(BA95&lt;&gt;"","A"&amp;MATCH(BD95,CoinCollection!E:E,),"")</f>
        <v>A130</v>
      </c>
    </row>
    <row r="96" spans="12:67">
      <c r="L96" s="219" t="str">
        <f>IF(A96&lt;&gt;"","A"&amp;MATCH(D96,CoinCollection!E:E,),"")</f>
        <v/>
      </c>
      <c r="N96" s="136"/>
      <c r="Y96" s="218" t="str">
        <f>IF(O96&lt;&gt;"","A"&amp;MATCH(R96,CoinCollection!E:E,),"")</f>
        <v/>
      </c>
      <c r="AL96" s="218" t="str">
        <f>IF(AA96&lt;&gt;"","A"&amp;MATCH(AD96,CoinCollection!E:E,),"")</f>
        <v/>
      </c>
      <c r="AY96" s="136" t="str">
        <f>IF(AN96&lt;&gt;"","A"&amp;MATCH(AQ96,CoinCollection!E:E,),"")</f>
        <v/>
      </c>
      <c r="BA96">
        <v>1929</v>
      </c>
      <c r="BB96" s="218" t="str">
        <v>S</v>
      </c>
      <c r="BC96" t="str">
        <v>Penny</v>
      </c>
      <c r="BD96" t="str">
        <v>WHT1929CNT-AG</v>
      </c>
      <c r="BE96" t="str">
        <v>Wheat Penny</v>
      </c>
      <c r="BF96" t="str">
        <v>Extremely Fine</v>
      </c>
      <c r="BG96" s="225">
        <v>0.15</v>
      </c>
      <c r="BH96" s="225">
        <v>0.15</v>
      </c>
      <c r="BI96" s="136">
        <v>1</v>
      </c>
      <c r="BJ96" s="219">
        <v>0</v>
      </c>
      <c r="BK96" s="218">
        <v>0</v>
      </c>
      <c r="BL96" s="136" t="str">
        <f>IF(BA96&lt;&gt;"","A"&amp;MATCH(BD96,CoinCollection!E:E,),"")</f>
        <v>A131</v>
      </c>
    </row>
    <row r="97" spans="12:64">
      <c r="L97" s="219" t="str">
        <f>IF(A97&lt;&gt;"","A"&amp;MATCH(D97,CoinCollection!E:E,),"")</f>
        <v/>
      </c>
      <c r="N97" s="136"/>
      <c r="Y97" s="218" t="str">
        <f>IF(O97&lt;&gt;"","A"&amp;MATCH(R97,CoinCollection!E:E,),"")</f>
        <v/>
      </c>
      <c r="AL97" s="218" t="str">
        <f>IF(AA97&lt;&gt;"","A"&amp;MATCH(AD97,CoinCollection!E:E,),"")</f>
        <v/>
      </c>
      <c r="AY97" s="136" t="str">
        <f>IF(AN97&lt;&gt;"","A"&amp;MATCH(AQ97,CoinCollection!E:E,),"")</f>
        <v/>
      </c>
      <c r="BA97">
        <v>1930</v>
      </c>
      <c r="BB97" s="218">
        <v>0</v>
      </c>
      <c r="BC97" t="str">
        <v>Penny</v>
      </c>
      <c r="BD97" t="str">
        <v>WHT1930CNT-AA</v>
      </c>
      <c r="BE97" t="str">
        <v>Wheat Penny</v>
      </c>
      <c r="BF97" t="str">
        <v>Extremely Fine</v>
      </c>
      <c r="BG97" s="225">
        <v>0.1</v>
      </c>
      <c r="BH97" s="225">
        <v>0.1</v>
      </c>
      <c r="BI97" s="136">
        <v>1</v>
      </c>
      <c r="BJ97" s="219">
        <v>0</v>
      </c>
      <c r="BK97" s="218">
        <v>0</v>
      </c>
      <c r="BL97" s="136" t="str">
        <f>IF(BA97&lt;&gt;"","A"&amp;MATCH(BD97,CoinCollection!E:E,),"")</f>
        <v>A132</v>
      </c>
    </row>
    <row r="98" spans="12:64">
      <c r="L98" s="219" t="str">
        <f>IF(A98&lt;&gt;"","A"&amp;MATCH(D98,CoinCollection!E:E,),"")</f>
        <v/>
      </c>
      <c r="N98" s="136"/>
      <c r="Y98" s="218" t="str">
        <f>IF(O98&lt;&gt;"","A"&amp;MATCH(R98,CoinCollection!E:E,),"")</f>
        <v/>
      </c>
      <c r="AL98" s="218" t="str">
        <f>IF(AA98&lt;&gt;"","A"&amp;MATCH(AD98,CoinCollection!E:E,),"")</f>
        <v/>
      </c>
      <c r="AY98" s="136" t="str">
        <f>IF(AN98&lt;&gt;"","A"&amp;MATCH(AQ98,CoinCollection!E:E,),"")</f>
        <v/>
      </c>
      <c r="BA98">
        <v>1930</v>
      </c>
      <c r="BB98" s="218" t="str">
        <v>D</v>
      </c>
      <c r="BC98" t="str">
        <v>Penny</v>
      </c>
      <c r="BD98" t="str">
        <v>WHT1930CNT-AB</v>
      </c>
      <c r="BE98" t="str">
        <v>Wheat Penny</v>
      </c>
      <c r="BF98" t="str">
        <v>Extremely Fine</v>
      </c>
      <c r="BG98" s="225">
        <v>0.2</v>
      </c>
      <c r="BH98" s="225">
        <v>0.2</v>
      </c>
      <c r="BI98" s="136">
        <v>1</v>
      </c>
      <c r="BJ98" s="219">
        <v>0</v>
      </c>
      <c r="BK98" s="218">
        <v>0</v>
      </c>
      <c r="BL98" s="136" t="str">
        <f>IF(BA98&lt;&gt;"","A"&amp;MATCH(BD98,CoinCollection!E:E,),"")</f>
        <v>A133</v>
      </c>
    </row>
    <row r="99" spans="12:64">
      <c r="L99" s="219" t="str">
        <f>IF(A99&lt;&gt;"","A"&amp;MATCH(D99,CoinCollection!E:E,),"")</f>
        <v/>
      </c>
      <c r="N99" s="136"/>
      <c r="Y99" s="218" t="str">
        <f>IF(O99&lt;&gt;"","A"&amp;MATCH(R99,CoinCollection!E:E,),"")</f>
        <v/>
      </c>
      <c r="AL99" s="218" t="str">
        <f>IF(AA99&lt;&gt;"","A"&amp;MATCH(AD99,CoinCollection!E:E,),"")</f>
        <v/>
      </c>
      <c r="AY99" s="136" t="str">
        <f>IF(AN99&lt;&gt;"","A"&amp;MATCH(AQ99,CoinCollection!E:E,),"")</f>
        <v/>
      </c>
      <c r="BA99">
        <v>1930</v>
      </c>
      <c r="BB99" s="218" t="str">
        <v>S</v>
      </c>
      <c r="BC99" t="str">
        <v>Penny</v>
      </c>
      <c r="BD99" t="str">
        <v>WHT1930CNT-AC</v>
      </c>
      <c r="BE99" t="str">
        <v>Wheat Penny</v>
      </c>
      <c r="BF99" t="str">
        <v>Extremely Fine</v>
      </c>
      <c r="BG99" s="225">
        <v>0.15</v>
      </c>
      <c r="BH99" s="225">
        <v>0.15</v>
      </c>
      <c r="BI99" s="136">
        <v>1</v>
      </c>
      <c r="BJ99" s="219">
        <v>0</v>
      </c>
      <c r="BK99" s="218">
        <v>0</v>
      </c>
      <c r="BL99" s="136" t="str">
        <f>IF(BA99&lt;&gt;"","A"&amp;MATCH(BD99,CoinCollection!E:E,),"")</f>
        <v>A134</v>
      </c>
    </row>
    <row r="100" spans="12:64">
      <c r="L100" s="219" t="str">
        <f>IF(A100&lt;&gt;"","A"&amp;MATCH(D100,CoinCollection!E:E,),"")</f>
        <v/>
      </c>
      <c r="N100" s="136"/>
      <c r="Y100" s="218" t="str">
        <f>IF(O100&lt;&gt;"","A"&amp;MATCH(R100,CoinCollection!E:E,),"")</f>
        <v/>
      </c>
      <c r="AL100" s="218" t="str">
        <f>IF(AA100&lt;&gt;"","A"&amp;MATCH(AD100,CoinCollection!E:E,),"")</f>
        <v/>
      </c>
      <c r="AY100" s="136" t="str">
        <f>IF(AN100&lt;&gt;"","A"&amp;MATCH(AQ100,CoinCollection!E:E,),"")</f>
        <v/>
      </c>
      <c r="BA100">
        <v>1931</v>
      </c>
      <c r="BB100" s="218" t="str">
        <v>D</v>
      </c>
      <c r="BC100" t="str">
        <v>Penny</v>
      </c>
      <c r="BD100" t="str">
        <v>WHT1931CNT-AA</v>
      </c>
      <c r="BE100" t="str">
        <v>Wheat Penny</v>
      </c>
      <c r="BF100" t="str">
        <v>Extremely Fine</v>
      </c>
      <c r="BG100" s="225">
        <v>4.25</v>
      </c>
      <c r="BH100" s="225">
        <v>4.25</v>
      </c>
      <c r="BI100" s="136">
        <v>1</v>
      </c>
      <c r="BJ100" s="219">
        <v>0</v>
      </c>
      <c r="BK100" s="218">
        <v>0</v>
      </c>
      <c r="BL100" s="136" t="str">
        <f>IF(BA100&lt;&gt;"","A"&amp;MATCH(BD100,CoinCollection!E:E,),"")</f>
        <v>A135</v>
      </c>
    </row>
    <row r="101" spans="12:64">
      <c r="L101" s="219" t="str">
        <f>IF(A101&lt;&gt;"","A"&amp;MATCH(D101,CoinCollection!E:E,),"")</f>
        <v/>
      </c>
      <c r="N101" s="136"/>
      <c r="Y101" s="218" t="str">
        <f>IF(O101&lt;&gt;"","A"&amp;MATCH(R101,CoinCollection!E:E,),"")</f>
        <v/>
      </c>
      <c r="AL101" s="218" t="str">
        <f>IF(AA101&lt;&gt;"","A"&amp;MATCH(AD101,CoinCollection!E:E,),"")</f>
        <v/>
      </c>
      <c r="AY101" s="136" t="str">
        <f>IF(AN101&lt;&gt;"","A"&amp;MATCH(AQ101,CoinCollection!E:E,),"")</f>
        <v/>
      </c>
      <c r="BA101">
        <v>1931</v>
      </c>
      <c r="BB101" s="218">
        <v>0</v>
      </c>
      <c r="BC101" t="str">
        <v>Penny</v>
      </c>
      <c r="BD101" t="str">
        <v>WHT1931CNT-AB</v>
      </c>
      <c r="BE101" t="str">
        <v>Wheat Penny</v>
      </c>
      <c r="BF101" t="str">
        <v>Extremely Fine</v>
      </c>
      <c r="BG101" s="225">
        <v>0.4</v>
      </c>
      <c r="BH101" s="225">
        <v>0.4</v>
      </c>
      <c r="BI101" s="136">
        <v>1</v>
      </c>
      <c r="BJ101" s="219">
        <v>0</v>
      </c>
      <c r="BK101" s="218">
        <v>0</v>
      </c>
      <c r="BL101" s="136" t="str">
        <f>IF(BA101&lt;&gt;"","A"&amp;MATCH(BD101,CoinCollection!E:E,),"")</f>
        <v>A136</v>
      </c>
    </row>
    <row r="102" spans="12:64">
      <c r="L102" s="219" t="str">
        <f>IF(A102&lt;&gt;"","A"&amp;MATCH(D102,CoinCollection!E:E,),"")</f>
        <v/>
      </c>
      <c r="N102" s="136"/>
      <c r="Y102" s="218" t="str">
        <f>IF(O102&lt;&gt;"","A"&amp;MATCH(R102,CoinCollection!E:E,),"")</f>
        <v/>
      </c>
      <c r="AL102" s="218" t="str">
        <f>IF(AA102&lt;&gt;"","A"&amp;MATCH(AD102,CoinCollection!E:E,),"")</f>
        <v/>
      </c>
      <c r="AY102" s="136" t="str">
        <f>IF(AN102&lt;&gt;"","A"&amp;MATCH(AQ102,CoinCollection!E:E,),"")</f>
        <v/>
      </c>
      <c r="BA102">
        <v>1931</v>
      </c>
      <c r="BB102" s="218">
        <v>0</v>
      </c>
      <c r="BC102" t="str">
        <v>Penny</v>
      </c>
      <c r="BD102" t="str">
        <v>WHT1931CNT-AC</v>
      </c>
      <c r="BE102" t="str">
        <v>Wheat Penny</v>
      </c>
      <c r="BF102" t="str">
        <v>Extremely Fine</v>
      </c>
      <c r="BG102" s="225">
        <v>0.75</v>
      </c>
      <c r="BH102" s="225">
        <v>0.75</v>
      </c>
      <c r="BI102" s="136">
        <v>1</v>
      </c>
      <c r="BJ102" s="219">
        <v>0</v>
      </c>
      <c r="BK102" s="218">
        <v>0</v>
      </c>
      <c r="BL102" s="136" t="str">
        <f>IF(BA102&lt;&gt;"","A"&amp;MATCH(BD102,CoinCollection!E:E,),"")</f>
        <v>A137</v>
      </c>
    </row>
    <row r="103" spans="12:64">
      <c r="L103" s="219" t="str">
        <f>IF(A103&lt;&gt;"","A"&amp;MATCH(D103,CoinCollection!E:E,),"")</f>
        <v/>
      </c>
      <c r="N103" s="136"/>
      <c r="Y103" s="218" t="str">
        <f>IF(O103&lt;&gt;"","A"&amp;MATCH(R103,CoinCollection!E:E,),"")</f>
        <v/>
      </c>
      <c r="AL103" s="218" t="str">
        <f>IF(AA103&lt;&gt;"","A"&amp;MATCH(AD103,CoinCollection!E:E,),"")</f>
        <v/>
      </c>
      <c r="AY103" s="136" t="str">
        <f>IF(AN103&lt;&gt;"","A"&amp;MATCH(AQ103,CoinCollection!E:E,),"")</f>
        <v/>
      </c>
      <c r="BA103">
        <v>1932</v>
      </c>
      <c r="BB103" s="218">
        <v>0</v>
      </c>
      <c r="BC103" t="str">
        <v>Penny</v>
      </c>
      <c r="BD103" t="str">
        <v>WHT1932CNT-AA</v>
      </c>
      <c r="BE103" t="str">
        <v>Wheat Penny</v>
      </c>
      <c r="BF103" t="str">
        <v>Extremely Fine</v>
      </c>
      <c r="BG103" s="225">
        <v>1.75</v>
      </c>
      <c r="BH103" s="225">
        <v>1.75</v>
      </c>
      <c r="BI103" s="136">
        <v>1</v>
      </c>
      <c r="BJ103" s="219">
        <v>0</v>
      </c>
      <c r="BK103" s="218">
        <v>0</v>
      </c>
      <c r="BL103" s="136" t="str">
        <f>IF(BA103&lt;&gt;"","A"&amp;MATCH(BD103,CoinCollection!E:E,),"")</f>
        <v>A138</v>
      </c>
    </row>
    <row r="104" spans="12:64">
      <c r="L104" s="219" t="str">
        <f>IF(A104&lt;&gt;"","A"&amp;MATCH(D104,CoinCollection!E:E,),"")</f>
        <v/>
      </c>
      <c r="N104" s="136"/>
      <c r="Y104" s="218" t="str">
        <f>IF(O104&lt;&gt;"","A"&amp;MATCH(R104,CoinCollection!E:E,),"")</f>
        <v/>
      </c>
      <c r="AL104" s="218" t="str">
        <f>IF(AA104&lt;&gt;"","A"&amp;MATCH(AD104,CoinCollection!E:E,),"")</f>
        <v/>
      </c>
      <c r="AY104" s="136" t="str">
        <f>IF(AN104&lt;&gt;"","A"&amp;MATCH(AQ104,CoinCollection!E:E,),"")</f>
        <v/>
      </c>
      <c r="BA104">
        <v>1932</v>
      </c>
      <c r="BB104" s="218" t="str">
        <v>D</v>
      </c>
      <c r="BC104" t="str">
        <v>Penny</v>
      </c>
      <c r="BD104" t="str">
        <v>WHT1932CNT-AB</v>
      </c>
      <c r="BE104" t="str">
        <v>Wheat Penny</v>
      </c>
      <c r="BF104" t="str">
        <v>Extremely Fine</v>
      </c>
      <c r="BG104" s="225">
        <v>0.8</v>
      </c>
      <c r="BH104" s="225">
        <v>0.8</v>
      </c>
      <c r="BI104" s="136">
        <v>1</v>
      </c>
      <c r="BJ104" s="219">
        <v>0</v>
      </c>
      <c r="BK104" s="218">
        <v>0</v>
      </c>
      <c r="BL104" s="136" t="str">
        <f>IF(BA104&lt;&gt;"","A"&amp;MATCH(BD104,CoinCollection!E:E,),"")</f>
        <v>A139</v>
      </c>
    </row>
    <row r="105" spans="12:64">
      <c r="L105" s="219" t="str">
        <f>IF(A105&lt;&gt;"","A"&amp;MATCH(D105,CoinCollection!E:E,),"")</f>
        <v/>
      </c>
      <c r="N105" s="136"/>
      <c r="Y105" s="218" t="str">
        <f>IF(O105&lt;&gt;"","A"&amp;MATCH(R105,CoinCollection!E:E,),"")</f>
        <v/>
      </c>
      <c r="AL105" s="218" t="str">
        <f>IF(AA105&lt;&gt;"","A"&amp;MATCH(AD105,CoinCollection!E:E,),"")</f>
        <v/>
      </c>
      <c r="AY105" s="136" t="str">
        <f>IF(AN105&lt;&gt;"","A"&amp;MATCH(AQ105,CoinCollection!E:E,),"")</f>
        <v/>
      </c>
      <c r="BA105">
        <v>1933</v>
      </c>
      <c r="BB105" s="218">
        <v>0</v>
      </c>
      <c r="BC105" t="str">
        <v>Penny</v>
      </c>
      <c r="BD105" t="str">
        <v>WHT1933CNT-AA</v>
      </c>
      <c r="BE105" t="str">
        <v>Wheat Penny</v>
      </c>
      <c r="BF105" t="str">
        <v>Extremely Fine</v>
      </c>
      <c r="BG105" s="225">
        <v>2.75</v>
      </c>
      <c r="BH105" s="225">
        <v>2.75</v>
      </c>
      <c r="BI105" s="136">
        <v>1</v>
      </c>
      <c r="BJ105" s="219">
        <v>0</v>
      </c>
      <c r="BK105" s="218">
        <v>0</v>
      </c>
      <c r="BL105" s="136" t="str">
        <f>IF(BA105&lt;&gt;"","A"&amp;MATCH(BD105,CoinCollection!E:E,),"")</f>
        <v>A140</v>
      </c>
    </row>
    <row r="106" spans="12:64">
      <c r="L106" s="219" t="str">
        <f>IF(A106&lt;&gt;"","A"&amp;MATCH(D106,CoinCollection!E:E,),"")</f>
        <v/>
      </c>
      <c r="N106" s="136"/>
      <c r="Y106" s="218" t="str">
        <f>IF(O106&lt;&gt;"","A"&amp;MATCH(R106,CoinCollection!E:E,),"")</f>
        <v/>
      </c>
      <c r="AL106" s="218" t="str">
        <f>IF(AA106&lt;&gt;"","A"&amp;MATCH(AD106,CoinCollection!E:E,),"")</f>
        <v/>
      </c>
      <c r="AY106" s="136" t="str">
        <f>IF(AN106&lt;&gt;"","A"&amp;MATCH(AQ106,CoinCollection!E:E,),"")</f>
        <v/>
      </c>
      <c r="BA106">
        <v>1933</v>
      </c>
      <c r="BB106" s="218" t="str">
        <v>D</v>
      </c>
      <c r="BC106" t="str">
        <v>Penny</v>
      </c>
      <c r="BD106" t="str">
        <v>WHT1933CNT-AB</v>
      </c>
      <c r="BE106" t="str">
        <v>Wheat Penny</v>
      </c>
      <c r="BF106" t="str">
        <v>Extremely Fine</v>
      </c>
      <c r="BG106" s="225">
        <v>3.5</v>
      </c>
      <c r="BH106" s="225">
        <v>3.5</v>
      </c>
      <c r="BI106" s="136">
        <v>1</v>
      </c>
      <c r="BJ106" s="219">
        <v>0</v>
      </c>
      <c r="BK106" s="218">
        <v>0</v>
      </c>
      <c r="BL106" s="136" t="str">
        <f>IF(BA106&lt;&gt;"","A"&amp;MATCH(BD106,CoinCollection!E:E,),"")</f>
        <v>A141</v>
      </c>
    </row>
    <row r="107" spans="12:64">
      <c r="L107" s="219" t="str">
        <f>IF(A107&lt;&gt;"","A"&amp;MATCH(D107,CoinCollection!E:E,),"")</f>
        <v/>
      </c>
      <c r="N107" s="136"/>
      <c r="Y107" s="218" t="str">
        <f>IF(O107&lt;&gt;"","A"&amp;MATCH(R107,CoinCollection!E:E,),"")</f>
        <v/>
      </c>
      <c r="AL107" s="218" t="str">
        <f>IF(AA107&lt;&gt;"","A"&amp;MATCH(AD107,CoinCollection!E:E,),"")</f>
        <v/>
      </c>
      <c r="AY107" s="136" t="str">
        <f>IF(AN107&lt;&gt;"","A"&amp;MATCH(AQ107,CoinCollection!E:E,),"")</f>
        <v/>
      </c>
      <c r="BA107">
        <v>1933</v>
      </c>
      <c r="BB107" s="218" t="str">
        <v>D</v>
      </c>
      <c r="BC107" t="str">
        <v>Penny</v>
      </c>
      <c r="BD107" t="str">
        <v>WHT1933CNT-AC</v>
      </c>
      <c r="BE107" t="str">
        <v>Wheat Penny</v>
      </c>
      <c r="BF107" t="str">
        <v>Extremely Fine</v>
      </c>
      <c r="BG107" s="225">
        <v>3.5</v>
      </c>
      <c r="BH107" s="225">
        <v>3.5</v>
      </c>
      <c r="BI107" s="136">
        <v>1</v>
      </c>
      <c r="BJ107" s="219">
        <v>0</v>
      </c>
      <c r="BK107" s="218">
        <v>0</v>
      </c>
      <c r="BL107" s="136" t="str">
        <f>IF(BA107&lt;&gt;"","A"&amp;MATCH(BD107,CoinCollection!E:E,),"")</f>
        <v>A142</v>
      </c>
    </row>
    <row r="108" spans="12:64">
      <c r="L108" s="219" t="str">
        <f>IF(A108&lt;&gt;"","A"&amp;MATCH(D108,CoinCollection!E:E,),"")</f>
        <v/>
      </c>
      <c r="N108" s="136"/>
      <c r="Y108" s="218" t="str">
        <f>IF(O108&lt;&gt;"","A"&amp;MATCH(R108,CoinCollection!E:E,),"")</f>
        <v/>
      </c>
      <c r="AL108" s="218" t="str">
        <f>IF(AA108&lt;&gt;"","A"&amp;MATCH(AD108,CoinCollection!E:E,),"")</f>
        <v/>
      </c>
      <c r="AY108" s="136" t="str">
        <f>IF(AN108&lt;&gt;"","A"&amp;MATCH(AQ108,CoinCollection!E:E,),"")</f>
        <v/>
      </c>
      <c r="BA108">
        <v>1934</v>
      </c>
      <c r="BB108" s="218">
        <v>0</v>
      </c>
      <c r="BC108" t="str">
        <v>Penny</v>
      </c>
      <c r="BD108" t="str">
        <v>WHT1934CNT-AA</v>
      </c>
      <c r="BE108" t="str">
        <v>Wheat Penny</v>
      </c>
      <c r="BF108" t="str">
        <v>Extremely Fine</v>
      </c>
      <c r="BG108" s="225">
        <v>0.3</v>
      </c>
      <c r="BH108" s="225">
        <v>0.3</v>
      </c>
      <c r="BI108" s="136">
        <v>1</v>
      </c>
      <c r="BJ108" s="219">
        <v>0</v>
      </c>
      <c r="BK108" s="218">
        <v>0</v>
      </c>
      <c r="BL108" s="136" t="str">
        <f>IF(BA108&lt;&gt;"","A"&amp;MATCH(BD108,CoinCollection!E:E,),"")</f>
        <v>A143</v>
      </c>
    </row>
    <row r="109" spans="12:64">
      <c r="L109" s="219" t="str">
        <f>IF(A109&lt;&gt;"","A"&amp;MATCH(D109,CoinCollection!E:E,),"")</f>
        <v/>
      </c>
      <c r="N109" s="136"/>
      <c r="Y109" s="218" t="str">
        <f>IF(O109&lt;&gt;"","A"&amp;MATCH(R109,CoinCollection!E:E,),"")</f>
        <v/>
      </c>
      <c r="AL109" s="218" t="str">
        <f>IF(AA109&lt;&gt;"","A"&amp;MATCH(AD109,CoinCollection!E:E,),"")</f>
        <v/>
      </c>
      <c r="AY109" s="136" t="str">
        <f>IF(AN109&lt;&gt;"","A"&amp;MATCH(AQ109,CoinCollection!E:E,),"")</f>
        <v/>
      </c>
      <c r="BA109">
        <v>1934</v>
      </c>
      <c r="BB109" s="218" t="str">
        <v>D</v>
      </c>
      <c r="BC109" t="str">
        <v>Penny</v>
      </c>
      <c r="BD109" t="str">
        <v>WHT1934CNT-AB</v>
      </c>
      <c r="BE109" t="str">
        <v>Wheat Penny</v>
      </c>
      <c r="BF109" t="str">
        <v>Extremely Fine</v>
      </c>
      <c r="BG109" s="225">
        <v>0.25</v>
      </c>
      <c r="BH109" s="225">
        <v>0.1</v>
      </c>
      <c r="BI109" s="136">
        <v>1</v>
      </c>
      <c r="BJ109" s="219">
        <v>0</v>
      </c>
      <c r="BK109" s="218">
        <v>0</v>
      </c>
      <c r="BL109" s="136" t="str">
        <f>IF(BA109&lt;&gt;"","A"&amp;MATCH(BD109,CoinCollection!E:E,),"")</f>
        <v>A144</v>
      </c>
    </row>
    <row r="110" spans="12:64">
      <c r="L110" s="219" t="str">
        <f>IF(A110&lt;&gt;"","A"&amp;MATCH(D110,CoinCollection!E:E,),"")</f>
        <v/>
      </c>
      <c r="N110" s="136"/>
      <c r="Y110" s="218" t="str">
        <f>IF(O110&lt;&gt;"","A"&amp;MATCH(R110,CoinCollection!E:E,),"")</f>
        <v/>
      </c>
      <c r="AL110" s="218" t="str">
        <f>IF(AA110&lt;&gt;"","A"&amp;MATCH(AD110,CoinCollection!E:E,),"")</f>
        <v/>
      </c>
      <c r="AY110" s="136" t="str">
        <f>IF(AN110&lt;&gt;"","A"&amp;MATCH(AQ110,CoinCollection!E:E,),"")</f>
        <v/>
      </c>
      <c r="BA110">
        <v>1934</v>
      </c>
      <c r="BB110" s="218">
        <v>0</v>
      </c>
      <c r="BC110" t="str">
        <v>Penny</v>
      </c>
      <c r="BD110" t="str">
        <v>WHT1934CNT-AC</v>
      </c>
      <c r="BE110" t="str">
        <v>Wheat Penny</v>
      </c>
      <c r="BF110" t="str">
        <v>Extremely Fine</v>
      </c>
      <c r="BG110" s="225">
        <v>0.01</v>
      </c>
      <c r="BH110" s="225">
        <v>0.01</v>
      </c>
      <c r="BI110" s="136">
        <v>1</v>
      </c>
      <c r="BJ110" s="219">
        <v>0</v>
      </c>
      <c r="BK110" s="218">
        <v>0</v>
      </c>
      <c r="BL110" s="136" t="str">
        <f>IF(BA110&lt;&gt;"","A"&amp;MATCH(BD110,CoinCollection!E:E,),"")</f>
        <v>A145</v>
      </c>
    </row>
    <row r="111" spans="12:64">
      <c r="L111" s="219" t="str">
        <f>IF(A111&lt;&gt;"","A"&amp;MATCH(D111,CoinCollection!E:E,),"")</f>
        <v/>
      </c>
      <c r="N111" s="136"/>
      <c r="Y111" s="218" t="str">
        <f>IF(O111&lt;&gt;"","A"&amp;MATCH(R111,CoinCollection!E:E,),"")</f>
        <v/>
      </c>
      <c r="AL111" s="218" t="str">
        <f>IF(AA111&lt;&gt;"","A"&amp;MATCH(AD111,CoinCollection!E:E,),"")</f>
        <v/>
      </c>
      <c r="AY111" s="136" t="str">
        <f>IF(AN111&lt;&gt;"","A"&amp;MATCH(AQ111,CoinCollection!E:E,),"")</f>
        <v/>
      </c>
      <c r="BA111">
        <v>1934</v>
      </c>
      <c r="BB111" s="218">
        <v>0</v>
      </c>
      <c r="BC111" t="str">
        <v>Penny</v>
      </c>
      <c r="BD111" t="str">
        <v>WHT1934CNT-AD</v>
      </c>
      <c r="BE111" t="str">
        <v>Wheat Penny</v>
      </c>
      <c r="BF111" t="str">
        <v>Extremely Fine</v>
      </c>
      <c r="BG111" s="225">
        <v>0.01</v>
      </c>
      <c r="BH111" s="225">
        <v>0.01</v>
      </c>
      <c r="BI111" s="136">
        <v>1</v>
      </c>
      <c r="BJ111" s="219">
        <v>0</v>
      </c>
      <c r="BK111" s="218">
        <v>0</v>
      </c>
      <c r="BL111" s="136" t="str">
        <f>IF(BA111&lt;&gt;"","A"&amp;MATCH(BD111,CoinCollection!E:E,),"")</f>
        <v>A146</v>
      </c>
    </row>
    <row r="112" spans="12:64">
      <c r="L112" s="219" t="str">
        <f>IF(A112&lt;&gt;"","A"&amp;MATCH(D112,CoinCollection!E:E,),"")</f>
        <v/>
      </c>
      <c r="N112" s="136"/>
      <c r="Y112" s="218" t="str">
        <f>IF(O112&lt;&gt;"","A"&amp;MATCH(R112,CoinCollection!E:E,),"")</f>
        <v/>
      </c>
      <c r="AL112" s="218" t="str">
        <f>IF(AA112&lt;&gt;"","A"&amp;MATCH(AD112,CoinCollection!E:E,),"")</f>
        <v/>
      </c>
      <c r="AY112" s="136" t="str">
        <f>IF(AN112&lt;&gt;"","A"&amp;MATCH(AQ112,CoinCollection!E:E,),"")</f>
        <v/>
      </c>
      <c r="BA112">
        <v>1935</v>
      </c>
      <c r="BB112" s="218">
        <v>0</v>
      </c>
      <c r="BC112" t="str">
        <v>Penny</v>
      </c>
      <c r="BD112" t="str">
        <v>WHT1935CNT-AA</v>
      </c>
      <c r="BE112" t="str">
        <v>Wheat Penny</v>
      </c>
      <c r="BF112" t="str">
        <v>Extremely Fine</v>
      </c>
      <c r="BG112" s="225">
        <v>0.2</v>
      </c>
      <c r="BH112" s="225">
        <v>0.2</v>
      </c>
      <c r="BI112" s="136">
        <v>1</v>
      </c>
      <c r="BJ112" s="219">
        <v>0</v>
      </c>
      <c r="BK112" s="218">
        <v>0</v>
      </c>
      <c r="BL112" s="136" t="str">
        <f>IF(BA112&lt;&gt;"","A"&amp;MATCH(BD112,CoinCollection!E:E,),"")</f>
        <v>A147</v>
      </c>
    </row>
    <row r="113" spans="12:64">
      <c r="L113" s="219" t="str">
        <f>IF(A113&lt;&gt;"","A"&amp;MATCH(D113,CoinCollection!E:E,),"")</f>
        <v/>
      </c>
      <c r="N113" s="136"/>
      <c r="Y113" s="218" t="str">
        <f>IF(O113&lt;&gt;"","A"&amp;MATCH(R113,CoinCollection!E:E,),"")</f>
        <v/>
      </c>
      <c r="AL113" s="218" t="str">
        <f>IF(AA113&lt;&gt;"","A"&amp;MATCH(AD113,CoinCollection!E:E,),"")</f>
        <v/>
      </c>
      <c r="AY113" s="136" t="str">
        <f>IF(AN113&lt;&gt;"","A"&amp;MATCH(AQ113,CoinCollection!E:E,),"")</f>
        <v/>
      </c>
      <c r="BA113">
        <v>1935</v>
      </c>
      <c r="BB113" s="218" t="str">
        <v xml:space="preserve">D </v>
      </c>
      <c r="BC113" t="str">
        <v>Penny</v>
      </c>
      <c r="BD113" t="str">
        <v>WHT1935CNT-AB</v>
      </c>
      <c r="BE113" t="str">
        <v>Wheat Penny</v>
      </c>
      <c r="BF113" t="str">
        <v>Extremely Fine</v>
      </c>
      <c r="BG113" s="225">
        <v>0.25</v>
      </c>
      <c r="BH113" s="225">
        <v>0.25</v>
      </c>
      <c r="BI113" s="136">
        <v>1</v>
      </c>
      <c r="BJ113" s="219">
        <v>0</v>
      </c>
      <c r="BK113" s="218">
        <v>0</v>
      </c>
      <c r="BL113" s="136" t="str">
        <f>IF(BA113&lt;&gt;"","A"&amp;MATCH(BD113,CoinCollection!E:E,),"")</f>
        <v>A148</v>
      </c>
    </row>
    <row r="114" spans="12:64">
      <c r="L114" s="219" t="str">
        <f>IF(A114&lt;&gt;"","A"&amp;MATCH(D114,CoinCollection!E:E,),"")</f>
        <v/>
      </c>
      <c r="N114" s="136"/>
      <c r="Y114" s="218" t="str">
        <f>IF(O114&lt;&gt;"","A"&amp;MATCH(R114,CoinCollection!E:E,),"")</f>
        <v/>
      </c>
      <c r="AL114" s="218" t="str">
        <f>IF(AA114&lt;&gt;"","A"&amp;MATCH(AD114,CoinCollection!E:E,),"")</f>
        <v/>
      </c>
      <c r="AY114" s="136" t="str">
        <f>IF(AN114&lt;&gt;"","A"&amp;MATCH(AQ114,CoinCollection!E:E,),"")</f>
        <v/>
      </c>
      <c r="BA114">
        <v>1935</v>
      </c>
      <c r="BB114" s="218" t="str">
        <v>S</v>
      </c>
      <c r="BC114" t="str">
        <v>Penny</v>
      </c>
      <c r="BD114" t="str">
        <v>WHT1935CNT-AC</v>
      </c>
      <c r="BE114" t="str">
        <v>Wheat Penny</v>
      </c>
      <c r="BF114" t="str">
        <v>Extremely Fine</v>
      </c>
      <c r="BG114" s="225">
        <v>0.2</v>
      </c>
      <c r="BH114" s="225">
        <v>0.2</v>
      </c>
      <c r="BI114" s="136">
        <v>1</v>
      </c>
      <c r="BJ114" s="219">
        <v>0</v>
      </c>
      <c r="BK114" s="218">
        <v>0</v>
      </c>
      <c r="BL114" s="136" t="str">
        <f>IF(BA114&lt;&gt;"","A"&amp;MATCH(BD114,CoinCollection!E:E,),"")</f>
        <v>A149</v>
      </c>
    </row>
    <row r="115" spans="12:64">
      <c r="L115" s="219" t="str">
        <f>IF(A115&lt;&gt;"","A"&amp;MATCH(D115,CoinCollection!E:E,),"")</f>
        <v/>
      </c>
      <c r="N115" s="136"/>
      <c r="Y115" s="218" t="str">
        <f>IF(O115&lt;&gt;"","A"&amp;MATCH(R115,CoinCollection!E:E,),"")</f>
        <v/>
      </c>
      <c r="AL115" s="218" t="str">
        <f>IF(AA115&lt;&gt;"","A"&amp;MATCH(AD115,CoinCollection!E:E,),"")</f>
        <v/>
      </c>
      <c r="AY115" s="136" t="str">
        <f>IF(AN115&lt;&gt;"","A"&amp;MATCH(AQ115,CoinCollection!E:E,),"")</f>
        <v/>
      </c>
      <c r="BA115">
        <v>1935</v>
      </c>
      <c r="BB115" s="218">
        <v>0</v>
      </c>
      <c r="BC115" t="str">
        <v>Penny</v>
      </c>
      <c r="BD115" t="str">
        <v>WHT1935CNT-AD</v>
      </c>
      <c r="BE115" t="str">
        <v>Wheat Penny</v>
      </c>
      <c r="BF115" t="str">
        <v>Extremely Fine</v>
      </c>
      <c r="BG115" s="225">
        <v>0.01</v>
      </c>
      <c r="BH115" s="225">
        <v>0.01</v>
      </c>
      <c r="BI115" s="136">
        <v>1</v>
      </c>
      <c r="BJ115" s="219">
        <v>0</v>
      </c>
      <c r="BK115" s="218">
        <v>0</v>
      </c>
      <c r="BL115" s="136" t="str">
        <f>IF(BA115&lt;&gt;"","A"&amp;MATCH(BD115,CoinCollection!E:E,),"")</f>
        <v>A150</v>
      </c>
    </row>
    <row r="116" spans="12:64">
      <c r="L116" s="219" t="str">
        <f>IF(A116&lt;&gt;"","A"&amp;MATCH(D116,CoinCollection!E:E,),"")</f>
        <v/>
      </c>
      <c r="N116" s="136"/>
      <c r="Y116" s="218" t="str">
        <f>IF(O116&lt;&gt;"","A"&amp;MATCH(R116,CoinCollection!E:E,),"")</f>
        <v/>
      </c>
      <c r="AL116" s="218" t="str">
        <f>IF(AA116&lt;&gt;"","A"&amp;MATCH(AD116,CoinCollection!E:E,),"")</f>
        <v/>
      </c>
      <c r="AY116" s="136" t="str">
        <f>IF(AN116&lt;&gt;"","A"&amp;MATCH(AQ116,CoinCollection!E:E,),"")</f>
        <v/>
      </c>
      <c r="BA116">
        <v>1936</v>
      </c>
      <c r="BB116" s="218">
        <v>0</v>
      </c>
      <c r="BC116" t="str">
        <v>Penny</v>
      </c>
      <c r="BD116" t="str">
        <v>WHT1936CNT-AA</v>
      </c>
      <c r="BE116" t="str">
        <v>Wheat Penny</v>
      </c>
      <c r="BF116" t="str">
        <v>Extremely Fine</v>
      </c>
      <c r="BG116" s="225">
        <v>0.15</v>
      </c>
      <c r="BH116" s="225">
        <v>0.15</v>
      </c>
      <c r="BI116" s="136">
        <v>1</v>
      </c>
      <c r="BJ116" s="219">
        <v>0</v>
      </c>
      <c r="BK116" s="218">
        <v>0</v>
      </c>
      <c r="BL116" s="136" t="str">
        <f>IF(BA116&lt;&gt;"","A"&amp;MATCH(BD116,CoinCollection!E:E,),"")</f>
        <v>A151</v>
      </c>
    </row>
    <row r="117" spans="12:64">
      <c r="L117" s="219" t="str">
        <f>IF(A117&lt;&gt;"","A"&amp;MATCH(D117,CoinCollection!E:E,),"")</f>
        <v/>
      </c>
      <c r="N117" s="136"/>
      <c r="Y117" s="218" t="str">
        <f>IF(O117&lt;&gt;"","A"&amp;MATCH(R117,CoinCollection!E:E,),"")</f>
        <v/>
      </c>
      <c r="AL117" s="218" t="str">
        <f>IF(AA117&lt;&gt;"","A"&amp;MATCH(AD117,CoinCollection!E:E,),"")</f>
        <v/>
      </c>
      <c r="AY117" s="136" t="str">
        <f>IF(AN117&lt;&gt;"","A"&amp;MATCH(AQ117,CoinCollection!E:E,),"")</f>
        <v/>
      </c>
      <c r="BA117">
        <v>1936</v>
      </c>
      <c r="BB117" s="218">
        <v>0</v>
      </c>
      <c r="BC117" t="str">
        <v>Penny</v>
      </c>
      <c r="BD117" t="str">
        <v>WHT1936CNT-AB</v>
      </c>
      <c r="BE117" t="str">
        <v>Wheat Penny</v>
      </c>
      <c r="BF117" t="str">
        <v>Extremely Fine</v>
      </c>
      <c r="BG117" s="225">
        <v>0.15</v>
      </c>
      <c r="BH117" s="225">
        <v>0.15</v>
      </c>
      <c r="BI117" s="136">
        <v>1</v>
      </c>
      <c r="BJ117" s="219">
        <v>0</v>
      </c>
      <c r="BK117" s="218">
        <v>0</v>
      </c>
      <c r="BL117" s="136" t="str">
        <f>IF(BA117&lt;&gt;"","A"&amp;MATCH(BD117,CoinCollection!E:E,),"")</f>
        <v>A152</v>
      </c>
    </row>
    <row r="118" spans="12:64">
      <c r="L118" s="219" t="str">
        <f>IF(A118&lt;&gt;"","A"&amp;MATCH(D118,CoinCollection!E:E,),"")</f>
        <v/>
      </c>
      <c r="N118" s="136"/>
      <c r="Y118" s="218" t="str">
        <f>IF(O118&lt;&gt;"","A"&amp;MATCH(R118,CoinCollection!E:E,),"")</f>
        <v/>
      </c>
      <c r="AL118" s="218" t="str">
        <f>IF(AA118&lt;&gt;"","A"&amp;MATCH(AD118,CoinCollection!E:E,),"")</f>
        <v/>
      </c>
      <c r="AY118" s="136" t="str">
        <f>IF(AN118&lt;&gt;"","A"&amp;MATCH(AQ118,CoinCollection!E:E,),"")</f>
        <v/>
      </c>
      <c r="BA118">
        <v>1936</v>
      </c>
      <c r="BB118" s="218">
        <v>0</v>
      </c>
      <c r="BC118" t="str">
        <v>Penny</v>
      </c>
      <c r="BD118" t="str">
        <v>WHT1936CNT-AC</v>
      </c>
      <c r="BE118" t="str">
        <v>Wheat Penny</v>
      </c>
      <c r="BF118" t="str">
        <v>Extremely Fine</v>
      </c>
      <c r="BG118" s="225">
        <v>0.2</v>
      </c>
      <c r="BH118" s="225">
        <v>0.2</v>
      </c>
      <c r="BI118" s="136">
        <v>1</v>
      </c>
      <c r="BJ118" s="219">
        <v>0</v>
      </c>
      <c r="BK118" s="218">
        <v>0</v>
      </c>
      <c r="BL118" s="136" t="str">
        <f>IF(BA118&lt;&gt;"","A"&amp;MATCH(BD118,CoinCollection!E:E,),"")</f>
        <v>A153</v>
      </c>
    </row>
    <row r="119" spans="12:64">
      <c r="L119" s="219" t="str">
        <f>IF(A119&lt;&gt;"","A"&amp;MATCH(D119,CoinCollection!E:E,),"")</f>
        <v/>
      </c>
      <c r="N119" s="136"/>
      <c r="Y119" s="218" t="str">
        <f>IF(O119&lt;&gt;"","A"&amp;MATCH(R119,CoinCollection!E:E,),"")</f>
        <v/>
      </c>
      <c r="AL119" s="218" t="str">
        <f>IF(AA119&lt;&gt;"","A"&amp;MATCH(AD119,CoinCollection!E:E,),"")</f>
        <v/>
      </c>
      <c r="AY119" s="136" t="str">
        <f>IF(AN119&lt;&gt;"","A"&amp;MATCH(AQ119,CoinCollection!E:E,),"")</f>
        <v/>
      </c>
      <c r="BA119">
        <v>1936</v>
      </c>
      <c r="BB119" s="218">
        <v>0</v>
      </c>
      <c r="BC119" t="str">
        <v>Penny</v>
      </c>
      <c r="BD119" t="str">
        <v>WHT1936CNT-AD</v>
      </c>
      <c r="BE119" t="str">
        <v>Wheat Penny</v>
      </c>
      <c r="BF119" t="str">
        <v>Extremely Fine</v>
      </c>
      <c r="BG119" s="225">
        <v>0.2</v>
      </c>
      <c r="BH119" s="225">
        <v>0.2</v>
      </c>
      <c r="BI119" s="136">
        <v>1</v>
      </c>
      <c r="BJ119" s="219">
        <v>0</v>
      </c>
      <c r="BK119" s="218">
        <v>0</v>
      </c>
      <c r="BL119" s="136" t="str">
        <f>IF(BA119&lt;&gt;"","A"&amp;MATCH(BD119,CoinCollection!E:E,),"")</f>
        <v>A154</v>
      </c>
    </row>
    <row r="120" spans="12:64">
      <c r="L120" s="219" t="str">
        <f>IF(A120&lt;&gt;"","A"&amp;MATCH(D120,CoinCollection!E:E,),"")</f>
        <v/>
      </c>
      <c r="N120" s="136"/>
      <c r="Y120" s="218" t="str">
        <f>IF(O120&lt;&gt;"","A"&amp;MATCH(R120,CoinCollection!E:E,),"")</f>
        <v/>
      </c>
      <c r="AL120" s="218" t="str">
        <f>IF(AA120&lt;&gt;"","A"&amp;MATCH(AD120,CoinCollection!E:E,),"")</f>
        <v/>
      </c>
      <c r="AY120" s="136" t="str">
        <f>IF(AN120&lt;&gt;"","A"&amp;MATCH(AQ120,CoinCollection!E:E,),"")</f>
        <v/>
      </c>
      <c r="BA120">
        <v>1936</v>
      </c>
      <c r="BB120" s="218">
        <v>0</v>
      </c>
      <c r="BC120" t="str">
        <v>Penny</v>
      </c>
      <c r="BD120" t="str">
        <v>WHT1936CNT-AE</v>
      </c>
      <c r="BE120" t="str">
        <v>Wheat Penny</v>
      </c>
      <c r="BF120" t="str">
        <v>Extremely Fine</v>
      </c>
      <c r="BG120" s="225">
        <v>0.1</v>
      </c>
      <c r="BH120" s="225">
        <v>0.1</v>
      </c>
      <c r="BI120" s="136">
        <v>1</v>
      </c>
      <c r="BJ120" s="219">
        <v>0</v>
      </c>
      <c r="BK120" s="218">
        <v>0</v>
      </c>
      <c r="BL120" s="136" t="str">
        <f>IF(BA120&lt;&gt;"","A"&amp;MATCH(BD120,CoinCollection!E:E,),"")</f>
        <v>A155</v>
      </c>
    </row>
    <row r="121" spans="12:64">
      <c r="L121" s="219" t="str">
        <f>IF(A121&lt;&gt;"","A"&amp;MATCH(D121,CoinCollection!E:E,),"")</f>
        <v/>
      </c>
      <c r="N121" s="136"/>
      <c r="Y121" s="218" t="str">
        <f>IF(O121&lt;&gt;"","A"&amp;MATCH(R121,CoinCollection!E:E,),"")</f>
        <v/>
      </c>
      <c r="AL121" s="218" t="str">
        <f>IF(AA121&lt;&gt;"","A"&amp;MATCH(AD121,CoinCollection!E:E,),"")</f>
        <v/>
      </c>
      <c r="AY121" s="136" t="str">
        <f>IF(AN121&lt;&gt;"","A"&amp;MATCH(AQ121,CoinCollection!E:E,),"")</f>
        <v/>
      </c>
      <c r="BA121">
        <v>1936</v>
      </c>
      <c r="BB121" s="218">
        <v>0</v>
      </c>
      <c r="BC121" t="str">
        <v>Penny</v>
      </c>
      <c r="BD121" t="str">
        <v>WHT1936CNT-AF</v>
      </c>
      <c r="BE121" t="str">
        <v>Wheat Penny</v>
      </c>
      <c r="BF121" t="str">
        <v>Extremely Fine</v>
      </c>
      <c r="BG121" s="225">
        <v>0.2</v>
      </c>
      <c r="BH121" s="225">
        <v>0.2</v>
      </c>
      <c r="BI121" s="136">
        <v>1</v>
      </c>
      <c r="BJ121" s="219">
        <v>0</v>
      </c>
      <c r="BK121" s="218">
        <v>0</v>
      </c>
      <c r="BL121" s="136" t="str">
        <f>IF(BA121&lt;&gt;"","A"&amp;MATCH(BD121,CoinCollection!E:E,),"")</f>
        <v>A156</v>
      </c>
    </row>
    <row r="122" spans="12:64">
      <c r="L122" s="219" t="str">
        <f>IF(A122&lt;&gt;"","A"&amp;MATCH(D122,CoinCollection!E:E,),"")</f>
        <v/>
      </c>
      <c r="N122" s="136"/>
      <c r="Y122" s="218" t="str">
        <f>IF(O122&lt;&gt;"","A"&amp;MATCH(R122,CoinCollection!E:E,),"")</f>
        <v/>
      </c>
      <c r="AL122" s="218" t="str">
        <f>IF(AA122&lt;&gt;"","A"&amp;MATCH(AD122,CoinCollection!E:E,),"")</f>
        <v/>
      </c>
      <c r="AY122" s="136" t="str">
        <f>IF(AN122&lt;&gt;"","A"&amp;MATCH(AQ122,CoinCollection!E:E,),"")</f>
        <v/>
      </c>
      <c r="BA122">
        <v>1936</v>
      </c>
      <c r="BB122" s="218">
        <v>0</v>
      </c>
      <c r="BC122" t="str">
        <v>Penny</v>
      </c>
      <c r="BD122" t="str">
        <v>WHT1936CNT-AG</v>
      </c>
      <c r="BE122" t="str">
        <v>Wheat Penny</v>
      </c>
      <c r="BF122" t="str">
        <v>Extremely Fine</v>
      </c>
      <c r="BG122" s="225">
        <v>0.15</v>
      </c>
      <c r="BH122" s="225">
        <v>0.15</v>
      </c>
      <c r="BI122" s="136">
        <v>1</v>
      </c>
      <c r="BJ122" s="219">
        <v>0</v>
      </c>
      <c r="BK122" s="218">
        <v>0</v>
      </c>
      <c r="BL122" s="136" t="str">
        <f>IF(BA122&lt;&gt;"","A"&amp;MATCH(BD122,CoinCollection!E:E,),"")</f>
        <v>A157</v>
      </c>
    </row>
    <row r="123" spans="12:64">
      <c r="L123" s="219" t="str">
        <f>IF(A123&lt;&gt;"","A"&amp;MATCH(D123,CoinCollection!E:E,),"")</f>
        <v/>
      </c>
      <c r="N123" s="136"/>
      <c r="Y123" s="218" t="str">
        <f>IF(O123&lt;&gt;"","A"&amp;MATCH(R123,CoinCollection!E:E,),"")</f>
        <v/>
      </c>
      <c r="AL123" s="218" t="str">
        <f>IF(AA123&lt;&gt;"","A"&amp;MATCH(AD123,CoinCollection!E:E,),"")</f>
        <v/>
      </c>
      <c r="AY123" s="136" t="str">
        <f>IF(AN123&lt;&gt;"","A"&amp;MATCH(AQ123,CoinCollection!E:E,),"")</f>
        <v/>
      </c>
      <c r="BA123">
        <v>1936</v>
      </c>
      <c r="BB123" s="218">
        <v>0</v>
      </c>
      <c r="BC123" t="str">
        <v>Penny</v>
      </c>
      <c r="BD123" t="str">
        <v>WHT1936CNT-AH</v>
      </c>
      <c r="BE123" t="str">
        <v>Wheat Penny</v>
      </c>
      <c r="BF123" t="str">
        <v>Extremely Fine</v>
      </c>
      <c r="BG123" s="225">
        <v>0.01</v>
      </c>
      <c r="BH123" s="225">
        <v>0.01</v>
      </c>
      <c r="BI123" s="136">
        <v>1</v>
      </c>
      <c r="BJ123" s="219">
        <v>0</v>
      </c>
      <c r="BK123" s="218">
        <v>0</v>
      </c>
      <c r="BL123" s="136" t="str">
        <f>IF(BA123&lt;&gt;"","A"&amp;MATCH(BD123,CoinCollection!E:E,),"")</f>
        <v>A158</v>
      </c>
    </row>
    <row r="124" spans="12:64">
      <c r="L124" s="219" t="str">
        <f>IF(A124&lt;&gt;"","A"&amp;MATCH(D124,CoinCollection!E:E,),"")</f>
        <v/>
      </c>
      <c r="N124" s="136"/>
      <c r="Y124" s="218" t="str">
        <f>IF(O124&lt;&gt;"","A"&amp;MATCH(R124,CoinCollection!E:E,),"")</f>
        <v/>
      </c>
      <c r="AY124" s="136" t="str">
        <f>IF(AN124&lt;&gt;"","A"&amp;MATCH(AQ124,CoinCollection!E:E,),"")</f>
        <v/>
      </c>
      <c r="BA124">
        <v>1936</v>
      </c>
      <c r="BB124" s="218">
        <v>0</v>
      </c>
      <c r="BC124" t="str">
        <v>Penny</v>
      </c>
      <c r="BD124" t="str">
        <v>WHT1936CNT-AI</v>
      </c>
      <c r="BE124" t="str">
        <v>Wheat Penny</v>
      </c>
      <c r="BF124" t="str">
        <v>Extremely Fine</v>
      </c>
      <c r="BG124" s="225">
        <v>0.15</v>
      </c>
      <c r="BH124" s="225">
        <v>0.15</v>
      </c>
      <c r="BI124" s="136">
        <v>1</v>
      </c>
      <c r="BJ124" s="219">
        <v>0</v>
      </c>
      <c r="BK124" s="218">
        <v>0</v>
      </c>
      <c r="BL124" s="136" t="str">
        <f>IF(BA124&lt;&gt;"","A"&amp;MATCH(BD124,CoinCollection!E:E,),"")</f>
        <v>A159</v>
      </c>
    </row>
    <row r="125" spans="12:64">
      <c r="L125" s="219" t="str">
        <f>IF(A125&lt;&gt;"","A"&amp;MATCH(D125,CoinCollection!E:E,),"")</f>
        <v/>
      </c>
      <c r="N125" s="136"/>
      <c r="Y125" s="218" t="str">
        <f>IF(O125&lt;&gt;"","A"&amp;MATCH(R125,CoinCollection!E:E,),"")</f>
        <v/>
      </c>
      <c r="AY125" s="136" t="str">
        <f>IF(AN125&lt;&gt;"","A"&amp;MATCH(AQ125,CoinCollection!E:E,),"")</f>
        <v/>
      </c>
      <c r="BA125">
        <v>1936</v>
      </c>
      <c r="BB125" s="218" t="str">
        <v>D</v>
      </c>
      <c r="BC125" t="str">
        <v>Penny</v>
      </c>
      <c r="BD125" t="str">
        <v>WHT1936CNT-AJ</v>
      </c>
      <c r="BE125" t="str">
        <v>Wheat Penny</v>
      </c>
      <c r="BF125" t="str">
        <v>Extremely Fine</v>
      </c>
      <c r="BG125" s="225">
        <v>0.3</v>
      </c>
      <c r="BH125" s="225">
        <v>0.3</v>
      </c>
      <c r="BI125" s="136">
        <v>1</v>
      </c>
      <c r="BJ125" s="219">
        <v>0</v>
      </c>
      <c r="BK125" s="218">
        <v>0</v>
      </c>
      <c r="BL125" s="136" t="str">
        <f>IF(BA125&lt;&gt;"","A"&amp;MATCH(BD125,CoinCollection!E:E,),"")</f>
        <v>A160</v>
      </c>
    </row>
    <row r="126" spans="12:64">
      <c r="L126" s="219" t="str">
        <f>IF(A126&lt;&gt;"","A"&amp;MATCH(D126,CoinCollection!E:E,),"")</f>
        <v/>
      </c>
      <c r="N126" s="136"/>
      <c r="Y126" s="218" t="str">
        <f>IF(O126&lt;&gt;"","A"&amp;MATCH(R126,CoinCollection!E:E,),"")</f>
        <v/>
      </c>
      <c r="AY126" s="136" t="str">
        <f>IF(AN126&lt;&gt;"","A"&amp;MATCH(AQ126,CoinCollection!E:E,),"")</f>
        <v/>
      </c>
      <c r="BA126">
        <v>1936</v>
      </c>
      <c r="BB126" s="218" t="str">
        <v>S</v>
      </c>
      <c r="BC126" t="str">
        <v>Penny</v>
      </c>
      <c r="BD126" t="str">
        <v>WHT1936CNT-AK</v>
      </c>
      <c r="BE126" t="str">
        <v>Wheat Penny</v>
      </c>
      <c r="BF126" t="str">
        <v>Extremely Fine</v>
      </c>
      <c r="BG126" s="225">
        <v>0.01</v>
      </c>
      <c r="BH126" s="225">
        <v>0.01</v>
      </c>
      <c r="BI126" s="136">
        <v>1</v>
      </c>
      <c r="BJ126" s="219">
        <v>0</v>
      </c>
      <c r="BK126" s="218">
        <v>0</v>
      </c>
      <c r="BL126" s="136" t="str">
        <f>IF(BA126&lt;&gt;"","A"&amp;MATCH(BD126,CoinCollection!E:E,),"")</f>
        <v>A161</v>
      </c>
    </row>
    <row r="127" spans="12:64">
      <c r="L127" s="219" t="str">
        <f>IF(A127&lt;&gt;"","A"&amp;MATCH(D127,CoinCollection!E:E,),"")</f>
        <v/>
      </c>
      <c r="N127" s="136"/>
      <c r="Y127" s="218" t="str">
        <f>IF(O127&lt;&gt;"","A"&amp;MATCH(R127,CoinCollection!E:E,),"")</f>
        <v/>
      </c>
      <c r="AY127" s="136" t="str">
        <f>IF(AN127&lt;&gt;"","A"&amp;MATCH(AQ127,CoinCollection!E:E,),"")</f>
        <v/>
      </c>
      <c r="BA127">
        <v>1936</v>
      </c>
      <c r="BB127" s="218" t="str">
        <v>S</v>
      </c>
      <c r="BC127" t="str">
        <v>Penny</v>
      </c>
      <c r="BD127" t="str">
        <v>WHT1936CNT-AL</v>
      </c>
      <c r="BE127" t="str">
        <v>Wheat Penny</v>
      </c>
      <c r="BF127" t="str">
        <v>Extremely Fine</v>
      </c>
      <c r="BG127" s="225">
        <v>0.25</v>
      </c>
      <c r="BH127" s="225">
        <v>0.25</v>
      </c>
      <c r="BI127" s="136">
        <v>1</v>
      </c>
      <c r="BJ127" s="219">
        <v>0</v>
      </c>
      <c r="BK127" s="218">
        <v>0</v>
      </c>
      <c r="BL127" s="136" t="str">
        <f>IF(BA127&lt;&gt;"","A"&amp;MATCH(BD127,CoinCollection!E:E,),"")</f>
        <v>A162</v>
      </c>
    </row>
    <row r="128" spans="12:64">
      <c r="L128" s="219" t="str">
        <f>IF(A128&lt;&gt;"","A"&amp;MATCH(D128,CoinCollection!E:E,),"")</f>
        <v/>
      </c>
      <c r="N128" s="136"/>
      <c r="Y128" s="218" t="str">
        <f>IF(O128&lt;&gt;"","A"&amp;MATCH(R128,CoinCollection!E:E,),"")</f>
        <v/>
      </c>
      <c r="AY128" s="136" t="str">
        <f>IF(AN128&lt;&gt;"","A"&amp;MATCH(AQ128,CoinCollection!E:E,),"")</f>
        <v/>
      </c>
      <c r="BA128">
        <v>1937</v>
      </c>
      <c r="BB128" s="218">
        <v>0</v>
      </c>
      <c r="BC128" t="str">
        <v>Penny</v>
      </c>
      <c r="BD128" t="str">
        <v>WHT1937CNT-AA</v>
      </c>
      <c r="BE128" t="str">
        <v>Wheat Penny</v>
      </c>
      <c r="BF128" t="str">
        <v>Extremely Fine</v>
      </c>
      <c r="BG128" s="225">
        <v>0.15</v>
      </c>
      <c r="BH128" s="225">
        <v>0.15</v>
      </c>
      <c r="BI128" s="136">
        <v>1</v>
      </c>
      <c r="BJ128" s="219">
        <v>0</v>
      </c>
      <c r="BK128" s="218">
        <v>0</v>
      </c>
      <c r="BL128" s="136" t="str">
        <f>IF(BA128&lt;&gt;"","A"&amp;MATCH(BD128,CoinCollection!E:E,),"")</f>
        <v>A163</v>
      </c>
    </row>
    <row r="129" spans="12:64">
      <c r="L129" s="219" t="str">
        <f>IF(A129&lt;&gt;"","A"&amp;MATCH(D129,CoinCollection!E:E,),"")</f>
        <v/>
      </c>
      <c r="N129" s="136"/>
      <c r="Y129" s="218" t="str">
        <f>IF(O129&lt;&gt;"","A"&amp;MATCH(R129,CoinCollection!E:E,),"")</f>
        <v/>
      </c>
      <c r="AY129" s="136" t="str">
        <f>IF(AN129&lt;&gt;"","A"&amp;MATCH(AQ129,CoinCollection!E:E,),"")</f>
        <v/>
      </c>
      <c r="BA129">
        <v>1937</v>
      </c>
      <c r="BB129" s="218">
        <v>0</v>
      </c>
      <c r="BC129" t="str">
        <v>Penny</v>
      </c>
      <c r="BD129" t="str">
        <v>WHT1937CNT-AB</v>
      </c>
      <c r="BE129" t="str">
        <v>Wheat Penny</v>
      </c>
      <c r="BF129" t="str">
        <v>Extremely Fine</v>
      </c>
      <c r="BG129" s="225">
        <v>0.15</v>
      </c>
      <c r="BH129" s="225">
        <v>0.15</v>
      </c>
      <c r="BI129" s="136">
        <v>1</v>
      </c>
      <c r="BJ129" s="219">
        <v>0</v>
      </c>
      <c r="BK129" s="218">
        <v>0</v>
      </c>
      <c r="BL129" s="136" t="str">
        <f>IF(BA129&lt;&gt;"","A"&amp;MATCH(BD129,CoinCollection!E:E,),"")</f>
        <v>A164</v>
      </c>
    </row>
    <row r="130" spans="12:64">
      <c r="L130" s="219" t="str">
        <f>IF(A130&lt;&gt;"","A"&amp;MATCH(D130,CoinCollection!E:E,),"")</f>
        <v/>
      </c>
      <c r="N130" s="136"/>
      <c r="Y130" s="218" t="str">
        <f>IF(O130&lt;&gt;"","A"&amp;MATCH(R130,CoinCollection!E:E,),"")</f>
        <v/>
      </c>
      <c r="AY130" s="136" t="str">
        <f>IF(AN130&lt;&gt;"","A"&amp;MATCH(AQ130,CoinCollection!E:E,),"")</f>
        <v/>
      </c>
      <c r="BA130">
        <v>1937</v>
      </c>
      <c r="BB130" s="218">
        <v>0</v>
      </c>
      <c r="BC130" t="str">
        <v>Penny</v>
      </c>
      <c r="BD130" t="str">
        <v>WHT1937CNT-AC</v>
      </c>
      <c r="BE130" t="str">
        <v>Wheat Penny</v>
      </c>
      <c r="BF130" t="str">
        <v>Extremely Fine</v>
      </c>
      <c r="BG130" s="225">
        <v>0.15</v>
      </c>
      <c r="BH130" s="225">
        <v>0.15</v>
      </c>
      <c r="BI130" s="136">
        <v>1</v>
      </c>
      <c r="BJ130" s="219">
        <v>0</v>
      </c>
      <c r="BK130" s="218">
        <v>0</v>
      </c>
      <c r="BL130" s="136" t="str">
        <f>IF(BA130&lt;&gt;"","A"&amp;MATCH(BD130,CoinCollection!E:E,),"")</f>
        <v>A165</v>
      </c>
    </row>
    <row r="131" spans="12:64">
      <c r="L131" s="219" t="str">
        <f>IF(A131&lt;&gt;"","A"&amp;MATCH(D131,CoinCollection!E:E,),"")</f>
        <v/>
      </c>
      <c r="N131" s="136"/>
      <c r="Y131" s="218" t="str">
        <f>IF(O131&lt;&gt;"","A"&amp;MATCH(R131,CoinCollection!E:E,),"")</f>
        <v/>
      </c>
      <c r="AY131" s="136" t="str">
        <f>IF(AN131&lt;&gt;"","A"&amp;MATCH(AQ131,CoinCollection!E:E,),"")</f>
        <v/>
      </c>
      <c r="BA131">
        <v>1937</v>
      </c>
      <c r="BB131" s="218">
        <v>0</v>
      </c>
      <c r="BC131" t="str">
        <v>Penny</v>
      </c>
      <c r="BD131" t="str">
        <v>WHT1937CNT-AD</v>
      </c>
      <c r="BE131" t="str">
        <v>Wheat Penny</v>
      </c>
      <c r="BF131" t="str">
        <v>Extremely Fine</v>
      </c>
      <c r="BG131" s="225">
        <v>0.1</v>
      </c>
      <c r="BH131" s="225">
        <v>0.1</v>
      </c>
      <c r="BI131" s="136">
        <v>1</v>
      </c>
      <c r="BJ131" s="219">
        <v>0</v>
      </c>
      <c r="BK131" s="218">
        <v>0</v>
      </c>
      <c r="BL131" s="136" t="str">
        <f>IF(BA131&lt;&gt;"","A"&amp;MATCH(BD131,CoinCollection!E:E,),"")</f>
        <v>A166</v>
      </c>
    </row>
    <row r="132" spans="12:64">
      <c r="L132" s="219" t="str">
        <f>IF(A132&lt;&gt;"","A"&amp;MATCH(D132,CoinCollection!E:E,),"")</f>
        <v/>
      </c>
      <c r="N132" s="136"/>
      <c r="Y132" s="218" t="str">
        <f>IF(O132&lt;&gt;"","A"&amp;MATCH(R132,CoinCollection!E:E,),"")</f>
        <v/>
      </c>
      <c r="AY132" s="136" t="str">
        <f>IF(AN132&lt;&gt;"","A"&amp;MATCH(AQ132,CoinCollection!E:E,),"")</f>
        <v/>
      </c>
      <c r="BA132">
        <v>1937</v>
      </c>
      <c r="BB132" s="218">
        <v>0</v>
      </c>
      <c r="BC132" t="str">
        <v>Penny</v>
      </c>
      <c r="BD132" t="str">
        <v>WHT1937CNT-AE</v>
      </c>
      <c r="BE132" t="str">
        <v>Wheat Penny</v>
      </c>
      <c r="BF132" t="str">
        <v>Extremely Fine</v>
      </c>
      <c r="BG132" s="225">
        <v>0.05</v>
      </c>
      <c r="BH132" s="225">
        <v>0.05</v>
      </c>
      <c r="BI132" s="136">
        <v>1</v>
      </c>
      <c r="BJ132" s="219">
        <v>0</v>
      </c>
      <c r="BK132" s="218">
        <v>0</v>
      </c>
      <c r="BL132" s="136" t="str">
        <f>IF(BA132&lt;&gt;"","A"&amp;MATCH(BD132,CoinCollection!E:E,),"")</f>
        <v>A167</v>
      </c>
    </row>
    <row r="133" spans="12:64">
      <c r="L133" s="219" t="str">
        <f>IF(A133&lt;&gt;"","A"&amp;MATCH(D133,CoinCollection!E:E,),"")</f>
        <v/>
      </c>
      <c r="N133" s="136"/>
      <c r="Y133" s="218" t="str">
        <f>IF(O133&lt;&gt;"","A"&amp;MATCH(R133,CoinCollection!E:E,),"")</f>
        <v/>
      </c>
      <c r="AY133" s="136" t="str">
        <f>IF(AN133&lt;&gt;"","A"&amp;MATCH(AQ133,CoinCollection!E:E,),"")</f>
        <v/>
      </c>
      <c r="BA133">
        <v>1937</v>
      </c>
      <c r="BB133" s="218">
        <v>0</v>
      </c>
      <c r="BC133" t="str">
        <v>Penny</v>
      </c>
      <c r="BD133" t="str">
        <v>WHT1937CNT-AF</v>
      </c>
      <c r="BE133" t="str">
        <v>Wheat Penny</v>
      </c>
      <c r="BF133" t="str">
        <v>Extremely Fine</v>
      </c>
      <c r="BG133" s="225">
        <v>0.01</v>
      </c>
      <c r="BH133" s="225">
        <v>0.01</v>
      </c>
      <c r="BI133" s="136">
        <v>1</v>
      </c>
      <c r="BJ133" s="219">
        <v>0</v>
      </c>
      <c r="BK133" s="218">
        <v>0</v>
      </c>
      <c r="BL133" s="136" t="str">
        <f>IF(BA133&lt;&gt;"","A"&amp;MATCH(BD133,CoinCollection!E:E,),"")</f>
        <v>A168</v>
      </c>
    </row>
    <row r="134" spans="12:64">
      <c r="L134" s="219" t="str">
        <f>IF(A134&lt;&gt;"","A"&amp;MATCH(D134,CoinCollection!E:E,),"")</f>
        <v/>
      </c>
      <c r="N134" s="136"/>
      <c r="Y134" s="218" t="str">
        <f>IF(O134&lt;&gt;"","A"&amp;MATCH(R134,CoinCollection!E:E,),"")</f>
        <v/>
      </c>
      <c r="AY134" s="136" t="str">
        <f>IF(AN134&lt;&gt;"","A"&amp;MATCH(AQ134,CoinCollection!E:E,),"")</f>
        <v/>
      </c>
      <c r="BA134">
        <v>1937</v>
      </c>
      <c r="BB134" s="218">
        <v>0</v>
      </c>
      <c r="BC134" t="str">
        <v>Penny</v>
      </c>
      <c r="BD134" t="str">
        <v>WHT1937CNT-AG</v>
      </c>
      <c r="BE134" t="str">
        <v>Wheat Penny</v>
      </c>
      <c r="BF134" t="str">
        <v>Extremely Fine</v>
      </c>
      <c r="BG134" s="225">
        <v>0.05</v>
      </c>
      <c r="BH134" s="225">
        <v>0.05</v>
      </c>
      <c r="BI134" s="136">
        <v>1</v>
      </c>
      <c r="BJ134" s="219">
        <v>0</v>
      </c>
      <c r="BK134" s="218">
        <v>0</v>
      </c>
      <c r="BL134" s="136" t="str">
        <f>IF(BA134&lt;&gt;"","A"&amp;MATCH(BD134,CoinCollection!E:E,),"")</f>
        <v>A169</v>
      </c>
    </row>
    <row r="135" spans="12:64">
      <c r="L135" s="219" t="str">
        <f>IF(A135&lt;&gt;"","A"&amp;MATCH(D135,CoinCollection!E:E,),"")</f>
        <v/>
      </c>
      <c r="N135" s="136"/>
      <c r="Y135" s="218" t="str">
        <f>IF(O135&lt;&gt;"","A"&amp;MATCH(R135,CoinCollection!E:E,),"")</f>
        <v/>
      </c>
      <c r="AY135" s="136" t="str">
        <f>IF(AN135&lt;&gt;"","A"&amp;MATCH(AQ135,CoinCollection!E:E,),"")</f>
        <v/>
      </c>
      <c r="BA135">
        <v>1937</v>
      </c>
      <c r="BB135" s="218" t="str">
        <v>D</v>
      </c>
      <c r="BC135" t="str">
        <v>Penny</v>
      </c>
      <c r="BD135" t="str">
        <v>WHT1937CNT-AH</v>
      </c>
      <c r="BE135" t="str">
        <v>Wheat Penny</v>
      </c>
      <c r="BF135" t="str">
        <v>Extremely Fine</v>
      </c>
      <c r="BG135" s="225">
        <v>0.15</v>
      </c>
      <c r="BH135" s="225">
        <v>0.15</v>
      </c>
      <c r="BI135" s="136">
        <v>1</v>
      </c>
      <c r="BJ135" s="219">
        <v>0</v>
      </c>
      <c r="BK135" s="218">
        <v>0</v>
      </c>
      <c r="BL135" s="136" t="str">
        <f>IF(BA135&lt;&gt;"","A"&amp;MATCH(BD135,CoinCollection!E:E,),"")</f>
        <v>A170</v>
      </c>
    </row>
    <row r="136" spans="12:64">
      <c r="L136" s="219" t="str">
        <f>IF(A136&lt;&gt;"","A"&amp;MATCH(D136,CoinCollection!E:E,),"")</f>
        <v/>
      </c>
      <c r="N136" s="136"/>
      <c r="Y136" s="218" t="str">
        <f>IF(O136&lt;&gt;"","A"&amp;MATCH(R136,CoinCollection!E:E,),"")</f>
        <v/>
      </c>
      <c r="AY136" s="136" t="str">
        <f>IF(AN136&lt;&gt;"","A"&amp;MATCH(AQ136,CoinCollection!E:E,),"")</f>
        <v/>
      </c>
      <c r="BA136">
        <v>1937</v>
      </c>
      <c r="BB136" s="218" t="str">
        <v>S</v>
      </c>
      <c r="BC136" t="str">
        <v>Penny</v>
      </c>
      <c r="BD136" t="str">
        <v>WHT1937CNT-AI</v>
      </c>
      <c r="BE136" t="str">
        <v>Wheat Penny</v>
      </c>
      <c r="BF136" t="str">
        <v>Extremely Fine</v>
      </c>
      <c r="BG136" s="225">
        <v>0.2</v>
      </c>
      <c r="BH136" s="225">
        <v>0.2</v>
      </c>
      <c r="BI136" s="136">
        <v>1</v>
      </c>
      <c r="BJ136" s="219">
        <v>0</v>
      </c>
      <c r="BK136" s="218">
        <v>0</v>
      </c>
      <c r="BL136" s="136" t="str">
        <f>IF(BA136&lt;&gt;"","A"&amp;MATCH(BD136,CoinCollection!E:E,),"")</f>
        <v>A171</v>
      </c>
    </row>
    <row r="137" spans="12:64">
      <c r="L137" s="219" t="str">
        <f>IF(A137&lt;&gt;"","A"&amp;MATCH(D137,CoinCollection!E:E,),"")</f>
        <v/>
      </c>
      <c r="N137" s="136"/>
      <c r="Y137" s="218" t="str">
        <f>IF(O137&lt;&gt;"","A"&amp;MATCH(R137,CoinCollection!E:E,),"")</f>
        <v/>
      </c>
      <c r="AY137" s="136" t="str">
        <f>IF(AN137&lt;&gt;"","A"&amp;MATCH(AQ137,CoinCollection!E:E,),"")</f>
        <v/>
      </c>
      <c r="BA137">
        <v>1938</v>
      </c>
      <c r="BB137" s="218">
        <v>0</v>
      </c>
      <c r="BC137" t="str">
        <v>Penny</v>
      </c>
      <c r="BD137" t="str">
        <v>WHT1938CNT-AA</v>
      </c>
      <c r="BE137" t="str">
        <v>Wheat Penny</v>
      </c>
      <c r="BF137" t="str">
        <v>Extremely Fine</v>
      </c>
      <c r="BG137" s="225">
        <v>0.2</v>
      </c>
      <c r="BH137" s="225">
        <v>0.2</v>
      </c>
      <c r="BI137" s="136">
        <v>1</v>
      </c>
      <c r="BJ137" s="219">
        <v>0</v>
      </c>
      <c r="BK137" s="218">
        <v>0</v>
      </c>
      <c r="BL137" s="136" t="str">
        <f>IF(BA137&lt;&gt;"","A"&amp;MATCH(BD137,CoinCollection!E:E,),"")</f>
        <v>A172</v>
      </c>
    </row>
    <row r="138" spans="12:64">
      <c r="L138" s="219" t="str">
        <f>IF(A138&lt;&gt;"","A"&amp;MATCH(D138,CoinCollection!E:E,),"")</f>
        <v/>
      </c>
      <c r="N138" s="136"/>
      <c r="Y138" s="218" t="str">
        <f>IF(O138&lt;&gt;"","A"&amp;MATCH(R138,CoinCollection!E:E,),"")</f>
        <v/>
      </c>
      <c r="AY138" s="136" t="str">
        <f>IF(AN138&lt;&gt;"","A"&amp;MATCH(AQ138,CoinCollection!E:E,),"")</f>
        <v/>
      </c>
      <c r="BA138">
        <v>1938</v>
      </c>
      <c r="BB138" s="218">
        <v>0</v>
      </c>
      <c r="BC138" t="str">
        <v>Penny</v>
      </c>
      <c r="BD138" t="str">
        <v>WHT1938CNT-AB</v>
      </c>
      <c r="BE138" t="str">
        <v>Wheat Penny</v>
      </c>
      <c r="BF138" t="str">
        <v>Extremely Fine</v>
      </c>
      <c r="BG138" s="225">
        <v>0.2</v>
      </c>
      <c r="BH138" s="225">
        <v>0.2</v>
      </c>
      <c r="BI138" s="136">
        <v>1</v>
      </c>
      <c r="BJ138" s="219">
        <v>0</v>
      </c>
      <c r="BK138" s="218">
        <v>0</v>
      </c>
      <c r="BL138" s="136" t="str">
        <f>IF(BA138&lt;&gt;"","A"&amp;MATCH(BD138,CoinCollection!E:E,),"")</f>
        <v>A173</v>
      </c>
    </row>
    <row r="139" spans="12:64">
      <c r="L139" s="219" t="str">
        <f>IF(A139&lt;&gt;"","A"&amp;MATCH(D139,CoinCollection!E:E,),"")</f>
        <v/>
      </c>
      <c r="N139" s="136"/>
      <c r="Y139" s="218" t="str">
        <f>IF(O139&lt;&gt;"","A"&amp;MATCH(R139,CoinCollection!E:E,),"")</f>
        <v/>
      </c>
      <c r="AY139" s="136" t="str">
        <f>IF(AN139&lt;&gt;"","A"&amp;MATCH(AQ139,CoinCollection!E:E,),"")</f>
        <v/>
      </c>
      <c r="BA139">
        <v>1938</v>
      </c>
      <c r="BB139" s="218">
        <v>0</v>
      </c>
      <c r="BC139" t="str">
        <v>Penny</v>
      </c>
      <c r="BD139" t="str">
        <v>WHT1938CNT-AC</v>
      </c>
      <c r="BE139" t="str">
        <v>Wheat Penny</v>
      </c>
      <c r="BF139" t="str">
        <v>Extremely Fine</v>
      </c>
      <c r="BG139" s="225">
        <v>0.2</v>
      </c>
      <c r="BH139" s="225">
        <v>0.2</v>
      </c>
      <c r="BI139" s="136">
        <v>1</v>
      </c>
      <c r="BJ139" s="219">
        <v>0</v>
      </c>
      <c r="BK139" s="218">
        <v>0</v>
      </c>
      <c r="BL139" s="136" t="str">
        <f>IF(BA139&lt;&gt;"","A"&amp;MATCH(BD139,CoinCollection!E:E,),"")</f>
        <v>A174</v>
      </c>
    </row>
    <row r="140" spans="12:64">
      <c r="L140" s="219" t="str">
        <f>IF(A140&lt;&gt;"","A"&amp;MATCH(D140,CoinCollection!E:E,),"")</f>
        <v/>
      </c>
      <c r="N140" s="136"/>
      <c r="Y140" s="218" t="str">
        <f>IF(O140&lt;&gt;"","A"&amp;MATCH(R140,CoinCollection!E:E,),"")</f>
        <v/>
      </c>
      <c r="AY140" s="136" t="str">
        <f>IF(AN140&lt;&gt;"","A"&amp;MATCH(AQ140,CoinCollection!E:E,),"")</f>
        <v/>
      </c>
      <c r="BA140">
        <v>1938</v>
      </c>
      <c r="BB140" s="218">
        <v>0</v>
      </c>
      <c r="BC140" t="str">
        <v>Penny</v>
      </c>
      <c r="BD140" t="str">
        <v>WHT1938CNT-AD</v>
      </c>
      <c r="BE140" t="str">
        <v>Wheat Penny</v>
      </c>
      <c r="BF140" t="str">
        <v>Extremely Fine</v>
      </c>
      <c r="BG140" s="225">
        <v>0.15</v>
      </c>
      <c r="BH140" s="225">
        <v>0.15</v>
      </c>
      <c r="BI140" s="136">
        <v>1</v>
      </c>
      <c r="BJ140" s="219">
        <v>0</v>
      </c>
      <c r="BK140" s="218">
        <v>0</v>
      </c>
      <c r="BL140" s="136" t="str">
        <f>IF(BA140&lt;&gt;"","A"&amp;MATCH(BD140,CoinCollection!E:E,),"")</f>
        <v>A175</v>
      </c>
    </row>
    <row r="141" spans="12:64">
      <c r="L141" s="219" t="str">
        <f>IF(A141&lt;&gt;"","A"&amp;MATCH(D141,CoinCollection!E:E,),"")</f>
        <v/>
      </c>
      <c r="N141" s="136"/>
      <c r="Y141" s="218" t="str">
        <f>IF(O141&lt;&gt;"","A"&amp;MATCH(R141,CoinCollection!E:E,),"")</f>
        <v/>
      </c>
      <c r="AY141" s="136" t="str">
        <f>IF(AN141&lt;&gt;"","A"&amp;MATCH(AQ141,CoinCollection!E:E,),"")</f>
        <v/>
      </c>
      <c r="BA141">
        <v>1938</v>
      </c>
      <c r="BB141" s="218">
        <v>0</v>
      </c>
      <c r="BC141" t="str">
        <v>Penny</v>
      </c>
      <c r="BD141" t="str">
        <v>WHT1938CNT-AE</v>
      </c>
      <c r="BE141" t="str">
        <v>Wheat Penny</v>
      </c>
      <c r="BF141" t="str">
        <v>Extremely Fine</v>
      </c>
      <c r="BG141" s="225">
        <v>0.15</v>
      </c>
      <c r="BH141" s="225">
        <v>0.15</v>
      </c>
      <c r="BI141" s="136">
        <v>1</v>
      </c>
      <c r="BJ141" s="219">
        <v>0</v>
      </c>
      <c r="BK141" s="218">
        <v>0</v>
      </c>
      <c r="BL141" s="136" t="str">
        <f>IF(BA141&lt;&gt;"","A"&amp;MATCH(BD141,CoinCollection!E:E,),"")</f>
        <v>A176</v>
      </c>
    </row>
    <row r="142" spans="12:64">
      <c r="L142" s="219" t="str">
        <f>IF(A142&lt;&gt;"","A"&amp;MATCH(D142,CoinCollection!E:E,),"")</f>
        <v/>
      </c>
      <c r="N142" s="136"/>
      <c r="Y142" s="218" t="str">
        <f>IF(O142&lt;&gt;"","A"&amp;MATCH(R142,CoinCollection!E:E,),"")</f>
        <v/>
      </c>
      <c r="AY142" s="136" t="str">
        <f>IF(AN142&lt;&gt;"","A"&amp;MATCH(AQ142,CoinCollection!E:E,),"")</f>
        <v/>
      </c>
      <c r="BA142">
        <v>1938</v>
      </c>
      <c r="BB142" s="218">
        <v>0</v>
      </c>
      <c r="BC142" t="str">
        <v>Penny</v>
      </c>
      <c r="BD142" t="str">
        <v>WHT1938CNT-AF</v>
      </c>
      <c r="BE142" t="str">
        <v>Wheat Penny</v>
      </c>
      <c r="BF142" t="str">
        <v>Extremely Fine</v>
      </c>
      <c r="BG142" s="225">
        <v>0.01</v>
      </c>
      <c r="BH142" s="225">
        <v>0.01</v>
      </c>
      <c r="BI142" s="136">
        <v>1</v>
      </c>
      <c r="BJ142" s="219">
        <v>0</v>
      </c>
      <c r="BK142" s="218">
        <v>0</v>
      </c>
      <c r="BL142" s="136" t="str">
        <f>IF(BA142&lt;&gt;"","A"&amp;MATCH(BD142,CoinCollection!E:E,),"")</f>
        <v>A177</v>
      </c>
    </row>
    <row r="143" spans="12:64">
      <c r="L143" s="219" t="str">
        <f>IF(A143&lt;&gt;"","A"&amp;MATCH(D143,CoinCollection!E:E,),"")</f>
        <v/>
      </c>
      <c r="N143" s="136"/>
      <c r="Y143" s="218" t="str">
        <f>IF(O143&lt;&gt;"","A"&amp;MATCH(R143,CoinCollection!E:E,),"")</f>
        <v/>
      </c>
      <c r="AY143" s="136" t="str">
        <f>IF(AN143&lt;&gt;"","A"&amp;MATCH(AQ143,CoinCollection!E:E,),"")</f>
        <v/>
      </c>
      <c r="BA143">
        <v>1938</v>
      </c>
      <c r="BB143" s="218" t="str">
        <v>D</v>
      </c>
      <c r="BC143" t="str">
        <v>Penny</v>
      </c>
      <c r="BD143" t="str">
        <v>WHT1938CNT-AG</v>
      </c>
      <c r="BE143" t="str">
        <v>Wheat Penny</v>
      </c>
      <c r="BF143" t="str">
        <v>Extremely Fine</v>
      </c>
      <c r="BG143" s="225">
        <v>0.2</v>
      </c>
      <c r="BH143" s="225">
        <v>0.2</v>
      </c>
      <c r="BI143" s="136">
        <v>1</v>
      </c>
      <c r="BJ143" s="219">
        <v>0</v>
      </c>
      <c r="BK143" s="218">
        <v>0</v>
      </c>
      <c r="BL143" s="136" t="str">
        <f>IF(BA143&lt;&gt;"","A"&amp;MATCH(BD143,CoinCollection!E:E,),"")</f>
        <v>A178</v>
      </c>
    </row>
    <row r="144" spans="12:64">
      <c r="L144" s="219" t="str">
        <f>IF(A144&lt;&gt;"","A"&amp;MATCH(D144,CoinCollection!E:E,),"")</f>
        <v/>
      </c>
      <c r="N144" s="136"/>
      <c r="Y144" s="218" t="str">
        <f>IF(O144&lt;&gt;"","A"&amp;MATCH(R144,CoinCollection!E:E,),"")</f>
        <v/>
      </c>
      <c r="AY144" s="136" t="str">
        <f>IF(AN144&lt;&gt;"","A"&amp;MATCH(AQ144,CoinCollection!E:E,),"")</f>
        <v/>
      </c>
      <c r="BA144">
        <v>1938</v>
      </c>
      <c r="BB144" s="218" t="str">
        <v>D</v>
      </c>
      <c r="BC144" t="str">
        <v>Penny</v>
      </c>
      <c r="BD144" t="str">
        <v>WHT1938CNT-AH</v>
      </c>
      <c r="BE144" t="str">
        <v>Wheat Penny</v>
      </c>
      <c r="BF144" t="str">
        <v>Extremely Fine</v>
      </c>
      <c r="BG144" s="225">
        <v>0.25</v>
      </c>
      <c r="BH144" s="225">
        <v>0.25</v>
      </c>
      <c r="BI144" s="136">
        <v>1</v>
      </c>
      <c r="BJ144" s="219">
        <v>0</v>
      </c>
      <c r="BK144" s="218">
        <v>0</v>
      </c>
      <c r="BL144" s="136" t="str">
        <f>IF(BA144&lt;&gt;"","A"&amp;MATCH(BD144,CoinCollection!E:E,),"")</f>
        <v>A179</v>
      </c>
    </row>
    <row r="145" spans="12:64">
      <c r="L145" s="219" t="str">
        <f>IF(A145&lt;&gt;"","A"&amp;MATCH(D145,CoinCollection!E:E,),"")</f>
        <v/>
      </c>
      <c r="N145" s="136"/>
      <c r="Y145" s="218" t="str">
        <f>IF(O145&lt;&gt;"","A"&amp;MATCH(R145,CoinCollection!E:E,),"")</f>
        <v/>
      </c>
      <c r="AY145" s="136" t="str">
        <f>IF(AN145&lt;&gt;"","A"&amp;MATCH(AQ145,CoinCollection!E:E,),"")</f>
        <v/>
      </c>
      <c r="BA145">
        <v>1938</v>
      </c>
      <c r="BB145" s="218" t="str">
        <v>S</v>
      </c>
      <c r="BC145" t="str">
        <v>Penny</v>
      </c>
      <c r="BD145" t="str">
        <v>WHT1938CNT-AI</v>
      </c>
      <c r="BE145" t="str">
        <v>Wheat Penny</v>
      </c>
      <c r="BF145" t="str">
        <v>Extremely Fine</v>
      </c>
      <c r="BG145" s="225">
        <v>0.3</v>
      </c>
      <c r="BH145" s="225">
        <v>0.3</v>
      </c>
      <c r="BI145" s="136">
        <v>1</v>
      </c>
      <c r="BJ145" s="219">
        <v>0</v>
      </c>
      <c r="BK145" s="218">
        <v>0</v>
      </c>
      <c r="BL145" s="136" t="str">
        <f>IF(BA145&lt;&gt;"","A"&amp;MATCH(BD145,CoinCollection!E:E,),"")</f>
        <v>A180</v>
      </c>
    </row>
    <row r="146" spans="12:64">
      <c r="L146" s="219" t="str">
        <f>IF(A146&lt;&gt;"","A"&amp;MATCH(D146,CoinCollection!E:E,),"")</f>
        <v/>
      </c>
      <c r="N146" s="136"/>
      <c r="Y146" s="218" t="str">
        <f>IF(O146&lt;&gt;"","A"&amp;MATCH(R146,CoinCollection!E:E,),"")</f>
        <v/>
      </c>
      <c r="AY146" s="136" t="str">
        <f>IF(AN146&lt;&gt;"","A"&amp;MATCH(AQ146,CoinCollection!E:E,),"")</f>
        <v/>
      </c>
      <c r="BA146">
        <v>1938</v>
      </c>
      <c r="BB146" s="218" t="str">
        <v>S</v>
      </c>
      <c r="BC146" t="str">
        <v>Penny</v>
      </c>
      <c r="BD146" t="str">
        <v>WHT1938CNT-AJ</v>
      </c>
      <c r="BE146" t="str">
        <v>Wheat Penny</v>
      </c>
      <c r="BF146" t="str">
        <v>Extremely Fine</v>
      </c>
      <c r="BG146" s="225">
        <v>0.75</v>
      </c>
      <c r="BH146" s="225">
        <v>0.75</v>
      </c>
      <c r="BI146" s="136">
        <v>1</v>
      </c>
      <c r="BJ146" s="219">
        <v>0</v>
      </c>
      <c r="BK146" s="218">
        <v>0</v>
      </c>
      <c r="BL146" s="136" t="str">
        <f>IF(BA146&lt;&gt;"","A"&amp;MATCH(BD146,CoinCollection!E:E,),"")</f>
        <v>A181</v>
      </c>
    </row>
    <row r="147" spans="12:64">
      <c r="L147" s="219" t="str">
        <f>IF(A147&lt;&gt;"","A"&amp;MATCH(D147,CoinCollection!E:E,),"")</f>
        <v/>
      </c>
      <c r="N147" s="136"/>
      <c r="Y147" s="218" t="str">
        <f>IF(O147&lt;&gt;"","A"&amp;MATCH(R147,CoinCollection!E:E,),"")</f>
        <v/>
      </c>
      <c r="AY147" s="136" t="str">
        <f>IF(AN147&lt;&gt;"","A"&amp;MATCH(AQ147,CoinCollection!E:E,),"")</f>
        <v/>
      </c>
      <c r="BA147">
        <v>1939</v>
      </c>
      <c r="BB147" s="218">
        <v>0</v>
      </c>
      <c r="BC147" t="str">
        <v>Penny</v>
      </c>
      <c r="BD147" t="str">
        <v>WHT1939CNT-AA</v>
      </c>
      <c r="BE147" t="str">
        <v>Wheat Penny</v>
      </c>
      <c r="BF147" t="str">
        <v>Extremely Fine</v>
      </c>
      <c r="BG147" s="225">
        <v>0.25</v>
      </c>
      <c r="BH147" s="225">
        <v>0.25</v>
      </c>
      <c r="BI147" s="136">
        <v>1</v>
      </c>
      <c r="BJ147" s="219">
        <v>0</v>
      </c>
      <c r="BK147" s="218">
        <v>0</v>
      </c>
      <c r="BL147" s="136" t="str">
        <f>IF(BA147&lt;&gt;"","A"&amp;MATCH(BD147,CoinCollection!E:E,),"")</f>
        <v>A182</v>
      </c>
    </row>
    <row r="148" spans="12:64">
      <c r="L148" s="219" t="str">
        <f>IF(A148&lt;&gt;"","A"&amp;MATCH(D148,CoinCollection!E:E,),"")</f>
        <v/>
      </c>
      <c r="N148" s="136"/>
      <c r="Y148" s="218" t="str">
        <f>IF(O148&lt;&gt;"","A"&amp;MATCH(R148,CoinCollection!E:E,),"")</f>
        <v/>
      </c>
      <c r="AY148" s="136" t="str">
        <f>IF(AN148&lt;&gt;"","A"&amp;MATCH(AQ148,CoinCollection!E:E,),"")</f>
        <v/>
      </c>
      <c r="BA148">
        <v>1939</v>
      </c>
      <c r="BB148" s="218">
        <v>0</v>
      </c>
      <c r="BC148" t="str">
        <v>Penny</v>
      </c>
      <c r="BD148" t="str">
        <v>WHT1939CNT-AB</v>
      </c>
      <c r="BE148" t="str">
        <v>Wheat Penny</v>
      </c>
      <c r="BF148" t="str">
        <v>Extremely Fine</v>
      </c>
      <c r="BG148" s="225">
        <v>0.25</v>
      </c>
      <c r="BH148" s="225">
        <v>0.25</v>
      </c>
      <c r="BI148" s="136">
        <v>1</v>
      </c>
      <c r="BJ148" s="219">
        <v>0</v>
      </c>
      <c r="BK148" s="218">
        <v>0</v>
      </c>
      <c r="BL148" s="136" t="str">
        <f>IF(BA148&lt;&gt;"","A"&amp;MATCH(BD148,CoinCollection!E:E,),"")</f>
        <v>A183</v>
      </c>
    </row>
    <row r="149" spans="12:64">
      <c r="L149" s="219" t="str">
        <f>IF(A149&lt;&gt;"","A"&amp;MATCH(D149,CoinCollection!E:E,),"")</f>
        <v/>
      </c>
      <c r="N149" s="136"/>
      <c r="Y149" s="218" t="str">
        <f>IF(O149&lt;&gt;"","A"&amp;MATCH(R149,CoinCollection!E:E,),"")</f>
        <v/>
      </c>
      <c r="AY149" s="136" t="str">
        <f>IF(AN149&lt;&gt;"","A"&amp;MATCH(AQ149,CoinCollection!E:E,),"")</f>
        <v/>
      </c>
      <c r="BA149">
        <v>1939</v>
      </c>
      <c r="BB149" s="218">
        <v>0</v>
      </c>
      <c r="BC149" t="str">
        <v>Penny</v>
      </c>
      <c r="BD149" t="str">
        <v>WHT1939CNT-AC</v>
      </c>
      <c r="BE149" t="str">
        <v>Wheat Penny</v>
      </c>
      <c r="BF149" t="str">
        <v>Extremely Fine</v>
      </c>
      <c r="BG149" s="225">
        <v>0.15</v>
      </c>
      <c r="BH149" s="225">
        <v>0.15</v>
      </c>
      <c r="BI149" s="136">
        <v>1</v>
      </c>
      <c r="BJ149" s="219">
        <v>0</v>
      </c>
      <c r="BK149" s="218">
        <v>0</v>
      </c>
      <c r="BL149" s="136" t="str">
        <f>IF(BA149&lt;&gt;"","A"&amp;MATCH(BD149,CoinCollection!E:E,),"")</f>
        <v>A184</v>
      </c>
    </row>
    <row r="150" spans="12:64">
      <c r="L150" s="219" t="str">
        <f>IF(A150&lt;&gt;"","A"&amp;MATCH(D150,CoinCollection!E:E,),"")</f>
        <v/>
      </c>
      <c r="N150" s="136"/>
      <c r="Y150" s="218" t="str">
        <f>IF(O150&lt;&gt;"","A"&amp;MATCH(R150,CoinCollection!E:E,),"")</f>
        <v/>
      </c>
      <c r="AY150" s="136" t="str">
        <f>IF(AN150&lt;&gt;"","A"&amp;MATCH(AQ150,CoinCollection!E:E,),"")</f>
        <v/>
      </c>
      <c r="BA150">
        <v>1939</v>
      </c>
      <c r="BB150" s="218">
        <v>0</v>
      </c>
      <c r="BC150" t="str">
        <v>Penny</v>
      </c>
      <c r="BD150" t="str">
        <v>WHT1939CNT-AD</v>
      </c>
      <c r="BE150" t="str">
        <v>Wheat Penny</v>
      </c>
      <c r="BF150" t="str">
        <v>Extremely Fine</v>
      </c>
      <c r="BG150" s="225">
        <v>0.15</v>
      </c>
      <c r="BH150" s="225">
        <v>0.15</v>
      </c>
      <c r="BI150" s="136">
        <v>1</v>
      </c>
      <c r="BJ150" s="219">
        <v>0</v>
      </c>
      <c r="BK150" s="218">
        <v>0</v>
      </c>
      <c r="BL150" s="136" t="str">
        <f>IF(BA150&lt;&gt;"","A"&amp;MATCH(BD150,CoinCollection!E:E,),"")</f>
        <v>A185</v>
      </c>
    </row>
    <row r="151" spans="12:64">
      <c r="L151" s="219" t="str">
        <f>IF(A151&lt;&gt;"","A"&amp;MATCH(D151,CoinCollection!E:E,),"")</f>
        <v/>
      </c>
      <c r="N151" s="136"/>
      <c r="Y151" s="218" t="str">
        <f>IF(O151&lt;&gt;"","A"&amp;MATCH(R151,CoinCollection!E:E,),"")</f>
        <v/>
      </c>
      <c r="AY151" s="136" t="str">
        <f>IF(AN151&lt;&gt;"","A"&amp;MATCH(AQ151,CoinCollection!E:E,),"")</f>
        <v/>
      </c>
      <c r="BA151">
        <v>1939</v>
      </c>
      <c r="BB151" s="218">
        <v>0</v>
      </c>
      <c r="BC151" t="str">
        <v>Penny</v>
      </c>
      <c r="BD151" t="str">
        <v>WHT1939CNT-AE</v>
      </c>
      <c r="BE151" t="str">
        <v>Wheat Penny</v>
      </c>
      <c r="BF151" t="str">
        <v>Extremely Fine</v>
      </c>
      <c r="BG151" s="225">
        <v>0.1</v>
      </c>
      <c r="BH151" s="225">
        <v>0.1</v>
      </c>
      <c r="BI151" s="136">
        <v>1</v>
      </c>
      <c r="BJ151" s="219">
        <v>0</v>
      </c>
      <c r="BK151" s="218">
        <v>0</v>
      </c>
      <c r="BL151" s="136" t="str">
        <f>IF(BA151&lt;&gt;"","A"&amp;MATCH(BD151,CoinCollection!E:E,),"")</f>
        <v>A186</v>
      </c>
    </row>
    <row r="152" spans="12:64">
      <c r="L152" s="219" t="str">
        <f>IF(A152&lt;&gt;"","A"&amp;MATCH(D152,CoinCollection!E:E,),"")</f>
        <v/>
      </c>
      <c r="N152" s="136"/>
      <c r="Y152" s="218" t="str">
        <f>IF(O152&lt;&gt;"","A"&amp;MATCH(R152,CoinCollection!E:E,),"")</f>
        <v/>
      </c>
      <c r="AY152" s="136" t="str">
        <f>IF(AN152&lt;&gt;"","A"&amp;MATCH(AQ152,CoinCollection!E:E,),"")</f>
        <v/>
      </c>
      <c r="BA152">
        <v>1939</v>
      </c>
      <c r="BB152" s="218">
        <v>0</v>
      </c>
      <c r="BC152" t="str">
        <v>Penny</v>
      </c>
      <c r="BD152" t="str">
        <v>WHT1939CNT-AF</v>
      </c>
      <c r="BE152" t="str">
        <v>Wheat Penny</v>
      </c>
      <c r="BF152" t="str">
        <v>Extremely Fine</v>
      </c>
      <c r="BG152" s="225">
        <v>0.15</v>
      </c>
      <c r="BH152" s="225">
        <v>0.15</v>
      </c>
      <c r="BI152" s="136">
        <v>1</v>
      </c>
      <c r="BJ152" s="219">
        <v>0</v>
      </c>
      <c r="BK152" s="218">
        <v>0</v>
      </c>
      <c r="BL152" s="136" t="str">
        <f>IF(BA152&lt;&gt;"","A"&amp;MATCH(BD152,CoinCollection!E:E,),"")</f>
        <v>A187</v>
      </c>
    </row>
    <row r="153" spans="12:64">
      <c r="L153" s="219" t="str">
        <f>IF(A153&lt;&gt;"","A"&amp;MATCH(D153,CoinCollection!E:E,),"")</f>
        <v/>
      </c>
      <c r="N153" s="136"/>
      <c r="Y153" s="218" t="str">
        <f>IF(O153&lt;&gt;"","A"&amp;MATCH(R153,CoinCollection!E:E,),"")</f>
        <v/>
      </c>
      <c r="AY153" s="136" t="str">
        <f>IF(AN153&lt;&gt;"","A"&amp;MATCH(AQ153,CoinCollection!E:E,),"")</f>
        <v/>
      </c>
      <c r="BA153">
        <v>1939</v>
      </c>
      <c r="BB153" s="218">
        <v>0</v>
      </c>
      <c r="BC153" t="str">
        <v>Penny</v>
      </c>
      <c r="BD153" t="str">
        <v>WHT1939CNT-AG</v>
      </c>
      <c r="BE153" t="str">
        <v>Wheat Penny</v>
      </c>
      <c r="BF153" t="str">
        <v>Extremely Fine</v>
      </c>
      <c r="BG153" s="225">
        <v>0.05</v>
      </c>
      <c r="BH153" s="225">
        <v>0.05</v>
      </c>
      <c r="BI153" s="136">
        <v>1</v>
      </c>
      <c r="BJ153" s="219">
        <v>0</v>
      </c>
      <c r="BK153" s="218">
        <v>0</v>
      </c>
      <c r="BL153" s="136" t="str">
        <f>IF(BA153&lt;&gt;"","A"&amp;MATCH(BD153,CoinCollection!E:E,),"")</f>
        <v>A188</v>
      </c>
    </row>
    <row r="154" spans="12:64">
      <c r="L154" s="219" t="str">
        <f>IF(A154&lt;&gt;"","A"&amp;MATCH(D154,CoinCollection!E:E,),"")</f>
        <v/>
      </c>
      <c r="N154" s="136"/>
      <c r="Y154" s="218" t="str">
        <f>IF(O154&lt;&gt;"","A"&amp;MATCH(R154,CoinCollection!E:E,),"")</f>
        <v/>
      </c>
      <c r="AY154" s="136" t="str">
        <f>IF(AN154&lt;&gt;"","A"&amp;MATCH(AQ154,CoinCollection!E:E,),"")</f>
        <v/>
      </c>
      <c r="BA154">
        <v>1939</v>
      </c>
      <c r="BB154" s="218">
        <v>0</v>
      </c>
      <c r="BC154" t="str">
        <v>Penny</v>
      </c>
      <c r="BD154" t="str">
        <v>WHT1939CNT-AH</v>
      </c>
      <c r="BE154" t="str">
        <v>Wheat Penny</v>
      </c>
      <c r="BF154" t="str">
        <v>Extremely Fine</v>
      </c>
      <c r="BG154" s="225">
        <v>0.15</v>
      </c>
      <c r="BH154" s="225">
        <v>0.15</v>
      </c>
      <c r="BI154" s="136">
        <v>1</v>
      </c>
      <c r="BJ154" s="219">
        <v>0</v>
      </c>
      <c r="BK154" s="218">
        <v>0</v>
      </c>
      <c r="BL154" s="136" t="str">
        <f>IF(BA154&lt;&gt;"","A"&amp;MATCH(BD154,CoinCollection!E:E,),"")</f>
        <v>A189</v>
      </c>
    </row>
    <row r="155" spans="12:64">
      <c r="L155" s="219" t="str">
        <f>IF(A155&lt;&gt;"","A"&amp;MATCH(D155,CoinCollection!E:E,),"")</f>
        <v/>
      </c>
      <c r="N155" s="136"/>
      <c r="Y155" s="218" t="str">
        <f>IF(O155&lt;&gt;"","A"&amp;MATCH(R155,CoinCollection!E:E,),"")</f>
        <v/>
      </c>
      <c r="AY155" s="136" t="str">
        <f>IF(AN155&lt;&gt;"","A"&amp;MATCH(AQ155,CoinCollection!E:E,),"")</f>
        <v/>
      </c>
      <c r="BA155">
        <v>1939</v>
      </c>
      <c r="BB155" s="218">
        <v>0</v>
      </c>
      <c r="BC155" t="str">
        <v>Penny</v>
      </c>
      <c r="BD155" t="str">
        <v>WHT1939CNT-AI</v>
      </c>
      <c r="BE155" t="str">
        <v>Wheat Penny</v>
      </c>
      <c r="BF155" t="str">
        <v>Extremely Fine</v>
      </c>
      <c r="BG155" s="225">
        <v>0.15</v>
      </c>
      <c r="BH155" s="225">
        <v>0.15</v>
      </c>
      <c r="BI155" s="136">
        <v>1</v>
      </c>
      <c r="BJ155" s="219">
        <v>0</v>
      </c>
      <c r="BK155" s="218">
        <v>0</v>
      </c>
      <c r="BL155" s="136" t="str">
        <f>IF(BA155&lt;&gt;"","A"&amp;MATCH(BD155,CoinCollection!E:E,),"")</f>
        <v>A190</v>
      </c>
    </row>
    <row r="156" spans="12:64">
      <c r="L156" s="219" t="str">
        <f>IF(A156&lt;&gt;"","A"&amp;MATCH(D156,CoinCollection!E:E,),"")</f>
        <v/>
      </c>
      <c r="N156" s="136"/>
      <c r="Y156" s="218" t="str">
        <f>IF(O156&lt;&gt;"","A"&amp;MATCH(R156,CoinCollection!E:E,),"")</f>
        <v/>
      </c>
      <c r="AY156" s="136" t="str">
        <f>IF(AN156&lt;&gt;"","A"&amp;MATCH(AQ156,CoinCollection!E:E,),"")</f>
        <v/>
      </c>
      <c r="BA156">
        <v>1939</v>
      </c>
      <c r="BB156" s="218">
        <v>0</v>
      </c>
      <c r="BC156" t="str">
        <v>Penny</v>
      </c>
      <c r="BD156" t="str">
        <v>WHT1939CNT-AJ</v>
      </c>
      <c r="BE156" t="str">
        <v>Wheat Penny</v>
      </c>
      <c r="BF156" t="str">
        <v>Extremely Fine</v>
      </c>
      <c r="BG156" s="225">
        <v>0.01</v>
      </c>
      <c r="BH156" s="225">
        <v>0.01</v>
      </c>
      <c r="BI156" s="136">
        <v>1</v>
      </c>
      <c r="BJ156" s="219">
        <v>0</v>
      </c>
      <c r="BK156" s="218">
        <v>0</v>
      </c>
      <c r="BL156" s="136" t="str">
        <f>IF(BA156&lt;&gt;"","A"&amp;MATCH(BD156,CoinCollection!E:E,),"")</f>
        <v>A191</v>
      </c>
    </row>
    <row r="157" spans="12:64">
      <c r="L157" s="219" t="str">
        <f>IF(A157&lt;&gt;"","A"&amp;MATCH(D157,CoinCollection!E:E,),"")</f>
        <v/>
      </c>
      <c r="N157" s="136"/>
      <c r="Y157" s="218" t="str">
        <f>IF(O157&lt;&gt;"","A"&amp;MATCH(R157,CoinCollection!E:E,),"")</f>
        <v/>
      </c>
      <c r="AY157" s="136" t="str">
        <f>IF(AN157&lt;&gt;"","A"&amp;MATCH(AQ157,CoinCollection!E:E,),"")</f>
        <v/>
      </c>
      <c r="BA157">
        <v>1939</v>
      </c>
      <c r="BB157" s="218" t="str">
        <v>D</v>
      </c>
      <c r="BC157" t="str">
        <v>Penny</v>
      </c>
      <c r="BD157" t="str">
        <v>WHT1939CNT-AK</v>
      </c>
      <c r="BE157" t="str">
        <v>Wheat Penny</v>
      </c>
      <c r="BF157" t="str">
        <v>Extremely Fine</v>
      </c>
      <c r="BG157" s="225">
        <v>0.55000000000000004</v>
      </c>
      <c r="BH157" s="225">
        <v>0.55000000000000004</v>
      </c>
      <c r="BI157" s="136">
        <v>1</v>
      </c>
      <c r="BJ157" s="219">
        <v>0</v>
      </c>
      <c r="BK157" s="218">
        <v>0</v>
      </c>
      <c r="BL157" s="136" t="str">
        <f>IF(BA157&lt;&gt;"","A"&amp;MATCH(BD157,CoinCollection!E:E,),"")</f>
        <v>A192</v>
      </c>
    </row>
    <row r="158" spans="12:64">
      <c r="L158" s="219" t="str">
        <f>IF(A158&lt;&gt;"","A"&amp;MATCH(D158,CoinCollection!E:E,),"")</f>
        <v/>
      </c>
      <c r="N158" s="136"/>
      <c r="Y158" s="218" t="str">
        <f>IF(O158&lt;&gt;"","A"&amp;MATCH(R158,CoinCollection!E:E,),"")</f>
        <v/>
      </c>
      <c r="AY158" s="136" t="str">
        <f>IF(AN158&lt;&gt;"","A"&amp;MATCH(AQ158,CoinCollection!E:E,),"")</f>
        <v/>
      </c>
      <c r="BA158">
        <v>1939</v>
      </c>
      <c r="BB158" s="218" t="str">
        <v>S</v>
      </c>
      <c r="BC158" t="str">
        <v>Penny</v>
      </c>
      <c r="BD158" t="str">
        <v>WHT1939CNT-AL</v>
      </c>
      <c r="BE158" t="str">
        <v>Wheat Penny</v>
      </c>
      <c r="BF158" t="str">
        <v>Extremely Fine</v>
      </c>
      <c r="BG158" s="225">
        <v>0.25</v>
      </c>
      <c r="BH158" s="225">
        <v>0.25</v>
      </c>
      <c r="BI158" s="136">
        <v>1</v>
      </c>
      <c r="BJ158" s="219">
        <v>0</v>
      </c>
      <c r="BK158" s="218">
        <v>0</v>
      </c>
      <c r="BL158" s="136" t="str">
        <f>IF(BA158&lt;&gt;"","A"&amp;MATCH(BD158,CoinCollection!E:E,),"")</f>
        <v>A193</v>
      </c>
    </row>
    <row r="159" spans="12:64">
      <c r="L159" s="219" t="str">
        <f>IF(A159&lt;&gt;"","A"&amp;MATCH(D159,CoinCollection!E:E,),"")</f>
        <v/>
      </c>
      <c r="N159" s="136"/>
      <c r="Y159" s="218" t="str">
        <f>IF(O159&lt;&gt;"","A"&amp;MATCH(R159,CoinCollection!E:E,),"")</f>
        <v/>
      </c>
      <c r="AY159" s="136" t="str">
        <f>IF(AN159&lt;&gt;"","A"&amp;MATCH(AQ159,CoinCollection!E:E,),"")</f>
        <v/>
      </c>
      <c r="BA159">
        <v>1939</v>
      </c>
      <c r="BB159" s="218" t="str">
        <v>S</v>
      </c>
      <c r="BC159" t="str">
        <v>Penny</v>
      </c>
      <c r="BD159" t="str">
        <v>WHT1939CNT-AM</v>
      </c>
      <c r="BE159" t="str">
        <v>Wheat Penny</v>
      </c>
      <c r="BF159" t="str">
        <v>Extremely Fine</v>
      </c>
      <c r="BG159" s="225">
        <v>0.25</v>
      </c>
      <c r="BH159" s="225">
        <v>0.25</v>
      </c>
      <c r="BI159" s="136">
        <v>1</v>
      </c>
      <c r="BJ159" s="219">
        <v>0</v>
      </c>
      <c r="BK159" s="218">
        <v>0</v>
      </c>
      <c r="BL159" s="136" t="str">
        <f>IF(BA159&lt;&gt;"","A"&amp;MATCH(BD159,CoinCollection!E:E,),"")</f>
        <v>A194</v>
      </c>
    </row>
    <row r="160" spans="12:64">
      <c r="L160" s="219" t="str">
        <f>IF(A160&lt;&gt;"","A"&amp;MATCH(D160,CoinCollection!E:E,),"")</f>
        <v/>
      </c>
      <c r="N160" s="136"/>
      <c r="Y160" s="218" t="str">
        <f>IF(O160&lt;&gt;"","A"&amp;MATCH(R160,CoinCollection!E:E,),"")</f>
        <v/>
      </c>
      <c r="AY160" s="136" t="str">
        <f>IF(AN160&lt;&gt;"","A"&amp;MATCH(AQ160,CoinCollection!E:E,),"")</f>
        <v/>
      </c>
      <c r="BA160">
        <v>1940</v>
      </c>
      <c r="BB160" s="218">
        <v>0</v>
      </c>
      <c r="BC160" t="str">
        <v>Penny</v>
      </c>
      <c r="BD160" t="str">
        <v>WHT1940CNT-AA</v>
      </c>
      <c r="BE160" t="str">
        <v>Wheat Penny</v>
      </c>
      <c r="BF160" t="str">
        <v>Extremely Fine</v>
      </c>
      <c r="BG160" s="225">
        <v>0.01</v>
      </c>
      <c r="BH160" s="225">
        <v>0</v>
      </c>
      <c r="BI160" s="136">
        <v>1</v>
      </c>
      <c r="BJ160" s="219">
        <v>0</v>
      </c>
      <c r="BK160" s="218">
        <v>0</v>
      </c>
      <c r="BL160" s="136" t="str">
        <f>IF(BA160&lt;&gt;"","A"&amp;MATCH(BD160,CoinCollection!E:E,),"")</f>
        <v>A195</v>
      </c>
    </row>
    <row r="161" spans="12:64">
      <c r="L161" s="219" t="str">
        <f>IF(A161&lt;&gt;"","A"&amp;MATCH(D161,CoinCollection!E:E,),"")</f>
        <v/>
      </c>
      <c r="N161" s="136"/>
      <c r="Y161" s="218" t="str">
        <f>IF(O161&lt;&gt;"","A"&amp;MATCH(R161,CoinCollection!E:E,),"")</f>
        <v/>
      </c>
      <c r="AY161" s="136" t="str">
        <f>IF(AN161&lt;&gt;"","A"&amp;MATCH(AQ161,CoinCollection!E:E,),"")</f>
        <v/>
      </c>
      <c r="BA161">
        <v>1940</v>
      </c>
      <c r="BB161" s="218">
        <v>0</v>
      </c>
      <c r="BC161" t="str">
        <v>Penny</v>
      </c>
      <c r="BD161" t="str">
        <v>WHT1940CNT-AB</v>
      </c>
      <c r="BE161" t="str">
        <v>Wheat Penny</v>
      </c>
      <c r="BF161" t="str">
        <v>Extremely Fine</v>
      </c>
      <c r="BG161" s="225">
        <v>0.01</v>
      </c>
      <c r="BH161" s="225">
        <v>0</v>
      </c>
      <c r="BI161" s="136">
        <v>1</v>
      </c>
      <c r="BJ161" s="219">
        <v>0</v>
      </c>
      <c r="BK161" s="218">
        <v>0</v>
      </c>
      <c r="BL161" s="136" t="str">
        <f>IF(BA161&lt;&gt;"","A"&amp;MATCH(BD161,CoinCollection!E:E,),"")</f>
        <v>A196</v>
      </c>
    </row>
    <row r="162" spans="12:64">
      <c r="L162" s="219" t="str">
        <f>IF(A162&lt;&gt;"","A"&amp;MATCH(D162,CoinCollection!E:E,),"")</f>
        <v/>
      </c>
      <c r="N162" s="136"/>
      <c r="Y162" s="218" t="str">
        <f>IF(O162&lt;&gt;"","A"&amp;MATCH(R162,CoinCollection!E:E,),"")</f>
        <v/>
      </c>
      <c r="AY162" s="136" t="str">
        <f>IF(AN162&lt;&gt;"","A"&amp;MATCH(AQ162,CoinCollection!E:E,),"")</f>
        <v/>
      </c>
      <c r="BA162">
        <v>1940</v>
      </c>
      <c r="BB162" s="218">
        <v>0</v>
      </c>
      <c r="BC162" t="str">
        <v>Penny</v>
      </c>
      <c r="BD162" t="str">
        <v>WHT1940CNT-AC</v>
      </c>
      <c r="BE162" t="str">
        <v>Wheat Penny</v>
      </c>
      <c r="BF162" t="str">
        <v>Extremely Fine</v>
      </c>
      <c r="BG162" s="225">
        <v>0.01</v>
      </c>
      <c r="BH162" s="225">
        <v>0</v>
      </c>
      <c r="BI162" s="136">
        <v>1</v>
      </c>
      <c r="BJ162" s="219">
        <v>0</v>
      </c>
      <c r="BK162" s="218">
        <v>0</v>
      </c>
      <c r="BL162" s="136" t="str">
        <f>IF(BA162&lt;&gt;"","A"&amp;MATCH(BD162,CoinCollection!E:E,),"")</f>
        <v>A197</v>
      </c>
    </row>
    <row r="163" spans="12:64">
      <c r="L163" s="219" t="str">
        <f>IF(A163&lt;&gt;"","A"&amp;MATCH(D163,CoinCollection!E:E,),"")</f>
        <v/>
      </c>
      <c r="N163" s="136"/>
      <c r="Y163" s="218" t="str">
        <f>IF(O163&lt;&gt;"","A"&amp;MATCH(R163,CoinCollection!E:E,),"")</f>
        <v/>
      </c>
      <c r="AY163" s="136" t="str">
        <f>IF(AN163&lt;&gt;"","A"&amp;MATCH(AQ163,CoinCollection!E:E,),"")</f>
        <v/>
      </c>
      <c r="BA163">
        <v>1940</v>
      </c>
      <c r="BB163" s="218">
        <v>0</v>
      </c>
      <c r="BC163" t="str">
        <v>Penny</v>
      </c>
      <c r="BD163" t="str">
        <v>WHT1940CNT-AD</v>
      </c>
      <c r="BE163" t="str">
        <v>Wheat Penny</v>
      </c>
      <c r="BF163" t="str">
        <v>Extremely Fine</v>
      </c>
      <c r="BG163" s="225">
        <v>0.01</v>
      </c>
      <c r="BH163" s="225">
        <v>0</v>
      </c>
      <c r="BI163" s="136">
        <v>1</v>
      </c>
      <c r="BJ163" s="219">
        <v>0</v>
      </c>
      <c r="BK163" s="218">
        <v>0</v>
      </c>
      <c r="BL163" s="136" t="str">
        <f>IF(BA163&lt;&gt;"","A"&amp;MATCH(BD163,CoinCollection!E:E,),"")</f>
        <v>A198</v>
      </c>
    </row>
    <row r="164" spans="12:64">
      <c r="L164" s="219" t="str">
        <f>IF(A164&lt;&gt;"","A"&amp;MATCH(D164,CoinCollection!E:E,),"")</f>
        <v/>
      </c>
      <c r="N164" s="136"/>
      <c r="Y164" s="218" t="str">
        <f>IF(O164&lt;&gt;"","A"&amp;MATCH(R164,CoinCollection!E:E,),"")</f>
        <v/>
      </c>
      <c r="AY164" s="136" t="str">
        <f>IF(AN164&lt;&gt;"","A"&amp;MATCH(AQ164,CoinCollection!E:E,),"")</f>
        <v/>
      </c>
      <c r="BA164">
        <v>1940</v>
      </c>
      <c r="BB164" s="218">
        <v>0</v>
      </c>
      <c r="BC164" t="str">
        <v>Penny</v>
      </c>
      <c r="BD164" t="str">
        <v>WHT1940CNT-AE</v>
      </c>
      <c r="BE164" t="str">
        <v>Wheat Penny</v>
      </c>
      <c r="BF164" t="str">
        <v>Extremely Fine</v>
      </c>
      <c r="BG164" s="225">
        <v>0.01</v>
      </c>
      <c r="BH164" s="225">
        <v>0</v>
      </c>
      <c r="BI164" s="136">
        <v>1</v>
      </c>
      <c r="BJ164" s="219">
        <v>0</v>
      </c>
      <c r="BK164" s="218">
        <v>0</v>
      </c>
      <c r="BL164" s="136" t="str">
        <f>IF(BA164&lt;&gt;"","A"&amp;MATCH(BD164,CoinCollection!E:E,),"")</f>
        <v>A199</v>
      </c>
    </row>
    <row r="165" spans="12:64">
      <c r="L165" s="219" t="str">
        <f>IF(A165&lt;&gt;"","A"&amp;MATCH(D165,CoinCollection!E:E,),"")</f>
        <v/>
      </c>
      <c r="N165" s="136"/>
      <c r="Y165" s="218" t="str">
        <f>IF(O165&lt;&gt;"","A"&amp;MATCH(R165,CoinCollection!E:E,),"")</f>
        <v/>
      </c>
      <c r="AY165" s="136" t="str">
        <f>IF(AN165&lt;&gt;"","A"&amp;MATCH(AQ165,CoinCollection!E:E,),"")</f>
        <v/>
      </c>
      <c r="BA165">
        <v>1940</v>
      </c>
      <c r="BB165" s="218" t="str">
        <v>D</v>
      </c>
      <c r="BC165" t="str">
        <v>Penny</v>
      </c>
      <c r="BD165" t="str">
        <v>WHT1940CNT-AF</v>
      </c>
      <c r="BE165" t="str">
        <v>Wheat Penny</v>
      </c>
      <c r="BF165" t="str">
        <v>Extremely Fine</v>
      </c>
      <c r="BG165" s="225">
        <v>0.25</v>
      </c>
      <c r="BH165" s="225">
        <v>0.01</v>
      </c>
      <c r="BI165" s="136">
        <v>1</v>
      </c>
      <c r="BJ165" s="219">
        <v>0</v>
      </c>
      <c r="BK165" s="218">
        <v>0</v>
      </c>
      <c r="BL165" s="136" t="str">
        <f>IF(BA165&lt;&gt;"","A"&amp;MATCH(BD165,CoinCollection!E:E,),"")</f>
        <v>A200</v>
      </c>
    </row>
    <row r="166" spans="12:64">
      <c r="L166" s="219" t="str">
        <f>IF(A166&lt;&gt;"","A"&amp;MATCH(D166,CoinCollection!E:E,),"")</f>
        <v/>
      </c>
      <c r="N166" s="136"/>
      <c r="Y166" s="218" t="str">
        <f>IF(O166&lt;&gt;"","A"&amp;MATCH(R166,CoinCollection!E:E,),"")</f>
        <v/>
      </c>
      <c r="AY166" s="136" t="str">
        <f>IF(AN166&lt;&gt;"","A"&amp;MATCH(AQ166,CoinCollection!E:E,),"")</f>
        <v/>
      </c>
      <c r="BA166">
        <v>1940</v>
      </c>
      <c r="BB166" s="218" t="str">
        <v>S</v>
      </c>
      <c r="BC166" t="str">
        <v>Penny</v>
      </c>
      <c r="BD166" t="str">
        <v>WHT1940CNT-AG</v>
      </c>
      <c r="BE166" t="str">
        <v>Wheat Penny</v>
      </c>
      <c r="BF166" t="str">
        <v>Extremely Fine</v>
      </c>
      <c r="BG166" s="225">
        <v>0.01</v>
      </c>
      <c r="BH166" s="225">
        <v>0</v>
      </c>
      <c r="BI166" s="136">
        <v>1</v>
      </c>
      <c r="BJ166" s="219">
        <v>0</v>
      </c>
      <c r="BK166" s="218">
        <v>0</v>
      </c>
      <c r="BL166" s="136" t="str">
        <f>IF(BA166&lt;&gt;"","A"&amp;MATCH(BD166,CoinCollection!E:E,),"")</f>
        <v>A201</v>
      </c>
    </row>
    <row r="167" spans="12:64">
      <c r="L167" s="219" t="str">
        <f>IF(A167&lt;&gt;"","A"&amp;MATCH(D167,CoinCollection!E:E,),"")</f>
        <v/>
      </c>
      <c r="N167" s="136"/>
      <c r="Y167" s="218" t="str">
        <f>IF(O167&lt;&gt;"","A"&amp;MATCH(R167,CoinCollection!E:E,),"")</f>
        <v/>
      </c>
      <c r="AY167" s="136" t="str">
        <f>IF(AN167&lt;&gt;"","A"&amp;MATCH(AQ167,CoinCollection!E:E,),"")</f>
        <v/>
      </c>
      <c r="BA167">
        <v>1941</v>
      </c>
      <c r="BB167" s="218">
        <v>0</v>
      </c>
      <c r="BC167" t="str">
        <v>Penny</v>
      </c>
      <c r="BD167" t="str">
        <v>WHT1941CNT-AA</v>
      </c>
      <c r="BE167" t="str">
        <v>Wheat Penny</v>
      </c>
      <c r="BF167" t="str">
        <v>Extremely Fine</v>
      </c>
      <c r="BG167" s="225">
        <v>0.01</v>
      </c>
      <c r="BH167" s="225">
        <v>0</v>
      </c>
      <c r="BI167" s="136">
        <v>1</v>
      </c>
      <c r="BJ167" s="219">
        <v>0</v>
      </c>
      <c r="BK167" s="218">
        <v>0</v>
      </c>
      <c r="BL167" s="136" t="str">
        <f>IF(BA167&lt;&gt;"","A"&amp;MATCH(BD167,CoinCollection!E:E,),"")</f>
        <v>A202</v>
      </c>
    </row>
    <row r="168" spans="12:64">
      <c r="L168" s="219" t="str">
        <f>IF(A168&lt;&gt;"","A"&amp;MATCH(D168,CoinCollection!E:E,),"")</f>
        <v/>
      </c>
      <c r="N168" s="136"/>
      <c r="Y168" s="218" t="str">
        <f>IF(O168&lt;&gt;"","A"&amp;MATCH(R168,CoinCollection!E:E,),"")</f>
        <v/>
      </c>
      <c r="AY168" s="136" t="str">
        <f>IF(AN168&lt;&gt;"","A"&amp;MATCH(AQ168,CoinCollection!E:E,),"")</f>
        <v/>
      </c>
      <c r="BA168">
        <v>1941</v>
      </c>
      <c r="BB168" s="218">
        <v>0</v>
      </c>
      <c r="BC168" t="str">
        <v>Penny</v>
      </c>
      <c r="BD168" t="str">
        <v>WHT1941CNT-AB</v>
      </c>
      <c r="BE168" t="str">
        <v>Wheat Penny</v>
      </c>
      <c r="BF168" t="str">
        <v>Extremely Fine</v>
      </c>
      <c r="BG168" s="225">
        <v>0.01</v>
      </c>
      <c r="BH168" s="225">
        <v>0</v>
      </c>
      <c r="BI168" s="136">
        <v>1</v>
      </c>
      <c r="BJ168" s="219">
        <v>0</v>
      </c>
      <c r="BK168" s="218">
        <v>0</v>
      </c>
      <c r="BL168" s="136" t="str">
        <f>IF(BA168&lt;&gt;"","A"&amp;MATCH(BD168,CoinCollection!E:E,),"")</f>
        <v>A203</v>
      </c>
    </row>
    <row r="169" spans="12:64">
      <c r="L169" s="219" t="str">
        <f>IF(A169&lt;&gt;"","A"&amp;MATCH(D169,CoinCollection!E:E,),"")</f>
        <v/>
      </c>
      <c r="N169" s="136"/>
      <c r="Y169" s="218" t="str">
        <f>IF(O169&lt;&gt;"","A"&amp;MATCH(R169,CoinCollection!E:E,),"")</f>
        <v/>
      </c>
      <c r="AY169" s="136" t="str">
        <f>IF(AN169&lt;&gt;"","A"&amp;MATCH(AQ169,CoinCollection!E:E,),"")</f>
        <v/>
      </c>
      <c r="BA169">
        <v>1941</v>
      </c>
      <c r="BB169" s="218">
        <v>0</v>
      </c>
      <c r="BC169" t="str">
        <v>Penny</v>
      </c>
      <c r="BD169" t="str">
        <v>WHT1941CNT-AC</v>
      </c>
      <c r="BE169" t="str">
        <v>Wheat Penny</v>
      </c>
      <c r="BF169" t="str">
        <v>Extremely Fine</v>
      </c>
      <c r="BG169" s="225">
        <v>0.01</v>
      </c>
      <c r="BH169" s="225">
        <v>0</v>
      </c>
      <c r="BI169" s="136">
        <v>1</v>
      </c>
      <c r="BJ169" s="219">
        <v>0</v>
      </c>
      <c r="BK169" s="218">
        <v>0</v>
      </c>
      <c r="BL169" s="136" t="str">
        <f>IF(BA169&lt;&gt;"","A"&amp;MATCH(BD169,CoinCollection!E:E,),"")</f>
        <v>A204</v>
      </c>
    </row>
    <row r="170" spans="12:64">
      <c r="L170" s="219" t="str">
        <f>IF(A170&lt;&gt;"","A"&amp;MATCH(D170,CoinCollection!E:E,),"")</f>
        <v/>
      </c>
      <c r="N170" s="136"/>
      <c r="Y170" s="218" t="str">
        <f>IF(O170&lt;&gt;"","A"&amp;MATCH(R170,CoinCollection!E:E,),"")</f>
        <v/>
      </c>
      <c r="AY170" s="136" t="str">
        <f>IF(AN170&lt;&gt;"","A"&amp;MATCH(AQ170,CoinCollection!E:E,),"")</f>
        <v/>
      </c>
      <c r="BA170">
        <v>1941</v>
      </c>
      <c r="BB170" s="218">
        <v>0</v>
      </c>
      <c r="BC170" t="str">
        <v>Penny</v>
      </c>
      <c r="BD170" t="str">
        <v>WHT1941CNT-AD</v>
      </c>
      <c r="BE170" t="str">
        <v>Wheat Penny</v>
      </c>
      <c r="BF170" t="str">
        <v>Extremely Fine</v>
      </c>
      <c r="BG170" s="225">
        <v>0.01</v>
      </c>
      <c r="BH170" s="225">
        <v>0</v>
      </c>
      <c r="BI170" s="136">
        <v>1</v>
      </c>
      <c r="BJ170" s="219">
        <v>0</v>
      </c>
      <c r="BK170" s="218">
        <v>0</v>
      </c>
      <c r="BL170" s="136" t="str">
        <f>IF(BA170&lt;&gt;"","A"&amp;MATCH(BD170,CoinCollection!E:E,),"")</f>
        <v>A205</v>
      </c>
    </row>
    <row r="171" spans="12:64">
      <c r="L171" s="219" t="str">
        <f>IF(A171&lt;&gt;"","A"&amp;MATCH(D171,CoinCollection!E:E,),"")</f>
        <v/>
      </c>
      <c r="N171" s="136"/>
      <c r="Y171" s="218" t="str">
        <f>IF(O171&lt;&gt;"","A"&amp;MATCH(R171,CoinCollection!E:E,),"")</f>
        <v/>
      </c>
      <c r="AY171" s="136" t="str">
        <f>IF(AN171&lt;&gt;"","A"&amp;MATCH(AQ171,CoinCollection!E:E,),"")</f>
        <v/>
      </c>
      <c r="BA171">
        <v>1941</v>
      </c>
      <c r="BB171" s="218">
        <v>0</v>
      </c>
      <c r="BC171" t="str">
        <v>Penny</v>
      </c>
      <c r="BD171" t="str">
        <v>WHT1941CNT-AE</v>
      </c>
      <c r="BE171" t="str">
        <v>Wheat Penny</v>
      </c>
      <c r="BF171" t="str">
        <v>Extremely Fine</v>
      </c>
      <c r="BG171" s="225">
        <v>0.01</v>
      </c>
      <c r="BH171" s="225">
        <v>0</v>
      </c>
      <c r="BI171" s="136">
        <v>1</v>
      </c>
      <c r="BJ171" s="219">
        <v>0</v>
      </c>
      <c r="BK171" s="218">
        <v>0</v>
      </c>
      <c r="BL171" s="136" t="str">
        <f>IF(BA171&lt;&gt;"","A"&amp;MATCH(BD171,CoinCollection!E:E,),"")</f>
        <v>A206</v>
      </c>
    </row>
    <row r="172" spans="12:64">
      <c r="L172" s="219" t="str">
        <f>IF(A172&lt;&gt;"","A"&amp;MATCH(D172,CoinCollection!E:E,),"")</f>
        <v/>
      </c>
      <c r="N172" s="136"/>
      <c r="Y172" s="218" t="str">
        <f>IF(O172&lt;&gt;"","A"&amp;MATCH(R172,CoinCollection!E:E,),"")</f>
        <v/>
      </c>
      <c r="AY172" s="136" t="str">
        <f>IF(AN172&lt;&gt;"","A"&amp;MATCH(AQ172,CoinCollection!E:E,),"")</f>
        <v/>
      </c>
      <c r="BA172">
        <v>1941</v>
      </c>
      <c r="BB172" s="218">
        <v>0</v>
      </c>
      <c r="BC172" t="str">
        <v>Penny</v>
      </c>
      <c r="BD172" t="str">
        <v>WHT1941CNT-AF</v>
      </c>
      <c r="BE172" t="str">
        <v>Wheat Penny</v>
      </c>
      <c r="BF172" t="str">
        <v>Extremely Fine</v>
      </c>
      <c r="BG172" s="225">
        <v>0.01</v>
      </c>
      <c r="BH172" s="225">
        <v>0</v>
      </c>
      <c r="BI172" s="136">
        <v>1</v>
      </c>
      <c r="BJ172" s="219">
        <v>0</v>
      </c>
      <c r="BK172" s="218">
        <v>0</v>
      </c>
      <c r="BL172" s="136" t="str">
        <f>IF(BA172&lt;&gt;"","A"&amp;MATCH(BD172,CoinCollection!E:E,),"")</f>
        <v>A207</v>
      </c>
    </row>
    <row r="173" spans="12:64">
      <c r="L173" s="219" t="str">
        <f>IF(A173&lt;&gt;"","A"&amp;MATCH(D173,CoinCollection!E:E,),"")</f>
        <v/>
      </c>
      <c r="N173" s="136"/>
      <c r="Y173" s="218" t="str">
        <f>IF(O173&lt;&gt;"","A"&amp;MATCH(R173,CoinCollection!E:E,),"")</f>
        <v/>
      </c>
      <c r="AY173" s="136" t="str">
        <f>IF(AN173&lt;&gt;"","A"&amp;MATCH(AQ173,CoinCollection!E:E,),"")</f>
        <v/>
      </c>
      <c r="BA173">
        <v>1941</v>
      </c>
      <c r="BB173" s="218">
        <v>0</v>
      </c>
      <c r="BC173" t="str">
        <v>Penny</v>
      </c>
      <c r="BD173" t="str">
        <v>WHT1941CNT-AG</v>
      </c>
      <c r="BE173" t="str">
        <v>Wheat Penny</v>
      </c>
      <c r="BF173" t="str">
        <v>Extremely Fine</v>
      </c>
      <c r="BG173" s="225">
        <v>0.01</v>
      </c>
      <c r="BH173" s="225">
        <v>0</v>
      </c>
      <c r="BI173" s="136">
        <v>1</v>
      </c>
      <c r="BJ173" s="219">
        <v>0</v>
      </c>
      <c r="BK173" s="218">
        <v>0</v>
      </c>
      <c r="BL173" s="136" t="str">
        <f>IF(BA173&lt;&gt;"","A"&amp;MATCH(BD173,CoinCollection!E:E,),"")</f>
        <v>A208</v>
      </c>
    </row>
    <row r="174" spans="12:64">
      <c r="N174" s="136"/>
      <c r="Y174" s="218" t="str">
        <f>IF(O174&lt;&gt;"","A"&amp;MATCH(R174,CoinCollection!E:E,),"")</f>
        <v/>
      </c>
      <c r="AY174" s="136" t="str">
        <f>IF(AN174&lt;&gt;"","A"&amp;MATCH(AQ174,CoinCollection!E:E,),"")</f>
        <v/>
      </c>
      <c r="BA174">
        <v>1941</v>
      </c>
      <c r="BB174" s="218">
        <v>0</v>
      </c>
      <c r="BC174" t="str">
        <v>Penny</v>
      </c>
      <c r="BD174" t="str">
        <v>WHT1941CNT-AH</v>
      </c>
      <c r="BE174" t="str">
        <v>Wheat Penny</v>
      </c>
      <c r="BF174" t="str">
        <v>Extremely Fine</v>
      </c>
      <c r="BG174" s="225">
        <v>0.01</v>
      </c>
      <c r="BH174" s="225">
        <v>0</v>
      </c>
      <c r="BI174" s="136">
        <v>1</v>
      </c>
      <c r="BJ174" s="219">
        <v>0</v>
      </c>
      <c r="BK174" s="218">
        <v>0</v>
      </c>
      <c r="BL174" s="136" t="str">
        <f>IF(BA174&lt;&gt;"","A"&amp;MATCH(BD174,CoinCollection!E:E,),"")</f>
        <v>A209</v>
      </c>
    </row>
    <row r="175" spans="12:64">
      <c r="N175" s="136"/>
      <c r="Y175" s="218" t="str">
        <f>IF(O175&lt;&gt;"","A"&amp;MATCH(R175,CoinCollection!E:E,),"")</f>
        <v/>
      </c>
      <c r="AY175" s="136" t="str">
        <f>IF(AN175&lt;&gt;"","A"&amp;MATCH(AQ175,CoinCollection!E:E,),"")</f>
        <v/>
      </c>
      <c r="BA175">
        <v>1941</v>
      </c>
      <c r="BB175" s="218">
        <v>0</v>
      </c>
      <c r="BC175" t="str">
        <v>Penny</v>
      </c>
      <c r="BD175" t="str">
        <v>WHT1941CNT-AI</v>
      </c>
      <c r="BE175" t="str">
        <v>Wheat Penny</v>
      </c>
      <c r="BF175" t="str">
        <v>Extremely Fine</v>
      </c>
      <c r="BG175" s="225">
        <v>0.01</v>
      </c>
      <c r="BH175" s="225">
        <v>0</v>
      </c>
      <c r="BI175" s="136">
        <v>1</v>
      </c>
      <c r="BJ175" s="219">
        <v>0</v>
      </c>
      <c r="BK175" s="218">
        <v>0</v>
      </c>
      <c r="BL175" s="136" t="str">
        <f>IF(BA175&lt;&gt;"","A"&amp;MATCH(BD175,CoinCollection!E:E,),"")</f>
        <v>A210</v>
      </c>
    </row>
    <row r="176" spans="12:64">
      <c r="N176" s="136"/>
      <c r="Y176" s="218" t="str">
        <f>IF(O176&lt;&gt;"","A"&amp;MATCH(R176,CoinCollection!E:E,),"")</f>
        <v/>
      </c>
      <c r="AY176" s="136" t="str">
        <f>IF(AN176&lt;&gt;"","A"&amp;MATCH(AQ176,CoinCollection!E:E,),"")</f>
        <v/>
      </c>
      <c r="BA176">
        <v>1941</v>
      </c>
      <c r="BB176" s="218">
        <v>0</v>
      </c>
      <c r="BC176" t="str">
        <v>Penny</v>
      </c>
      <c r="BD176" t="str">
        <v>WHT1941CNT-AJ</v>
      </c>
      <c r="BE176" t="str">
        <v>Wheat Penny</v>
      </c>
      <c r="BF176" t="str">
        <v>Extremely Fine</v>
      </c>
      <c r="BG176" s="225">
        <v>0.01</v>
      </c>
      <c r="BH176" s="225">
        <v>0</v>
      </c>
      <c r="BI176" s="136">
        <v>1</v>
      </c>
      <c r="BJ176" s="219">
        <v>0</v>
      </c>
      <c r="BK176" s="218">
        <v>0</v>
      </c>
      <c r="BL176" s="136" t="str">
        <f>IF(BA176&lt;&gt;"","A"&amp;MATCH(BD176,CoinCollection!E:E,),"")</f>
        <v>A211</v>
      </c>
    </row>
    <row r="177" spans="14:64">
      <c r="N177" s="136"/>
      <c r="Y177" s="218" t="str">
        <f>IF(O177&lt;&gt;"","A"&amp;MATCH(R177,CoinCollection!E:E,),"")</f>
        <v/>
      </c>
      <c r="AY177" s="136" t="str">
        <f>IF(AN177&lt;&gt;"","A"&amp;MATCH(AQ177,CoinCollection!E:E,),"")</f>
        <v/>
      </c>
      <c r="BA177">
        <v>1941</v>
      </c>
      <c r="BB177" s="218">
        <v>0</v>
      </c>
      <c r="BC177" t="str">
        <v>Penny</v>
      </c>
      <c r="BD177" t="str">
        <v>WHT1941CNT-AK</v>
      </c>
      <c r="BE177" t="str">
        <v>Wheat Penny</v>
      </c>
      <c r="BF177" t="str">
        <v>Extremely Fine</v>
      </c>
      <c r="BG177" s="225">
        <v>0.01</v>
      </c>
      <c r="BH177" s="225">
        <v>0.09</v>
      </c>
      <c r="BI177" s="136">
        <v>1</v>
      </c>
      <c r="BJ177" s="219">
        <v>0</v>
      </c>
      <c r="BK177" s="218">
        <v>0</v>
      </c>
      <c r="BL177" s="136" t="str">
        <f>IF(BA177&lt;&gt;"","A"&amp;MATCH(BD177,CoinCollection!E:E,),"")</f>
        <v>A212</v>
      </c>
    </row>
    <row r="178" spans="14:64">
      <c r="N178" s="136"/>
      <c r="Y178" s="218" t="str">
        <f>IF(O178&lt;&gt;"","A"&amp;MATCH(R178,CoinCollection!E:E,),"")</f>
        <v/>
      </c>
      <c r="AY178" s="136" t="str">
        <f>IF(AN178&lt;&gt;"","A"&amp;MATCH(AQ178,CoinCollection!E:E,),"")</f>
        <v/>
      </c>
      <c r="BA178">
        <v>1941</v>
      </c>
      <c r="BB178" s="218">
        <v>0</v>
      </c>
      <c r="BC178" t="str">
        <v>Penny</v>
      </c>
      <c r="BD178" t="str">
        <v>WHT1941CNT-AL</v>
      </c>
      <c r="BE178" t="str">
        <v>Wheat Penny</v>
      </c>
      <c r="BF178" t="str">
        <v>Extremely Fine</v>
      </c>
      <c r="BG178" s="225">
        <v>0.01</v>
      </c>
      <c r="BH178" s="225">
        <v>0</v>
      </c>
      <c r="BI178" s="136">
        <v>1</v>
      </c>
      <c r="BJ178" s="219">
        <v>0</v>
      </c>
      <c r="BK178" s="218">
        <v>0</v>
      </c>
      <c r="BL178" s="136" t="str">
        <f>IF(BA178&lt;&gt;"","A"&amp;MATCH(BD178,CoinCollection!E:E,),"")</f>
        <v>A213</v>
      </c>
    </row>
    <row r="179" spans="14:64">
      <c r="N179" s="136"/>
      <c r="Y179" s="218" t="str">
        <f>IF(O179&lt;&gt;"","A"&amp;MATCH(R179,CoinCollection!E:E,),"")</f>
        <v/>
      </c>
      <c r="AY179" s="136" t="str">
        <f>IF(AN179&lt;&gt;"","A"&amp;MATCH(AQ179,CoinCollection!E:E,),"")</f>
        <v/>
      </c>
      <c r="BA179">
        <v>1941</v>
      </c>
      <c r="BB179" s="218">
        <v>0</v>
      </c>
      <c r="BC179" t="str">
        <v>Penny</v>
      </c>
      <c r="BD179" t="str">
        <v>WHT1941CNT-AM</v>
      </c>
      <c r="BE179" t="str">
        <v>Wheat Penny</v>
      </c>
      <c r="BF179" t="str">
        <v>Extremely Fine</v>
      </c>
      <c r="BG179" s="225">
        <v>0.01</v>
      </c>
      <c r="BH179" s="225">
        <v>0</v>
      </c>
      <c r="BI179" s="136">
        <v>1</v>
      </c>
      <c r="BJ179" s="219">
        <v>0</v>
      </c>
      <c r="BK179" s="218">
        <v>0</v>
      </c>
      <c r="BL179" s="136" t="str">
        <f>IF(BA179&lt;&gt;"","A"&amp;MATCH(BD179,CoinCollection!E:E,),"")</f>
        <v>A214</v>
      </c>
    </row>
    <row r="180" spans="14:64">
      <c r="N180" s="136"/>
      <c r="Y180" s="218" t="str">
        <f>IF(O180&lt;&gt;"","A"&amp;MATCH(R180,CoinCollection!E:E,),"")</f>
        <v/>
      </c>
      <c r="AY180" s="136" t="str">
        <f>IF(AN180&lt;&gt;"","A"&amp;MATCH(AQ180,CoinCollection!E:E,),"")</f>
        <v/>
      </c>
      <c r="BA180">
        <v>1941</v>
      </c>
      <c r="BB180" s="218" t="str">
        <v>S</v>
      </c>
      <c r="BC180" t="str">
        <v>Penny</v>
      </c>
      <c r="BD180" t="str">
        <v>WHT1941CNT-AN</v>
      </c>
      <c r="BE180" t="str">
        <v>Wheat Penny</v>
      </c>
      <c r="BF180" t="str">
        <v>Extremely Fine</v>
      </c>
      <c r="BG180" s="225">
        <v>0.01</v>
      </c>
      <c r="BH180" s="225">
        <v>0</v>
      </c>
      <c r="BI180" s="136">
        <v>1</v>
      </c>
      <c r="BJ180" s="219">
        <v>0</v>
      </c>
      <c r="BK180" s="218">
        <v>0</v>
      </c>
      <c r="BL180" s="136" t="str">
        <f>IF(BA180&lt;&gt;"","A"&amp;MATCH(BD180,CoinCollection!E:E,),"")</f>
        <v>A215</v>
      </c>
    </row>
    <row r="181" spans="14:64">
      <c r="N181" s="136"/>
      <c r="Y181" s="218" t="str">
        <f>IF(O181&lt;&gt;"","A"&amp;MATCH(R181,CoinCollection!E:E,),"")</f>
        <v/>
      </c>
      <c r="AY181" s="136" t="str">
        <f>IF(AN181&lt;&gt;"","A"&amp;MATCH(AQ181,CoinCollection!E:E,),"")</f>
        <v/>
      </c>
      <c r="BA181">
        <v>1941</v>
      </c>
      <c r="BB181" s="218">
        <v>0</v>
      </c>
      <c r="BC181" t="str">
        <v>Penny</v>
      </c>
      <c r="BD181" t="str">
        <v>WHT1941CNT-AP</v>
      </c>
      <c r="BE181" t="str">
        <v>Wheat Penny</v>
      </c>
      <c r="BF181" t="str">
        <v>Extremely Fine</v>
      </c>
      <c r="BG181" s="225">
        <v>0.01</v>
      </c>
      <c r="BH181" s="225">
        <v>0</v>
      </c>
      <c r="BI181" s="136">
        <v>1</v>
      </c>
      <c r="BJ181" s="219">
        <v>0</v>
      </c>
      <c r="BK181" s="218">
        <v>0</v>
      </c>
      <c r="BL181" s="136" t="str">
        <f>IF(BA181&lt;&gt;"","A"&amp;MATCH(BD181,CoinCollection!E:E,),"")</f>
        <v>A216</v>
      </c>
    </row>
    <row r="182" spans="14:64">
      <c r="N182" s="136"/>
      <c r="Y182" s="218" t="str">
        <f>IF(O182&lt;&gt;"","A"&amp;MATCH(R182,CoinCollection!E:E,),"")</f>
        <v/>
      </c>
      <c r="AY182" s="136" t="str">
        <f>IF(AN182&lt;&gt;"","A"&amp;MATCH(AQ182,CoinCollection!E:E,),"")</f>
        <v/>
      </c>
      <c r="BA182">
        <v>1941</v>
      </c>
      <c r="BB182" s="218">
        <v>0</v>
      </c>
      <c r="BC182" t="str">
        <v>Penny</v>
      </c>
      <c r="BD182" t="str">
        <v>WHT1941CNT-AQ</v>
      </c>
      <c r="BE182" t="str">
        <v>Wheat Penny</v>
      </c>
      <c r="BF182" t="str">
        <v>Extremely Fine</v>
      </c>
      <c r="BG182" s="225">
        <v>0.01</v>
      </c>
      <c r="BH182" s="225">
        <v>0</v>
      </c>
      <c r="BI182" s="136">
        <v>1</v>
      </c>
      <c r="BJ182" s="219">
        <v>0</v>
      </c>
      <c r="BK182" s="218">
        <v>0</v>
      </c>
      <c r="BL182" s="136" t="str">
        <f>IF(BA182&lt;&gt;"","A"&amp;MATCH(BD182,CoinCollection!E:E,),"")</f>
        <v>A217</v>
      </c>
    </row>
    <row r="183" spans="14:64">
      <c r="N183" s="136"/>
      <c r="Y183" s="218" t="str">
        <f>IF(O183&lt;&gt;"","A"&amp;MATCH(R183,CoinCollection!E:E,),"")</f>
        <v/>
      </c>
      <c r="AY183" s="136" t="str">
        <f>IF(AN183&lt;&gt;"","A"&amp;MATCH(AQ183,CoinCollection!E:E,),"")</f>
        <v/>
      </c>
      <c r="BA183">
        <v>1941</v>
      </c>
      <c r="BB183" s="218">
        <v>0</v>
      </c>
      <c r="BC183" t="str">
        <v>Penny</v>
      </c>
      <c r="BD183" t="str">
        <v>WHT1941CNT-AR</v>
      </c>
      <c r="BE183" t="str">
        <v>Wheat Penny</v>
      </c>
      <c r="BF183" t="str">
        <v>Extremely Fine</v>
      </c>
      <c r="BG183" s="225">
        <v>0.01</v>
      </c>
      <c r="BH183" s="225">
        <v>0</v>
      </c>
      <c r="BI183" s="136">
        <v>1</v>
      </c>
      <c r="BJ183" s="219">
        <v>0</v>
      </c>
      <c r="BK183" s="218">
        <v>0</v>
      </c>
      <c r="BL183" s="136" t="str">
        <f>IF(BA183&lt;&gt;"","A"&amp;MATCH(BD183,CoinCollection!E:E,),"")</f>
        <v>A218</v>
      </c>
    </row>
    <row r="184" spans="14:64">
      <c r="N184" s="136"/>
      <c r="Y184" s="218" t="str">
        <f>IF(O184&lt;&gt;"","A"&amp;MATCH(R184,CoinCollection!E:E,),"")</f>
        <v/>
      </c>
      <c r="AY184" s="136" t="str">
        <f>IF(AN184&lt;&gt;"","A"&amp;MATCH(AQ184,CoinCollection!E:E,),"")</f>
        <v/>
      </c>
      <c r="BA184">
        <v>1941</v>
      </c>
      <c r="BB184" s="218">
        <v>0</v>
      </c>
      <c r="BC184" t="str">
        <v>Penny</v>
      </c>
      <c r="BD184" t="str">
        <v>WHT1941CNT-AS</v>
      </c>
      <c r="BE184" t="str">
        <v>Wheat Penny</v>
      </c>
      <c r="BF184" t="str">
        <v>Extremely Fine</v>
      </c>
      <c r="BG184" s="225">
        <v>0.01</v>
      </c>
      <c r="BH184" s="225">
        <v>0</v>
      </c>
      <c r="BI184" s="136">
        <v>1</v>
      </c>
      <c r="BJ184" s="219">
        <v>0</v>
      </c>
      <c r="BK184" s="218">
        <v>0</v>
      </c>
      <c r="BL184" s="136" t="str">
        <f>IF(BA184&lt;&gt;"","A"&amp;MATCH(BD184,CoinCollection!E:E,),"")</f>
        <v>A219</v>
      </c>
    </row>
    <row r="185" spans="14:64">
      <c r="N185" s="136"/>
      <c r="Y185" s="218" t="str">
        <f>IF(O185&lt;&gt;"","A"&amp;MATCH(R185,CoinCollection!E:E,),"")</f>
        <v/>
      </c>
      <c r="AY185" s="136" t="str">
        <f>IF(AN185&lt;&gt;"","A"&amp;MATCH(AQ185,CoinCollection!E:E,),"")</f>
        <v/>
      </c>
      <c r="BA185">
        <v>1941</v>
      </c>
      <c r="BB185" s="218">
        <v>0</v>
      </c>
      <c r="BC185" t="str">
        <v>Penny</v>
      </c>
      <c r="BD185" t="str">
        <v>WHT1941CNT-AT</v>
      </c>
      <c r="BE185" t="str">
        <v>Wheat Penny</v>
      </c>
      <c r="BF185" t="str">
        <v>Extremely Fine</v>
      </c>
      <c r="BG185" s="225">
        <v>0.01</v>
      </c>
      <c r="BH185" s="225">
        <v>0</v>
      </c>
      <c r="BI185" s="136">
        <v>1</v>
      </c>
      <c r="BJ185" s="219">
        <v>0</v>
      </c>
      <c r="BK185" s="218">
        <v>0</v>
      </c>
      <c r="BL185" s="136" t="str">
        <f>IF(BA185&lt;&gt;"","A"&amp;MATCH(BD185,CoinCollection!E:E,),"")</f>
        <v>A220</v>
      </c>
    </row>
    <row r="186" spans="14:64">
      <c r="N186" s="136"/>
      <c r="Y186" s="218" t="str">
        <f>IF(O186&lt;&gt;"","A"&amp;MATCH(R186,CoinCollection!E:E,),"")</f>
        <v/>
      </c>
      <c r="AY186" s="136" t="str">
        <f>IF(AN186&lt;&gt;"","A"&amp;MATCH(AQ186,CoinCollection!E:E,),"")</f>
        <v/>
      </c>
      <c r="BA186">
        <v>1941</v>
      </c>
      <c r="BB186" s="218" t="str">
        <v>D</v>
      </c>
      <c r="BC186" t="str">
        <v>Penny</v>
      </c>
      <c r="BD186" t="str">
        <v>WHT1941CNT-AU</v>
      </c>
      <c r="BE186" t="str">
        <v>Wheat Penny</v>
      </c>
      <c r="BF186" t="str">
        <v>Extremely Fine</v>
      </c>
      <c r="BG186" s="225">
        <v>0.3</v>
      </c>
      <c r="BH186" s="225">
        <v>0.01</v>
      </c>
      <c r="BI186" s="136">
        <v>1</v>
      </c>
      <c r="BJ186" s="219">
        <v>0</v>
      </c>
      <c r="BK186" s="218">
        <v>0</v>
      </c>
      <c r="BL186" s="136" t="str">
        <f>IF(BA186&lt;&gt;"","A"&amp;MATCH(BD186,CoinCollection!E:E,),"")</f>
        <v>A221</v>
      </c>
    </row>
    <row r="187" spans="14:64">
      <c r="N187" s="136"/>
      <c r="Y187" s="218" t="str">
        <f>IF(O187&lt;&gt;"","A"&amp;MATCH(R187,CoinCollection!E:E,),"")</f>
        <v/>
      </c>
      <c r="AY187" s="136" t="str">
        <f>IF(AN187&lt;&gt;"","A"&amp;MATCH(AQ187,CoinCollection!E:E,),"")</f>
        <v/>
      </c>
      <c r="BA187">
        <v>1942</v>
      </c>
      <c r="BB187" s="218">
        <v>0</v>
      </c>
      <c r="BC187" t="str">
        <v>Penny</v>
      </c>
      <c r="BD187" t="str">
        <v>WHT1942CNT-AA</v>
      </c>
      <c r="BE187" t="str">
        <v>Wheat Penny</v>
      </c>
      <c r="BF187" t="str">
        <v>Extremely Fine</v>
      </c>
      <c r="BG187" s="225">
        <v>0.01</v>
      </c>
      <c r="BH187" s="225">
        <v>0</v>
      </c>
      <c r="BI187" s="136">
        <v>1</v>
      </c>
      <c r="BJ187" s="219">
        <v>0</v>
      </c>
      <c r="BK187" s="218">
        <v>0</v>
      </c>
      <c r="BL187" s="136" t="str">
        <f>IF(BA187&lt;&gt;"","A"&amp;MATCH(BD187,CoinCollection!E:E,),"")</f>
        <v>A222</v>
      </c>
    </row>
    <row r="188" spans="14:64">
      <c r="N188" s="136"/>
      <c r="Y188" s="218" t="str">
        <f>IF(O188&lt;&gt;"","A"&amp;MATCH(R188,CoinCollection!E:E,),"")</f>
        <v/>
      </c>
      <c r="AY188" s="136" t="str">
        <f>IF(AN188&lt;&gt;"","A"&amp;MATCH(AQ188,CoinCollection!E:E,),"")</f>
        <v/>
      </c>
      <c r="BA188">
        <v>1942</v>
      </c>
      <c r="BB188" s="218">
        <v>0</v>
      </c>
      <c r="BC188" t="str">
        <v>Penny</v>
      </c>
      <c r="BD188" t="str">
        <v>WHT1942CNT-AB</v>
      </c>
      <c r="BE188" t="str">
        <v>Wheat Penny</v>
      </c>
      <c r="BF188" t="str">
        <v>Extremely Fine</v>
      </c>
      <c r="BG188" s="225">
        <v>0.01</v>
      </c>
      <c r="BH188" s="225">
        <v>0</v>
      </c>
      <c r="BI188" s="136">
        <v>1</v>
      </c>
      <c r="BJ188" s="219">
        <v>0</v>
      </c>
      <c r="BK188" s="218">
        <v>0</v>
      </c>
      <c r="BL188" s="136" t="str">
        <f>IF(BA188&lt;&gt;"","A"&amp;MATCH(BD188,CoinCollection!E:E,),"")</f>
        <v>A223</v>
      </c>
    </row>
    <row r="189" spans="14:64">
      <c r="N189" s="136"/>
      <c r="Y189" s="218" t="str">
        <f>IF(O189&lt;&gt;"","A"&amp;MATCH(R189,CoinCollection!E:E,),"")</f>
        <v/>
      </c>
      <c r="AY189" s="136" t="str">
        <f>IF(AN189&lt;&gt;"","A"&amp;MATCH(AQ189,CoinCollection!E:E,),"")</f>
        <v/>
      </c>
      <c r="BA189">
        <v>1942</v>
      </c>
      <c r="BB189" s="218">
        <v>0</v>
      </c>
      <c r="BC189" t="str">
        <v>Penny</v>
      </c>
      <c r="BD189" t="str">
        <v>WHT1942CNT-AC</v>
      </c>
      <c r="BE189" t="str">
        <v>Wheat Penny</v>
      </c>
      <c r="BF189" t="str">
        <v>Extremely Fine</v>
      </c>
      <c r="BG189" s="225">
        <v>0.01</v>
      </c>
      <c r="BH189" s="225">
        <v>0</v>
      </c>
      <c r="BI189" s="136">
        <v>1</v>
      </c>
      <c r="BJ189" s="219">
        <v>0</v>
      </c>
      <c r="BK189" s="218">
        <v>0</v>
      </c>
      <c r="BL189" s="136" t="str">
        <f>IF(BA189&lt;&gt;"","A"&amp;MATCH(BD189,CoinCollection!E:E,),"")</f>
        <v>A224</v>
      </c>
    </row>
    <row r="190" spans="14:64">
      <c r="N190" s="136"/>
      <c r="Y190" s="218" t="str">
        <f>IF(O190&lt;&gt;"","A"&amp;MATCH(R190,CoinCollection!E:E,),"")</f>
        <v/>
      </c>
      <c r="AY190" s="136" t="str">
        <f>IF(AN190&lt;&gt;"","A"&amp;MATCH(AQ190,CoinCollection!E:E,),"")</f>
        <v/>
      </c>
      <c r="BA190">
        <v>1942</v>
      </c>
      <c r="BB190" s="218">
        <v>0</v>
      </c>
      <c r="BC190" t="str">
        <v>Penny</v>
      </c>
      <c r="BD190" t="str">
        <v>WHT1942CNT-AD</v>
      </c>
      <c r="BE190" t="str">
        <v>Wheat Penny</v>
      </c>
      <c r="BF190" t="str">
        <v>Extremely Fine</v>
      </c>
      <c r="BG190" s="225">
        <v>0.01</v>
      </c>
      <c r="BH190" s="225">
        <v>0</v>
      </c>
      <c r="BI190" s="136">
        <v>1</v>
      </c>
      <c r="BJ190" s="219">
        <v>0</v>
      </c>
      <c r="BK190" s="218">
        <v>0</v>
      </c>
      <c r="BL190" s="136" t="str">
        <f>IF(BA190&lt;&gt;"","A"&amp;MATCH(BD190,CoinCollection!E:E,),"")</f>
        <v>A225</v>
      </c>
    </row>
    <row r="191" spans="14:64">
      <c r="N191" s="136"/>
      <c r="Y191" s="218" t="str">
        <f>IF(O191&lt;&gt;"","A"&amp;MATCH(R191,CoinCollection!E:E,),"")</f>
        <v/>
      </c>
      <c r="AY191" s="136" t="str">
        <f>IF(AN191&lt;&gt;"","A"&amp;MATCH(AQ191,CoinCollection!E:E,),"")</f>
        <v/>
      </c>
      <c r="BA191">
        <v>1942</v>
      </c>
      <c r="BB191" s="218">
        <v>0</v>
      </c>
      <c r="BC191" t="str">
        <v>Penny</v>
      </c>
      <c r="BD191" t="str">
        <v>WHT1942CNT-AE</v>
      </c>
      <c r="BE191" t="str">
        <v>Wheat Penny</v>
      </c>
      <c r="BF191" t="str">
        <v>Extremely Fine</v>
      </c>
      <c r="BG191" s="225">
        <v>0.01</v>
      </c>
      <c r="BH191" s="225">
        <v>0</v>
      </c>
      <c r="BI191" s="136">
        <v>1</v>
      </c>
      <c r="BJ191" s="219">
        <v>0</v>
      </c>
      <c r="BK191" s="218">
        <v>0</v>
      </c>
      <c r="BL191" s="136" t="str">
        <f>IF(BA191&lt;&gt;"","A"&amp;MATCH(BD191,CoinCollection!E:E,),"")</f>
        <v>A226</v>
      </c>
    </row>
    <row r="192" spans="14:64">
      <c r="N192" s="136"/>
      <c r="Y192" s="218" t="str">
        <f>IF(O192&lt;&gt;"","A"&amp;MATCH(R192,CoinCollection!E:E,),"")</f>
        <v/>
      </c>
      <c r="AY192" s="136" t="str">
        <f>IF(AN192&lt;&gt;"","A"&amp;MATCH(AQ192,CoinCollection!E:E,),"")</f>
        <v/>
      </c>
      <c r="BA192">
        <v>1942</v>
      </c>
      <c r="BB192" s="218">
        <v>0</v>
      </c>
      <c r="BC192" t="str">
        <v>Penny</v>
      </c>
      <c r="BD192" t="str">
        <v>WHT1942CNT-AF</v>
      </c>
      <c r="BE192" t="str">
        <v>Wheat Penny</v>
      </c>
      <c r="BF192" t="str">
        <v>Extremely Fine</v>
      </c>
      <c r="BG192" s="225">
        <v>0.01</v>
      </c>
      <c r="BH192" s="225">
        <v>0</v>
      </c>
      <c r="BI192" s="136">
        <v>1</v>
      </c>
      <c r="BJ192" s="219">
        <v>0</v>
      </c>
      <c r="BK192" s="218">
        <v>0</v>
      </c>
      <c r="BL192" s="136" t="str">
        <f>IF(BA192&lt;&gt;"","A"&amp;MATCH(BD192,CoinCollection!E:E,),"")</f>
        <v>A227</v>
      </c>
    </row>
    <row r="193" spans="14:64">
      <c r="N193" s="136"/>
      <c r="Y193" s="218" t="str">
        <f>IF(O193&lt;&gt;"","A"&amp;MATCH(R193,CoinCollection!E:E,),"")</f>
        <v/>
      </c>
      <c r="AY193" s="136" t="str">
        <f>IF(AN193&lt;&gt;"","A"&amp;MATCH(AQ193,CoinCollection!E:E,),"")</f>
        <v/>
      </c>
      <c r="BA193">
        <v>1942</v>
      </c>
      <c r="BB193" s="218">
        <v>0</v>
      </c>
      <c r="BC193" t="str">
        <v>Penny</v>
      </c>
      <c r="BD193" t="str">
        <v>WHT1942CNT-AG</v>
      </c>
      <c r="BE193" t="str">
        <v>Wheat Penny</v>
      </c>
      <c r="BF193" t="str">
        <v>Extremely Fine</v>
      </c>
      <c r="BG193" s="225">
        <v>0.01</v>
      </c>
      <c r="BH193" s="225">
        <v>0</v>
      </c>
      <c r="BI193" s="136">
        <v>1</v>
      </c>
      <c r="BJ193" s="219">
        <v>0</v>
      </c>
      <c r="BK193" s="218">
        <v>0</v>
      </c>
      <c r="BL193" s="136" t="str">
        <f>IF(BA193&lt;&gt;"","A"&amp;MATCH(BD193,CoinCollection!E:E,),"")</f>
        <v>A228</v>
      </c>
    </row>
    <row r="194" spans="14:64">
      <c r="N194" s="136"/>
      <c r="Y194" s="218" t="str">
        <f>IF(O194&lt;&gt;"","A"&amp;MATCH(R194,CoinCollection!E:E,),"")</f>
        <v/>
      </c>
      <c r="AY194" s="136" t="str">
        <f>IF(AN194&lt;&gt;"","A"&amp;MATCH(AQ194,CoinCollection!E:E,),"")</f>
        <v/>
      </c>
      <c r="BA194">
        <v>1942</v>
      </c>
      <c r="BB194" s="218">
        <v>0</v>
      </c>
      <c r="BC194" t="str">
        <v>Penny</v>
      </c>
      <c r="BD194" t="str">
        <v>WHT1942CNT-AH</v>
      </c>
      <c r="BE194" t="str">
        <v>Wheat Penny</v>
      </c>
      <c r="BF194" t="str">
        <v>Extremely Fine</v>
      </c>
      <c r="BG194" s="225">
        <v>0.01</v>
      </c>
      <c r="BH194" s="225">
        <v>0</v>
      </c>
      <c r="BI194" s="136">
        <v>1</v>
      </c>
      <c r="BJ194" s="219">
        <v>0</v>
      </c>
      <c r="BK194" s="218">
        <v>0</v>
      </c>
      <c r="BL194" s="136" t="str">
        <f>IF(BA194&lt;&gt;"","A"&amp;MATCH(BD194,CoinCollection!E:E,),"")</f>
        <v>A229</v>
      </c>
    </row>
    <row r="195" spans="14:64">
      <c r="N195" s="136"/>
      <c r="Y195" s="218" t="str">
        <f>IF(O195&lt;&gt;"","A"&amp;MATCH(R195,CoinCollection!E:E,),"")</f>
        <v/>
      </c>
      <c r="AY195" s="136" t="str">
        <f>IF(AN195&lt;&gt;"","A"&amp;MATCH(AQ195,CoinCollection!E:E,),"")</f>
        <v/>
      </c>
      <c r="BA195">
        <v>1942</v>
      </c>
      <c r="BB195" s="218" t="str">
        <v>S</v>
      </c>
      <c r="BC195" t="str">
        <v>Penny</v>
      </c>
      <c r="BD195" t="str">
        <v>WHT1942CNT-AI</v>
      </c>
      <c r="BE195" t="str">
        <v>Wheat Penny</v>
      </c>
      <c r="BF195" t="str">
        <v>Extremely Fine</v>
      </c>
      <c r="BG195" s="225">
        <v>0.01</v>
      </c>
      <c r="BH195" s="225">
        <v>0</v>
      </c>
      <c r="BI195" s="136">
        <v>1</v>
      </c>
      <c r="BJ195" s="219">
        <v>0</v>
      </c>
      <c r="BK195" s="218">
        <v>0</v>
      </c>
      <c r="BL195" s="136" t="str">
        <f>IF(BA195&lt;&gt;"","A"&amp;MATCH(BD195,CoinCollection!E:E,),"")</f>
        <v>A230</v>
      </c>
    </row>
    <row r="196" spans="14:64">
      <c r="N196" s="136"/>
      <c r="Y196" s="218" t="str">
        <f>IF(O196&lt;&gt;"","A"&amp;MATCH(R196,CoinCollection!E:E,),"")</f>
        <v/>
      </c>
      <c r="AY196" s="136" t="str">
        <f>IF(AN196&lt;&gt;"","A"&amp;MATCH(AQ196,CoinCollection!E:E,),"")</f>
        <v/>
      </c>
      <c r="BA196">
        <v>1942</v>
      </c>
      <c r="BB196" s="218" t="str">
        <v>S</v>
      </c>
      <c r="BC196" t="str">
        <v>Penny</v>
      </c>
      <c r="BD196" t="str">
        <v>WHT1942CNT-AJ</v>
      </c>
      <c r="BE196" t="str">
        <v>Wheat Penny</v>
      </c>
      <c r="BF196" t="str">
        <v>Extremely Fine</v>
      </c>
      <c r="BG196" s="225">
        <v>0.01</v>
      </c>
      <c r="BH196" s="225">
        <v>0</v>
      </c>
      <c r="BI196" s="136">
        <v>1</v>
      </c>
      <c r="BJ196" s="219">
        <v>0</v>
      </c>
      <c r="BK196" s="218">
        <v>0</v>
      </c>
      <c r="BL196" s="136" t="str">
        <f>IF(BA196&lt;&gt;"","A"&amp;MATCH(BD196,CoinCollection!E:E,),"")</f>
        <v>A231</v>
      </c>
    </row>
    <row r="197" spans="14:64">
      <c r="N197" s="136"/>
      <c r="Y197" s="218" t="str">
        <f>IF(O197&lt;&gt;"","A"&amp;MATCH(R197,CoinCollection!E:E,),"")</f>
        <v/>
      </c>
      <c r="AY197" s="136" t="str">
        <f>IF(AN197&lt;&gt;"","A"&amp;MATCH(AQ197,CoinCollection!E:E,),"")</f>
        <v/>
      </c>
      <c r="BA197">
        <v>1942</v>
      </c>
      <c r="BB197" s="218" t="str">
        <v>D</v>
      </c>
      <c r="BC197" t="str">
        <v>Penny</v>
      </c>
      <c r="BD197" t="str">
        <v>WHT1942CNT-AK</v>
      </c>
      <c r="BE197" t="str">
        <v>Wheat Penny</v>
      </c>
      <c r="BF197" t="str">
        <v>Extremely Fine</v>
      </c>
      <c r="BG197" s="225">
        <v>0.01</v>
      </c>
      <c r="BH197" s="225">
        <v>0</v>
      </c>
      <c r="BI197" s="136">
        <v>1</v>
      </c>
      <c r="BJ197" s="219">
        <v>0</v>
      </c>
      <c r="BK197" s="218">
        <v>0</v>
      </c>
      <c r="BL197" s="136" t="str">
        <f>IF(BA197&lt;&gt;"","A"&amp;MATCH(BD197,CoinCollection!E:E,),"")</f>
        <v>A232</v>
      </c>
    </row>
    <row r="198" spans="14:64">
      <c r="N198" s="136"/>
      <c r="Y198" s="218" t="str">
        <f>IF(O198&lt;&gt;"","A"&amp;MATCH(R198,CoinCollection!E:E,),"")</f>
        <v/>
      </c>
      <c r="AY198" s="136" t="str">
        <f>IF(AN198&lt;&gt;"","A"&amp;MATCH(AQ198,CoinCollection!E:E,),"")</f>
        <v/>
      </c>
      <c r="BA198">
        <v>1942</v>
      </c>
      <c r="BB198" s="218">
        <v>0</v>
      </c>
      <c r="BC198" t="str">
        <v>Penny</v>
      </c>
      <c r="BD198" t="str">
        <v>WHT1942CNT-AL</v>
      </c>
      <c r="BE198" t="str">
        <v>Wheat Penny</v>
      </c>
      <c r="BF198" t="str">
        <v>Extremely Fine</v>
      </c>
      <c r="BG198" s="225">
        <v>0.01</v>
      </c>
      <c r="BH198" s="225">
        <v>0.01</v>
      </c>
      <c r="BI198" s="136">
        <v>1</v>
      </c>
      <c r="BJ198" s="219">
        <v>0</v>
      </c>
      <c r="BK198" s="218">
        <v>0</v>
      </c>
      <c r="BL198" s="136" t="str">
        <f>IF(BA198&lt;&gt;"","A"&amp;MATCH(BD198,CoinCollection!E:E,),"")</f>
        <v>A233</v>
      </c>
    </row>
    <row r="199" spans="14:64">
      <c r="N199" s="136"/>
      <c r="Y199" s="218" t="str">
        <f>IF(O199&lt;&gt;"","A"&amp;MATCH(R199,CoinCollection!E:E,),"")</f>
        <v/>
      </c>
      <c r="AY199" s="136" t="str">
        <f>IF(AN199&lt;&gt;"","A"&amp;MATCH(AQ199,CoinCollection!E:E,),"")</f>
        <v/>
      </c>
      <c r="BA199">
        <v>1944</v>
      </c>
      <c r="BB199" s="218">
        <v>0</v>
      </c>
      <c r="BC199" t="str">
        <v>Penny</v>
      </c>
      <c r="BD199" t="str">
        <v>WHT1944CNT-AA</v>
      </c>
      <c r="BE199" t="str">
        <v>Wheat Penny</v>
      </c>
      <c r="BF199" t="str">
        <v>Extremely Fine</v>
      </c>
      <c r="BG199" s="225">
        <v>0.01</v>
      </c>
      <c r="BH199" s="225">
        <v>0.1</v>
      </c>
      <c r="BI199" s="136">
        <v>1</v>
      </c>
      <c r="BJ199" s="219">
        <v>0</v>
      </c>
      <c r="BK199" s="218">
        <v>0</v>
      </c>
      <c r="BL199" s="136" t="str">
        <f>IF(BA199&lt;&gt;"","A"&amp;MATCH(BD199,CoinCollection!E:E,),"")</f>
        <v>A250</v>
      </c>
    </row>
    <row r="200" spans="14:64">
      <c r="N200" s="136"/>
      <c r="Y200" s="218" t="str">
        <f>IF(O200&lt;&gt;"","A"&amp;MATCH(R200,CoinCollection!E:E,),"")</f>
        <v/>
      </c>
      <c r="AY200" s="136" t="str">
        <f>IF(AN200&lt;&gt;"","A"&amp;MATCH(AQ200,CoinCollection!E:E,),"")</f>
        <v/>
      </c>
      <c r="BA200">
        <v>1944</v>
      </c>
      <c r="BB200" s="218">
        <v>0</v>
      </c>
      <c r="BC200" t="str">
        <v>Penny</v>
      </c>
      <c r="BD200" t="str">
        <v>WHT1944CNT-AB</v>
      </c>
      <c r="BE200" t="str">
        <v>Wheat Penny</v>
      </c>
      <c r="BF200" t="str">
        <v>Extremely Fine</v>
      </c>
      <c r="BG200" s="225">
        <v>0.01</v>
      </c>
      <c r="BH200" s="225">
        <v>0.1</v>
      </c>
      <c r="BI200" s="136">
        <v>1</v>
      </c>
      <c r="BJ200" s="219">
        <v>0</v>
      </c>
      <c r="BK200" s="218">
        <v>0</v>
      </c>
      <c r="BL200" s="136" t="str">
        <f>IF(BA200&lt;&gt;"","A"&amp;MATCH(BD200,CoinCollection!E:E,),"")</f>
        <v>A251</v>
      </c>
    </row>
    <row r="201" spans="14:64">
      <c r="N201" s="136"/>
      <c r="Y201" s="218" t="str">
        <f>IF(O201&lt;&gt;"","A"&amp;MATCH(R201,CoinCollection!E:E,),"")</f>
        <v/>
      </c>
      <c r="AY201" s="136" t="str">
        <f>IF(AN201&lt;&gt;"","A"&amp;MATCH(AQ201,CoinCollection!E:E,),"")</f>
        <v/>
      </c>
      <c r="BA201">
        <v>1944</v>
      </c>
      <c r="BB201" s="218">
        <v>0</v>
      </c>
      <c r="BC201" t="str">
        <v>Penny</v>
      </c>
      <c r="BD201" t="str">
        <v>WHT1944CNT-AC</v>
      </c>
      <c r="BE201" t="str">
        <v>Wheat Penny</v>
      </c>
      <c r="BF201" t="str">
        <v>Extremely Fine</v>
      </c>
      <c r="BG201" s="225">
        <v>0.01</v>
      </c>
      <c r="BH201" s="225">
        <v>0.1</v>
      </c>
      <c r="BI201" s="136">
        <v>1</v>
      </c>
      <c r="BJ201" s="219">
        <v>0</v>
      </c>
      <c r="BK201" s="218">
        <v>0</v>
      </c>
      <c r="BL201" s="136" t="str">
        <f>IF(BA201&lt;&gt;"","A"&amp;MATCH(BD201,CoinCollection!E:E,),"")</f>
        <v>A252</v>
      </c>
    </row>
    <row r="202" spans="14:64">
      <c r="N202" s="136"/>
      <c r="Y202" s="218" t="str">
        <f>IF(O202&lt;&gt;"","A"&amp;MATCH(R202,CoinCollection!E:E,),"")</f>
        <v/>
      </c>
      <c r="AY202" s="136" t="str">
        <f>IF(AN202&lt;&gt;"","A"&amp;MATCH(AQ202,CoinCollection!E:E,),"")</f>
        <v/>
      </c>
      <c r="BA202">
        <v>1944</v>
      </c>
      <c r="BB202" s="218">
        <v>0</v>
      </c>
      <c r="BC202" t="str">
        <v>Penny</v>
      </c>
      <c r="BD202" t="str">
        <v>WHT1944CNT-AD</v>
      </c>
      <c r="BE202" t="str">
        <v>Wheat Penny</v>
      </c>
      <c r="BF202" t="str">
        <v>Extremely Fine</v>
      </c>
      <c r="BG202" s="225">
        <v>0.01</v>
      </c>
      <c r="BH202" s="225">
        <v>0.1</v>
      </c>
      <c r="BI202" s="136">
        <v>1</v>
      </c>
      <c r="BJ202" s="219">
        <v>0</v>
      </c>
      <c r="BK202" s="218">
        <v>0</v>
      </c>
      <c r="BL202" s="136" t="str">
        <f>IF(BA202&lt;&gt;"","A"&amp;MATCH(BD202,CoinCollection!E:E,),"")</f>
        <v>A253</v>
      </c>
    </row>
    <row r="203" spans="14:64">
      <c r="N203" s="136"/>
      <c r="Y203" s="218" t="str">
        <f>IF(O203&lt;&gt;"","A"&amp;MATCH(R203,CoinCollection!E:E,),"")</f>
        <v/>
      </c>
      <c r="AY203" s="136" t="str">
        <f>IF(AN203&lt;&gt;"","A"&amp;MATCH(AQ203,CoinCollection!E:E,),"")</f>
        <v/>
      </c>
      <c r="BA203">
        <v>1944</v>
      </c>
      <c r="BB203" s="218">
        <v>0</v>
      </c>
      <c r="BC203" t="str">
        <v>Penny</v>
      </c>
      <c r="BD203" t="str">
        <v>WHT1944CNT-AE</v>
      </c>
      <c r="BE203" t="str">
        <v>Wheat Penny</v>
      </c>
      <c r="BF203" t="str">
        <v>Extremely Fine</v>
      </c>
      <c r="BG203" s="225">
        <v>0.01</v>
      </c>
      <c r="BH203" s="225">
        <v>7.0000000000000007E-2</v>
      </c>
      <c r="BI203" s="136">
        <v>1</v>
      </c>
      <c r="BJ203" s="219">
        <v>0</v>
      </c>
      <c r="BK203" s="218">
        <v>0</v>
      </c>
      <c r="BL203" s="136" t="str">
        <f>IF(BA203&lt;&gt;"","A"&amp;MATCH(BD203,CoinCollection!E:E,),"")</f>
        <v>A254</v>
      </c>
    </row>
    <row r="204" spans="14:64">
      <c r="N204" s="136"/>
      <c r="Y204" s="218" t="str">
        <f>IF(O204&lt;&gt;"","A"&amp;MATCH(R204,CoinCollection!E:E,),"")</f>
        <v/>
      </c>
      <c r="AY204" s="136" t="str">
        <f>IF(AN204&lt;&gt;"","A"&amp;MATCH(AQ204,CoinCollection!E:E,),"")</f>
        <v/>
      </c>
      <c r="BA204">
        <v>1944</v>
      </c>
      <c r="BB204" s="218" t="str">
        <v>S</v>
      </c>
      <c r="BC204" t="str">
        <v>Penny</v>
      </c>
      <c r="BD204" t="str">
        <v>WHT1944CNT-AF</v>
      </c>
      <c r="BE204" t="str">
        <v>Wheat Penny</v>
      </c>
      <c r="BF204" t="str">
        <v>Extremely Fine</v>
      </c>
      <c r="BG204" s="225">
        <v>0.01</v>
      </c>
      <c r="BH204" s="225">
        <v>0.05</v>
      </c>
      <c r="BI204" s="136">
        <v>1</v>
      </c>
      <c r="BJ204" s="219">
        <v>0</v>
      </c>
      <c r="BK204" s="218">
        <v>0</v>
      </c>
      <c r="BL204" s="136" t="str">
        <f>IF(BA204&lt;&gt;"","A"&amp;MATCH(BD204,CoinCollection!E:E,),"")</f>
        <v>A255</v>
      </c>
    </row>
    <row r="205" spans="14:64">
      <c r="N205" s="136"/>
      <c r="Y205" s="218" t="str">
        <f>IF(O205&lt;&gt;"","A"&amp;MATCH(R205,CoinCollection!E:E,),"")</f>
        <v/>
      </c>
      <c r="AY205" s="136" t="str">
        <f>IF(AN205&lt;&gt;"","A"&amp;MATCH(AQ205,CoinCollection!E:E,),"")</f>
        <v/>
      </c>
      <c r="BA205">
        <v>1944</v>
      </c>
      <c r="BB205" s="218" t="str">
        <v>S</v>
      </c>
      <c r="BC205" t="str">
        <v>Penny</v>
      </c>
      <c r="BD205" t="str">
        <v>WHT1944CNT-AG</v>
      </c>
      <c r="BE205" t="str">
        <v>Wheat Penny</v>
      </c>
      <c r="BF205" t="str">
        <v>Extremely Fine</v>
      </c>
      <c r="BG205" s="225">
        <v>0.01</v>
      </c>
      <c r="BH205" s="225">
        <v>0.05</v>
      </c>
      <c r="BI205" s="136">
        <v>1</v>
      </c>
      <c r="BJ205" s="219">
        <v>0</v>
      </c>
      <c r="BK205" s="218">
        <v>0</v>
      </c>
      <c r="BL205" s="136" t="str">
        <f>IF(BA205&lt;&gt;"","A"&amp;MATCH(BD205,CoinCollection!E:E,),"")</f>
        <v>A256</v>
      </c>
    </row>
    <row r="206" spans="14:64">
      <c r="N206" s="136"/>
      <c r="Y206" s="218" t="str">
        <f>IF(O206&lt;&gt;"","A"&amp;MATCH(R206,CoinCollection!E:E,),"")</f>
        <v/>
      </c>
      <c r="AY206" s="136" t="str">
        <f>IF(AN206&lt;&gt;"","A"&amp;MATCH(AQ206,CoinCollection!E:E,),"")</f>
        <v/>
      </c>
      <c r="BA206">
        <v>1944</v>
      </c>
      <c r="BB206" s="218" t="str">
        <v>S</v>
      </c>
      <c r="BC206" t="str">
        <v>Penny</v>
      </c>
      <c r="BD206" t="str">
        <v>WHT1944CNT-AH</v>
      </c>
      <c r="BE206" t="str">
        <v>Wheat Penny</v>
      </c>
      <c r="BF206" t="str">
        <v>Extremely Fine</v>
      </c>
      <c r="BG206" s="225">
        <v>0.01</v>
      </c>
      <c r="BH206" s="225">
        <v>7.0000000000000007E-2</v>
      </c>
      <c r="BI206" s="136">
        <v>1</v>
      </c>
      <c r="BJ206" s="219">
        <v>0</v>
      </c>
      <c r="BK206" s="218">
        <v>0</v>
      </c>
      <c r="BL206" s="136" t="str">
        <f>IF(BA206&lt;&gt;"","A"&amp;MATCH(BD206,CoinCollection!E:E,),"")</f>
        <v>A257</v>
      </c>
    </row>
    <row r="207" spans="14:64">
      <c r="N207" s="136"/>
      <c r="Y207" s="218" t="str">
        <f>IF(O207&lt;&gt;"","A"&amp;MATCH(R207,CoinCollection!E:E,),"")</f>
        <v/>
      </c>
      <c r="AY207" s="136" t="str">
        <f>IF(AN207&lt;&gt;"","A"&amp;MATCH(AQ207,CoinCollection!E:E,),"")</f>
        <v/>
      </c>
      <c r="BA207">
        <v>1944</v>
      </c>
      <c r="BB207" s="218">
        <v>0</v>
      </c>
      <c r="BC207" t="str">
        <v>Penny</v>
      </c>
      <c r="BD207" t="str">
        <v>WHT1944CNT-AI</v>
      </c>
      <c r="BE207" t="str">
        <v>Wheat Penny</v>
      </c>
      <c r="BF207" t="str">
        <v>Extremely Fine</v>
      </c>
      <c r="BG207" s="225">
        <v>0.01</v>
      </c>
      <c r="BH207" s="225">
        <v>7.0000000000000007E-2</v>
      </c>
      <c r="BI207" s="136">
        <v>1</v>
      </c>
      <c r="BJ207" s="219">
        <v>0</v>
      </c>
      <c r="BK207" s="218">
        <v>0</v>
      </c>
      <c r="BL207" s="136" t="str">
        <f>IF(BA207&lt;&gt;"","A"&amp;MATCH(BD207,CoinCollection!E:E,),"")</f>
        <v>A258</v>
      </c>
    </row>
    <row r="208" spans="14:64">
      <c r="N208" s="136"/>
      <c r="Y208" s="218" t="str">
        <f>IF(O208&lt;&gt;"","A"&amp;MATCH(R208,CoinCollection!E:E,),"")</f>
        <v/>
      </c>
      <c r="AY208" s="136" t="str">
        <f>IF(AN208&lt;&gt;"","A"&amp;MATCH(AQ208,CoinCollection!E:E,),"")</f>
        <v/>
      </c>
      <c r="BA208">
        <v>1944</v>
      </c>
      <c r="BB208" s="218">
        <v>0</v>
      </c>
      <c r="BC208" t="str">
        <v>Penny</v>
      </c>
      <c r="BD208" t="str">
        <v>WHT1944CNT-AJ</v>
      </c>
      <c r="BE208" t="str">
        <v>Wheat Penny</v>
      </c>
      <c r="BF208" t="str">
        <v>Extremely Fine</v>
      </c>
      <c r="BG208" s="225">
        <v>0.01</v>
      </c>
      <c r="BH208" s="225">
        <v>0.05</v>
      </c>
      <c r="BI208" s="136">
        <v>1</v>
      </c>
      <c r="BJ208" s="219">
        <v>0</v>
      </c>
      <c r="BK208" s="218">
        <v>0</v>
      </c>
      <c r="BL208" s="136" t="str">
        <f>IF(BA208&lt;&gt;"","A"&amp;MATCH(BD208,CoinCollection!E:E,),"")</f>
        <v>A259</v>
      </c>
    </row>
    <row r="209" spans="14:64">
      <c r="N209" s="136"/>
      <c r="Y209" s="218" t="str">
        <f>IF(O209&lt;&gt;"","A"&amp;MATCH(R209,CoinCollection!E:E,),"")</f>
        <v/>
      </c>
      <c r="AY209" s="136" t="str">
        <f>IF(AN209&lt;&gt;"","A"&amp;MATCH(AQ209,CoinCollection!E:E,),"")</f>
        <v/>
      </c>
      <c r="BA209">
        <v>1944</v>
      </c>
      <c r="BB209" s="218" t="str">
        <v>S</v>
      </c>
      <c r="BC209" t="str">
        <v>Penny</v>
      </c>
      <c r="BD209" t="str">
        <v>WHT1944CNT-AK</v>
      </c>
      <c r="BE209" t="str">
        <v>Wheat Penny</v>
      </c>
      <c r="BF209" t="str">
        <v>Extremely Fine</v>
      </c>
      <c r="BG209" s="225">
        <v>0.01</v>
      </c>
      <c r="BH209" s="225">
        <v>0.01</v>
      </c>
      <c r="BI209" s="136">
        <v>1</v>
      </c>
      <c r="BJ209" s="219">
        <v>0</v>
      </c>
      <c r="BK209" s="218">
        <v>0</v>
      </c>
      <c r="BL209" s="136" t="str">
        <f>IF(BA209&lt;&gt;"","A"&amp;MATCH(BD209,CoinCollection!E:E,),"")</f>
        <v>A260</v>
      </c>
    </row>
    <row r="210" spans="14:64">
      <c r="N210" s="136"/>
      <c r="Y210" s="218" t="str">
        <f>IF(O210&lt;&gt;"","A"&amp;MATCH(R210,CoinCollection!E:E,),"")</f>
        <v/>
      </c>
      <c r="AY210" s="136" t="str">
        <f>IF(AN210&lt;&gt;"","A"&amp;MATCH(AQ210,CoinCollection!E:E,),"")</f>
        <v/>
      </c>
      <c r="BA210">
        <v>1944</v>
      </c>
      <c r="BB210" s="218" t="str">
        <v>S</v>
      </c>
      <c r="BC210" t="str">
        <v>Penny</v>
      </c>
      <c r="BD210" t="str">
        <v>WHT1944CNT-AL</v>
      </c>
      <c r="BE210" t="str">
        <v>Wheat Penny</v>
      </c>
      <c r="BF210" t="str">
        <v>Extremely Fine</v>
      </c>
      <c r="BG210" s="225">
        <v>0.01</v>
      </c>
      <c r="BH210" s="225">
        <v>0.01</v>
      </c>
      <c r="BI210" s="136">
        <v>1</v>
      </c>
      <c r="BJ210" s="219">
        <v>0</v>
      </c>
      <c r="BK210" s="218">
        <v>0</v>
      </c>
      <c r="BL210" s="136" t="str">
        <f>IF(BA210&lt;&gt;"","A"&amp;MATCH(BD210,CoinCollection!E:E,),"")</f>
        <v>A261</v>
      </c>
    </row>
    <row r="211" spans="14:64">
      <c r="N211" s="136"/>
      <c r="Y211" s="218" t="str">
        <f>IF(O211&lt;&gt;"","A"&amp;MATCH(R211,CoinCollection!E:E,),"")</f>
        <v/>
      </c>
      <c r="AY211" s="136" t="str">
        <f>IF(AN211&lt;&gt;"","A"&amp;MATCH(AQ211,CoinCollection!E:E,),"")</f>
        <v/>
      </c>
      <c r="BA211">
        <v>1944</v>
      </c>
      <c r="BB211" s="218">
        <v>0</v>
      </c>
      <c r="BC211" t="str">
        <v>Penny</v>
      </c>
      <c r="BD211" t="str">
        <v>WHT1944CNT-AM</v>
      </c>
      <c r="BE211" t="str">
        <v>Wheat Penny</v>
      </c>
      <c r="BF211" t="str">
        <v>Extremely Fine</v>
      </c>
      <c r="BG211" s="225">
        <v>0.01</v>
      </c>
      <c r="BH211" s="225">
        <v>0.06</v>
      </c>
      <c r="BI211" s="136">
        <v>1</v>
      </c>
      <c r="BJ211" s="219">
        <v>0</v>
      </c>
      <c r="BK211" s="218">
        <v>0</v>
      </c>
      <c r="BL211" s="136" t="str">
        <f>IF(BA211&lt;&gt;"","A"&amp;MATCH(BD211,CoinCollection!E:E,),"")</f>
        <v>A262</v>
      </c>
    </row>
    <row r="212" spans="14:64">
      <c r="N212" s="136"/>
      <c r="Y212" s="218" t="str">
        <f>IF(O212&lt;&gt;"","A"&amp;MATCH(R212,CoinCollection!E:E,),"")</f>
        <v/>
      </c>
      <c r="AY212" s="136" t="str">
        <f>IF(AN212&lt;&gt;"","A"&amp;MATCH(AQ212,CoinCollection!E:E,),"")</f>
        <v/>
      </c>
      <c r="BA212">
        <v>1944</v>
      </c>
      <c r="BB212" s="218">
        <v>0</v>
      </c>
      <c r="BC212" t="str">
        <v>Penny</v>
      </c>
      <c r="BD212" t="str">
        <v>WHT1944CNT-AN</v>
      </c>
      <c r="BE212" t="str">
        <v>Wheat Penny</v>
      </c>
      <c r="BF212" t="str">
        <v>Extremely Fine</v>
      </c>
      <c r="BG212" s="225">
        <v>0.01</v>
      </c>
      <c r="BH212" s="225">
        <v>0.06</v>
      </c>
      <c r="BI212" s="136">
        <v>1</v>
      </c>
      <c r="BJ212" s="219">
        <v>0</v>
      </c>
      <c r="BK212" s="218">
        <v>0</v>
      </c>
      <c r="BL212" s="136" t="str">
        <f>IF(BA212&lt;&gt;"","A"&amp;MATCH(BD212,CoinCollection!E:E,),"")</f>
        <v>A263</v>
      </c>
    </row>
    <row r="213" spans="14:64">
      <c r="N213" s="136"/>
      <c r="Y213" s="218" t="str">
        <f>IF(O213&lt;&gt;"","A"&amp;MATCH(R213,CoinCollection!E:E,),"")</f>
        <v/>
      </c>
      <c r="AY213" s="136" t="str">
        <f>IF(AN213&lt;&gt;"","A"&amp;MATCH(AQ213,CoinCollection!E:E,),"")</f>
        <v/>
      </c>
      <c r="BA213">
        <v>1944</v>
      </c>
      <c r="BB213" s="218">
        <v>0</v>
      </c>
      <c r="BC213" t="str">
        <v>Penny</v>
      </c>
      <c r="BD213" t="str">
        <v>WHT1944CNT-AO</v>
      </c>
      <c r="BE213" t="str">
        <v>Wheat Penny</v>
      </c>
      <c r="BF213" t="str">
        <v>Extremely Fine</v>
      </c>
      <c r="BG213" s="225">
        <v>0.01</v>
      </c>
      <c r="BH213" s="225">
        <v>0.06</v>
      </c>
      <c r="BI213" s="136">
        <v>1</v>
      </c>
      <c r="BJ213" s="219">
        <v>0</v>
      </c>
      <c r="BK213" s="218">
        <v>0</v>
      </c>
      <c r="BL213" s="136" t="str">
        <f>IF(BA213&lt;&gt;"","A"&amp;MATCH(BD213,CoinCollection!E:E,),"")</f>
        <v>A264</v>
      </c>
    </row>
    <row r="214" spans="14:64">
      <c r="N214" s="136"/>
      <c r="Y214" s="218" t="str">
        <f>IF(O214&lt;&gt;"","A"&amp;MATCH(R214,CoinCollection!E:E,),"")</f>
        <v/>
      </c>
      <c r="AY214" s="136" t="str">
        <f>IF(AN214&lt;&gt;"","A"&amp;MATCH(AQ214,CoinCollection!E:E,),"")</f>
        <v/>
      </c>
      <c r="BA214">
        <v>1944</v>
      </c>
      <c r="BB214" s="218">
        <v>0</v>
      </c>
      <c r="BC214" t="str">
        <v>Penny</v>
      </c>
      <c r="BD214" t="str">
        <v>WHT1944CNT-AP</v>
      </c>
      <c r="BE214" t="str">
        <v>Wheat Penny</v>
      </c>
      <c r="BF214" t="str">
        <v>Extremely Fine</v>
      </c>
      <c r="BG214" s="225">
        <v>0.01</v>
      </c>
      <c r="BH214" s="225">
        <v>0.06</v>
      </c>
      <c r="BI214" s="136">
        <v>1</v>
      </c>
      <c r="BJ214" s="219">
        <v>0</v>
      </c>
      <c r="BK214" s="218">
        <v>0</v>
      </c>
      <c r="BL214" s="136" t="str">
        <f>IF(BA214&lt;&gt;"","A"&amp;MATCH(BD214,CoinCollection!E:E,),"")</f>
        <v>A265</v>
      </c>
    </row>
    <row r="215" spans="14:64">
      <c r="N215" s="136"/>
      <c r="Y215" s="218" t="str">
        <f>IF(O215&lt;&gt;"","A"&amp;MATCH(R215,CoinCollection!E:E,),"")</f>
        <v/>
      </c>
      <c r="AY215" s="136" t="str">
        <f>IF(AN215&lt;&gt;"","A"&amp;MATCH(AQ215,CoinCollection!E:E,),"")</f>
        <v/>
      </c>
      <c r="BA215">
        <v>1944</v>
      </c>
      <c r="BB215" s="218">
        <v>0</v>
      </c>
      <c r="BC215" t="str">
        <v>Penny</v>
      </c>
      <c r="BD215" t="str">
        <v>WHT1944CNT-AQ</v>
      </c>
      <c r="BE215" t="str">
        <v>Wheat Penny</v>
      </c>
      <c r="BF215" t="str">
        <v>Extremely Fine</v>
      </c>
      <c r="BG215" s="225">
        <v>0.01</v>
      </c>
      <c r="BH215" s="225">
        <v>0.06</v>
      </c>
      <c r="BI215" s="136">
        <v>1</v>
      </c>
      <c r="BJ215" s="219">
        <v>0</v>
      </c>
      <c r="BK215" s="218">
        <v>0</v>
      </c>
      <c r="BL215" s="136" t="str">
        <f>IF(BA215&lt;&gt;"","A"&amp;MATCH(BD215,CoinCollection!E:E,),"")</f>
        <v>A266</v>
      </c>
    </row>
    <row r="216" spans="14:64">
      <c r="N216" s="136"/>
      <c r="Y216" s="218" t="str">
        <f>IF(O216&lt;&gt;"","A"&amp;MATCH(R216,CoinCollection!E:E,),"")</f>
        <v/>
      </c>
      <c r="AY216" s="136" t="str">
        <f>IF(AN216&lt;&gt;"","A"&amp;MATCH(AQ216,CoinCollection!E:E,),"")</f>
        <v/>
      </c>
      <c r="BA216">
        <v>1944</v>
      </c>
      <c r="BB216" s="218">
        <v>0</v>
      </c>
      <c r="BC216" t="str">
        <v>Penny</v>
      </c>
      <c r="BD216" t="str">
        <v>WHT1944CNT-AR</v>
      </c>
      <c r="BE216" t="str">
        <v>Wheat Penny</v>
      </c>
      <c r="BF216" t="str">
        <v>Extremely Fine</v>
      </c>
      <c r="BG216" s="225">
        <v>0.01</v>
      </c>
      <c r="BH216" s="225">
        <v>0.06</v>
      </c>
      <c r="BI216" s="136">
        <v>1</v>
      </c>
      <c r="BJ216" s="219">
        <v>0</v>
      </c>
      <c r="BK216" s="218">
        <v>0</v>
      </c>
      <c r="BL216" s="136" t="str">
        <f>IF(BA216&lt;&gt;"","A"&amp;MATCH(BD216,CoinCollection!E:E,),"")</f>
        <v>A267</v>
      </c>
    </row>
    <row r="217" spans="14:64">
      <c r="N217" s="136"/>
      <c r="Y217" s="218" t="str">
        <f>IF(O217&lt;&gt;"","A"&amp;MATCH(R217,CoinCollection!E:E,),"")</f>
        <v/>
      </c>
      <c r="AY217" s="136" t="str">
        <f>IF(AN217&lt;&gt;"","A"&amp;MATCH(AQ217,CoinCollection!E:E,),"")</f>
        <v/>
      </c>
      <c r="BA217">
        <v>1944</v>
      </c>
      <c r="BB217" s="218">
        <v>0</v>
      </c>
      <c r="BC217" t="str">
        <v>Penny</v>
      </c>
      <c r="BD217" t="str">
        <v>WHT1944CNT-AS</v>
      </c>
      <c r="BE217" t="str">
        <v>Wheat Penny</v>
      </c>
      <c r="BF217" t="str">
        <v>Extremely Fine</v>
      </c>
      <c r="BG217" s="225">
        <v>0.01</v>
      </c>
      <c r="BH217" s="225">
        <v>0.06</v>
      </c>
      <c r="BI217" s="136">
        <v>1</v>
      </c>
      <c r="BJ217" s="219">
        <v>0</v>
      </c>
      <c r="BK217" s="218">
        <v>0</v>
      </c>
      <c r="BL217" s="136" t="str">
        <f>IF(BA217&lt;&gt;"","A"&amp;MATCH(BD217,CoinCollection!E:E,),"")</f>
        <v>A268</v>
      </c>
    </row>
    <row r="218" spans="14:64">
      <c r="N218" s="136"/>
      <c r="Y218" s="218" t="str">
        <f>IF(O218&lt;&gt;"","A"&amp;MATCH(R218,CoinCollection!E:E,),"")</f>
        <v/>
      </c>
      <c r="AY218" s="136" t="str">
        <f>IF(AN218&lt;&gt;"","A"&amp;MATCH(AQ218,CoinCollection!E:E,),"")</f>
        <v/>
      </c>
      <c r="BA218">
        <v>1944</v>
      </c>
      <c r="BB218" s="218">
        <v>0</v>
      </c>
      <c r="BC218" t="str">
        <v>Penny</v>
      </c>
      <c r="BD218" t="str">
        <v>WHT1944CNT-AT</v>
      </c>
      <c r="BE218" t="str">
        <v>Wheat Penny</v>
      </c>
      <c r="BF218" t="str">
        <v>Extremely Fine</v>
      </c>
      <c r="BG218" s="225">
        <v>0.01</v>
      </c>
      <c r="BH218" s="225">
        <v>0.06</v>
      </c>
      <c r="BI218" s="136">
        <v>1</v>
      </c>
      <c r="BJ218" s="219">
        <v>0</v>
      </c>
      <c r="BK218" s="218">
        <v>0</v>
      </c>
      <c r="BL218" s="136" t="str">
        <f>IF(BA218&lt;&gt;"","A"&amp;MATCH(BD218,CoinCollection!E:E,),"")</f>
        <v>A269</v>
      </c>
    </row>
    <row r="219" spans="14:64">
      <c r="N219" s="136"/>
      <c r="Y219" s="218" t="str">
        <f>IF(O219&lt;&gt;"","A"&amp;MATCH(R219,CoinCollection!E:E,),"")</f>
        <v/>
      </c>
      <c r="AY219" s="136" t="str">
        <f>IF(AN219&lt;&gt;"","A"&amp;MATCH(AQ219,CoinCollection!E:E,),"")</f>
        <v/>
      </c>
      <c r="BA219">
        <v>1944</v>
      </c>
      <c r="BB219" s="218">
        <v>0</v>
      </c>
      <c r="BC219" t="str">
        <v>Penny</v>
      </c>
      <c r="BD219" t="str">
        <v>WHT1944CNT-AU</v>
      </c>
      <c r="BE219" t="str">
        <v>Wheat Penny</v>
      </c>
      <c r="BF219" t="str">
        <v>Extremely Fine</v>
      </c>
      <c r="BG219" s="225">
        <v>0.01</v>
      </c>
      <c r="BH219" s="225">
        <v>0.06</v>
      </c>
      <c r="BI219" s="136">
        <v>1</v>
      </c>
      <c r="BJ219" s="219">
        <v>0</v>
      </c>
      <c r="BK219" s="218">
        <v>0</v>
      </c>
      <c r="BL219" s="136" t="str">
        <f>IF(BA219&lt;&gt;"","A"&amp;MATCH(BD219,CoinCollection!E:E,),"")</f>
        <v>A270</v>
      </c>
    </row>
    <row r="220" spans="14:64">
      <c r="N220" s="136"/>
      <c r="Y220" s="218" t="str">
        <f>IF(O220&lt;&gt;"","A"&amp;MATCH(R220,CoinCollection!E:E,),"")</f>
        <v/>
      </c>
      <c r="AY220" s="136" t="str">
        <f>IF(AN220&lt;&gt;"","A"&amp;MATCH(AQ220,CoinCollection!E:E,),"")</f>
        <v/>
      </c>
      <c r="BA220">
        <v>1944</v>
      </c>
      <c r="BB220" s="218" t="str">
        <v>D</v>
      </c>
      <c r="BC220" t="str">
        <v>Penny</v>
      </c>
      <c r="BD220" t="str">
        <v>WHT1944CNT-AV</v>
      </c>
      <c r="BE220" t="str">
        <v>Wheat Penny</v>
      </c>
      <c r="BF220" t="str">
        <v>Extremely Fine</v>
      </c>
      <c r="BG220" s="225">
        <v>0.2</v>
      </c>
      <c r="BH220" s="225">
        <v>0.01</v>
      </c>
      <c r="BI220" s="136">
        <v>1</v>
      </c>
      <c r="BJ220" s="219">
        <v>0</v>
      </c>
      <c r="BK220" s="218">
        <v>0</v>
      </c>
      <c r="BL220" s="136" t="str">
        <f>IF(BA220&lt;&gt;"","A"&amp;MATCH(BD220,CoinCollection!E:E,),"")</f>
        <v>A271</v>
      </c>
    </row>
    <row r="221" spans="14:64">
      <c r="N221" s="136"/>
      <c r="Y221" s="218" t="str">
        <f>IF(O221&lt;&gt;"","A"&amp;MATCH(R221,CoinCollection!E:E,),"")</f>
        <v/>
      </c>
      <c r="AY221" s="136" t="str">
        <f>IF(AN221&lt;&gt;"","A"&amp;MATCH(AQ221,CoinCollection!E:E,),"")</f>
        <v/>
      </c>
      <c r="BA221">
        <v>1944</v>
      </c>
      <c r="BB221" s="218">
        <v>0</v>
      </c>
      <c r="BC221" t="str">
        <v>Penny</v>
      </c>
      <c r="BD221" t="str">
        <v>WHT1944CNT-AW</v>
      </c>
      <c r="BE221" t="str">
        <v>Wheat Penny</v>
      </c>
      <c r="BF221" t="str">
        <v>Extremely Fine</v>
      </c>
      <c r="BG221" s="225">
        <v>0.01</v>
      </c>
      <c r="BH221" s="225">
        <v>0.01</v>
      </c>
      <c r="BI221" s="136">
        <v>1</v>
      </c>
      <c r="BJ221" s="219">
        <v>0</v>
      </c>
      <c r="BK221" s="218">
        <v>0</v>
      </c>
      <c r="BL221" s="136" t="str">
        <f>IF(BA221&lt;&gt;"","A"&amp;MATCH(BD221,CoinCollection!E:E,),"")</f>
        <v>A272</v>
      </c>
    </row>
    <row r="222" spans="14:64">
      <c r="N222" s="136"/>
      <c r="Y222" s="218" t="str">
        <f>IF(O222&lt;&gt;"","A"&amp;MATCH(R222,CoinCollection!E:E,),"")</f>
        <v/>
      </c>
      <c r="AY222" s="136" t="str">
        <f>IF(AN222&lt;&gt;"","A"&amp;MATCH(AQ222,CoinCollection!E:E,),"")</f>
        <v/>
      </c>
      <c r="BA222">
        <v>1945</v>
      </c>
      <c r="BB222" s="218">
        <v>0</v>
      </c>
      <c r="BC222" t="str">
        <v>Penny</v>
      </c>
      <c r="BD222" t="str">
        <v>WHT1945CNT-AA</v>
      </c>
      <c r="BE222" t="str">
        <v>Wheat Penny</v>
      </c>
      <c r="BF222" t="str">
        <v>Extremely Fine</v>
      </c>
      <c r="BG222" s="225">
        <v>0.01</v>
      </c>
      <c r="BH222" s="225">
        <v>0.1</v>
      </c>
      <c r="BI222" s="136">
        <v>1</v>
      </c>
      <c r="BJ222" s="219">
        <v>0</v>
      </c>
      <c r="BK222" s="218">
        <v>0</v>
      </c>
      <c r="BL222" s="136" t="str">
        <f>IF(BA222&lt;&gt;"","A"&amp;MATCH(BD222,CoinCollection!E:E,),"")</f>
        <v>A273</v>
      </c>
    </row>
    <row r="223" spans="14:64">
      <c r="N223" s="136"/>
      <c r="Y223" s="218" t="str">
        <f>IF(O223&lt;&gt;"","A"&amp;MATCH(R223,CoinCollection!E:E,),"")</f>
        <v/>
      </c>
      <c r="AY223" s="136" t="str">
        <f>IF(AN223&lt;&gt;"","A"&amp;MATCH(AQ223,CoinCollection!E:E,),"")</f>
        <v/>
      </c>
      <c r="BA223">
        <v>1945</v>
      </c>
      <c r="BB223" s="218">
        <v>0</v>
      </c>
      <c r="BC223" t="str">
        <v>Penny</v>
      </c>
      <c r="BD223" t="str">
        <v>WHT1945CNT-AB</v>
      </c>
      <c r="BE223" t="str">
        <v>Wheat Penny</v>
      </c>
      <c r="BF223" t="str">
        <v>Extremely Fine</v>
      </c>
      <c r="BG223" s="225">
        <v>0.01</v>
      </c>
      <c r="BH223" s="225">
        <v>0.1</v>
      </c>
      <c r="BI223" s="136">
        <v>1</v>
      </c>
      <c r="BJ223" s="219">
        <v>0</v>
      </c>
      <c r="BK223" s="218">
        <v>0</v>
      </c>
      <c r="BL223" s="136" t="str">
        <f>IF(BA223&lt;&gt;"","A"&amp;MATCH(BD223,CoinCollection!E:E,),"")</f>
        <v>A274</v>
      </c>
    </row>
    <row r="224" spans="14:64">
      <c r="N224" s="136"/>
      <c r="Y224" s="218" t="str">
        <f>IF(O224&lt;&gt;"","A"&amp;MATCH(R224,CoinCollection!E:E,),"")</f>
        <v/>
      </c>
      <c r="AY224" s="136" t="str">
        <f>IF(AN224&lt;&gt;"","A"&amp;MATCH(AQ224,CoinCollection!E:E,),"")</f>
        <v/>
      </c>
      <c r="BA224">
        <v>1945</v>
      </c>
      <c r="BB224" s="218">
        <v>0</v>
      </c>
      <c r="BC224" t="str">
        <v>Penny</v>
      </c>
      <c r="BD224" t="str">
        <v>WHT1945CNT-AC</v>
      </c>
      <c r="BE224" t="str">
        <v>Wheat Penny</v>
      </c>
      <c r="BF224" t="str">
        <v>Extremely Fine</v>
      </c>
      <c r="BG224" s="225">
        <v>0.01</v>
      </c>
      <c r="BH224" s="225">
        <v>0.1</v>
      </c>
      <c r="BI224" s="136">
        <v>1</v>
      </c>
      <c r="BJ224" s="219">
        <v>0</v>
      </c>
      <c r="BK224" s="218">
        <v>0</v>
      </c>
      <c r="BL224" s="136" t="str">
        <f>IF(BA224&lt;&gt;"","A"&amp;MATCH(BD224,CoinCollection!E:E,),"")</f>
        <v>A275</v>
      </c>
    </row>
    <row r="225" spans="14:64">
      <c r="N225" s="136"/>
      <c r="Y225" s="218" t="str">
        <f>IF(O225&lt;&gt;"","A"&amp;MATCH(R225,CoinCollection!E:E,),"")</f>
        <v/>
      </c>
      <c r="AY225" s="136" t="str">
        <f>IF(AN225&lt;&gt;"","A"&amp;MATCH(AQ225,CoinCollection!E:E,),"")</f>
        <v/>
      </c>
      <c r="BA225">
        <v>1945</v>
      </c>
      <c r="BB225" s="218">
        <v>0</v>
      </c>
      <c r="BC225" t="str">
        <v>Penny</v>
      </c>
      <c r="BD225" t="str">
        <v>WHT1945CNT-AD</v>
      </c>
      <c r="BE225" t="str">
        <v>Wheat Penny</v>
      </c>
      <c r="BF225" t="str">
        <v>Extremely Fine</v>
      </c>
      <c r="BG225" s="225">
        <v>0.01</v>
      </c>
      <c r="BH225" s="225">
        <v>0.08</v>
      </c>
      <c r="BI225" s="136">
        <v>1</v>
      </c>
      <c r="BJ225" s="219">
        <v>0</v>
      </c>
      <c r="BK225" s="218">
        <v>0</v>
      </c>
      <c r="BL225" s="136" t="str">
        <f>IF(BA225&lt;&gt;"","A"&amp;MATCH(BD225,CoinCollection!E:E,),"")</f>
        <v>A276</v>
      </c>
    </row>
    <row r="226" spans="14:64">
      <c r="N226" s="136"/>
      <c r="Y226" s="218" t="str">
        <f>IF(O226&lt;&gt;"","A"&amp;MATCH(R226,CoinCollection!E:E,),"")</f>
        <v/>
      </c>
      <c r="AY226" s="136" t="str">
        <f>IF(AN226&lt;&gt;"","A"&amp;MATCH(AQ226,CoinCollection!E:E,),"")</f>
        <v/>
      </c>
      <c r="BA226">
        <v>1945</v>
      </c>
      <c r="BB226" s="218">
        <v>0</v>
      </c>
      <c r="BC226" t="str">
        <v>Penny</v>
      </c>
      <c r="BD226" t="str">
        <v>WHT1945CNT-AE</v>
      </c>
      <c r="BE226" t="str">
        <v>Wheat Penny</v>
      </c>
      <c r="BF226" t="str">
        <v>Extremely Fine</v>
      </c>
      <c r="BG226" s="225">
        <v>0.01</v>
      </c>
      <c r="BH226" s="225">
        <v>7.0000000000000007E-2</v>
      </c>
      <c r="BI226" s="136">
        <v>1</v>
      </c>
      <c r="BJ226" s="219">
        <v>0</v>
      </c>
      <c r="BK226" s="218">
        <v>0</v>
      </c>
      <c r="BL226" s="136" t="str">
        <f>IF(BA226&lt;&gt;"","A"&amp;MATCH(BD226,CoinCollection!E:E,),"")</f>
        <v>A277</v>
      </c>
    </row>
    <row r="227" spans="14:64">
      <c r="N227" s="136"/>
      <c r="Y227" s="218" t="str">
        <f>IF(O227&lt;&gt;"","A"&amp;MATCH(R227,CoinCollection!E:E,),"")</f>
        <v/>
      </c>
      <c r="AY227" s="136" t="str">
        <f>IF(AN227&lt;&gt;"","A"&amp;MATCH(AQ227,CoinCollection!E:E,),"")</f>
        <v/>
      </c>
      <c r="BA227">
        <v>1945</v>
      </c>
      <c r="BB227" s="218">
        <v>0</v>
      </c>
      <c r="BC227" t="str">
        <v>Penny</v>
      </c>
      <c r="BD227" t="str">
        <v>WHT1945CNT-AF</v>
      </c>
      <c r="BE227" t="str">
        <v>Wheat Penny</v>
      </c>
      <c r="BF227" t="str">
        <v>Extremely Fine</v>
      </c>
      <c r="BG227" s="225">
        <v>0.01</v>
      </c>
      <c r="BH227" s="225">
        <v>7.0000000000000007E-2</v>
      </c>
      <c r="BI227" s="136">
        <v>1</v>
      </c>
      <c r="BJ227" s="219">
        <v>0</v>
      </c>
      <c r="BK227" s="218">
        <v>0</v>
      </c>
      <c r="BL227" s="136" t="str">
        <f>IF(BA227&lt;&gt;"","A"&amp;MATCH(BD227,CoinCollection!E:E,),"")</f>
        <v>A278</v>
      </c>
    </row>
    <row r="228" spans="14:64">
      <c r="N228" s="136"/>
      <c r="Y228" s="218" t="str">
        <f>IF(O228&lt;&gt;"","A"&amp;MATCH(R228,CoinCollection!E:E,),"")</f>
        <v/>
      </c>
      <c r="AY228" s="136" t="str">
        <f>IF(AN228&lt;&gt;"","A"&amp;MATCH(AQ228,CoinCollection!E:E,),"")</f>
        <v/>
      </c>
      <c r="BA228">
        <v>1945</v>
      </c>
      <c r="BB228" s="218">
        <v>0</v>
      </c>
      <c r="BC228" t="str">
        <v>Penny</v>
      </c>
      <c r="BD228" t="str">
        <v>WHT1945CNT-AG</v>
      </c>
      <c r="BE228" t="str">
        <v>Wheat Penny</v>
      </c>
      <c r="BF228" t="str">
        <v>Extremely Fine</v>
      </c>
      <c r="BG228" s="225">
        <v>0.01</v>
      </c>
      <c r="BH228" s="225">
        <v>0.08</v>
      </c>
      <c r="BI228" s="136">
        <v>1</v>
      </c>
      <c r="BJ228" s="219">
        <v>0</v>
      </c>
      <c r="BK228" s="218">
        <v>0</v>
      </c>
      <c r="BL228" s="136" t="str">
        <f>IF(BA228&lt;&gt;"","A"&amp;MATCH(BD228,CoinCollection!E:E,),"")</f>
        <v>A279</v>
      </c>
    </row>
    <row r="229" spans="14:64">
      <c r="N229" s="136"/>
      <c r="Y229" s="218" t="str">
        <f>IF(O229&lt;&gt;"","A"&amp;MATCH(R229,CoinCollection!E:E,),"")</f>
        <v/>
      </c>
      <c r="AY229" s="136" t="str">
        <f>IF(AN229&lt;&gt;"","A"&amp;MATCH(AQ229,CoinCollection!E:E,),"")</f>
        <v/>
      </c>
      <c r="BA229">
        <v>1945</v>
      </c>
      <c r="BB229" s="218">
        <v>0</v>
      </c>
      <c r="BC229" t="str">
        <v>Penny</v>
      </c>
      <c r="BD229" t="str">
        <v>WHT1945CNT-AH</v>
      </c>
      <c r="BE229" t="str">
        <v>Wheat Penny</v>
      </c>
      <c r="BF229" t="str">
        <v>Extremely Fine</v>
      </c>
      <c r="BG229" s="225">
        <v>0.01</v>
      </c>
      <c r="BH229" s="225">
        <v>0.08</v>
      </c>
      <c r="BI229" s="136">
        <v>1</v>
      </c>
      <c r="BJ229" s="219">
        <v>0</v>
      </c>
      <c r="BK229" s="218">
        <v>0</v>
      </c>
      <c r="BL229" s="136" t="str">
        <f>IF(BA229&lt;&gt;"","A"&amp;MATCH(BD229,CoinCollection!E:E,),"")</f>
        <v>A280</v>
      </c>
    </row>
    <row r="230" spans="14:64">
      <c r="N230" s="136"/>
      <c r="Y230" s="218" t="str">
        <f>IF(O230&lt;&gt;"","A"&amp;MATCH(R230,CoinCollection!E:E,),"")</f>
        <v/>
      </c>
      <c r="AY230" s="136" t="str">
        <f>IF(AN230&lt;&gt;"","A"&amp;MATCH(AQ230,CoinCollection!E:E,),"")</f>
        <v/>
      </c>
      <c r="BA230">
        <v>1945</v>
      </c>
      <c r="BB230" s="218" t="str">
        <v>D</v>
      </c>
      <c r="BC230" t="str">
        <v>Penny</v>
      </c>
      <c r="BD230" t="str">
        <v>WHT1945CNT-AI</v>
      </c>
      <c r="BE230" t="str">
        <v>Wheat Penny</v>
      </c>
      <c r="BF230" t="str">
        <v>Extremely Fine</v>
      </c>
      <c r="BG230" s="225">
        <v>0.01</v>
      </c>
      <c r="BH230" s="225">
        <v>0.1</v>
      </c>
      <c r="BI230" s="136">
        <v>1</v>
      </c>
      <c r="BJ230" s="219">
        <v>0</v>
      </c>
      <c r="BK230" s="218">
        <v>0</v>
      </c>
      <c r="BL230" s="136" t="str">
        <f>IF(BA230&lt;&gt;"","A"&amp;MATCH(BD230,CoinCollection!E:E,),"")</f>
        <v>A281</v>
      </c>
    </row>
    <row r="231" spans="14:64">
      <c r="N231" s="136"/>
      <c r="Y231" s="218" t="str">
        <f>IF(O231&lt;&gt;"","A"&amp;MATCH(R231,CoinCollection!E:E,),"")</f>
        <v/>
      </c>
      <c r="AY231" s="136" t="str">
        <f>IF(AN231&lt;&gt;"","A"&amp;MATCH(AQ231,CoinCollection!E:E,),"")</f>
        <v/>
      </c>
      <c r="BA231">
        <v>1945</v>
      </c>
      <c r="BB231" s="218" t="str">
        <v>S</v>
      </c>
      <c r="BC231" t="str">
        <v>Penny</v>
      </c>
      <c r="BD231" t="str">
        <v>WHT1945CNT-AJ</v>
      </c>
      <c r="BE231" t="str">
        <v>Wheat Penny</v>
      </c>
      <c r="BF231" t="str">
        <v>Extremely Fine</v>
      </c>
      <c r="BG231" s="225">
        <v>0.01</v>
      </c>
      <c r="BH231" s="225">
        <v>7.0000000000000007E-2</v>
      </c>
      <c r="BI231" s="136">
        <v>1</v>
      </c>
      <c r="BJ231" s="219">
        <v>0</v>
      </c>
      <c r="BK231" s="218">
        <v>0</v>
      </c>
      <c r="BL231" s="136" t="str">
        <f>IF(BA231&lt;&gt;"","A"&amp;MATCH(BD231,CoinCollection!E:E,),"")</f>
        <v>A282</v>
      </c>
    </row>
    <row r="232" spans="14:64">
      <c r="N232" s="136"/>
      <c r="Y232" s="218" t="str">
        <f>IF(O232&lt;&gt;"","A"&amp;MATCH(R232,CoinCollection!E:E,),"")</f>
        <v/>
      </c>
      <c r="AY232" s="136" t="str">
        <f>IF(AN232&lt;&gt;"","A"&amp;MATCH(AQ232,CoinCollection!E:E,),"")</f>
        <v/>
      </c>
      <c r="BA232">
        <v>1945</v>
      </c>
      <c r="BB232" s="218">
        <v>0</v>
      </c>
      <c r="BC232" t="str">
        <v>Penny</v>
      </c>
      <c r="BD232" t="str">
        <v>WHT1945CNT-AK</v>
      </c>
      <c r="BE232" t="str">
        <v>Wheat Penny</v>
      </c>
      <c r="BF232" t="str">
        <v>Extremely Fine</v>
      </c>
      <c r="BG232" s="225">
        <v>0.01</v>
      </c>
      <c r="BH232" s="225">
        <v>7.0000000000000007E-2</v>
      </c>
      <c r="BI232" s="136">
        <v>1</v>
      </c>
      <c r="BJ232" s="219">
        <v>0</v>
      </c>
      <c r="BK232" s="218">
        <v>0</v>
      </c>
      <c r="BL232" s="136" t="str">
        <f>IF(BA232&lt;&gt;"","A"&amp;MATCH(BD232,CoinCollection!E:E,),"")</f>
        <v>A283</v>
      </c>
    </row>
    <row r="233" spans="14:64">
      <c r="N233" s="136"/>
      <c r="Y233" s="218" t="str">
        <f>IF(O233&lt;&gt;"","A"&amp;MATCH(R233,CoinCollection!E:E,),"")</f>
        <v/>
      </c>
      <c r="AY233" s="136" t="str">
        <f>IF(AN233&lt;&gt;"","A"&amp;MATCH(AQ233,CoinCollection!E:E,),"")</f>
        <v/>
      </c>
      <c r="BA233">
        <v>1945</v>
      </c>
      <c r="BB233" s="218">
        <v>0</v>
      </c>
      <c r="BC233" t="str">
        <v>Penny</v>
      </c>
      <c r="BD233" t="str">
        <v>WHT1945CNT-AL</v>
      </c>
      <c r="BE233" t="str">
        <v>Wheat Penny</v>
      </c>
      <c r="BF233" t="str">
        <v>Extremely Fine</v>
      </c>
      <c r="BG233" s="225">
        <v>0.01</v>
      </c>
      <c r="BH233" s="225">
        <v>7.0000000000000007E-2</v>
      </c>
      <c r="BI233" s="136">
        <v>1</v>
      </c>
      <c r="BJ233" s="219">
        <v>0</v>
      </c>
      <c r="BK233" s="218">
        <v>0</v>
      </c>
      <c r="BL233" s="136" t="str">
        <f>IF(BA233&lt;&gt;"","A"&amp;MATCH(BD233,CoinCollection!E:E,),"")</f>
        <v>A284</v>
      </c>
    </row>
    <row r="234" spans="14:64">
      <c r="N234" s="136"/>
      <c r="Y234" s="218" t="str">
        <f>IF(O234&lt;&gt;"","A"&amp;MATCH(R234,CoinCollection!E:E,),"")</f>
        <v/>
      </c>
      <c r="AY234" s="136" t="str">
        <f>IF(AN234&lt;&gt;"","A"&amp;MATCH(AQ234,CoinCollection!E:E,),"")</f>
        <v/>
      </c>
      <c r="BA234">
        <v>1945</v>
      </c>
      <c r="BB234" s="218">
        <v>0</v>
      </c>
      <c r="BC234" t="str">
        <v>Penny</v>
      </c>
      <c r="BD234" t="str">
        <v>WHT1945CNT-AM</v>
      </c>
      <c r="BE234" t="str">
        <v>Wheat Penny</v>
      </c>
      <c r="BF234" t="str">
        <v>Extremely Fine</v>
      </c>
      <c r="BG234" s="225">
        <v>0.01</v>
      </c>
      <c r="BH234" s="225">
        <v>0.01</v>
      </c>
      <c r="BI234" s="136">
        <v>1</v>
      </c>
      <c r="BJ234" s="219">
        <v>0</v>
      </c>
      <c r="BK234" s="218">
        <v>0</v>
      </c>
      <c r="BL234" s="136" t="str">
        <f>IF(BA234&lt;&gt;"","A"&amp;MATCH(BD234,CoinCollection!E:E,),"")</f>
        <v>A285</v>
      </c>
    </row>
    <row r="235" spans="14:64">
      <c r="N235" s="136"/>
      <c r="Y235" s="218" t="str">
        <f>IF(O235&lt;&gt;"","A"&amp;MATCH(R235,CoinCollection!E:E,),"")</f>
        <v/>
      </c>
      <c r="AY235" s="136" t="str">
        <f>IF(AN235&lt;&gt;"","A"&amp;MATCH(AQ235,CoinCollection!E:E,),"")</f>
        <v/>
      </c>
      <c r="BA235">
        <v>1945</v>
      </c>
      <c r="BB235" s="218">
        <v>0</v>
      </c>
      <c r="BC235" t="str">
        <v>Penny</v>
      </c>
      <c r="BD235" t="str">
        <v>WHT1945CNT-AN</v>
      </c>
      <c r="BE235" t="str">
        <v>Wheat Penny</v>
      </c>
      <c r="BF235" t="str">
        <v>Extremely Fine</v>
      </c>
      <c r="BG235" s="225">
        <v>0.01</v>
      </c>
      <c r="BH235" s="225">
        <v>0.01</v>
      </c>
      <c r="BI235" s="136">
        <v>1</v>
      </c>
      <c r="BJ235" s="219">
        <v>0</v>
      </c>
      <c r="BK235" s="218">
        <v>0</v>
      </c>
      <c r="BL235" s="136" t="str">
        <f>IF(BA235&lt;&gt;"","A"&amp;MATCH(BD235,CoinCollection!E:E,),"")</f>
        <v>A286</v>
      </c>
    </row>
    <row r="236" spans="14:64">
      <c r="N236" s="136"/>
      <c r="Y236" s="218" t="str">
        <f>IF(O236&lt;&gt;"","A"&amp;MATCH(R236,CoinCollection!E:E,),"")</f>
        <v/>
      </c>
      <c r="AY236" s="136" t="str">
        <f>IF(AN236&lt;&gt;"","A"&amp;MATCH(AQ236,CoinCollection!E:E,),"")</f>
        <v/>
      </c>
      <c r="BA236">
        <v>1945</v>
      </c>
      <c r="BB236" s="218">
        <v>0</v>
      </c>
      <c r="BC236" t="str">
        <v>Penny</v>
      </c>
      <c r="BD236" t="str">
        <v>WHT1945CNT-AO</v>
      </c>
      <c r="BE236" t="str">
        <v>Wheat Penny</v>
      </c>
      <c r="BF236" t="str">
        <v>Extremely Fine</v>
      </c>
      <c r="BG236" s="225">
        <v>0.01</v>
      </c>
      <c r="BH236" s="225">
        <v>0.01</v>
      </c>
      <c r="BI236" s="136">
        <v>1</v>
      </c>
      <c r="BJ236" s="219">
        <v>0</v>
      </c>
      <c r="BK236" s="218">
        <v>0</v>
      </c>
      <c r="BL236" s="136" t="str">
        <f>IF(BA236&lt;&gt;"","A"&amp;MATCH(BD236,CoinCollection!E:E,),"")</f>
        <v>A287</v>
      </c>
    </row>
    <row r="237" spans="14:64">
      <c r="N237" s="136"/>
      <c r="Y237" s="218" t="str">
        <f>IF(O237&lt;&gt;"","A"&amp;MATCH(R237,CoinCollection!E:E,),"")</f>
        <v/>
      </c>
      <c r="AY237" s="136" t="str">
        <f>IF(AN237&lt;&gt;"","A"&amp;MATCH(AQ237,CoinCollection!E:E,),"")</f>
        <v/>
      </c>
      <c r="BA237">
        <v>1945</v>
      </c>
      <c r="BB237" s="218" t="str">
        <v>S</v>
      </c>
      <c r="BC237" t="str">
        <v>Penny</v>
      </c>
      <c r="BD237" t="str">
        <v>WHT1945CNT-AP</v>
      </c>
      <c r="BE237" t="str">
        <v>Wheat Penny</v>
      </c>
      <c r="BF237" t="str">
        <v>Extremely Fine</v>
      </c>
      <c r="BG237" s="225">
        <v>0.01</v>
      </c>
      <c r="BH237" s="225">
        <v>0.01</v>
      </c>
      <c r="BI237" s="136">
        <v>1</v>
      </c>
      <c r="BJ237" s="219">
        <v>0</v>
      </c>
      <c r="BK237" s="218">
        <v>0</v>
      </c>
      <c r="BL237" s="136" t="str">
        <f>IF(BA237&lt;&gt;"","A"&amp;MATCH(BD237,CoinCollection!E:E,),"")</f>
        <v>A288</v>
      </c>
    </row>
    <row r="238" spans="14:64">
      <c r="N238" s="136"/>
      <c r="Y238" s="218" t="str">
        <f>IF(O238&lt;&gt;"","A"&amp;MATCH(R238,CoinCollection!E:E,),"")</f>
        <v/>
      </c>
      <c r="AY238" s="136" t="str">
        <f>IF(AN238&lt;&gt;"","A"&amp;MATCH(AQ238,CoinCollection!E:E,),"")</f>
        <v/>
      </c>
      <c r="BA238">
        <v>1946</v>
      </c>
      <c r="BB238" s="218">
        <v>0</v>
      </c>
      <c r="BC238" t="str">
        <v>Penny</v>
      </c>
      <c r="BD238" t="str">
        <v>WHT1946CNT-AA</v>
      </c>
      <c r="BE238" t="str">
        <v>Wheat Penny</v>
      </c>
      <c r="BF238" t="str">
        <v>Extremely Fine</v>
      </c>
      <c r="BG238" s="225">
        <v>0.01</v>
      </c>
      <c r="BH238" s="225">
        <v>0.1</v>
      </c>
      <c r="BI238" s="136">
        <v>1</v>
      </c>
      <c r="BJ238" s="219">
        <v>0</v>
      </c>
      <c r="BK238" s="218">
        <v>0</v>
      </c>
      <c r="BL238" s="136" t="str">
        <f>IF(BA238&lt;&gt;"","A"&amp;MATCH(BD238,CoinCollection!E:E,),"")</f>
        <v>A289</v>
      </c>
    </row>
    <row r="239" spans="14:64">
      <c r="N239" s="136"/>
      <c r="Y239" s="218" t="str">
        <f>IF(O239&lt;&gt;"","A"&amp;MATCH(R239,CoinCollection!E:E,),"")</f>
        <v/>
      </c>
      <c r="AY239" s="136" t="str">
        <f>IF(AN239&lt;&gt;"","A"&amp;MATCH(AQ239,CoinCollection!E:E,),"")</f>
        <v/>
      </c>
      <c r="BA239">
        <v>1946</v>
      </c>
      <c r="BB239" s="218">
        <v>0</v>
      </c>
      <c r="BC239" t="str">
        <v>Penny</v>
      </c>
      <c r="BD239" t="str">
        <v>WHT1946CNT-AB</v>
      </c>
      <c r="BE239" t="str">
        <v>Wheat Penny</v>
      </c>
      <c r="BF239" t="str">
        <v>Extremely Fine</v>
      </c>
      <c r="BG239" s="225">
        <v>0.01</v>
      </c>
      <c r="BH239" s="225">
        <v>0.08</v>
      </c>
      <c r="BI239" s="136">
        <v>1</v>
      </c>
      <c r="BJ239" s="219">
        <v>0</v>
      </c>
      <c r="BK239" s="218">
        <v>0</v>
      </c>
      <c r="BL239" s="136" t="str">
        <f>IF(BA239&lt;&gt;"","A"&amp;MATCH(BD239,CoinCollection!E:E,),"")</f>
        <v>A290</v>
      </c>
    </row>
    <row r="240" spans="14:64">
      <c r="N240" s="136"/>
      <c r="Y240" s="218" t="str">
        <f>IF(O240&lt;&gt;"","A"&amp;MATCH(R240,CoinCollection!E:E,),"")</f>
        <v/>
      </c>
      <c r="AY240" s="136" t="str">
        <f>IF(AN240&lt;&gt;"","A"&amp;MATCH(AQ240,CoinCollection!E:E,),"")</f>
        <v/>
      </c>
      <c r="BA240">
        <v>1946</v>
      </c>
      <c r="BB240" s="218">
        <v>0</v>
      </c>
      <c r="BC240" t="str">
        <v>Penny</v>
      </c>
      <c r="BD240" t="str">
        <v>WHT1946CNT-AC</v>
      </c>
      <c r="BE240" t="str">
        <v>Wheat Penny</v>
      </c>
      <c r="BF240" t="str">
        <v>Extremely Fine</v>
      </c>
      <c r="BG240" s="225">
        <v>0.01</v>
      </c>
      <c r="BH240" s="225">
        <v>0.08</v>
      </c>
      <c r="BI240" s="136">
        <v>1</v>
      </c>
      <c r="BJ240" s="219">
        <v>0</v>
      </c>
      <c r="BK240" s="218">
        <v>0</v>
      </c>
      <c r="BL240" s="136" t="str">
        <f>IF(BA240&lt;&gt;"","A"&amp;MATCH(BD240,CoinCollection!E:E,),"")</f>
        <v>A291</v>
      </c>
    </row>
    <row r="241" spans="14:64">
      <c r="N241" s="136"/>
      <c r="Y241" s="218" t="str">
        <f>IF(O241&lt;&gt;"","A"&amp;MATCH(R241,CoinCollection!E:E,),"")</f>
        <v/>
      </c>
      <c r="AY241" s="136" t="str">
        <f>IF(AN241&lt;&gt;"","A"&amp;MATCH(AQ241,CoinCollection!E:E,),"")</f>
        <v/>
      </c>
      <c r="BA241">
        <v>1946</v>
      </c>
      <c r="BB241" s="218">
        <v>0</v>
      </c>
      <c r="BC241" t="str">
        <v>Penny</v>
      </c>
      <c r="BD241" t="str">
        <v>WHT1946CNT-AD</v>
      </c>
      <c r="BE241" t="str">
        <v>Wheat Penny</v>
      </c>
      <c r="BF241" t="str">
        <v>Extremely Fine</v>
      </c>
      <c r="BG241" s="225">
        <v>0.01</v>
      </c>
      <c r="BH241" s="225">
        <v>0.08</v>
      </c>
      <c r="BI241" s="136">
        <v>1</v>
      </c>
      <c r="BJ241" s="219">
        <v>0</v>
      </c>
      <c r="BK241" s="218">
        <v>0</v>
      </c>
      <c r="BL241" s="136" t="str">
        <f>IF(BA241&lt;&gt;"","A"&amp;MATCH(BD241,CoinCollection!E:E,),"")</f>
        <v>A292</v>
      </c>
    </row>
    <row r="242" spans="14:64">
      <c r="N242" s="136"/>
      <c r="Y242" s="218" t="str">
        <f>IF(O242&lt;&gt;"","A"&amp;MATCH(R242,CoinCollection!E:E,),"")</f>
        <v/>
      </c>
      <c r="AY242" s="136" t="str">
        <f>IF(AN242&lt;&gt;"","A"&amp;MATCH(AQ242,CoinCollection!E:E,),"")</f>
        <v/>
      </c>
      <c r="BA242">
        <v>1946</v>
      </c>
      <c r="BB242" s="218">
        <v>0</v>
      </c>
      <c r="BC242" t="str">
        <v>Penny</v>
      </c>
      <c r="BD242" t="str">
        <v>WHT1946CNT-AE</v>
      </c>
      <c r="BE242" t="str">
        <v>Wheat Penny</v>
      </c>
      <c r="BF242" t="str">
        <v>Extremely Fine</v>
      </c>
      <c r="BG242" s="225">
        <v>0.01</v>
      </c>
      <c r="BH242" s="225">
        <v>0.09</v>
      </c>
      <c r="BI242" s="136">
        <v>1</v>
      </c>
      <c r="BJ242" s="219">
        <v>0</v>
      </c>
      <c r="BK242" s="218">
        <v>0</v>
      </c>
      <c r="BL242" s="136" t="str">
        <f>IF(BA242&lt;&gt;"","A"&amp;MATCH(BD242,CoinCollection!E:E,),"")</f>
        <v>A293</v>
      </c>
    </row>
    <row r="243" spans="14:64">
      <c r="N243" s="136"/>
      <c r="Y243" s="218" t="str">
        <f>IF(O243&lt;&gt;"","A"&amp;MATCH(R243,CoinCollection!E:E,),"")</f>
        <v/>
      </c>
      <c r="AY243" s="136" t="str">
        <f>IF(AN243&lt;&gt;"","A"&amp;MATCH(AQ243,CoinCollection!E:E,),"")</f>
        <v/>
      </c>
      <c r="BA243">
        <v>1946</v>
      </c>
      <c r="BB243" s="218">
        <v>0</v>
      </c>
      <c r="BC243" t="str">
        <v>Penny</v>
      </c>
      <c r="BD243" t="str">
        <v>WHT1946CNT-AF</v>
      </c>
      <c r="BE243" t="str">
        <v>Wheat Penny</v>
      </c>
      <c r="BF243" t="str">
        <v>Extremely Fine</v>
      </c>
      <c r="BG243" s="225">
        <v>0.01</v>
      </c>
      <c r="BH243" s="225">
        <v>0.08</v>
      </c>
      <c r="BI243" s="136">
        <v>1</v>
      </c>
      <c r="BJ243" s="219">
        <v>0</v>
      </c>
      <c r="BK243" s="218">
        <v>0</v>
      </c>
      <c r="BL243" s="136" t="str">
        <f>IF(BA243&lt;&gt;"","A"&amp;MATCH(BD243,CoinCollection!E:E,),"")</f>
        <v>A294</v>
      </c>
    </row>
    <row r="244" spans="14:64">
      <c r="N244" s="136"/>
      <c r="Y244" s="218" t="str">
        <f>IF(O244&lt;&gt;"","A"&amp;MATCH(R244,CoinCollection!E:E,),"")</f>
        <v/>
      </c>
      <c r="AY244" s="136" t="str">
        <f>IF(AN244&lt;&gt;"","A"&amp;MATCH(AQ244,CoinCollection!E:E,),"")</f>
        <v/>
      </c>
      <c r="BA244">
        <v>1946</v>
      </c>
      <c r="BB244" s="218" t="str">
        <v>D</v>
      </c>
      <c r="BC244" t="str">
        <v>Penny</v>
      </c>
      <c r="BD244" t="str">
        <v>WHT1946CNT-AG</v>
      </c>
      <c r="BE244" t="str">
        <v>Wheat Penny</v>
      </c>
      <c r="BF244" t="str">
        <v>Extremely Fine</v>
      </c>
      <c r="BG244" s="225">
        <v>0.01</v>
      </c>
      <c r="BH244" s="225">
        <v>0.08</v>
      </c>
      <c r="BI244" s="136">
        <v>1</v>
      </c>
      <c r="BJ244" s="219">
        <v>0</v>
      </c>
      <c r="BK244" s="218">
        <v>0</v>
      </c>
      <c r="BL244" s="136" t="str">
        <f>IF(BA244&lt;&gt;"","A"&amp;MATCH(BD244,CoinCollection!E:E,),"")</f>
        <v>A295</v>
      </c>
    </row>
    <row r="245" spans="14:64">
      <c r="N245" s="136"/>
      <c r="Y245" s="218" t="str">
        <f>IF(O245&lt;&gt;"","A"&amp;MATCH(R245,CoinCollection!E:E,),"")</f>
        <v/>
      </c>
      <c r="AY245" s="136" t="str">
        <f>IF(AN245&lt;&gt;"","A"&amp;MATCH(AQ245,CoinCollection!E:E,),"")</f>
        <v/>
      </c>
      <c r="BA245">
        <v>1946</v>
      </c>
      <c r="BB245" s="218" t="str">
        <v>D</v>
      </c>
      <c r="BC245" t="str">
        <v>Penny</v>
      </c>
      <c r="BD245" t="str">
        <v>WHT1946CNT-AH</v>
      </c>
      <c r="BE245" t="str">
        <v>Wheat Penny</v>
      </c>
      <c r="BF245" t="str">
        <v>Extremely Fine</v>
      </c>
      <c r="BG245" s="225">
        <v>0.01</v>
      </c>
      <c r="BH245" s="225">
        <v>0.08</v>
      </c>
      <c r="BI245" s="136">
        <v>1</v>
      </c>
      <c r="BJ245" s="219">
        <v>0</v>
      </c>
      <c r="BK245" s="218">
        <v>0</v>
      </c>
      <c r="BL245" s="136" t="str">
        <f>IF(BA245&lt;&gt;"","A"&amp;MATCH(BD245,CoinCollection!E:E,),"")</f>
        <v>A296</v>
      </c>
    </row>
    <row r="246" spans="14:64">
      <c r="N246" s="136"/>
      <c r="Y246" s="218" t="str">
        <f>IF(O246&lt;&gt;"","A"&amp;MATCH(R246,CoinCollection!E:E,),"")</f>
        <v/>
      </c>
      <c r="AY246" s="136" t="str">
        <f>IF(AN246&lt;&gt;"","A"&amp;MATCH(AQ246,CoinCollection!E:E,),"")</f>
        <v/>
      </c>
      <c r="BA246">
        <v>1946</v>
      </c>
      <c r="BB246" s="218" t="str">
        <v>S</v>
      </c>
      <c r="BC246" t="str">
        <v>Penny</v>
      </c>
      <c r="BD246" t="str">
        <v>WHT1946CNT-AI</v>
      </c>
      <c r="BE246" t="str">
        <v>Wheat Penny</v>
      </c>
      <c r="BF246" t="str">
        <v>Extremely Fine</v>
      </c>
      <c r="BG246" s="225">
        <v>0.01</v>
      </c>
      <c r="BH246" s="225">
        <v>0.1</v>
      </c>
      <c r="BI246" s="136">
        <v>1</v>
      </c>
      <c r="BJ246" s="219">
        <v>0</v>
      </c>
      <c r="BK246" s="218">
        <v>0</v>
      </c>
      <c r="BL246" s="136" t="str">
        <f>IF(BA246&lt;&gt;"","A"&amp;MATCH(BD246,CoinCollection!E:E,),"")</f>
        <v>A297</v>
      </c>
    </row>
    <row r="247" spans="14:64">
      <c r="N247" s="136"/>
      <c r="Y247" s="218" t="str">
        <f>IF(O247&lt;&gt;"","A"&amp;MATCH(R247,CoinCollection!E:E,),"")</f>
        <v/>
      </c>
      <c r="AY247" s="136" t="str">
        <f>IF(AN247&lt;&gt;"","A"&amp;MATCH(AQ247,CoinCollection!E:E,),"")</f>
        <v/>
      </c>
      <c r="BA247">
        <v>1946</v>
      </c>
      <c r="BB247" s="218" t="str">
        <v>S</v>
      </c>
      <c r="BC247" t="str">
        <v>Penny</v>
      </c>
      <c r="BD247" t="str">
        <v>WHT1946CNT-AJ</v>
      </c>
      <c r="BE247" t="str">
        <v>Wheat Penny</v>
      </c>
      <c r="BF247" t="str">
        <v>Extremely Fine</v>
      </c>
      <c r="BG247" s="225">
        <v>0.01</v>
      </c>
      <c r="BH247" s="225">
        <v>0.1</v>
      </c>
      <c r="BI247" s="136">
        <v>1</v>
      </c>
      <c r="BJ247" s="219">
        <v>0</v>
      </c>
      <c r="BK247" s="218">
        <v>0</v>
      </c>
      <c r="BL247" s="136" t="str">
        <f>IF(BA247&lt;&gt;"","A"&amp;MATCH(BD247,CoinCollection!E:E,),"")</f>
        <v>A298</v>
      </c>
    </row>
    <row r="248" spans="14:64">
      <c r="N248" s="136"/>
      <c r="Y248" s="218" t="str">
        <f>IF(O248&lt;&gt;"","A"&amp;MATCH(R248,CoinCollection!E:E,),"")</f>
        <v/>
      </c>
      <c r="AY248" s="136" t="str">
        <f>IF(AN248&lt;&gt;"","A"&amp;MATCH(AQ248,CoinCollection!E:E,),"")</f>
        <v/>
      </c>
      <c r="BA248">
        <v>1946</v>
      </c>
      <c r="BB248" s="218">
        <v>0</v>
      </c>
      <c r="BC248" t="str">
        <v>Penny</v>
      </c>
      <c r="BD248" t="str">
        <v>WHT1946CNT-AK</v>
      </c>
      <c r="BE248" t="str">
        <v>Wheat Penny</v>
      </c>
      <c r="BF248" t="str">
        <v>Extremely Fine</v>
      </c>
      <c r="BG248" s="225">
        <v>0.01</v>
      </c>
      <c r="BH248" s="225">
        <v>0.1</v>
      </c>
      <c r="BI248" s="136">
        <v>1</v>
      </c>
      <c r="BJ248" s="219">
        <v>0</v>
      </c>
      <c r="BK248" s="218">
        <v>0</v>
      </c>
      <c r="BL248" s="136" t="str">
        <f>IF(BA248&lt;&gt;"","A"&amp;MATCH(BD248,CoinCollection!E:E,),"")</f>
        <v>A299</v>
      </c>
    </row>
    <row r="249" spans="14:64">
      <c r="N249" s="136"/>
      <c r="Y249" s="218" t="str">
        <f>IF(O249&lt;&gt;"","A"&amp;MATCH(R249,CoinCollection!E:E,),"")</f>
        <v/>
      </c>
      <c r="AY249" s="136" t="str">
        <f>IF(AN249&lt;&gt;"","A"&amp;MATCH(AQ249,CoinCollection!E:E,),"")</f>
        <v/>
      </c>
      <c r="BA249">
        <v>1946</v>
      </c>
      <c r="BB249" s="218">
        <v>0</v>
      </c>
      <c r="BC249" t="str">
        <v>Penny</v>
      </c>
      <c r="BD249" t="str">
        <v>WHT1946CNT-AL</v>
      </c>
      <c r="BE249" t="str">
        <v>Wheat Penny</v>
      </c>
      <c r="BF249" t="str">
        <v>Extremely Fine</v>
      </c>
      <c r="BG249" s="225">
        <v>0.01</v>
      </c>
      <c r="BH249" s="225">
        <v>0.1</v>
      </c>
      <c r="BI249" s="136">
        <v>1</v>
      </c>
      <c r="BJ249" s="219">
        <v>0</v>
      </c>
      <c r="BK249" s="218">
        <v>0</v>
      </c>
      <c r="BL249" s="136" t="str">
        <f>IF(BA249&lt;&gt;"","A"&amp;MATCH(BD249,CoinCollection!E:E,),"")</f>
        <v>A300</v>
      </c>
    </row>
    <row r="250" spans="14:64">
      <c r="N250" s="136"/>
      <c r="Y250" s="218" t="str">
        <f>IF(O250&lt;&gt;"","A"&amp;MATCH(R250,CoinCollection!E:E,),"")</f>
        <v/>
      </c>
      <c r="AY250" s="136" t="str">
        <f>IF(AN250&lt;&gt;"","A"&amp;MATCH(AQ250,CoinCollection!E:E,),"")</f>
        <v/>
      </c>
      <c r="BA250">
        <v>1946</v>
      </c>
      <c r="BB250" s="218">
        <v>0</v>
      </c>
      <c r="BC250" t="str">
        <v>Penny</v>
      </c>
      <c r="BD250" t="str">
        <v>WHT1946CNT-AM</v>
      </c>
      <c r="BE250" t="str">
        <v>Wheat Penny</v>
      </c>
      <c r="BF250" t="str">
        <v>Extremely Fine</v>
      </c>
      <c r="BG250" s="225">
        <v>0.01</v>
      </c>
      <c r="BH250" s="225">
        <v>0.1</v>
      </c>
      <c r="BI250" s="136">
        <v>1</v>
      </c>
      <c r="BJ250" s="219">
        <v>0</v>
      </c>
      <c r="BK250" s="218">
        <v>0</v>
      </c>
      <c r="BL250" s="136" t="str">
        <f>IF(BA250&lt;&gt;"","A"&amp;MATCH(BD250,CoinCollection!E:E,),"")</f>
        <v>A301</v>
      </c>
    </row>
    <row r="251" spans="14:64">
      <c r="N251" s="136"/>
      <c r="Y251" s="218" t="str">
        <f>IF(O251&lt;&gt;"","A"&amp;MATCH(R251,CoinCollection!E:E,),"")</f>
        <v/>
      </c>
      <c r="AY251" s="136" t="str">
        <f>IF(AN251&lt;&gt;"","A"&amp;MATCH(AQ251,CoinCollection!E:E,),"")</f>
        <v/>
      </c>
      <c r="BA251">
        <v>1946</v>
      </c>
      <c r="BB251" s="218">
        <v>0</v>
      </c>
      <c r="BC251" t="str">
        <v>Penny</v>
      </c>
      <c r="BD251" t="str">
        <v>WHT1946CNT-AN</v>
      </c>
      <c r="BE251" t="str">
        <v>Wheat Penny</v>
      </c>
      <c r="BF251" t="str">
        <v>Extremely Fine</v>
      </c>
      <c r="BG251" s="225">
        <v>0.01</v>
      </c>
      <c r="BH251" s="225">
        <v>0.1</v>
      </c>
      <c r="BI251" s="136">
        <v>1</v>
      </c>
      <c r="BJ251" s="219">
        <v>0</v>
      </c>
      <c r="BK251" s="218">
        <v>0</v>
      </c>
      <c r="BL251" s="136" t="str">
        <f>IF(BA251&lt;&gt;"","A"&amp;MATCH(BD251,CoinCollection!E:E,),"")</f>
        <v>A302</v>
      </c>
    </row>
    <row r="252" spans="14:64">
      <c r="N252" s="136"/>
      <c r="Y252" s="218" t="str">
        <f>IF(O252&lt;&gt;"","A"&amp;MATCH(R252,CoinCollection!E:E,),"")</f>
        <v/>
      </c>
      <c r="AY252" s="136" t="str">
        <f>IF(AN252&lt;&gt;"","A"&amp;MATCH(AQ252,CoinCollection!E:E,),"")</f>
        <v/>
      </c>
      <c r="BA252">
        <v>1946</v>
      </c>
      <c r="BB252" s="218">
        <v>0</v>
      </c>
      <c r="BC252" t="str">
        <v>Penny</v>
      </c>
      <c r="BD252" t="str">
        <v>WHT1946CNT-AO</v>
      </c>
      <c r="BE252" t="str">
        <v>Wheat Penny</v>
      </c>
      <c r="BF252" t="str">
        <v>Extremely Fine</v>
      </c>
      <c r="BG252" s="225">
        <v>0.01</v>
      </c>
      <c r="BH252" s="225">
        <v>0.1</v>
      </c>
      <c r="BI252" s="136">
        <v>1</v>
      </c>
      <c r="BJ252" s="219">
        <v>0</v>
      </c>
      <c r="BK252" s="218">
        <v>0</v>
      </c>
      <c r="BL252" s="136" t="str">
        <f>IF(BA252&lt;&gt;"","A"&amp;MATCH(BD252,CoinCollection!E:E,),"")</f>
        <v>A303</v>
      </c>
    </row>
    <row r="253" spans="14:64">
      <c r="N253" s="136"/>
      <c r="Y253" s="218" t="str">
        <f>IF(O253&lt;&gt;"","A"&amp;MATCH(R253,CoinCollection!E:E,),"")</f>
        <v/>
      </c>
      <c r="AY253" s="136" t="str">
        <f>IF(AN253&lt;&gt;"","A"&amp;MATCH(AQ253,CoinCollection!E:E,),"")</f>
        <v/>
      </c>
      <c r="BA253">
        <v>1946</v>
      </c>
      <c r="BB253" s="218">
        <v>0</v>
      </c>
      <c r="BC253" t="str">
        <v>Penny</v>
      </c>
      <c r="BD253" t="str">
        <v>WHT1946CNT-AP</v>
      </c>
      <c r="BE253" t="str">
        <v>Wheat Penny</v>
      </c>
      <c r="BF253" t="str">
        <v>Extremely Fine</v>
      </c>
      <c r="BG253" s="225">
        <v>0.01</v>
      </c>
      <c r="BH253" s="225">
        <v>0.1</v>
      </c>
      <c r="BI253" s="136">
        <v>1</v>
      </c>
      <c r="BJ253" s="219">
        <v>0</v>
      </c>
      <c r="BK253" s="218">
        <v>0</v>
      </c>
      <c r="BL253" s="136" t="str">
        <f>IF(BA253&lt;&gt;"","A"&amp;MATCH(BD253,CoinCollection!E:E,),"")</f>
        <v>A304</v>
      </c>
    </row>
    <row r="254" spans="14:64">
      <c r="N254" s="136"/>
      <c r="Y254" s="218" t="str">
        <f>IF(O254&lt;&gt;"","A"&amp;MATCH(R254,CoinCollection!E:E,),"")</f>
        <v/>
      </c>
      <c r="AY254" s="136" t="str">
        <f>IF(AN254&lt;&gt;"","A"&amp;MATCH(AQ254,CoinCollection!E:E,),"")</f>
        <v/>
      </c>
      <c r="BA254">
        <v>1946</v>
      </c>
      <c r="BB254" s="218">
        <v>0</v>
      </c>
      <c r="BC254" t="str">
        <v>Penny</v>
      </c>
      <c r="BD254" t="str">
        <v>WHT1946CNT-AQ</v>
      </c>
      <c r="BE254" t="str">
        <v>Wheat Penny</v>
      </c>
      <c r="BF254" t="str">
        <v>Extremely Fine</v>
      </c>
      <c r="BG254" s="225">
        <v>0.01</v>
      </c>
      <c r="BH254" s="225">
        <v>0.1</v>
      </c>
      <c r="BI254" s="136">
        <v>1</v>
      </c>
      <c r="BJ254" s="219">
        <v>0</v>
      </c>
      <c r="BK254" s="218">
        <v>0</v>
      </c>
      <c r="BL254" s="136" t="str">
        <f>IF(BA254&lt;&gt;"","A"&amp;MATCH(BD254,CoinCollection!E:E,),"")</f>
        <v>A305</v>
      </c>
    </row>
    <row r="255" spans="14:64">
      <c r="N255" s="136"/>
      <c r="Y255" s="218" t="str">
        <f>IF(O255&lt;&gt;"","A"&amp;MATCH(R255,CoinCollection!E:E,),"")</f>
        <v/>
      </c>
      <c r="AY255" s="136" t="str">
        <f>IF(AN255&lt;&gt;"","A"&amp;MATCH(AQ255,CoinCollection!E:E,),"")</f>
        <v/>
      </c>
      <c r="BA255">
        <v>1946</v>
      </c>
      <c r="BB255" s="218">
        <v>0</v>
      </c>
      <c r="BC255" t="str">
        <v>Penny</v>
      </c>
      <c r="BD255" t="str">
        <v>WHT1946CNT-AR</v>
      </c>
      <c r="BE255" t="str">
        <v>Wheat Penny</v>
      </c>
      <c r="BF255" t="str">
        <v>Extremely Fine</v>
      </c>
      <c r="BG255" s="225">
        <v>0.01</v>
      </c>
      <c r="BH255" s="225">
        <v>0.1</v>
      </c>
      <c r="BI255" s="136">
        <v>1</v>
      </c>
      <c r="BJ255" s="219">
        <v>0</v>
      </c>
      <c r="BK255" s="218">
        <v>0</v>
      </c>
      <c r="BL255" s="136" t="str">
        <f>IF(BA255&lt;&gt;"","A"&amp;MATCH(BD255,CoinCollection!E:E,),"")</f>
        <v>A306</v>
      </c>
    </row>
    <row r="256" spans="14:64">
      <c r="N256" s="136"/>
      <c r="Y256" s="218" t="str">
        <f>IF(O256&lt;&gt;"","A"&amp;MATCH(R256,CoinCollection!E:E,),"")</f>
        <v/>
      </c>
      <c r="AY256" s="136" t="str">
        <f>IF(AN256&lt;&gt;"","A"&amp;MATCH(AQ256,CoinCollection!E:E,),"")</f>
        <v/>
      </c>
      <c r="BA256">
        <v>1946</v>
      </c>
      <c r="BB256" s="218">
        <v>0</v>
      </c>
      <c r="BC256" t="str">
        <v>Penny</v>
      </c>
      <c r="BD256" t="str">
        <v>WHT1946CNT-AS</v>
      </c>
      <c r="BE256" t="str">
        <v>Wheat Penny</v>
      </c>
      <c r="BF256" t="str">
        <v>Extremely Fine</v>
      </c>
      <c r="BG256" s="225">
        <v>0.01</v>
      </c>
      <c r="BH256" s="225">
        <v>0.1</v>
      </c>
      <c r="BI256" s="136">
        <v>1</v>
      </c>
      <c r="BJ256" s="219">
        <v>0</v>
      </c>
      <c r="BK256" s="218">
        <v>0</v>
      </c>
      <c r="BL256" s="136" t="str">
        <f>IF(BA256&lt;&gt;"","A"&amp;MATCH(BD256,CoinCollection!E:E,),"")</f>
        <v>A307</v>
      </c>
    </row>
    <row r="257" spans="14:64">
      <c r="N257" s="136"/>
      <c r="Y257" s="218" t="str">
        <f>IF(O257&lt;&gt;"","A"&amp;MATCH(R257,CoinCollection!E:E,),"")</f>
        <v/>
      </c>
      <c r="AY257" s="136" t="str">
        <f>IF(AN257&lt;&gt;"","A"&amp;MATCH(AQ257,CoinCollection!E:E,),"")</f>
        <v/>
      </c>
      <c r="BA257">
        <v>1946</v>
      </c>
      <c r="BB257" s="218">
        <v>0</v>
      </c>
      <c r="BC257" t="str">
        <v>Penny</v>
      </c>
      <c r="BD257" t="str">
        <v>WHT1946CNT-AT</v>
      </c>
      <c r="BE257" t="str">
        <v>Wheat Penny</v>
      </c>
      <c r="BF257" t="str">
        <v>Extremely Fine</v>
      </c>
      <c r="BG257" s="225">
        <v>0.01</v>
      </c>
      <c r="BH257" s="225">
        <v>0.1</v>
      </c>
      <c r="BI257" s="136">
        <v>1</v>
      </c>
      <c r="BJ257" s="219">
        <v>0</v>
      </c>
      <c r="BK257" s="218">
        <v>0</v>
      </c>
      <c r="BL257" s="136" t="str">
        <f>IF(BA257&lt;&gt;"","A"&amp;MATCH(BD257,CoinCollection!E:E,),"")</f>
        <v>A308</v>
      </c>
    </row>
    <row r="258" spans="14:64">
      <c r="N258" s="136"/>
      <c r="Y258" s="218" t="str">
        <f>IF(O258&lt;&gt;"","A"&amp;MATCH(R258,CoinCollection!E:E,),"")</f>
        <v/>
      </c>
      <c r="AY258" s="136" t="str">
        <f>IF(AN258&lt;&gt;"","A"&amp;MATCH(AQ258,CoinCollection!E:E,),"")</f>
        <v/>
      </c>
      <c r="BA258">
        <v>1946</v>
      </c>
      <c r="BB258" s="218">
        <v>0</v>
      </c>
      <c r="BC258" t="str">
        <v>Penny</v>
      </c>
      <c r="BD258" t="str">
        <v>WHT1946CNT-AU</v>
      </c>
      <c r="BE258" t="str">
        <v>Wheat Penny</v>
      </c>
      <c r="BF258" t="str">
        <v>Extremely Fine</v>
      </c>
      <c r="BG258" s="225">
        <v>0.01</v>
      </c>
      <c r="BH258" s="225">
        <v>0.1</v>
      </c>
      <c r="BI258" s="136">
        <v>1</v>
      </c>
      <c r="BJ258" s="219">
        <v>0</v>
      </c>
      <c r="BK258" s="218">
        <v>0</v>
      </c>
      <c r="BL258" s="136" t="str">
        <f>IF(BA258&lt;&gt;"","A"&amp;MATCH(BD258,CoinCollection!E:E,),"")</f>
        <v>A309</v>
      </c>
    </row>
    <row r="259" spans="14:64">
      <c r="N259" s="136"/>
      <c r="Y259" s="218" t="str">
        <f>IF(O259&lt;&gt;"","A"&amp;MATCH(R259,CoinCollection!E:E,),"")</f>
        <v/>
      </c>
      <c r="AY259" s="136" t="str">
        <f>IF(AN259&lt;&gt;"","A"&amp;MATCH(AQ259,CoinCollection!E:E,),"")</f>
        <v/>
      </c>
      <c r="BA259">
        <v>1947</v>
      </c>
      <c r="BB259" s="218">
        <v>0</v>
      </c>
      <c r="BC259" t="str">
        <v>Penny</v>
      </c>
      <c r="BD259" t="str">
        <v>WHT1947CNT-AA</v>
      </c>
      <c r="BE259" t="str">
        <v>Wheat Penny</v>
      </c>
      <c r="BF259" t="str">
        <v>Extremely Fine</v>
      </c>
      <c r="BG259" s="225">
        <v>0.01</v>
      </c>
      <c r="BH259" s="225">
        <v>0.1</v>
      </c>
      <c r="BI259" s="136">
        <v>1</v>
      </c>
      <c r="BJ259" s="219">
        <v>0</v>
      </c>
      <c r="BK259" s="218">
        <v>0</v>
      </c>
      <c r="BL259" s="136" t="str">
        <f>IF(BA259&lt;&gt;"","A"&amp;MATCH(BD259,CoinCollection!E:E,),"")</f>
        <v>A310</v>
      </c>
    </row>
    <row r="260" spans="14:64">
      <c r="N260" s="136"/>
      <c r="Y260" s="218" t="str">
        <f>IF(O260&lt;&gt;"","A"&amp;MATCH(R260,CoinCollection!E:E,),"")</f>
        <v/>
      </c>
      <c r="AY260" s="136" t="str">
        <f>IF(AN260&lt;&gt;"","A"&amp;MATCH(AQ260,CoinCollection!E:E,),"")</f>
        <v/>
      </c>
      <c r="BA260">
        <v>1947</v>
      </c>
      <c r="BB260" s="218">
        <v>0</v>
      </c>
      <c r="BC260" t="str">
        <v>Penny</v>
      </c>
      <c r="BD260" t="str">
        <v>WHT1947CNT-AB</v>
      </c>
      <c r="BE260" t="str">
        <v>Wheat Penny</v>
      </c>
      <c r="BF260" t="str">
        <v>Extremely Fine</v>
      </c>
      <c r="BG260" s="225">
        <v>0.01</v>
      </c>
      <c r="BH260" s="225">
        <v>0.1</v>
      </c>
      <c r="BI260" s="136">
        <v>1</v>
      </c>
      <c r="BJ260" s="219">
        <v>0</v>
      </c>
      <c r="BK260" s="218">
        <v>0</v>
      </c>
      <c r="BL260" s="136" t="str">
        <f>IF(BA260&lt;&gt;"","A"&amp;MATCH(BD260,CoinCollection!E:E,),"")</f>
        <v>A311</v>
      </c>
    </row>
    <row r="261" spans="14:64">
      <c r="N261" s="136"/>
      <c r="Y261" s="218" t="str">
        <f>IF(O261&lt;&gt;"","A"&amp;MATCH(R261,CoinCollection!E:E,),"")</f>
        <v/>
      </c>
      <c r="AY261" s="136" t="str">
        <f>IF(AN261&lt;&gt;"","A"&amp;MATCH(AQ261,CoinCollection!E:E,),"")</f>
        <v/>
      </c>
      <c r="BA261">
        <v>1947</v>
      </c>
      <c r="BB261" s="218" t="str">
        <v>D</v>
      </c>
      <c r="BC261" t="str">
        <v>Penny</v>
      </c>
      <c r="BD261" t="str">
        <v>WHT1947CNT-AC</v>
      </c>
      <c r="BE261" t="str">
        <v>Wheat Penny</v>
      </c>
      <c r="BF261" t="str">
        <v>Extremely Fine</v>
      </c>
      <c r="BG261" s="225">
        <v>0.01</v>
      </c>
      <c r="BH261" s="225">
        <v>0.08</v>
      </c>
      <c r="BI261" s="136">
        <v>1</v>
      </c>
      <c r="BJ261" s="219">
        <v>0</v>
      </c>
      <c r="BK261" s="218">
        <v>0</v>
      </c>
      <c r="BL261" s="136" t="str">
        <f>IF(BA261&lt;&gt;"","A"&amp;MATCH(BD261,CoinCollection!E:E,),"")</f>
        <v>A312</v>
      </c>
    </row>
    <row r="262" spans="14:64">
      <c r="N262" s="136"/>
      <c r="Y262" s="218" t="str">
        <f>IF(O262&lt;&gt;"","A"&amp;MATCH(R262,CoinCollection!E:E,),"")</f>
        <v/>
      </c>
      <c r="AY262" s="136" t="str">
        <f>IF(AN262&lt;&gt;"","A"&amp;MATCH(AQ262,CoinCollection!E:E,),"")</f>
        <v/>
      </c>
      <c r="BA262">
        <v>1947</v>
      </c>
      <c r="BB262" s="218" t="str">
        <v>D</v>
      </c>
      <c r="BC262" t="str">
        <v>Penny</v>
      </c>
      <c r="BD262" t="str">
        <v>WHT1947CNT-AD</v>
      </c>
      <c r="BE262" t="str">
        <v>Wheat Penny</v>
      </c>
      <c r="BF262" t="str">
        <v>Extremely Fine</v>
      </c>
      <c r="BG262" s="225">
        <v>0.01</v>
      </c>
      <c r="BH262" s="225">
        <v>0.1</v>
      </c>
      <c r="BI262" s="136">
        <v>1</v>
      </c>
      <c r="BJ262" s="219">
        <v>0</v>
      </c>
      <c r="BK262" s="218">
        <v>0</v>
      </c>
      <c r="BL262" s="136" t="str">
        <f>IF(BA262&lt;&gt;"","A"&amp;MATCH(BD262,CoinCollection!E:E,),"")</f>
        <v>A313</v>
      </c>
    </row>
    <row r="263" spans="14:64">
      <c r="N263" s="136"/>
      <c r="Y263" s="218" t="str">
        <f>IF(O263&lt;&gt;"","A"&amp;MATCH(R263,CoinCollection!E:E,),"")</f>
        <v/>
      </c>
      <c r="AY263" s="136" t="str">
        <f>IF(AN263&lt;&gt;"","A"&amp;MATCH(AQ263,CoinCollection!E:E,),"")</f>
        <v/>
      </c>
      <c r="BA263">
        <v>1947</v>
      </c>
      <c r="BB263" s="218" t="str">
        <v>S</v>
      </c>
      <c r="BC263" t="str">
        <v>Penny</v>
      </c>
      <c r="BD263" t="str">
        <v>WHT1947CNT-AE</v>
      </c>
      <c r="BE263" t="str">
        <v>Wheat Penny</v>
      </c>
      <c r="BF263" t="str">
        <v>Extremely Fine</v>
      </c>
      <c r="BG263" s="225">
        <v>0.01</v>
      </c>
      <c r="BH263" s="225">
        <v>0.1</v>
      </c>
      <c r="BI263" s="136">
        <v>1</v>
      </c>
      <c r="BJ263" s="219">
        <v>0</v>
      </c>
      <c r="BK263" s="218">
        <v>0</v>
      </c>
      <c r="BL263" s="136" t="str">
        <f>IF(BA263&lt;&gt;"","A"&amp;MATCH(BD263,CoinCollection!E:E,),"")</f>
        <v>A314</v>
      </c>
    </row>
    <row r="264" spans="14:64">
      <c r="N264" s="136"/>
      <c r="Y264" s="218" t="str">
        <f>IF(O264&lt;&gt;"","A"&amp;MATCH(R264,CoinCollection!E:E,),"")</f>
        <v/>
      </c>
      <c r="BA264">
        <v>1947</v>
      </c>
      <c r="BB264" s="218">
        <v>0</v>
      </c>
      <c r="BC264" t="str">
        <v>Penny</v>
      </c>
      <c r="BD264" t="str">
        <v>WHT1947CNT-AF</v>
      </c>
      <c r="BE264" t="str">
        <v>Wheat Penny</v>
      </c>
      <c r="BF264" t="str">
        <v>Extremely Fine</v>
      </c>
      <c r="BG264" s="225">
        <v>0.01</v>
      </c>
      <c r="BH264" s="225">
        <v>0.1</v>
      </c>
      <c r="BI264" s="136">
        <v>1</v>
      </c>
      <c r="BJ264" s="219">
        <v>0</v>
      </c>
      <c r="BK264" s="218">
        <v>0</v>
      </c>
      <c r="BL264" s="136" t="str">
        <f>IF(BA264&lt;&gt;"","A"&amp;MATCH(BD264,CoinCollection!E:E,),"")</f>
        <v>A315</v>
      </c>
    </row>
    <row r="265" spans="14:64">
      <c r="N265" s="136"/>
      <c r="Y265" s="218" t="str">
        <f>IF(O265&lt;&gt;"","A"&amp;MATCH(R265,CoinCollection!E:E,),"")</f>
        <v/>
      </c>
      <c r="BA265">
        <v>1947</v>
      </c>
      <c r="BB265" s="218" t="str">
        <v>S</v>
      </c>
      <c r="BC265" t="str">
        <v>Penny</v>
      </c>
      <c r="BD265" t="str">
        <v>WHT1947CNT-AG</v>
      </c>
      <c r="BE265" t="str">
        <v>Wheat Penny</v>
      </c>
      <c r="BF265" t="str">
        <v>Extremely Fine</v>
      </c>
      <c r="BG265" s="225">
        <v>0.01</v>
      </c>
      <c r="BH265" s="225">
        <v>0.01</v>
      </c>
      <c r="BI265" s="136">
        <v>1</v>
      </c>
      <c r="BJ265" s="219">
        <v>0</v>
      </c>
      <c r="BK265" s="218">
        <v>0</v>
      </c>
      <c r="BL265" s="136" t="str">
        <f>IF(BA265&lt;&gt;"","A"&amp;MATCH(BD265,CoinCollection!E:E,),"")</f>
        <v>A316</v>
      </c>
    </row>
    <row r="266" spans="14:64">
      <c r="N266" s="136"/>
      <c r="Y266" s="218" t="str">
        <f>IF(O266&lt;&gt;"","A"&amp;MATCH(R266,CoinCollection!E:E,),"")</f>
        <v/>
      </c>
      <c r="BA266">
        <v>1947</v>
      </c>
      <c r="BB266" s="218">
        <v>0</v>
      </c>
      <c r="BC266" t="str">
        <v>Penny</v>
      </c>
      <c r="BD266" t="str">
        <v>WHT1947CNT-AH</v>
      </c>
      <c r="BE266" t="str">
        <v>Wheat Penny</v>
      </c>
      <c r="BF266" t="str">
        <v>Extremely Fine</v>
      </c>
      <c r="BG266" s="225">
        <v>0.01</v>
      </c>
      <c r="BH266" s="225">
        <v>0.01</v>
      </c>
      <c r="BI266" s="136">
        <v>1</v>
      </c>
      <c r="BJ266" s="219">
        <v>0</v>
      </c>
      <c r="BK266" s="218">
        <v>0</v>
      </c>
      <c r="BL266" s="136" t="str">
        <f>IF(BA266&lt;&gt;"","A"&amp;MATCH(BD266,CoinCollection!E:E,),"")</f>
        <v>A317</v>
      </c>
    </row>
    <row r="267" spans="14:64">
      <c r="N267" s="136"/>
      <c r="Y267" s="218" t="str">
        <f>IF(O267&lt;&gt;"","A"&amp;MATCH(R267,CoinCollection!E:E,),"")</f>
        <v/>
      </c>
      <c r="BA267">
        <v>1948</v>
      </c>
      <c r="BB267" s="218">
        <v>0</v>
      </c>
      <c r="BC267" t="str">
        <v>Penny</v>
      </c>
      <c r="BD267" t="str">
        <v>WHT1948CNT-AA</v>
      </c>
      <c r="BE267" t="str">
        <v>Wheat Penny</v>
      </c>
      <c r="BF267" t="str">
        <v>Extremely Fine</v>
      </c>
      <c r="BG267" s="225">
        <v>0.01</v>
      </c>
      <c r="BH267" s="225">
        <v>0.1</v>
      </c>
      <c r="BI267" s="136">
        <v>1</v>
      </c>
      <c r="BJ267" s="219">
        <v>0</v>
      </c>
      <c r="BK267" s="218">
        <v>0</v>
      </c>
      <c r="BL267" s="136" t="str">
        <f>IF(BA267&lt;&gt;"","A"&amp;MATCH(BD267,CoinCollection!E:E,),"")</f>
        <v>A318</v>
      </c>
    </row>
    <row r="268" spans="14:64">
      <c r="N268" s="136"/>
      <c r="Y268" s="218" t="str">
        <f>IF(O268&lt;&gt;"","A"&amp;MATCH(R268,CoinCollection!E:E,),"")</f>
        <v/>
      </c>
      <c r="BA268">
        <v>1948</v>
      </c>
      <c r="BB268" s="218">
        <v>0</v>
      </c>
      <c r="BC268" t="str">
        <v>Penny</v>
      </c>
      <c r="BD268" t="str">
        <v>WHT1948CNT-AB</v>
      </c>
      <c r="BE268" t="str">
        <v>Wheat Penny</v>
      </c>
      <c r="BF268" t="str">
        <v>Extremely Fine</v>
      </c>
      <c r="BG268" s="225">
        <v>0.01</v>
      </c>
      <c r="BH268" s="225">
        <v>0.1</v>
      </c>
      <c r="BI268" s="136">
        <v>1</v>
      </c>
      <c r="BJ268" s="219">
        <v>0</v>
      </c>
      <c r="BK268" s="218">
        <v>0</v>
      </c>
      <c r="BL268" s="136" t="str">
        <f>IF(BA268&lt;&gt;"","A"&amp;MATCH(BD268,CoinCollection!E:E,),"")</f>
        <v>A319</v>
      </c>
    </row>
    <row r="269" spans="14:64">
      <c r="N269" s="136"/>
      <c r="Y269" s="218" t="str">
        <f>IF(O269&lt;&gt;"","A"&amp;MATCH(R269,CoinCollection!E:E,),"")</f>
        <v/>
      </c>
      <c r="BA269">
        <v>1948</v>
      </c>
      <c r="BB269" s="218">
        <v>0</v>
      </c>
      <c r="BC269" t="str">
        <v>Penny</v>
      </c>
      <c r="BD269" t="str">
        <v>WHT1948CNT-AC</v>
      </c>
      <c r="BE269" t="str">
        <v>Wheat Penny</v>
      </c>
      <c r="BF269" t="str">
        <v>Extremely Fine</v>
      </c>
      <c r="BG269" s="225">
        <v>0.01</v>
      </c>
      <c r="BH269" s="225">
        <v>0.1</v>
      </c>
      <c r="BI269" s="136">
        <v>1</v>
      </c>
      <c r="BJ269" s="219">
        <v>0</v>
      </c>
      <c r="BK269" s="218">
        <v>0</v>
      </c>
      <c r="BL269" s="136" t="str">
        <f>IF(BA269&lt;&gt;"","A"&amp;MATCH(BD269,CoinCollection!E:E,),"")</f>
        <v>A320</v>
      </c>
    </row>
    <row r="270" spans="14:64">
      <c r="N270" s="136"/>
      <c r="Y270" s="218" t="str">
        <f>IF(O270&lt;&gt;"","A"&amp;MATCH(R270,CoinCollection!E:E,),"")</f>
        <v/>
      </c>
      <c r="BA270">
        <v>1948</v>
      </c>
      <c r="BB270" s="218">
        <v>0</v>
      </c>
      <c r="BC270" t="str">
        <v>Penny</v>
      </c>
      <c r="BD270" t="str">
        <v>WHT1948CNT-AD</v>
      </c>
      <c r="BE270" t="str">
        <v>Wheat Penny</v>
      </c>
      <c r="BF270" t="str">
        <v>Extremely Fine</v>
      </c>
      <c r="BG270" s="225">
        <v>0.01</v>
      </c>
      <c r="BH270" s="225">
        <v>0.08</v>
      </c>
      <c r="BI270" s="136">
        <v>1</v>
      </c>
      <c r="BJ270" s="219">
        <v>0</v>
      </c>
      <c r="BK270" s="218">
        <v>0</v>
      </c>
      <c r="BL270" s="136" t="str">
        <f>IF(BA270&lt;&gt;"","A"&amp;MATCH(BD270,CoinCollection!E:E,),"")</f>
        <v>A321</v>
      </c>
    </row>
    <row r="271" spans="14:64">
      <c r="N271" s="136"/>
      <c r="Y271" s="218" t="str">
        <f>IF(O271&lt;&gt;"","A"&amp;MATCH(R271,CoinCollection!E:E,),"")</f>
        <v/>
      </c>
      <c r="BA271">
        <v>1948</v>
      </c>
      <c r="BB271" s="218">
        <v>0</v>
      </c>
      <c r="BC271" t="str">
        <v>Penny</v>
      </c>
      <c r="BD271" t="str">
        <v>WHT1948CNT-AE</v>
      </c>
      <c r="BE271" t="str">
        <v>Wheat Penny</v>
      </c>
      <c r="BF271" t="str">
        <v>Extremely Fine</v>
      </c>
      <c r="BG271" s="225">
        <v>0.01</v>
      </c>
      <c r="BH271" s="225">
        <v>0.1</v>
      </c>
      <c r="BI271" s="136">
        <v>1</v>
      </c>
      <c r="BJ271" s="219">
        <v>0</v>
      </c>
      <c r="BK271" s="218">
        <v>0</v>
      </c>
      <c r="BL271" s="136" t="str">
        <f>IF(BA271&lt;&gt;"","A"&amp;MATCH(BD271,CoinCollection!E:E,),"")</f>
        <v>A322</v>
      </c>
    </row>
    <row r="272" spans="14:64">
      <c r="N272" s="136"/>
      <c r="Y272" s="218" t="str">
        <f>IF(O272&lt;&gt;"","A"&amp;MATCH(R272,CoinCollection!E:E,),"")</f>
        <v/>
      </c>
      <c r="BA272">
        <v>1948</v>
      </c>
      <c r="BB272" s="218">
        <v>0</v>
      </c>
      <c r="BC272" t="str">
        <v>Penny</v>
      </c>
      <c r="BD272" t="str">
        <v>WHT1948CNT-AF</v>
      </c>
      <c r="BE272" t="str">
        <v>Wheat Penny</v>
      </c>
      <c r="BF272" t="str">
        <v>Extremely Fine</v>
      </c>
      <c r="BG272" s="225">
        <v>0.01</v>
      </c>
      <c r="BH272" s="225">
        <v>0.08</v>
      </c>
      <c r="BI272" s="136">
        <v>1</v>
      </c>
      <c r="BJ272" s="219">
        <v>0</v>
      </c>
      <c r="BK272" s="218">
        <v>0</v>
      </c>
      <c r="BL272" s="136" t="str">
        <f>IF(BA272&lt;&gt;"","A"&amp;MATCH(BD272,CoinCollection!E:E,),"")</f>
        <v>A323</v>
      </c>
    </row>
    <row r="273" spans="14:64">
      <c r="N273" s="136"/>
      <c r="Y273" s="218" t="str">
        <f>IF(O273&lt;&gt;"","A"&amp;MATCH(R273,CoinCollection!E:E,),"")</f>
        <v/>
      </c>
      <c r="BA273">
        <v>1948</v>
      </c>
      <c r="BB273" s="218">
        <v>0</v>
      </c>
      <c r="BC273" t="str">
        <v>Penny</v>
      </c>
      <c r="BD273" t="str">
        <v>WHT1948CNT-AG</v>
      </c>
      <c r="BE273" t="str">
        <v>Wheat Penny</v>
      </c>
      <c r="BF273" t="str">
        <v>Extremely Fine</v>
      </c>
      <c r="BG273" s="225">
        <v>0.01</v>
      </c>
      <c r="BH273" s="225">
        <v>0.05</v>
      </c>
      <c r="BI273" s="136">
        <v>1</v>
      </c>
      <c r="BJ273" s="219">
        <v>0</v>
      </c>
      <c r="BK273" s="218">
        <v>0</v>
      </c>
      <c r="BL273" s="136" t="str">
        <f>IF(BA273&lt;&gt;"","A"&amp;MATCH(BD273,CoinCollection!E:E,),"")</f>
        <v>A324</v>
      </c>
    </row>
    <row r="274" spans="14:64">
      <c r="N274" s="136"/>
      <c r="Y274" s="218" t="str">
        <f>IF(O274&lt;&gt;"","A"&amp;MATCH(R274,CoinCollection!E:E,),"")</f>
        <v/>
      </c>
      <c r="BA274">
        <v>1948</v>
      </c>
      <c r="BB274" s="218">
        <v>0</v>
      </c>
      <c r="BC274" t="str">
        <v>Penny</v>
      </c>
      <c r="BD274" t="str">
        <v>WHT1948CNT-AH</v>
      </c>
      <c r="BE274" t="str">
        <v>Wheat Penny</v>
      </c>
      <c r="BF274" t="str">
        <v>Extremely Fine</v>
      </c>
      <c r="BG274" s="225">
        <v>0.01</v>
      </c>
      <c r="BH274" s="225">
        <v>0.03</v>
      </c>
      <c r="BI274" s="136">
        <v>1</v>
      </c>
      <c r="BJ274" s="219">
        <v>0</v>
      </c>
      <c r="BK274" s="218">
        <v>0</v>
      </c>
      <c r="BL274" s="136" t="str">
        <f>IF(BA274&lt;&gt;"","A"&amp;MATCH(BD274,CoinCollection!E:E,),"")</f>
        <v>A325</v>
      </c>
    </row>
    <row r="275" spans="14:64">
      <c r="N275" s="136"/>
      <c r="Y275" s="218" t="str">
        <f>IF(O275&lt;&gt;"","A"&amp;MATCH(R275,CoinCollection!E:E,),"")</f>
        <v/>
      </c>
      <c r="BA275">
        <v>1948</v>
      </c>
      <c r="BB275" s="218">
        <v>0</v>
      </c>
      <c r="BC275" t="str">
        <v>Penny</v>
      </c>
      <c r="BD275" t="str">
        <v>WHT1948CNT-AI</v>
      </c>
      <c r="BE275" t="str">
        <v>Wheat Penny</v>
      </c>
      <c r="BF275" t="str">
        <v>Extremely Fine</v>
      </c>
      <c r="BG275" s="225">
        <v>0.01</v>
      </c>
      <c r="BH275" s="225">
        <v>0.03</v>
      </c>
      <c r="BI275" s="136">
        <v>1</v>
      </c>
      <c r="BJ275" s="219">
        <v>0</v>
      </c>
      <c r="BK275" s="218">
        <v>0</v>
      </c>
      <c r="BL275" s="136" t="str">
        <f>IF(BA275&lt;&gt;"","A"&amp;MATCH(BD275,CoinCollection!E:E,),"")</f>
        <v>A326</v>
      </c>
    </row>
    <row r="276" spans="14:64">
      <c r="N276" s="136"/>
      <c r="Y276" s="218" t="str">
        <f>IF(O276&lt;&gt;"","A"&amp;MATCH(R276,CoinCollection!E:E,),"")</f>
        <v/>
      </c>
      <c r="BA276">
        <v>1948</v>
      </c>
      <c r="BB276" s="218" t="str">
        <v>D</v>
      </c>
      <c r="BC276" t="str">
        <v>Penny</v>
      </c>
      <c r="BD276" t="str">
        <v>WHT1948CNT-AJ</v>
      </c>
      <c r="BE276" t="str">
        <v>Wheat Penny</v>
      </c>
      <c r="BF276" t="str">
        <v>Extremely Fine</v>
      </c>
      <c r="BG276" s="225">
        <v>0.01</v>
      </c>
      <c r="BH276" s="225">
        <v>0.08</v>
      </c>
      <c r="BI276" s="136">
        <v>1</v>
      </c>
      <c r="BJ276" s="219">
        <v>0</v>
      </c>
      <c r="BK276" s="218">
        <v>0</v>
      </c>
      <c r="BL276" s="136" t="str">
        <f>IF(BA276&lt;&gt;"","A"&amp;MATCH(BD276,CoinCollection!E:E,),"")</f>
        <v>A327</v>
      </c>
    </row>
    <row r="277" spans="14:64">
      <c r="N277" s="136"/>
      <c r="Y277" s="218" t="str">
        <f>IF(O277&lt;&gt;"","A"&amp;MATCH(R277,CoinCollection!E:E,),"")</f>
        <v/>
      </c>
      <c r="BA277">
        <v>1948</v>
      </c>
      <c r="BB277" s="218" t="str">
        <v>S</v>
      </c>
      <c r="BC277" t="str">
        <v>Penny</v>
      </c>
      <c r="BD277" t="str">
        <v>WHT1948CNT-AK</v>
      </c>
      <c r="BE277" t="str">
        <v>Wheat Penny</v>
      </c>
      <c r="BF277" t="str">
        <v>Extremely Fine</v>
      </c>
      <c r="BG277" s="225">
        <v>0.25</v>
      </c>
      <c r="BH277" s="225">
        <v>0.3</v>
      </c>
      <c r="BI277" s="136">
        <v>1</v>
      </c>
      <c r="BJ277" s="219">
        <v>0</v>
      </c>
      <c r="BK277" s="218">
        <v>0</v>
      </c>
      <c r="BL277" s="136" t="str">
        <f>IF(BA277&lt;&gt;"","A"&amp;MATCH(BD277,CoinCollection!E:E,),"")</f>
        <v>A328</v>
      </c>
    </row>
    <row r="278" spans="14:64">
      <c r="N278" s="136"/>
      <c r="Y278" s="218" t="str">
        <f>IF(O278&lt;&gt;"","A"&amp;MATCH(R278,CoinCollection!E:E,),"")</f>
        <v/>
      </c>
      <c r="BA278">
        <v>1948</v>
      </c>
      <c r="BB278" s="218">
        <v>0</v>
      </c>
      <c r="BC278" t="str">
        <v>Penny</v>
      </c>
      <c r="BD278" t="str">
        <v>WHT1948CNT-AL</v>
      </c>
      <c r="BE278" t="str">
        <v>Wheat Penny</v>
      </c>
      <c r="BF278" t="str">
        <v>Extremely Fine</v>
      </c>
      <c r="BG278" s="225">
        <v>0.01</v>
      </c>
      <c r="BH278" s="225">
        <v>0.1</v>
      </c>
      <c r="BI278" s="136">
        <v>1</v>
      </c>
      <c r="BJ278" s="219">
        <v>0</v>
      </c>
      <c r="BK278" s="218">
        <v>0</v>
      </c>
      <c r="BL278" s="136" t="str">
        <f>IF(BA278&lt;&gt;"","A"&amp;MATCH(BD278,CoinCollection!E:E,),"")</f>
        <v>A329</v>
      </c>
    </row>
    <row r="279" spans="14:64">
      <c r="N279" s="136"/>
      <c r="Y279" s="218" t="str">
        <f>IF(O279&lt;&gt;"","A"&amp;MATCH(R279,CoinCollection!E:E,),"")</f>
        <v/>
      </c>
      <c r="BA279">
        <v>1948</v>
      </c>
      <c r="BB279" s="218">
        <v>0</v>
      </c>
      <c r="BC279" t="str">
        <v>Penny</v>
      </c>
      <c r="BD279" t="str">
        <v>WHT1948CNT-AM</v>
      </c>
      <c r="BE279" t="str">
        <v>Wheat Penny</v>
      </c>
      <c r="BF279" t="str">
        <v>Extremely Fine</v>
      </c>
      <c r="BG279" s="225">
        <v>0.01</v>
      </c>
      <c r="BH279" s="225">
        <v>0.01</v>
      </c>
      <c r="BI279" s="136">
        <v>1</v>
      </c>
      <c r="BJ279" s="219">
        <v>0</v>
      </c>
      <c r="BK279" s="218">
        <v>0</v>
      </c>
      <c r="BL279" s="136" t="str">
        <f>IF(BA279&lt;&gt;"","A"&amp;MATCH(BD279,CoinCollection!E:E,),"")</f>
        <v>A330</v>
      </c>
    </row>
    <row r="280" spans="14:64">
      <c r="N280" s="136"/>
      <c r="Y280" s="218" t="str">
        <f>IF(O280&lt;&gt;"","A"&amp;MATCH(R280,CoinCollection!E:E,),"")</f>
        <v/>
      </c>
      <c r="BA280">
        <v>1949</v>
      </c>
      <c r="BB280" s="218">
        <v>0</v>
      </c>
      <c r="BC280" t="str">
        <v>Penny</v>
      </c>
      <c r="BD280" t="str">
        <v>WHT1949CNT-AA</v>
      </c>
      <c r="BE280" t="str">
        <v>Wheat Penny</v>
      </c>
      <c r="BF280" t="str">
        <v>Extremely Fine</v>
      </c>
      <c r="BG280" s="225">
        <v>0.01</v>
      </c>
      <c r="BH280" s="225">
        <v>0.08</v>
      </c>
      <c r="BI280" s="136">
        <v>1</v>
      </c>
      <c r="BJ280" s="219">
        <v>0</v>
      </c>
      <c r="BK280" s="218">
        <v>0</v>
      </c>
      <c r="BL280" s="136" t="str">
        <f>IF(BA280&lt;&gt;"","A"&amp;MATCH(BD280,CoinCollection!E:E,),"")</f>
        <v>A331</v>
      </c>
    </row>
    <row r="281" spans="14:64">
      <c r="N281" s="136"/>
      <c r="Y281" s="218" t="str">
        <f>IF(O281&lt;&gt;"","A"&amp;MATCH(R281,CoinCollection!E:E,),"")</f>
        <v/>
      </c>
      <c r="BA281">
        <v>1949</v>
      </c>
      <c r="BB281" s="218">
        <v>0</v>
      </c>
      <c r="BC281" t="str">
        <v>Penny</v>
      </c>
      <c r="BD281" t="str">
        <v>WHT1949CNT-AB</v>
      </c>
      <c r="BE281" t="str">
        <v>Wheat Penny</v>
      </c>
      <c r="BF281" t="str">
        <v>Extremely Fine</v>
      </c>
      <c r="BG281" s="225">
        <v>0.01</v>
      </c>
      <c r="BH281" s="225">
        <v>0.03</v>
      </c>
      <c r="BI281" s="136">
        <v>1</v>
      </c>
      <c r="BJ281" s="219">
        <v>0</v>
      </c>
      <c r="BK281" s="218">
        <v>0</v>
      </c>
      <c r="BL281" s="136" t="str">
        <f>IF(BA281&lt;&gt;"","A"&amp;MATCH(BD281,CoinCollection!E:E,),"")</f>
        <v>A332</v>
      </c>
    </row>
    <row r="282" spans="14:64">
      <c r="N282" s="136"/>
      <c r="Y282" s="218" t="str">
        <f>IF(O282&lt;&gt;"","A"&amp;MATCH(R282,CoinCollection!E:E,),"")</f>
        <v/>
      </c>
      <c r="BA282">
        <v>1949</v>
      </c>
      <c r="BB282" s="218">
        <v>0</v>
      </c>
      <c r="BC282" t="str">
        <v>Penny</v>
      </c>
      <c r="BD282" t="str">
        <v>WHT1949CNT-AC</v>
      </c>
      <c r="BE282" t="str">
        <v>Wheat Penny</v>
      </c>
      <c r="BF282" t="str">
        <v>Extremely Fine</v>
      </c>
      <c r="BG282" s="225">
        <v>0.01</v>
      </c>
      <c r="BH282" s="225">
        <v>0.2</v>
      </c>
      <c r="BI282" s="136">
        <v>1</v>
      </c>
      <c r="BJ282" s="219">
        <v>0</v>
      </c>
      <c r="BK282" s="218">
        <v>0</v>
      </c>
      <c r="BL282" s="136" t="str">
        <f>IF(BA282&lt;&gt;"","A"&amp;MATCH(BD282,CoinCollection!E:E,),"")</f>
        <v>A333</v>
      </c>
    </row>
    <row r="283" spans="14:64">
      <c r="N283" s="136"/>
      <c r="Y283" s="218" t="str">
        <f>IF(O283&lt;&gt;"","A"&amp;MATCH(R283,CoinCollection!E:E,),"")</f>
        <v/>
      </c>
      <c r="BA283">
        <v>1949</v>
      </c>
      <c r="BB283" s="218" t="str">
        <v>D</v>
      </c>
      <c r="BC283" t="str">
        <v>Penny</v>
      </c>
      <c r="BD283" t="str">
        <v>WHT1949CNT-AD</v>
      </c>
      <c r="BE283" t="str">
        <v>Wheat Penny</v>
      </c>
      <c r="BF283" t="str">
        <v>Extremely Fine</v>
      </c>
      <c r="BG283" s="225">
        <v>0.25</v>
      </c>
      <c r="BH283" s="225">
        <v>0.2</v>
      </c>
      <c r="BI283" s="136">
        <v>1</v>
      </c>
      <c r="BJ283" s="219">
        <v>0</v>
      </c>
      <c r="BK283" s="218">
        <v>0</v>
      </c>
      <c r="BL283" s="136" t="str">
        <f>IF(BA283&lt;&gt;"","A"&amp;MATCH(BD283,CoinCollection!E:E,),"")</f>
        <v>A334</v>
      </c>
    </row>
    <row r="284" spans="14:64">
      <c r="N284" s="136"/>
      <c r="Y284" s="218" t="str">
        <f>IF(O284&lt;&gt;"","A"&amp;MATCH(R284,CoinCollection!E:E,),"")</f>
        <v/>
      </c>
      <c r="BA284">
        <v>1949</v>
      </c>
      <c r="BB284" s="218" t="str">
        <v>S</v>
      </c>
      <c r="BC284" t="str">
        <v>Penny</v>
      </c>
      <c r="BD284" t="str">
        <v>WHT1949CNT-AE</v>
      </c>
      <c r="BE284" t="str">
        <v>Wheat Penny</v>
      </c>
      <c r="BF284" t="str">
        <v>Extremely Fine</v>
      </c>
      <c r="BG284" s="225">
        <v>0.25</v>
      </c>
      <c r="BH284" s="225">
        <v>0.2</v>
      </c>
      <c r="BI284" s="136">
        <v>1</v>
      </c>
      <c r="BJ284" s="219">
        <v>0</v>
      </c>
      <c r="BK284" s="218">
        <v>0</v>
      </c>
      <c r="BL284" s="136" t="str">
        <f>IF(BA284&lt;&gt;"","A"&amp;MATCH(BD284,CoinCollection!E:E,),"")</f>
        <v>A335</v>
      </c>
    </row>
    <row r="285" spans="14:64">
      <c r="N285" s="136"/>
      <c r="Y285" s="218" t="str">
        <f>IF(O285&lt;&gt;"","A"&amp;MATCH(R285,CoinCollection!E:E,),"")</f>
        <v/>
      </c>
      <c r="BA285">
        <v>1950</v>
      </c>
      <c r="BB285" s="218">
        <v>0</v>
      </c>
      <c r="BC285" t="str">
        <v>Penny</v>
      </c>
      <c r="BD285" t="str">
        <v>WHT1950CNT-AA</v>
      </c>
      <c r="BE285" t="str">
        <v>Wheat Penny</v>
      </c>
      <c r="BF285" t="str">
        <v>Extremely Fine</v>
      </c>
      <c r="BG285" s="225">
        <v>0.01</v>
      </c>
      <c r="BH285" s="225">
        <v>0.2</v>
      </c>
      <c r="BI285" s="136">
        <v>3</v>
      </c>
      <c r="BJ285" s="219">
        <v>0</v>
      </c>
      <c r="BK285" s="218">
        <v>0</v>
      </c>
      <c r="BL285" s="136" t="str">
        <f>IF(BA285&lt;&gt;"","A"&amp;MATCH(BD285,CoinCollection!E:E,),"")</f>
        <v>A336</v>
      </c>
    </row>
    <row r="286" spans="14:64">
      <c r="N286" s="136"/>
      <c r="Y286" s="218" t="str">
        <f>IF(O286&lt;&gt;"","A"&amp;MATCH(R286,CoinCollection!E:E,),"")</f>
        <v/>
      </c>
      <c r="BA286">
        <v>1950</v>
      </c>
      <c r="BB286" s="218">
        <v>0</v>
      </c>
      <c r="BC286" t="str">
        <v>Penny</v>
      </c>
      <c r="BD286" t="str">
        <v>WHT1950CNT-AB</v>
      </c>
      <c r="BE286" t="str">
        <v>Wheat Penny</v>
      </c>
      <c r="BF286" t="str">
        <v>Extremely Fine</v>
      </c>
      <c r="BG286" s="225">
        <v>0.01</v>
      </c>
      <c r="BH286" s="225">
        <v>0.1</v>
      </c>
      <c r="BI286" s="136">
        <v>3</v>
      </c>
      <c r="BJ286" s="219">
        <v>0</v>
      </c>
      <c r="BK286" s="218">
        <v>0</v>
      </c>
      <c r="BL286" s="136" t="str">
        <f>IF(BA286&lt;&gt;"","A"&amp;MATCH(BD286,CoinCollection!E:E,),"")</f>
        <v>A337</v>
      </c>
    </row>
    <row r="287" spans="14:64">
      <c r="N287" s="136"/>
      <c r="Y287" s="218" t="str">
        <f>IF(O287&lt;&gt;"","A"&amp;MATCH(R287,CoinCollection!E:E,),"")</f>
        <v/>
      </c>
      <c r="BA287">
        <v>1950</v>
      </c>
      <c r="BB287" s="218" t="str">
        <v>D</v>
      </c>
      <c r="BC287" t="str">
        <v>Penny</v>
      </c>
      <c r="BD287" t="str">
        <v>WHT1950CNT-AC</v>
      </c>
      <c r="BE287" t="str">
        <v>Wheat Penny</v>
      </c>
      <c r="BF287" t="str">
        <v>Extremely Fine</v>
      </c>
      <c r="BG287" s="225">
        <v>0.01</v>
      </c>
      <c r="BH287" s="225">
        <v>0.25</v>
      </c>
      <c r="BI287" s="136">
        <v>1</v>
      </c>
      <c r="BJ287" s="219">
        <v>0</v>
      </c>
      <c r="BK287" s="218">
        <v>0</v>
      </c>
      <c r="BL287" s="136" t="str">
        <f>IF(BA287&lt;&gt;"","A"&amp;MATCH(BD287,CoinCollection!E:E,),"")</f>
        <v>A338</v>
      </c>
    </row>
    <row r="288" spans="14:64">
      <c r="N288" s="136"/>
      <c r="Y288" s="218" t="str">
        <f>IF(O288&lt;&gt;"","A"&amp;MATCH(R288,CoinCollection!E:E,),"")</f>
        <v/>
      </c>
      <c r="BA288">
        <v>1950</v>
      </c>
      <c r="BB288" s="218" t="str">
        <v>S</v>
      </c>
      <c r="BC288" t="str">
        <v>Penny</v>
      </c>
      <c r="BD288" t="str">
        <v>WHT1950CNT-AD</v>
      </c>
      <c r="BE288" t="str">
        <v>Wheat Penny</v>
      </c>
      <c r="BF288" t="str">
        <v>Extremely Fine</v>
      </c>
      <c r="BG288" s="225">
        <v>0.01</v>
      </c>
      <c r="BH288" s="225">
        <v>0.05</v>
      </c>
      <c r="BI288" s="136">
        <v>1</v>
      </c>
      <c r="BJ288" s="219">
        <v>0</v>
      </c>
      <c r="BK288" s="218">
        <v>0</v>
      </c>
      <c r="BL288" s="136" t="str">
        <f>IF(BA288&lt;&gt;"","A"&amp;MATCH(BD288,CoinCollection!E:E,),"")</f>
        <v>A339</v>
      </c>
    </row>
    <row r="289" spans="14:64">
      <c r="N289" s="136"/>
      <c r="Y289" s="218" t="str">
        <f>IF(O289&lt;&gt;"","A"&amp;MATCH(R289,CoinCollection!E:E,),"")</f>
        <v/>
      </c>
      <c r="BA289">
        <v>1950</v>
      </c>
      <c r="BB289" s="218" t="str">
        <v>S</v>
      </c>
      <c r="BC289" t="str">
        <v>Penny</v>
      </c>
      <c r="BD289" t="str">
        <v>WHT1950CNT-AE</v>
      </c>
      <c r="BE289" t="str">
        <v>Wheat Penny</v>
      </c>
      <c r="BF289" t="str">
        <v>Extremely Fine</v>
      </c>
      <c r="BG289" s="225">
        <v>0.01</v>
      </c>
      <c r="BH289" s="225">
        <v>0.1</v>
      </c>
      <c r="BI289" s="136">
        <v>1</v>
      </c>
      <c r="BJ289" s="219">
        <v>0</v>
      </c>
      <c r="BK289" s="218">
        <v>0</v>
      </c>
      <c r="BL289" s="136" t="str">
        <f>IF(BA289&lt;&gt;"","A"&amp;MATCH(BD289,CoinCollection!E:E,),"")</f>
        <v>A340</v>
      </c>
    </row>
    <row r="290" spans="14:64">
      <c r="N290" s="136"/>
      <c r="Y290" s="218" t="str">
        <f>IF(O290&lt;&gt;"","A"&amp;MATCH(R290,CoinCollection!E:E,),"")</f>
        <v/>
      </c>
      <c r="BA290">
        <v>1950</v>
      </c>
      <c r="BB290" s="218" t="str">
        <v>S</v>
      </c>
      <c r="BC290" t="str">
        <v>Penny</v>
      </c>
      <c r="BD290" t="str">
        <v>WHT1950CNT-AF</v>
      </c>
      <c r="BE290" t="str">
        <v>Wheat Penny</v>
      </c>
      <c r="BF290" t="str">
        <v>Extremely Fine</v>
      </c>
      <c r="BG290" s="225">
        <v>0.01</v>
      </c>
      <c r="BH290" s="225">
        <v>0.1</v>
      </c>
      <c r="BI290" s="136">
        <v>1</v>
      </c>
      <c r="BJ290" s="219">
        <v>0</v>
      </c>
      <c r="BK290" s="218">
        <v>0</v>
      </c>
      <c r="BL290" s="136" t="str">
        <f>IF(BA290&lt;&gt;"","A"&amp;MATCH(BD290,CoinCollection!E:E,),"")</f>
        <v>A341</v>
      </c>
    </row>
    <row r="291" spans="14:64">
      <c r="N291" s="136"/>
      <c r="Y291" s="218" t="str">
        <f>IF(O291&lt;&gt;"","A"&amp;MATCH(R291,CoinCollection!E:E,),"")</f>
        <v/>
      </c>
      <c r="BA291">
        <v>1950</v>
      </c>
      <c r="BB291" s="218">
        <v>0</v>
      </c>
      <c r="BC291" t="str">
        <v>Penny</v>
      </c>
      <c r="BD291" t="str">
        <v>WHT1950CNT-AG</v>
      </c>
      <c r="BE291" t="str">
        <v>Wheat Penny</v>
      </c>
      <c r="BF291" t="str">
        <v>Extremely Fine</v>
      </c>
      <c r="BG291" s="225">
        <v>0.01</v>
      </c>
      <c r="BH291" s="225">
        <v>0.01</v>
      </c>
      <c r="BI291" s="136">
        <v>1</v>
      </c>
      <c r="BJ291" s="219">
        <v>0</v>
      </c>
      <c r="BK291" s="218">
        <v>0</v>
      </c>
      <c r="BL291" s="136" t="str">
        <f>IF(BA291&lt;&gt;"","A"&amp;MATCH(BD291,CoinCollection!E:E,),"")</f>
        <v>A342</v>
      </c>
    </row>
    <row r="292" spans="14:64">
      <c r="N292" s="136"/>
      <c r="Y292" s="218" t="str">
        <f>IF(O292&lt;&gt;"","A"&amp;MATCH(R292,CoinCollection!E:E,),"")</f>
        <v/>
      </c>
      <c r="BA292">
        <v>1950</v>
      </c>
      <c r="BB292" s="218">
        <v>0</v>
      </c>
      <c r="BC292" t="str">
        <v>Penny</v>
      </c>
      <c r="BD292" t="str">
        <v>WHT1950CNT-AH</v>
      </c>
      <c r="BE292" t="str">
        <v>Wheat Penny</v>
      </c>
      <c r="BF292" t="str">
        <v>Extremely Fine</v>
      </c>
      <c r="BG292" s="225">
        <v>0.01</v>
      </c>
      <c r="BH292" s="225">
        <v>0.01</v>
      </c>
      <c r="BI292" s="136">
        <v>1</v>
      </c>
      <c r="BJ292" s="219">
        <v>0</v>
      </c>
      <c r="BK292" s="218">
        <v>0</v>
      </c>
      <c r="BL292" s="136" t="str">
        <f>IF(BA292&lt;&gt;"","A"&amp;MATCH(BD292,CoinCollection!E:E,),"")</f>
        <v>A343</v>
      </c>
    </row>
    <row r="293" spans="14:64">
      <c r="N293" s="136"/>
      <c r="Y293" s="218" t="str">
        <f>IF(O293&lt;&gt;"","A"&amp;MATCH(R293,CoinCollection!E:E,),"")</f>
        <v/>
      </c>
      <c r="BA293">
        <v>1950</v>
      </c>
      <c r="BB293" s="218">
        <v>0</v>
      </c>
      <c r="BC293" t="str">
        <v>Penny</v>
      </c>
      <c r="BD293" t="str">
        <v>WHT1950CNT-AI</v>
      </c>
      <c r="BE293" t="str">
        <v>Wheat Penny</v>
      </c>
      <c r="BF293" t="str">
        <v>Extremely Fine</v>
      </c>
      <c r="BG293" s="225">
        <v>0.01</v>
      </c>
      <c r="BH293" s="225">
        <v>0.01</v>
      </c>
      <c r="BI293" s="136">
        <v>1</v>
      </c>
      <c r="BJ293" s="219">
        <v>0</v>
      </c>
      <c r="BK293" s="218">
        <v>0</v>
      </c>
      <c r="BL293" s="136" t="str">
        <f>IF(BA293&lt;&gt;"","A"&amp;MATCH(BD293,CoinCollection!E:E,),"")</f>
        <v>A344</v>
      </c>
    </row>
    <row r="294" spans="14:64">
      <c r="N294" s="136"/>
      <c r="Y294" s="218" t="str">
        <f>IF(O294&lt;&gt;"","A"&amp;MATCH(R294,CoinCollection!E:E,),"")</f>
        <v/>
      </c>
      <c r="BA294">
        <v>1951</v>
      </c>
      <c r="BB294" s="218">
        <v>0</v>
      </c>
      <c r="BC294" t="str">
        <v>Penny</v>
      </c>
      <c r="BD294" t="str">
        <v>WHT1951CNT-AA</v>
      </c>
      <c r="BE294" t="str">
        <v>Wheat Penny</v>
      </c>
      <c r="BF294" t="str">
        <v>Extremely Fine</v>
      </c>
      <c r="BG294" s="225">
        <v>0.01</v>
      </c>
      <c r="BH294" s="225">
        <v>0.25</v>
      </c>
      <c r="BI294" s="136">
        <v>1</v>
      </c>
      <c r="BJ294" s="219">
        <v>0</v>
      </c>
      <c r="BK294" s="218">
        <v>0</v>
      </c>
      <c r="BL294" s="136" t="str">
        <f>IF(BA294&lt;&gt;"","A"&amp;MATCH(BD294,CoinCollection!E:E,),"")</f>
        <v>A345</v>
      </c>
    </row>
    <row r="295" spans="14:64">
      <c r="N295" s="136"/>
      <c r="Y295" s="218" t="str">
        <f>IF(O295&lt;&gt;"","A"&amp;MATCH(R295,CoinCollection!E:E,),"")</f>
        <v/>
      </c>
      <c r="BA295">
        <v>1951</v>
      </c>
      <c r="BB295" s="218">
        <v>0</v>
      </c>
      <c r="BC295" t="str">
        <v>Penny</v>
      </c>
      <c r="BD295" t="str">
        <v>WHT1951CNT-AB</v>
      </c>
      <c r="BE295" t="str">
        <v>Wheat Penny</v>
      </c>
      <c r="BF295" t="str">
        <v>Extremely Fine</v>
      </c>
      <c r="BG295" s="225">
        <v>0.01</v>
      </c>
      <c r="BH295" s="225">
        <v>0.25</v>
      </c>
      <c r="BI295" s="136">
        <v>1</v>
      </c>
      <c r="BJ295" s="219">
        <v>0</v>
      </c>
      <c r="BK295" s="218">
        <v>0</v>
      </c>
      <c r="BL295" s="136" t="str">
        <f>IF(BA295&lt;&gt;"","A"&amp;MATCH(BD295,CoinCollection!E:E,),"")</f>
        <v>A346</v>
      </c>
    </row>
    <row r="296" spans="14:64">
      <c r="N296" s="136"/>
      <c r="Y296" s="218" t="str">
        <f>IF(O296&lt;&gt;"","A"&amp;MATCH(R296,CoinCollection!E:E,),"")</f>
        <v/>
      </c>
      <c r="BA296">
        <v>1951</v>
      </c>
      <c r="BB296" s="218">
        <v>0</v>
      </c>
      <c r="BC296" t="str">
        <v>Penny</v>
      </c>
      <c r="BD296" t="str">
        <v>WHT1951CNT-AC</v>
      </c>
      <c r="BE296" t="str">
        <v>Wheat Penny</v>
      </c>
      <c r="BF296" t="str">
        <v>Extremely Fine</v>
      </c>
      <c r="BG296" s="225">
        <v>0.01</v>
      </c>
      <c r="BH296" s="225">
        <v>0.25</v>
      </c>
      <c r="BI296" s="136">
        <v>1</v>
      </c>
      <c r="BJ296" s="219">
        <v>0</v>
      </c>
      <c r="BK296" s="218">
        <v>0</v>
      </c>
      <c r="BL296" s="136" t="str">
        <f>IF(BA296&lt;&gt;"","A"&amp;MATCH(BD296,CoinCollection!E:E,),"")</f>
        <v>A347</v>
      </c>
    </row>
    <row r="297" spans="14:64">
      <c r="N297" s="136"/>
      <c r="Y297" s="218" t="str">
        <f>IF(O297&lt;&gt;"","A"&amp;MATCH(R297,CoinCollection!E:E,),"")</f>
        <v/>
      </c>
      <c r="BA297">
        <v>1951</v>
      </c>
      <c r="BB297" s="218">
        <v>0</v>
      </c>
      <c r="BC297" t="str">
        <v>Penny</v>
      </c>
      <c r="BD297" t="str">
        <v>WHT1951CNT-AD</v>
      </c>
      <c r="BE297" t="str">
        <v>Wheat Penny</v>
      </c>
      <c r="BF297" t="str">
        <v>Extremely Fine</v>
      </c>
      <c r="BG297" s="225">
        <v>0.01</v>
      </c>
      <c r="BH297" s="225">
        <v>0.25</v>
      </c>
      <c r="BI297" s="136">
        <v>1</v>
      </c>
      <c r="BJ297" s="219">
        <v>0</v>
      </c>
      <c r="BK297" s="218">
        <v>0</v>
      </c>
      <c r="BL297" s="136" t="str">
        <f>IF(BA297&lt;&gt;"","A"&amp;MATCH(BD297,CoinCollection!E:E,),"")</f>
        <v>A348</v>
      </c>
    </row>
    <row r="298" spans="14:64">
      <c r="N298" s="136"/>
      <c r="Y298" s="218" t="str">
        <f>IF(O298&lt;&gt;"","A"&amp;MATCH(R298,CoinCollection!E:E,),"")</f>
        <v/>
      </c>
      <c r="BA298">
        <v>1951</v>
      </c>
      <c r="BB298" s="218" t="str">
        <v>D</v>
      </c>
      <c r="BC298" t="str">
        <v>Penny</v>
      </c>
      <c r="BD298" t="str">
        <v>WHT1951CNT-AE</v>
      </c>
      <c r="BE298" t="str">
        <v>Wheat Penny</v>
      </c>
      <c r="BF298" t="str">
        <v>Extremely Fine</v>
      </c>
      <c r="BG298" s="225">
        <v>0.01</v>
      </c>
      <c r="BH298" s="225">
        <v>0.25</v>
      </c>
      <c r="BI298" s="136">
        <v>1</v>
      </c>
      <c r="BJ298" s="219">
        <v>0</v>
      </c>
      <c r="BK298" s="218">
        <v>0</v>
      </c>
      <c r="BL298" s="136" t="str">
        <f>IF(BA298&lt;&gt;"","A"&amp;MATCH(BD298,CoinCollection!E:E,),"")</f>
        <v>A349</v>
      </c>
    </row>
    <row r="299" spans="14:64">
      <c r="N299" s="136"/>
      <c r="Y299" s="218" t="str">
        <f>IF(O299&lt;&gt;"","A"&amp;MATCH(R299,CoinCollection!E:E,),"")</f>
        <v/>
      </c>
      <c r="BA299">
        <v>1951</v>
      </c>
      <c r="BB299" s="218" t="str">
        <v>D</v>
      </c>
      <c r="BC299" t="str">
        <v>Penny</v>
      </c>
      <c r="BD299" t="str">
        <v>WHT1951CNT-AF</v>
      </c>
      <c r="BE299" t="str">
        <v>Wheat Penny</v>
      </c>
      <c r="BF299" t="str">
        <v>Extremely Fine</v>
      </c>
      <c r="BG299" s="225">
        <v>0.01</v>
      </c>
      <c r="BH299" s="225">
        <v>0.15</v>
      </c>
      <c r="BI299" s="136">
        <v>1</v>
      </c>
      <c r="BJ299" s="219">
        <v>0</v>
      </c>
      <c r="BK299" s="218">
        <v>0</v>
      </c>
      <c r="BL299" s="136" t="str">
        <f>IF(BA299&lt;&gt;"","A"&amp;MATCH(BD299,CoinCollection!E:E,),"")</f>
        <v>A350</v>
      </c>
    </row>
    <row r="300" spans="14:64">
      <c r="N300" s="136"/>
      <c r="Y300" s="218" t="str">
        <f>IF(O300&lt;&gt;"","A"&amp;MATCH(R300,CoinCollection!E:E,),"")</f>
        <v/>
      </c>
      <c r="BA300">
        <v>1951</v>
      </c>
      <c r="BB300" s="218" t="str">
        <v>D</v>
      </c>
      <c r="BC300" t="str">
        <v>Penny</v>
      </c>
      <c r="BD300" t="str">
        <v>WHT1951CNT-AG</v>
      </c>
      <c r="BE300" t="str">
        <v>Wheat Penny</v>
      </c>
      <c r="BF300" t="str">
        <v>Extremely Fine</v>
      </c>
      <c r="BG300" s="225">
        <v>0.01</v>
      </c>
      <c r="BH300" s="225">
        <v>0.15</v>
      </c>
      <c r="BI300" s="136">
        <v>1</v>
      </c>
      <c r="BJ300" s="219">
        <v>0</v>
      </c>
      <c r="BK300" s="218">
        <v>0</v>
      </c>
      <c r="BL300" s="136" t="str">
        <f>IF(BA300&lt;&gt;"","A"&amp;MATCH(BD300,CoinCollection!E:E,),"")</f>
        <v>A351</v>
      </c>
    </row>
    <row r="301" spans="14:64">
      <c r="N301" s="136"/>
      <c r="Y301" s="218" t="str">
        <f>IF(O301&lt;&gt;"","A"&amp;MATCH(R301,CoinCollection!E:E,),"")</f>
        <v/>
      </c>
      <c r="BA301">
        <v>1951</v>
      </c>
      <c r="BB301" s="218" t="str">
        <v>S</v>
      </c>
      <c r="BC301" t="str">
        <v>Penny</v>
      </c>
      <c r="BD301" t="str">
        <v>WHT1951CNT-AH</v>
      </c>
      <c r="BE301" t="str">
        <v>Wheat Penny</v>
      </c>
      <c r="BF301" t="str">
        <v>Extremely Fine</v>
      </c>
      <c r="BG301" s="225">
        <v>0.01</v>
      </c>
      <c r="BH301" s="225">
        <v>0.15</v>
      </c>
      <c r="BI301" s="136">
        <v>1</v>
      </c>
      <c r="BJ301" s="219">
        <v>0</v>
      </c>
      <c r="BK301" s="218">
        <v>0</v>
      </c>
      <c r="BL301" s="136" t="str">
        <f>IF(BA301&lt;&gt;"","A"&amp;MATCH(BD301,CoinCollection!E:E,),"")</f>
        <v>A352</v>
      </c>
    </row>
    <row r="302" spans="14:64">
      <c r="N302" s="136"/>
      <c r="Y302" s="218" t="str">
        <f>IF(O302&lt;&gt;"","A"&amp;MATCH(R302,CoinCollection!E:E,),"")</f>
        <v/>
      </c>
      <c r="BA302">
        <v>1951</v>
      </c>
      <c r="BB302" s="218" t="str">
        <v>S</v>
      </c>
      <c r="BC302" t="str">
        <v>Penny</v>
      </c>
      <c r="BD302" t="str">
        <v>WHT1951CNT-AI</v>
      </c>
      <c r="BE302" t="str">
        <v>Wheat Penny</v>
      </c>
      <c r="BF302" t="str">
        <v>Extremely Fine</v>
      </c>
      <c r="BG302" s="225">
        <v>0.01</v>
      </c>
      <c r="BH302" s="225">
        <v>0.15</v>
      </c>
      <c r="BI302" s="136">
        <v>1</v>
      </c>
      <c r="BJ302" s="219">
        <v>0</v>
      </c>
      <c r="BK302" s="218">
        <v>0</v>
      </c>
      <c r="BL302" s="136" t="str">
        <f>IF(BA302&lt;&gt;"","A"&amp;MATCH(BD302,CoinCollection!E:E,),"")</f>
        <v>A353</v>
      </c>
    </row>
    <row r="303" spans="14:64">
      <c r="N303" s="136"/>
      <c r="Y303" s="218" t="str">
        <f>IF(O303&lt;&gt;"","A"&amp;MATCH(R303,CoinCollection!E:E,),"")</f>
        <v/>
      </c>
      <c r="BA303">
        <v>1951</v>
      </c>
      <c r="BB303" s="218">
        <v>0</v>
      </c>
      <c r="BC303" t="str">
        <v>Penny</v>
      </c>
      <c r="BD303" t="str">
        <v>WHT1951CNT-AJ</v>
      </c>
      <c r="BE303" t="str">
        <v>Wheat Penny</v>
      </c>
      <c r="BF303" t="str">
        <v>Extremely Fine</v>
      </c>
      <c r="BG303" s="225">
        <v>0.01</v>
      </c>
      <c r="BH303" s="225">
        <v>0.15</v>
      </c>
      <c r="BI303" s="136">
        <v>1</v>
      </c>
      <c r="BJ303" s="219">
        <v>0</v>
      </c>
      <c r="BK303" s="218">
        <v>0</v>
      </c>
      <c r="BL303" s="136" t="str">
        <f>IF(BA303&lt;&gt;"","A"&amp;MATCH(BD303,CoinCollection!E:E,),"")</f>
        <v>A354</v>
      </c>
    </row>
    <row r="304" spans="14:64">
      <c r="N304" s="136"/>
      <c r="Y304" s="218" t="str">
        <f>IF(O304&lt;&gt;"","A"&amp;MATCH(R304,CoinCollection!E:E,),"")</f>
        <v/>
      </c>
      <c r="BA304">
        <v>1951</v>
      </c>
      <c r="BB304" s="218">
        <v>0</v>
      </c>
      <c r="BC304" t="str">
        <v>Penny</v>
      </c>
      <c r="BD304" t="str">
        <v>WHT1951CNT-AK</v>
      </c>
      <c r="BE304" t="str">
        <v>Wheat Penny</v>
      </c>
      <c r="BF304" t="str">
        <v>Extremely Fine</v>
      </c>
      <c r="BG304" s="225">
        <v>0.01</v>
      </c>
      <c r="BH304" s="225">
        <v>0.15</v>
      </c>
      <c r="BI304" s="136">
        <v>1</v>
      </c>
      <c r="BJ304" s="219">
        <v>0</v>
      </c>
      <c r="BK304" s="218">
        <v>0</v>
      </c>
      <c r="BL304" s="136" t="str">
        <f>IF(BA304&lt;&gt;"","A"&amp;MATCH(BD304,CoinCollection!E:E,),"")</f>
        <v>A355</v>
      </c>
    </row>
    <row r="305" spans="14:64">
      <c r="N305" s="136"/>
      <c r="Y305" s="218" t="str">
        <f>IF(O305&lt;&gt;"","A"&amp;MATCH(R305,CoinCollection!E:E,),"")</f>
        <v/>
      </c>
      <c r="BA305">
        <v>1951</v>
      </c>
      <c r="BB305" s="218">
        <v>0</v>
      </c>
      <c r="BC305" t="str">
        <v>Penny</v>
      </c>
      <c r="BD305" t="str">
        <v>WHT1951CNT-AL</v>
      </c>
      <c r="BE305" t="str">
        <v>Wheat Penny</v>
      </c>
      <c r="BF305" t="str">
        <v>Extremely Fine</v>
      </c>
      <c r="BG305" s="225">
        <v>0.01</v>
      </c>
      <c r="BH305" s="225">
        <v>0.15</v>
      </c>
      <c r="BI305" s="136">
        <v>1</v>
      </c>
      <c r="BJ305" s="219">
        <v>0</v>
      </c>
      <c r="BK305" s="218">
        <v>0</v>
      </c>
      <c r="BL305" s="136" t="str">
        <f>IF(BA305&lt;&gt;"","A"&amp;MATCH(BD305,CoinCollection!E:E,),"")</f>
        <v>A356</v>
      </c>
    </row>
    <row r="306" spans="14:64">
      <c r="N306" s="136"/>
      <c r="Y306" s="218" t="str">
        <f>IF(O306&lt;&gt;"","A"&amp;MATCH(R306,CoinCollection!E:E,),"")</f>
        <v/>
      </c>
      <c r="BA306">
        <v>1951</v>
      </c>
      <c r="BB306" s="218" t="str">
        <v>D</v>
      </c>
      <c r="BC306" t="str">
        <v>Penny</v>
      </c>
      <c r="BD306" t="str">
        <v>WHT1951CNT-AM</v>
      </c>
      <c r="BE306" t="str">
        <v>Wheat Penny</v>
      </c>
      <c r="BF306" t="str">
        <v>Extremely Fine</v>
      </c>
      <c r="BG306" s="225">
        <v>0.01</v>
      </c>
      <c r="BH306" s="225">
        <v>0.15</v>
      </c>
      <c r="BI306" s="136">
        <v>1</v>
      </c>
      <c r="BJ306" s="219">
        <v>0</v>
      </c>
      <c r="BK306" s="218">
        <v>0</v>
      </c>
      <c r="BL306" s="136" t="str">
        <f>IF(BA306&lt;&gt;"","A"&amp;MATCH(BD306,CoinCollection!E:E,),"")</f>
        <v>A357</v>
      </c>
    </row>
    <row r="307" spans="14:64">
      <c r="N307" s="136"/>
      <c r="Y307" s="218" t="str">
        <f>IF(O307&lt;&gt;"","A"&amp;MATCH(R307,CoinCollection!E:E,),"")</f>
        <v/>
      </c>
      <c r="BA307">
        <v>1951</v>
      </c>
      <c r="BB307" s="218">
        <v>0</v>
      </c>
      <c r="BC307" t="str">
        <v>Penny</v>
      </c>
      <c r="BD307" t="str">
        <v>WHT1951CNT-AN</v>
      </c>
      <c r="BE307" t="str">
        <v>Wheat Penny</v>
      </c>
      <c r="BF307" t="str">
        <v>Extremely Fine</v>
      </c>
      <c r="BG307" s="225">
        <v>0.01</v>
      </c>
      <c r="BH307" s="225">
        <v>0.01</v>
      </c>
      <c r="BI307" s="136">
        <v>1</v>
      </c>
      <c r="BJ307" s="219">
        <v>0</v>
      </c>
      <c r="BK307" s="218">
        <v>0</v>
      </c>
      <c r="BL307" s="136" t="str">
        <f>IF(BA307&lt;&gt;"","A"&amp;MATCH(BD307,CoinCollection!E:E,),"")</f>
        <v>A358</v>
      </c>
    </row>
    <row r="308" spans="14:64">
      <c r="N308" s="136"/>
      <c r="Y308" s="218" t="str">
        <f>IF(O308&lt;&gt;"","A"&amp;MATCH(R308,CoinCollection!E:E,),"")</f>
        <v/>
      </c>
      <c r="BA308">
        <v>1952</v>
      </c>
      <c r="BB308" s="218">
        <v>0</v>
      </c>
      <c r="BC308" t="str">
        <v>Penny</v>
      </c>
      <c r="BD308" t="str">
        <v>WHT1952CNT-AA</v>
      </c>
      <c r="BE308" t="str">
        <v>Wheat Penny</v>
      </c>
      <c r="BF308" t="str">
        <v>Extremely Fine</v>
      </c>
      <c r="BG308" s="225">
        <v>0.01</v>
      </c>
      <c r="BH308" s="225">
        <v>0.15</v>
      </c>
      <c r="BI308" s="136">
        <v>1</v>
      </c>
      <c r="BJ308" s="219">
        <v>0</v>
      </c>
      <c r="BK308" s="218">
        <v>0</v>
      </c>
      <c r="BL308" s="136" t="str">
        <f>IF(BA308&lt;&gt;"","A"&amp;MATCH(BD308,CoinCollection!E:E,),"")</f>
        <v>A359</v>
      </c>
    </row>
    <row r="309" spans="14:64">
      <c r="N309" s="136"/>
      <c r="Y309" s="218" t="str">
        <f>IF(O309&lt;&gt;"","A"&amp;MATCH(R309,CoinCollection!E:E,),"")</f>
        <v/>
      </c>
      <c r="BA309">
        <v>1952</v>
      </c>
      <c r="BB309" s="218">
        <v>0</v>
      </c>
      <c r="BC309" t="str">
        <v>Penny</v>
      </c>
      <c r="BD309" t="str">
        <v>WHT1952CNT-AB</v>
      </c>
      <c r="BE309" t="str">
        <v>Wheat Penny</v>
      </c>
      <c r="BF309" t="str">
        <v>Extremely Fine</v>
      </c>
      <c r="BG309" s="225">
        <v>0.01</v>
      </c>
      <c r="BH309" s="225">
        <v>0.15</v>
      </c>
      <c r="BI309" s="136">
        <v>1</v>
      </c>
      <c r="BJ309" s="219">
        <v>0</v>
      </c>
      <c r="BK309" s="218">
        <v>0</v>
      </c>
      <c r="BL309" s="136" t="str">
        <f>IF(BA309&lt;&gt;"","A"&amp;MATCH(BD309,CoinCollection!E:E,),"")</f>
        <v>A360</v>
      </c>
    </row>
    <row r="310" spans="14:64">
      <c r="N310" s="136"/>
      <c r="Y310" s="218" t="str">
        <f>IF(O310&lt;&gt;"","A"&amp;MATCH(R310,CoinCollection!E:E,),"")</f>
        <v/>
      </c>
      <c r="BA310">
        <v>1952</v>
      </c>
      <c r="BB310" s="218">
        <v>0</v>
      </c>
      <c r="BC310" t="str">
        <v>Penny</v>
      </c>
      <c r="BD310" t="str">
        <v>WHT1952CNT-AC</v>
      </c>
      <c r="BE310" t="str">
        <v>Wheat Penny</v>
      </c>
      <c r="BF310" t="str">
        <v>Extremely Fine</v>
      </c>
      <c r="BG310" s="225">
        <v>0.01</v>
      </c>
      <c r="BH310" s="225">
        <v>0.15</v>
      </c>
      <c r="BI310" s="136">
        <v>1</v>
      </c>
      <c r="BJ310" s="219">
        <v>0</v>
      </c>
      <c r="BK310" s="218">
        <v>0</v>
      </c>
      <c r="BL310" s="136" t="str">
        <f>IF(BA310&lt;&gt;"","A"&amp;MATCH(BD310,CoinCollection!E:E,),"")</f>
        <v>A361</v>
      </c>
    </row>
    <row r="311" spans="14:64">
      <c r="N311" s="136"/>
      <c r="Y311" s="218" t="str">
        <f>IF(O311&lt;&gt;"","A"&amp;MATCH(R311,CoinCollection!E:E,),"")</f>
        <v/>
      </c>
      <c r="BA311">
        <v>1952</v>
      </c>
      <c r="BB311" s="218">
        <v>0</v>
      </c>
      <c r="BC311" t="str">
        <v>Penny</v>
      </c>
      <c r="BD311" t="str">
        <v>WHT1952CNT-AD</v>
      </c>
      <c r="BE311" t="str">
        <v>Wheat Penny</v>
      </c>
      <c r="BF311" t="str">
        <v>Extremely Fine</v>
      </c>
      <c r="BG311" s="225">
        <v>0.01</v>
      </c>
      <c r="BH311" s="225">
        <v>0.15</v>
      </c>
      <c r="BI311" s="136">
        <v>1</v>
      </c>
      <c r="BJ311" s="219">
        <v>0</v>
      </c>
      <c r="BK311" s="218">
        <v>0</v>
      </c>
      <c r="BL311" s="136" t="str">
        <f>IF(BA311&lt;&gt;"","A"&amp;MATCH(BD311,CoinCollection!E:E,),"")</f>
        <v>A362</v>
      </c>
    </row>
    <row r="312" spans="14:64">
      <c r="N312" s="136"/>
      <c r="Y312" s="218" t="str">
        <f>IF(O312&lt;&gt;"","A"&amp;MATCH(R312,CoinCollection!E:E,),"")</f>
        <v/>
      </c>
      <c r="BA312">
        <v>1952</v>
      </c>
      <c r="BB312" s="218">
        <v>0</v>
      </c>
      <c r="BC312" t="str">
        <v>Penny</v>
      </c>
      <c r="BD312" t="str">
        <v>WHT1952CNT-AE</v>
      </c>
      <c r="BE312" t="str">
        <v>Wheat Penny</v>
      </c>
      <c r="BF312" t="str">
        <v>Extremely Fine</v>
      </c>
      <c r="BG312" s="225">
        <v>0.01</v>
      </c>
      <c r="BH312" s="225">
        <v>0.15</v>
      </c>
      <c r="BI312" s="136">
        <v>1</v>
      </c>
      <c r="BJ312" s="219">
        <v>0</v>
      </c>
      <c r="BK312" s="218">
        <v>0</v>
      </c>
      <c r="BL312" s="136" t="str">
        <f>IF(BA312&lt;&gt;"","A"&amp;MATCH(BD312,CoinCollection!E:E,),"")</f>
        <v>A363</v>
      </c>
    </row>
    <row r="313" spans="14:64">
      <c r="N313" s="136"/>
      <c r="Y313" s="218" t="str">
        <f>IF(O313&lt;&gt;"","A"&amp;MATCH(R313,CoinCollection!E:E,),"")</f>
        <v/>
      </c>
      <c r="BA313">
        <v>1952</v>
      </c>
      <c r="BB313" s="218">
        <v>0</v>
      </c>
      <c r="BC313" t="str">
        <v>Penny</v>
      </c>
      <c r="BD313" t="str">
        <v>WHT1952CNT-AF</v>
      </c>
      <c r="BE313" t="str">
        <v>Wheat Penny</v>
      </c>
      <c r="BF313" t="str">
        <v>Extremely Fine</v>
      </c>
      <c r="BG313" s="225">
        <v>0.01</v>
      </c>
      <c r="BH313" s="225">
        <v>0.1</v>
      </c>
      <c r="BI313" s="136">
        <v>1</v>
      </c>
      <c r="BJ313" s="219">
        <v>0</v>
      </c>
      <c r="BK313" s="218">
        <v>0</v>
      </c>
      <c r="BL313" s="136" t="str">
        <f>IF(BA313&lt;&gt;"","A"&amp;MATCH(BD313,CoinCollection!E:E,),"")</f>
        <v>A364</v>
      </c>
    </row>
    <row r="314" spans="14:64">
      <c r="N314" s="136"/>
      <c r="Y314" s="218" t="str">
        <f>IF(O314&lt;&gt;"","A"&amp;MATCH(R314,CoinCollection!E:E,),"")</f>
        <v/>
      </c>
      <c r="BA314">
        <v>1952</v>
      </c>
      <c r="BB314" s="218">
        <v>0</v>
      </c>
      <c r="BC314" t="str">
        <v>Penny</v>
      </c>
      <c r="BD314" t="str">
        <v>WHT1952CNT-AG</v>
      </c>
      <c r="BE314" t="str">
        <v>Wheat Penny</v>
      </c>
      <c r="BF314" t="str">
        <v>Extremely Fine</v>
      </c>
      <c r="BG314" s="225">
        <v>0.01</v>
      </c>
      <c r="BH314" s="225">
        <v>0.1</v>
      </c>
      <c r="BI314" s="136">
        <v>1</v>
      </c>
      <c r="BJ314" s="219">
        <v>0</v>
      </c>
      <c r="BK314" s="218">
        <v>0</v>
      </c>
      <c r="BL314" s="136" t="str">
        <f>IF(BA314&lt;&gt;"","A"&amp;MATCH(BD314,CoinCollection!E:E,),"")</f>
        <v>A365</v>
      </c>
    </row>
    <row r="315" spans="14:64">
      <c r="N315" s="136"/>
      <c r="Y315" s="218" t="str">
        <f>IF(O315&lt;&gt;"","A"&amp;MATCH(R315,CoinCollection!E:E,),"")</f>
        <v/>
      </c>
      <c r="BA315">
        <v>1952</v>
      </c>
      <c r="BB315" s="218" t="str">
        <v>D</v>
      </c>
      <c r="BC315" t="str">
        <v>Penny</v>
      </c>
      <c r="BD315" t="str">
        <v>WHT1952CNT-AH</v>
      </c>
      <c r="BE315" t="str">
        <v>Wheat Penny</v>
      </c>
      <c r="BF315" t="str">
        <v>Extremely Fine</v>
      </c>
      <c r="BG315" s="225">
        <v>0.01</v>
      </c>
      <c r="BH315" s="225">
        <v>0.15</v>
      </c>
      <c r="BI315" s="136">
        <v>1</v>
      </c>
      <c r="BJ315" s="219">
        <v>0</v>
      </c>
      <c r="BK315" s="218">
        <v>0</v>
      </c>
      <c r="BL315" s="136" t="str">
        <f>IF(BA315&lt;&gt;"","A"&amp;MATCH(BD315,CoinCollection!E:E,),"")</f>
        <v>A366</v>
      </c>
    </row>
    <row r="316" spans="14:64">
      <c r="N316" s="136"/>
      <c r="Y316" s="218" t="str">
        <f>IF(O316&lt;&gt;"","A"&amp;MATCH(R316,CoinCollection!E:E,),"")</f>
        <v/>
      </c>
      <c r="BA316">
        <v>1952</v>
      </c>
      <c r="BB316" s="218" t="str">
        <v>D</v>
      </c>
      <c r="BC316" t="str">
        <v>Penny</v>
      </c>
      <c r="BD316" t="str">
        <v>WHT1952CNT-AI</v>
      </c>
      <c r="BE316" t="str">
        <v>Wheat Penny</v>
      </c>
      <c r="BF316" t="str">
        <v>Extremely Fine</v>
      </c>
      <c r="BG316" s="225">
        <v>0.01</v>
      </c>
      <c r="BH316" s="225">
        <v>0.15</v>
      </c>
      <c r="BI316" s="136">
        <v>1</v>
      </c>
      <c r="BJ316" s="219">
        <v>0</v>
      </c>
      <c r="BK316" s="218">
        <v>0</v>
      </c>
      <c r="BL316" s="136" t="str">
        <f>IF(BA316&lt;&gt;"","A"&amp;MATCH(BD316,CoinCollection!E:E,),"")</f>
        <v>A367</v>
      </c>
    </row>
    <row r="317" spans="14:64">
      <c r="N317" s="136"/>
      <c r="Y317" s="218" t="str">
        <f>IF(O317&lt;&gt;"","A"&amp;MATCH(R317,CoinCollection!E:E,),"")</f>
        <v/>
      </c>
      <c r="BA317">
        <v>1952</v>
      </c>
      <c r="BB317" s="218" t="str">
        <v>D</v>
      </c>
      <c r="BC317" t="str">
        <v>Penny</v>
      </c>
      <c r="BD317" t="str">
        <v>WHT1952CNT-AJ</v>
      </c>
      <c r="BE317" t="str">
        <v>Wheat Penny</v>
      </c>
      <c r="BF317" t="str">
        <v>Extremely Fine</v>
      </c>
      <c r="BG317" s="225">
        <v>0.01</v>
      </c>
      <c r="BH317" s="225">
        <v>0.15</v>
      </c>
      <c r="BI317" s="136">
        <v>1</v>
      </c>
      <c r="BJ317" s="219">
        <v>0</v>
      </c>
      <c r="BK317" s="218">
        <v>0</v>
      </c>
      <c r="BL317" s="136" t="str">
        <f>IF(BA317&lt;&gt;"","A"&amp;MATCH(BD317,CoinCollection!E:E,),"")</f>
        <v>A368</v>
      </c>
    </row>
    <row r="318" spans="14:64">
      <c r="N318" s="136"/>
      <c r="Y318" s="218" t="str">
        <f>IF(O318&lt;&gt;"","A"&amp;MATCH(R318,CoinCollection!E:E,),"")</f>
        <v/>
      </c>
      <c r="BA318">
        <v>1952</v>
      </c>
      <c r="BB318" s="218" t="str">
        <v>S</v>
      </c>
      <c r="BC318" t="str">
        <v>Penny</v>
      </c>
      <c r="BD318" t="str">
        <v>WHT1952CNT-AK</v>
      </c>
      <c r="BE318" t="str">
        <v>Wheat Penny</v>
      </c>
      <c r="BF318" t="str">
        <v>Extremely Fine</v>
      </c>
      <c r="BG318" s="225">
        <v>0.01</v>
      </c>
      <c r="BH318" s="225">
        <v>7.0000000000000007E-2</v>
      </c>
      <c r="BI318" s="136">
        <v>1</v>
      </c>
      <c r="BJ318" s="219">
        <v>0</v>
      </c>
      <c r="BK318" s="218">
        <v>0</v>
      </c>
      <c r="BL318" s="136" t="str">
        <f>IF(BA318&lt;&gt;"","A"&amp;MATCH(BD318,CoinCollection!E:E,),"")</f>
        <v>A369</v>
      </c>
    </row>
    <row r="319" spans="14:64">
      <c r="N319" s="136"/>
      <c r="Y319" s="218" t="str">
        <f>IF(O319&lt;&gt;"","A"&amp;MATCH(R319,CoinCollection!E:E,),"")</f>
        <v/>
      </c>
      <c r="BA319">
        <v>1952</v>
      </c>
      <c r="BB319" s="218" t="str">
        <v>S</v>
      </c>
      <c r="BC319" t="str">
        <v>Penny</v>
      </c>
      <c r="BD319" t="str">
        <v>WHT1952CNT-AL</v>
      </c>
      <c r="BE319" t="str">
        <v>Wheat Penny</v>
      </c>
      <c r="BF319" t="str">
        <v>Extremely Fine</v>
      </c>
      <c r="BG319" s="225">
        <v>0.01</v>
      </c>
      <c r="BH319" s="225">
        <v>0.1</v>
      </c>
      <c r="BI319" s="136">
        <v>1</v>
      </c>
      <c r="BJ319" s="219">
        <v>0</v>
      </c>
      <c r="BK319" s="218">
        <v>0</v>
      </c>
      <c r="BL319" s="136" t="str">
        <f>IF(BA319&lt;&gt;"","A"&amp;MATCH(BD319,CoinCollection!E:E,),"")</f>
        <v>A370</v>
      </c>
    </row>
    <row r="320" spans="14:64">
      <c r="N320" s="136"/>
      <c r="Y320" s="218" t="str">
        <f>IF(O320&lt;&gt;"","A"&amp;MATCH(R320,CoinCollection!E:E,),"")</f>
        <v/>
      </c>
      <c r="BA320">
        <v>1952</v>
      </c>
      <c r="BB320" s="218">
        <v>0</v>
      </c>
      <c r="BC320" t="str">
        <v>Penny</v>
      </c>
      <c r="BD320" t="str">
        <v>WHT1952CNT-AM</v>
      </c>
      <c r="BE320" t="str">
        <v>Wheat Penny</v>
      </c>
      <c r="BF320" t="str">
        <v>Extremely Fine</v>
      </c>
      <c r="BG320" s="225">
        <v>0.01</v>
      </c>
      <c r="BH320" s="225">
        <v>0.01</v>
      </c>
      <c r="BI320" s="136">
        <v>1</v>
      </c>
      <c r="BJ320" s="219">
        <v>0</v>
      </c>
      <c r="BK320" s="218">
        <v>0</v>
      </c>
      <c r="BL320" s="136" t="str">
        <f>IF(BA320&lt;&gt;"","A"&amp;MATCH(BD320,CoinCollection!E:E,),"")</f>
        <v>A371</v>
      </c>
    </row>
    <row r="321" spans="14:64">
      <c r="N321" s="136"/>
      <c r="Y321" s="218" t="str">
        <f>IF(O321&lt;&gt;"","A"&amp;MATCH(R321,CoinCollection!E:E,),"")</f>
        <v/>
      </c>
      <c r="BA321">
        <v>1952</v>
      </c>
      <c r="BB321" s="218">
        <v>0</v>
      </c>
      <c r="BC321" t="str">
        <v>Penny</v>
      </c>
      <c r="BD321" t="str">
        <v>WHT1952CNT-AN</v>
      </c>
      <c r="BE321" t="str">
        <v>Wheat Penny</v>
      </c>
      <c r="BF321" t="str">
        <v>Extremely Fine</v>
      </c>
      <c r="BG321" s="225">
        <v>0.01</v>
      </c>
      <c r="BH321" s="225">
        <v>0.01</v>
      </c>
      <c r="BI321" s="136">
        <v>1</v>
      </c>
      <c r="BJ321" s="219">
        <v>0</v>
      </c>
      <c r="BK321" s="218">
        <v>0</v>
      </c>
      <c r="BL321" s="136" t="str">
        <f>IF(BA321&lt;&gt;"","A"&amp;MATCH(BD321,CoinCollection!E:E,),"")</f>
        <v>A372</v>
      </c>
    </row>
    <row r="322" spans="14:64">
      <c r="N322" s="136"/>
      <c r="Y322" s="218" t="str">
        <f>IF(O322&lt;&gt;"","A"&amp;MATCH(R322,CoinCollection!E:E,),"")</f>
        <v/>
      </c>
      <c r="BA322">
        <v>1952</v>
      </c>
      <c r="BB322" s="218">
        <v>0</v>
      </c>
      <c r="BC322" t="str">
        <v>Penny</v>
      </c>
      <c r="BD322" t="str">
        <v>WHT1952CNT-AO</v>
      </c>
      <c r="BE322" t="str">
        <v>Wheat Penny</v>
      </c>
      <c r="BF322" t="str">
        <v>Extremely Fine</v>
      </c>
      <c r="BG322" s="225">
        <v>0.01</v>
      </c>
      <c r="BH322" s="225">
        <v>0.01</v>
      </c>
      <c r="BI322" s="136">
        <v>1</v>
      </c>
      <c r="BJ322" s="219">
        <v>0</v>
      </c>
      <c r="BK322" s="218">
        <v>0</v>
      </c>
      <c r="BL322" s="136" t="str">
        <f>IF(BA322&lt;&gt;"","A"&amp;MATCH(BD322,CoinCollection!E:E,),"")</f>
        <v>A373</v>
      </c>
    </row>
    <row r="323" spans="14:64">
      <c r="N323" s="136"/>
      <c r="Y323" s="218" t="str">
        <f>IF(O323&lt;&gt;"","A"&amp;MATCH(R323,CoinCollection!E:E,),"")</f>
        <v/>
      </c>
      <c r="BA323">
        <v>1952</v>
      </c>
      <c r="BB323" s="218">
        <v>0</v>
      </c>
      <c r="BC323" t="str">
        <v>Penny</v>
      </c>
      <c r="BD323" t="str">
        <v>WHT1952CNT-AP</v>
      </c>
      <c r="BE323" t="str">
        <v>Wheat Penny</v>
      </c>
      <c r="BF323" t="str">
        <v>Extremely Fine</v>
      </c>
      <c r="BG323" s="225">
        <v>0.01</v>
      </c>
      <c r="BH323" s="225">
        <v>0.01</v>
      </c>
      <c r="BI323" s="136">
        <v>1</v>
      </c>
      <c r="BJ323" s="219">
        <v>0</v>
      </c>
      <c r="BK323" s="218">
        <v>0</v>
      </c>
      <c r="BL323" s="136" t="str">
        <f>IF(BA323&lt;&gt;"","A"&amp;MATCH(BD323,CoinCollection!E:E,),"")</f>
        <v>A374</v>
      </c>
    </row>
    <row r="324" spans="14:64">
      <c r="N324" s="136"/>
      <c r="Y324" s="218" t="str">
        <f>IF(O324&lt;&gt;"","A"&amp;MATCH(R324,CoinCollection!E:E,),"")</f>
        <v/>
      </c>
      <c r="BA324">
        <v>1952</v>
      </c>
      <c r="BB324" s="218" t="str">
        <v>D</v>
      </c>
      <c r="BC324" t="str">
        <v>Penny</v>
      </c>
      <c r="BD324" t="str">
        <v>WHT1952CNT-AQ</v>
      </c>
      <c r="BE324" t="str">
        <v>Wheat Penny</v>
      </c>
      <c r="BF324" t="str">
        <v>Extremely Fine</v>
      </c>
      <c r="BG324" s="225">
        <v>0.01</v>
      </c>
      <c r="BH324" s="225">
        <v>0.01</v>
      </c>
      <c r="BI324" s="136">
        <v>1</v>
      </c>
      <c r="BJ324" s="219">
        <v>0</v>
      </c>
      <c r="BK324" s="218">
        <v>0</v>
      </c>
      <c r="BL324" s="136" t="str">
        <f>IF(BA324&lt;&gt;"","A"&amp;MATCH(BD324,CoinCollection!E:E,),"")</f>
        <v>A375</v>
      </c>
    </row>
    <row r="325" spans="14:64">
      <c r="N325" s="136"/>
      <c r="Y325" s="218" t="str">
        <f>IF(O325&lt;&gt;"","A"&amp;MATCH(R325,CoinCollection!E:E,),"")</f>
        <v/>
      </c>
      <c r="BA325">
        <v>1952</v>
      </c>
      <c r="BB325" s="218" t="str">
        <v>D</v>
      </c>
      <c r="BC325" t="str">
        <v>Penny</v>
      </c>
      <c r="BD325" t="str">
        <v>WHT1952CNT-AR</v>
      </c>
      <c r="BE325" t="str">
        <v>Wheat Penny</v>
      </c>
      <c r="BF325" t="str">
        <v>Extremely Fine</v>
      </c>
      <c r="BG325" s="225">
        <v>0.01</v>
      </c>
      <c r="BH325" s="225">
        <v>0</v>
      </c>
      <c r="BI325" s="136">
        <v>1</v>
      </c>
      <c r="BJ325" s="219">
        <v>0</v>
      </c>
      <c r="BK325" s="218">
        <v>0</v>
      </c>
      <c r="BL325" s="136" t="str">
        <f>IF(BA325&lt;&gt;"","A"&amp;MATCH(BD325,CoinCollection!E:E,),"")</f>
        <v>A376</v>
      </c>
    </row>
    <row r="326" spans="14:64">
      <c r="N326" s="136"/>
      <c r="Y326" s="218" t="str">
        <f>IF(O326&lt;&gt;"","A"&amp;MATCH(R326,CoinCollection!E:E,),"")</f>
        <v/>
      </c>
      <c r="BA326">
        <v>1953</v>
      </c>
      <c r="BB326" s="218">
        <v>0</v>
      </c>
      <c r="BC326" t="str">
        <v>Penny</v>
      </c>
      <c r="BD326" t="str">
        <v>WHT1953CNT-AA</v>
      </c>
      <c r="BE326" t="str">
        <v>Wheat Penny</v>
      </c>
      <c r="BF326" t="str">
        <v>Extremely Fine</v>
      </c>
      <c r="BG326" s="225">
        <v>0.01</v>
      </c>
      <c r="BH326" s="225">
        <v>0.12</v>
      </c>
      <c r="BI326" s="136">
        <v>1</v>
      </c>
      <c r="BJ326" s="219">
        <v>0</v>
      </c>
      <c r="BK326" s="218">
        <v>0</v>
      </c>
      <c r="BL326" s="136" t="str">
        <f>IF(BA326&lt;&gt;"","A"&amp;MATCH(BD326,CoinCollection!E:E,),"")</f>
        <v>A377</v>
      </c>
    </row>
    <row r="327" spans="14:64">
      <c r="N327" s="136"/>
      <c r="Y327" s="218" t="str">
        <f>IF(O327&lt;&gt;"","A"&amp;MATCH(R327,CoinCollection!E:E,),"")</f>
        <v/>
      </c>
      <c r="BA327">
        <v>1953</v>
      </c>
      <c r="BB327" s="218">
        <v>0</v>
      </c>
      <c r="BC327" t="str">
        <v>Penny</v>
      </c>
      <c r="BD327" t="str">
        <v>WHT1953CNT-AB</v>
      </c>
      <c r="BE327" t="str">
        <v>Wheat Penny</v>
      </c>
      <c r="BF327" t="str">
        <v>Extremely Fine</v>
      </c>
      <c r="BG327" s="225">
        <v>0.01</v>
      </c>
      <c r="BH327" s="225">
        <v>0.1</v>
      </c>
      <c r="BI327" s="136">
        <v>1</v>
      </c>
      <c r="BJ327" s="219">
        <v>0</v>
      </c>
      <c r="BK327" s="218">
        <v>0</v>
      </c>
      <c r="BL327" s="136" t="str">
        <f>IF(BA327&lt;&gt;"","A"&amp;MATCH(BD327,CoinCollection!E:E,),"")</f>
        <v>A378</v>
      </c>
    </row>
    <row r="328" spans="14:64">
      <c r="N328" s="136"/>
      <c r="Y328" s="218" t="str">
        <f>IF(O328&lt;&gt;"","A"&amp;MATCH(R328,CoinCollection!E:E,),"")</f>
        <v/>
      </c>
      <c r="BA328">
        <v>1953</v>
      </c>
      <c r="BB328" s="218" t="str">
        <v>D</v>
      </c>
      <c r="BC328" t="str">
        <v>Penny</v>
      </c>
      <c r="BD328" t="str">
        <v>WHT1953CNT-AC</v>
      </c>
      <c r="BE328" t="str">
        <v>Wheat Penny</v>
      </c>
      <c r="BF328" t="str">
        <v>Extremely Fine</v>
      </c>
      <c r="BG328" s="225">
        <v>0.01</v>
      </c>
      <c r="BH328" s="225">
        <v>0.1</v>
      </c>
      <c r="BI328" s="136">
        <v>1</v>
      </c>
      <c r="BJ328" s="219">
        <v>0</v>
      </c>
      <c r="BK328" s="218">
        <v>0</v>
      </c>
      <c r="BL328" s="136" t="str">
        <f>IF(BA328&lt;&gt;"","A"&amp;MATCH(BD328,CoinCollection!E:E,),"")</f>
        <v>A379</v>
      </c>
    </row>
    <row r="329" spans="14:64">
      <c r="N329" s="136"/>
      <c r="Y329" s="218" t="str">
        <f>IF(O329&lt;&gt;"","A"&amp;MATCH(R329,CoinCollection!E:E,),"")</f>
        <v/>
      </c>
      <c r="BA329">
        <v>1953</v>
      </c>
      <c r="BB329" s="218" t="str">
        <v>D</v>
      </c>
      <c r="BC329" t="str">
        <v>Penny</v>
      </c>
      <c r="BD329" t="str">
        <v>WHT1953CNT-AD</v>
      </c>
      <c r="BE329" t="str">
        <v>Wheat Penny</v>
      </c>
      <c r="BF329" t="str">
        <v>Extremely Fine</v>
      </c>
      <c r="BG329" s="225">
        <v>0.01</v>
      </c>
      <c r="BH329" s="225">
        <v>0.1</v>
      </c>
      <c r="BI329" s="136">
        <v>1</v>
      </c>
      <c r="BJ329" s="219">
        <v>0</v>
      </c>
      <c r="BK329" s="218">
        <v>0</v>
      </c>
      <c r="BL329" s="136" t="str">
        <f>IF(BA329&lt;&gt;"","A"&amp;MATCH(BD329,CoinCollection!E:E,),"")</f>
        <v>A380</v>
      </c>
    </row>
    <row r="330" spans="14:64">
      <c r="N330" s="136"/>
      <c r="Y330" s="218" t="str">
        <f>IF(O330&lt;&gt;"","A"&amp;MATCH(R330,CoinCollection!E:E,),"")</f>
        <v/>
      </c>
      <c r="BA330">
        <v>1953</v>
      </c>
      <c r="BB330" s="218" t="str">
        <v>D</v>
      </c>
      <c r="BC330" t="str">
        <v>Penny</v>
      </c>
      <c r="BD330" t="str">
        <v>WHT1953CNT-AE</v>
      </c>
      <c r="BE330" t="str">
        <v>Wheat Penny</v>
      </c>
      <c r="BF330" t="str">
        <v>Extremely Fine</v>
      </c>
      <c r="BG330" s="225">
        <v>0.01</v>
      </c>
      <c r="BH330" s="225">
        <v>0.1</v>
      </c>
      <c r="BI330" s="136">
        <v>1</v>
      </c>
      <c r="BJ330" s="219">
        <v>0</v>
      </c>
      <c r="BK330" s="218">
        <v>0</v>
      </c>
      <c r="BL330" s="136" t="str">
        <f>IF(BA330&lt;&gt;"","A"&amp;MATCH(BD330,CoinCollection!E:E,),"")</f>
        <v>A381</v>
      </c>
    </row>
    <row r="331" spans="14:64">
      <c r="N331" s="136"/>
      <c r="Y331" s="218" t="str">
        <f>IF(O331&lt;&gt;"","A"&amp;MATCH(R331,CoinCollection!E:E,),"")</f>
        <v/>
      </c>
      <c r="BA331">
        <v>1953</v>
      </c>
      <c r="BB331" s="218" t="str">
        <v>D</v>
      </c>
      <c r="BC331" t="str">
        <v>Penny</v>
      </c>
      <c r="BD331" t="str">
        <v>WHT1953CNT-AF</v>
      </c>
      <c r="BE331" t="str">
        <v>Wheat Penny</v>
      </c>
      <c r="BF331" t="str">
        <v>Extremely Fine</v>
      </c>
      <c r="BG331" s="225">
        <v>0.01</v>
      </c>
      <c r="BH331" s="225">
        <v>0.1</v>
      </c>
      <c r="BI331" s="136">
        <v>1</v>
      </c>
      <c r="BJ331" s="219">
        <v>0</v>
      </c>
      <c r="BK331" s="218">
        <v>0</v>
      </c>
      <c r="BL331" s="136" t="str">
        <f>IF(BA331&lt;&gt;"","A"&amp;MATCH(BD331,CoinCollection!E:E,),"")</f>
        <v>A382</v>
      </c>
    </row>
    <row r="332" spans="14:64">
      <c r="N332" s="136"/>
      <c r="Y332" s="218" t="str">
        <f>IF(O332&lt;&gt;"","A"&amp;MATCH(R332,CoinCollection!E:E,),"")</f>
        <v/>
      </c>
      <c r="BA332">
        <v>1953</v>
      </c>
      <c r="BB332" s="218" t="str">
        <v>D</v>
      </c>
      <c r="BC332" t="str">
        <v>Penny</v>
      </c>
      <c r="BD332" t="str">
        <v>WHT1953CNT-AG</v>
      </c>
      <c r="BE332" t="str">
        <v>Wheat Penny</v>
      </c>
      <c r="BF332" t="str">
        <v>Extremely Fine</v>
      </c>
      <c r="BG332" s="225">
        <v>0.01</v>
      </c>
      <c r="BH332" s="225">
        <v>0.1</v>
      </c>
      <c r="BI332" s="136">
        <v>1</v>
      </c>
      <c r="BJ332" s="219">
        <v>0</v>
      </c>
      <c r="BK332" s="218">
        <v>0</v>
      </c>
      <c r="BL332" s="136" t="str">
        <f>IF(BA332&lt;&gt;"","A"&amp;MATCH(BD332,CoinCollection!E:E,),"")</f>
        <v>A383</v>
      </c>
    </row>
    <row r="333" spans="14:64">
      <c r="N333" s="136"/>
      <c r="Y333" s="218" t="str">
        <f>IF(O333&lt;&gt;"","A"&amp;MATCH(R333,CoinCollection!E:E,),"")</f>
        <v/>
      </c>
      <c r="BA333">
        <v>1953</v>
      </c>
      <c r="BB333" s="218" t="str">
        <v>S</v>
      </c>
      <c r="BC333" t="str">
        <v>Penny</v>
      </c>
      <c r="BD333" t="str">
        <v>WHT1953CNT-AH</v>
      </c>
      <c r="BE333" t="str">
        <v>Wheat Penny</v>
      </c>
      <c r="BF333" t="str">
        <v>Extremely Fine</v>
      </c>
      <c r="BG333" s="225">
        <v>0.01</v>
      </c>
      <c r="BH333" s="225">
        <v>0.15</v>
      </c>
      <c r="BI333" s="136">
        <v>1</v>
      </c>
      <c r="BJ333" s="219">
        <v>0</v>
      </c>
      <c r="BK333" s="218">
        <v>0</v>
      </c>
      <c r="BL333" s="136" t="str">
        <f>IF(BA333&lt;&gt;"","A"&amp;MATCH(BD333,CoinCollection!E:E,),"")</f>
        <v>A384</v>
      </c>
    </row>
    <row r="334" spans="14:64">
      <c r="N334" s="136"/>
      <c r="Y334" s="218" t="str">
        <f>IF(O334&lt;&gt;"","A"&amp;MATCH(R334,CoinCollection!E:E,),"")</f>
        <v/>
      </c>
      <c r="BA334">
        <v>1953</v>
      </c>
      <c r="BB334" s="218" t="str">
        <v>S</v>
      </c>
      <c r="BC334" t="str">
        <v>Penny</v>
      </c>
      <c r="BD334" t="str">
        <v>WHT1953CNT-AI</v>
      </c>
      <c r="BE334" t="str">
        <v>Wheat Penny</v>
      </c>
      <c r="BF334" t="str">
        <v>Extremely Fine</v>
      </c>
      <c r="BG334" s="225">
        <v>0.01</v>
      </c>
      <c r="BH334" s="225">
        <v>7.0000000000000007E-2</v>
      </c>
      <c r="BI334" s="136">
        <v>1</v>
      </c>
      <c r="BJ334" s="219">
        <v>0</v>
      </c>
      <c r="BK334" s="218">
        <v>0</v>
      </c>
      <c r="BL334" s="136" t="str">
        <f>IF(BA334&lt;&gt;"","A"&amp;MATCH(BD334,CoinCollection!E:E,),"")</f>
        <v>A385</v>
      </c>
    </row>
    <row r="335" spans="14:64">
      <c r="N335" s="136"/>
      <c r="Y335" s="218" t="str">
        <f>IF(O335&lt;&gt;"","A"&amp;MATCH(R335,CoinCollection!E:E,),"")</f>
        <v/>
      </c>
      <c r="BA335">
        <v>1953</v>
      </c>
      <c r="BB335" s="218" t="str">
        <v>D</v>
      </c>
      <c r="BC335" t="str">
        <v>Penny</v>
      </c>
      <c r="BD335" t="str">
        <v>WHT1953CNT-AJ</v>
      </c>
      <c r="BE335" t="str">
        <v>Wheat Penny</v>
      </c>
      <c r="BF335" t="str">
        <v>Extremely Fine</v>
      </c>
      <c r="BG335" s="225">
        <v>0.01</v>
      </c>
      <c r="BH335" s="225">
        <v>0.01</v>
      </c>
      <c r="BI335" s="136">
        <v>1</v>
      </c>
      <c r="BJ335" s="219">
        <v>0</v>
      </c>
      <c r="BK335" s="218">
        <v>0</v>
      </c>
      <c r="BL335" s="136" t="str">
        <f>IF(BA335&lt;&gt;"","A"&amp;MATCH(BD335,CoinCollection!E:E,),"")</f>
        <v>A386</v>
      </c>
    </row>
    <row r="336" spans="14:64">
      <c r="N336" s="136"/>
      <c r="Y336" s="218" t="str">
        <f>IF(O336&lt;&gt;"","A"&amp;MATCH(R336,CoinCollection!E:E,),"")</f>
        <v/>
      </c>
      <c r="BA336">
        <v>1953</v>
      </c>
      <c r="BB336" s="218" t="str">
        <v>D</v>
      </c>
      <c r="BC336" t="str">
        <v>Penny</v>
      </c>
      <c r="BD336" t="str">
        <v>WHT1953CNT-AK</v>
      </c>
      <c r="BE336" t="str">
        <v>Wheat Penny</v>
      </c>
      <c r="BF336" t="str">
        <v>Extremely Fine</v>
      </c>
      <c r="BG336" s="225">
        <v>0.01</v>
      </c>
      <c r="BH336" s="225">
        <v>0.01</v>
      </c>
      <c r="BI336" s="136">
        <v>1</v>
      </c>
      <c r="BJ336" s="219">
        <v>0</v>
      </c>
      <c r="BK336" s="218">
        <v>0</v>
      </c>
      <c r="BL336" s="136" t="str">
        <f>IF(BA336&lt;&gt;"","A"&amp;MATCH(BD336,CoinCollection!E:E,),"")</f>
        <v>A387</v>
      </c>
    </row>
    <row r="337" spans="14:64">
      <c r="N337" s="136"/>
      <c r="Y337" s="218" t="str">
        <f>IF(O337&lt;&gt;"","A"&amp;MATCH(R337,CoinCollection!E:E,),"")</f>
        <v/>
      </c>
      <c r="BA337">
        <v>1953</v>
      </c>
      <c r="BB337" s="218">
        <v>0</v>
      </c>
      <c r="BC337" t="str">
        <v>Penny</v>
      </c>
      <c r="BD337" t="str">
        <v>WHT1953CNT-AL</v>
      </c>
      <c r="BE337" t="str">
        <v>Wheat Penny</v>
      </c>
      <c r="BF337" t="str">
        <v>Extremely Fine</v>
      </c>
      <c r="BG337" s="225">
        <v>0.01</v>
      </c>
      <c r="BH337" s="225">
        <v>0.01</v>
      </c>
      <c r="BI337" s="136">
        <v>1</v>
      </c>
      <c r="BJ337" s="219">
        <v>0</v>
      </c>
      <c r="BK337" s="218">
        <v>0</v>
      </c>
      <c r="BL337" s="136" t="str">
        <f>IF(BA337&lt;&gt;"","A"&amp;MATCH(BD337,CoinCollection!E:E,),"")</f>
        <v>A388</v>
      </c>
    </row>
    <row r="338" spans="14:64">
      <c r="N338" s="136"/>
      <c r="Y338" s="218" t="str">
        <f>IF(O338&lt;&gt;"","A"&amp;MATCH(R338,CoinCollection!E:E,),"")</f>
        <v/>
      </c>
      <c r="BA338">
        <v>1953</v>
      </c>
      <c r="BB338" s="218" t="str">
        <v>D</v>
      </c>
      <c r="BC338" t="str">
        <v>Penny</v>
      </c>
      <c r="BD338" t="str">
        <v>WHT1953CNT-AM</v>
      </c>
      <c r="BE338" t="str">
        <v>Wheat Penny</v>
      </c>
      <c r="BF338" t="str">
        <v>Extremely Fine</v>
      </c>
      <c r="BG338" s="225">
        <v>0.01</v>
      </c>
      <c r="BH338" s="225">
        <v>0</v>
      </c>
      <c r="BI338" s="136">
        <v>1</v>
      </c>
      <c r="BJ338" s="219">
        <v>0</v>
      </c>
      <c r="BK338" s="218">
        <v>0</v>
      </c>
      <c r="BL338" s="136" t="str">
        <f>IF(BA338&lt;&gt;"","A"&amp;MATCH(BD338,CoinCollection!E:E,),"")</f>
        <v>A389</v>
      </c>
    </row>
    <row r="339" spans="14:64">
      <c r="N339" s="136"/>
      <c r="Y339" s="218" t="str">
        <f>IF(O339&lt;&gt;"","A"&amp;MATCH(R339,CoinCollection!E:E,),"")</f>
        <v/>
      </c>
      <c r="BA339">
        <v>1954</v>
      </c>
      <c r="BB339" s="218" t="str">
        <v>D</v>
      </c>
      <c r="BC339" t="str">
        <v>Penny</v>
      </c>
      <c r="BD339" t="str">
        <v>WHT1954CNT-AA</v>
      </c>
      <c r="BE339" t="str">
        <v>Wheat Penny</v>
      </c>
      <c r="BF339" t="str">
        <v>Extremely Fine</v>
      </c>
      <c r="BG339" s="225">
        <v>0.01</v>
      </c>
      <c r="BH339" s="225">
        <v>7.0000000000000007E-2</v>
      </c>
      <c r="BI339" s="136">
        <v>1</v>
      </c>
      <c r="BJ339" s="219">
        <v>0</v>
      </c>
      <c r="BK339" s="218">
        <v>0</v>
      </c>
      <c r="BL339" s="136" t="str">
        <f>IF(BA339&lt;&gt;"","A"&amp;MATCH(BD339,CoinCollection!E:E,),"")</f>
        <v>A390</v>
      </c>
    </row>
    <row r="340" spans="14:64">
      <c r="N340" s="136"/>
      <c r="Y340" s="218" t="str">
        <f>IF(O340&lt;&gt;"","A"&amp;MATCH(R340,CoinCollection!E:E,),"")</f>
        <v/>
      </c>
      <c r="BA340">
        <v>1954</v>
      </c>
      <c r="BB340" s="218">
        <v>0</v>
      </c>
      <c r="BC340" t="str">
        <v>Penny</v>
      </c>
      <c r="BD340" t="str">
        <v>WHT1954CNT-AB</v>
      </c>
      <c r="BE340" t="str">
        <v>Wheat Penny</v>
      </c>
      <c r="BF340" t="str">
        <v>Extremely Fine</v>
      </c>
      <c r="BG340" s="225">
        <v>0.2</v>
      </c>
      <c r="BH340" s="225">
        <v>0.01</v>
      </c>
      <c r="BI340" s="136">
        <v>1</v>
      </c>
      <c r="BJ340" s="219">
        <v>0</v>
      </c>
      <c r="BK340" s="218">
        <v>0</v>
      </c>
      <c r="BL340" s="136" t="str">
        <f>IF(BA340&lt;&gt;"","A"&amp;MATCH(BD340,CoinCollection!E:E,),"")</f>
        <v>A391</v>
      </c>
    </row>
    <row r="341" spans="14:64">
      <c r="N341" s="136"/>
      <c r="Y341" s="218" t="str">
        <f>IF(O341&lt;&gt;"","A"&amp;MATCH(R341,CoinCollection!E:E,),"")</f>
        <v/>
      </c>
      <c r="BA341">
        <v>1954</v>
      </c>
      <c r="BB341" s="218" t="str">
        <v>S</v>
      </c>
      <c r="BC341" t="str">
        <v>Penny</v>
      </c>
      <c r="BD341" t="str">
        <v>WHT1954CNT-AC</v>
      </c>
      <c r="BE341" t="str">
        <v>Wheat Penny</v>
      </c>
      <c r="BF341" t="str">
        <v>Extremely Fine</v>
      </c>
      <c r="BG341" s="225">
        <v>0.25</v>
      </c>
      <c r="BH341" s="225">
        <v>0.01</v>
      </c>
      <c r="BI341" s="136">
        <v>1</v>
      </c>
      <c r="BJ341" s="219">
        <v>0</v>
      </c>
      <c r="BK341" s="218">
        <v>0</v>
      </c>
      <c r="BL341" s="136" t="str">
        <f>IF(BA341&lt;&gt;"","A"&amp;MATCH(BD341,CoinCollection!E:E,),"")</f>
        <v>A392</v>
      </c>
    </row>
    <row r="342" spans="14:64">
      <c r="N342" s="136"/>
      <c r="Y342" s="218" t="str">
        <f>IF(O342&lt;&gt;"","A"&amp;MATCH(R342,CoinCollection!E:E,),"")</f>
        <v/>
      </c>
      <c r="BA342">
        <v>1954</v>
      </c>
      <c r="BB342" s="218" t="str">
        <v>D</v>
      </c>
      <c r="BC342" t="str">
        <v>Penny</v>
      </c>
      <c r="BD342" t="str">
        <v>WHT1954CNT-AD</v>
      </c>
      <c r="BE342" t="str">
        <v>Wheat Penny</v>
      </c>
      <c r="BF342" t="str">
        <v>Extremely Fine</v>
      </c>
      <c r="BG342" s="225">
        <v>0.01</v>
      </c>
      <c r="BH342" s="225">
        <v>0.01</v>
      </c>
      <c r="BI342" s="136">
        <v>1</v>
      </c>
      <c r="BJ342" s="219">
        <v>0</v>
      </c>
      <c r="BK342" s="218">
        <v>0</v>
      </c>
      <c r="BL342" s="136" t="str">
        <f>IF(BA342&lt;&gt;"","A"&amp;MATCH(BD342,CoinCollection!E:E,),"")</f>
        <v>A393</v>
      </c>
    </row>
    <row r="343" spans="14:64">
      <c r="N343" s="136"/>
      <c r="Y343" s="218" t="str">
        <f>IF(O343&lt;&gt;"","A"&amp;MATCH(R343,CoinCollection!E:E,),"")</f>
        <v/>
      </c>
      <c r="BA343">
        <v>1955</v>
      </c>
      <c r="BB343" s="218">
        <v>0</v>
      </c>
      <c r="BC343" t="str">
        <v>Penny</v>
      </c>
      <c r="BD343" t="str">
        <v>WHT1955CNT-AA</v>
      </c>
      <c r="BE343" t="str">
        <v>Wheat Penny</v>
      </c>
      <c r="BF343" t="str">
        <v>Extremely Fine</v>
      </c>
      <c r="BG343" s="225">
        <v>0.01</v>
      </c>
      <c r="BH343" s="225">
        <v>0.15</v>
      </c>
      <c r="BI343" s="136">
        <v>1</v>
      </c>
      <c r="BJ343" s="219">
        <v>0</v>
      </c>
      <c r="BK343" s="218">
        <v>0</v>
      </c>
      <c r="BL343" s="136" t="str">
        <f>IF(BA343&lt;&gt;"","A"&amp;MATCH(BD343,CoinCollection!E:E,),"")</f>
        <v>A394</v>
      </c>
    </row>
    <row r="344" spans="14:64">
      <c r="N344" s="136"/>
      <c r="Y344" s="218" t="str">
        <f>IF(O344&lt;&gt;"","A"&amp;MATCH(R344,CoinCollection!E:E,),"")</f>
        <v/>
      </c>
      <c r="BA344">
        <v>1955</v>
      </c>
      <c r="BB344" s="218">
        <v>0</v>
      </c>
      <c r="BC344" t="str">
        <v>Penny</v>
      </c>
      <c r="BD344" t="str">
        <v>WHT1955CNT-AB</v>
      </c>
      <c r="BE344" t="str">
        <v>Wheat Penny</v>
      </c>
      <c r="BF344" t="str">
        <v>Extremely Fine</v>
      </c>
      <c r="BG344" s="225">
        <v>0.01</v>
      </c>
      <c r="BH344" s="225">
        <v>0.15</v>
      </c>
      <c r="BI344" s="136">
        <v>1</v>
      </c>
      <c r="BJ344" s="219">
        <v>0</v>
      </c>
      <c r="BK344" s="218">
        <v>0</v>
      </c>
      <c r="BL344" s="136" t="str">
        <f>IF(BA344&lt;&gt;"","A"&amp;MATCH(BD344,CoinCollection!E:E,),"")</f>
        <v>A395</v>
      </c>
    </row>
    <row r="345" spans="14:64">
      <c r="N345" s="136"/>
      <c r="Y345" s="218" t="str">
        <f>IF(O345&lt;&gt;"","A"&amp;MATCH(R345,CoinCollection!E:E,),"")</f>
        <v/>
      </c>
      <c r="BA345">
        <v>1955</v>
      </c>
      <c r="BB345" s="218" t="str">
        <v>D</v>
      </c>
      <c r="BC345" t="str">
        <v>Penny</v>
      </c>
      <c r="BD345" t="str">
        <v>WHT1955CNT-AC</v>
      </c>
      <c r="BE345" t="str">
        <v>Wheat Penny</v>
      </c>
      <c r="BF345" t="str">
        <v>Extremely Fine</v>
      </c>
      <c r="BG345" s="225">
        <v>0.01</v>
      </c>
      <c r="BH345" s="225">
        <v>0.1</v>
      </c>
      <c r="BI345" s="136">
        <v>1</v>
      </c>
      <c r="BJ345" s="219">
        <v>0</v>
      </c>
      <c r="BK345" s="218">
        <v>0</v>
      </c>
      <c r="BL345" s="136" t="str">
        <f>IF(BA345&lt;&gt;"","A"&amp;MATCH(BD345,CoinCollection!E:E,),"")</f>
        <v>A396</v>
      </c>
    </row>
    <row r="346" spans="14:64">
      <c r="N346" s="136"/>
      <c r="Y346" s="218" t="str">
        <f>IF(O346&lt;&gt;"","A"&amp;MATCH(R346,CoinCollection!E:E,),"")</f>
        <v/>
      </c>
      <c r="BA346">
        <v>1955</v>
      </c>
      <c r="BB346" s="218" t="str">
        <v>S</v>
      </c>
      <c r="BC346" t="str">
        <v>Penny</v>
      </c>
      <c r="BD346" t="str">
        <v>WHT1955CNT-AD</v>
      </c>
      <c r="BE346" t="str">
        <v>Wheat Penny</v>
      </c>
      <c r="BF346" t="str">
        <v>Extremely Fine</v>
      </c>
      <c r="BG346" s="225">
        <v>0.01</v>
      </c>
      <c r="BH346" s="225">
        <v>0</v>
      </c>
      <c r="BI346" s="136">
        <v>1</v>
      </c>
      <c r="BJ346" s="219">
        <v>0</v>
      </c>
      <c r="BK346" s="218">
        <v>0</v>
      </c>
      <c r="BL346" s="136" t="str">
        <f>IF(BA346&lt;&gt;"","A"&amp;MATCH(BD346,CoinCollection!E:E,),"")</f>
        <v>A397</v>
      </c>
    </row>
    <row r="347" spans="14:64">
      <c r="N347" s="136"/>
      <c r="Y347" s="218" t="str">
        <f>IF(O347&lt;&gt;"","A"&amp;MATCH(R347,CoinCollection!E:E,),"")</f>
        <v/>
      </c>
      <c r="BA347">
        <v>1955</v>
      </c>
      <c r="BB347" s="218">
        <v>0</v>
      </c>
      <c r="BC347" t="str">
        <v>Penny</v>
      </c>
      <c r="BD347" t="str">
        <v>WHT1955CNT-AE</v>
      </c>
      <c r="BE347" t="str">
        <v>Wheat Penny</v>
      </c>
      <c r="BF347" t="str">
        <v>Extremely Fine</v>
      </c>
      <c r="BG347" s="225">
        <v>0.01</v>
      </c>
      <c r="BH347" s="225">
        <v>0.01</v>
      </c>
      <c r="BI347" s="136">
        <v>1</v>
      </c>
      <c r="BJ347" s="219">
        <v>0</v>
      </c>
      <c r="BK347" s="218">
        <v>0</v>
      </c>
      <c r="BL347" s="136" t="str">
        <f>IF(BA347&lt;&gt;"","A"&amp;MATCH(BD347,CoinCollection!E:E,),"")</f>
        <v>A398</v>
      </c>
    </row>
    <row r="348" spans="14:64">
      <c r="N348" s="136"/>
      <c r="Y348" s="218" t="str">
        <f>IF(O348&lt;&gt;"","A"&amp;MATCH(R348,CoinCollection!E:E,),"")</f>
        <v/>
      </c>
      <c r="BA348">
        <v>1955</v>
      </c>
      <c r="BB348" s="218">
        <v>0</v>
      </c>
      <c r="BC348" t="str">
        <v>Penny</v>
      </c>
      <c r="BD348" t="str">
        <v>WHT1955CNT-AF</v>
      </c>
      <c r="BE348" t="str">
        <v>Wheat Penny</v>
      </c>
      <c r="BF348" t="str">
        <v>Extremely Fine</v>
      </c>
      <c r="BG348" s="225">
        <v>0.01</v>
      </c>
      <c r="BH348" s="225">
        <v>0.01</v>
      </c>
      <c r="BI348" s="136">
        <v>1</v>
      </c>
      <c r="BJ348" s="219">
        <v>0</v>
      </c>
      <c r="BK348" s="218">
        <v>0</v>
      </c>
      <c r="BL348" s="136" t="str">
        <f>IF(BA348&lt;&gt;"","A"&amp;MATCH(BD348,CoinCollection!E:E,),"")</f>
        <v>A399</v>
      </c>
    </row>
    <row r="349" spans="14:64">
      <c r="N349" s="136"/>
      <c r="Y349" s="218" t="str">
        <f>IF(O349&lt;&gt;"","A"&amp;MATCH(R349,CoinCollection!E:E,),"")</f>
        <v/>
      </c>
      <c r="BA349">
        <v>1955</v>
      </c>
      <c r="BB349" s="218">
        <v>0</v>
      </c>
      <c r="BC349" t="str">
        <v>Penny</v>
      </c>
      <c r="BD349" t="str">
        <v>WHT1955CNT-AG</v>
      </c>
      <c r="BE349" t="str">
        <v>Wheat Penny</v>
      </c>
      <c r="BF349" t="str">
        <v>Extremely Fine</v>
      </c>
      <c r="BG349" s="225">
        <v>0.01</v>
      </c>
      <c r="BH349" s="225">
        <v>0.01</v>
      </c>
      <c r="BI349" s="136">
        <v>1</v>
      </c>
      <c r="BJ349" s="219">
        <v>0</v>
      </c>
      <c r="BK349" s="218">
        <v>0</v>
      </c>
      <c r="BL349" s="136" t="str">
        <f>IF(BA349&lt;&gt;"","A"&amp;MATCH(BD349,CoinCollection!E:E,),"")</f>
        <v>A400</v>
      </c>
    </row>
    <row r="350" spans="14:64">
      <c r="N350" s="136"/>
      <c r="Y350" s="218" t="str">
        <f>IF(O350&lt;&gt;"","A"&amp;MATCH(R350,CoinCollection!E:E,),"")</f>
        <v/>
      </c>
      <c r="BA350">
        <v>1955</v>
      </c>
      <c r="BB350" s="218">
        <v>0</v>
      </c>
      <c r="BC350" t="str">
        <v>Penny</v>
      </c>
      <c r="BD350" t="str">
        <v>WHT1955CNT-AH</v>
      </c>
      <c r="BE350" t="str">
        <v>Wheat Penny</v>
      </c>
      <c r="BF350" t="str">
        <v>Extremely Fine</v>
      </c>
      <c r="BG350" s="225">
        <v>0.01</v>
      </c>
      <c r="BH350" s="225">
        <v>0.01</v>
      </c>
      <c r="BI350" s="136">
        <v>1</v>
      </c>
      <c r="BJ350" s="219">
        <v>0</v>
      </c>
      <c r="BK350" s="218">
        <v>0</v>
      </c>
      <c r="BL350" s="136" t="str">
        <f>IF(BA350&lt;&gt;"","A"&amp;MATCH(BD350,CoinCollection!E:E,),"")</f>
        <v>A401</v>
      </c>
    </row>
    <row r="351" spans="14:64">
      <c r="N351" s="136"/>
      <c r="Y351" s="218" t="str">
        <f>IF(O351&lt;&gt;"","A"&amp;MATCH(R351,CoinCollection!E:E,),"")</f>
        <v/>
      </c>
      <c r="BA351">
        <v>1956</v>
      </c>
      <c r="BB351" s="218">
        <v>0</v>
      </c>
      <c r="BC351" t="str">
        <v>Penny</v>
      </c>
      <c r="BD351" t="str">
        <v>WHT1956CNT-AA</v>
      </c>
      <c r="BE351" t="str">
        <v>Wheat Penny</v>
      </c>
      <c r="BF351" t="str">
        <v>Extremely Fine</v>
      </c>
      <c r="BG351" s="225">
        <v>0.01</v>
      </c>
      <c r="BH351" s="225">
        <v>0.12</v>
      </c>
      <c r="BI351" s="136">
        <v>1</v>
      </c>
      <c r="BJ351" s="219">
        <v>0</v>
      </c>
      <c r="BK351" s="218">
        <v>0</v>
      </c>
      <c r="BL351" s="136" t="str">
        <f>IF(BA351&lt;&gt;"","A"&amp;MATCH(BD351,CoinCollection!E:E,),"")</f>
        <v>A402</v>
      </c>
    </row>
    <row r="352" spans="14:64">
      <c r="N352" s="136"/>
      <c r="Y352" s="218" t="str">
        <f>IF(O352&lt;&gt;"","A"&amp;MATCH(R352,CoinCollection!E:E,),"")</f>
        <v/>
      </c>
      <c r="BA352">
        <v>1956</v>
      </c>
      <c r="BB352" s="218">
        <v>0</v>
      </c>
      <c r="BC352" t="str">
        <v>Penny</v>
      </c>
      <c r="BD352" t="str">
        <v>WHT1956CNT-AB</v>
      </c>
      <c r="BE352" t="str">
        <v>Wheat Penny</v>
      </c>
      <c r="BF352" t="str">
        <v>Extremely Fine</v>
      </c>
      <c r="BG352" s="225">
        <v>0.01</v>
      </c>
      <c r="BH352" s="225">
        <v>0.12</v>
      </c>
      <c r="BI352" s="136">
        <v>1</v>
      </c>
      <c r="BJ352" s="219">
        <v>0</v>
      </c>
      <c r="BK352" s="218">
        <v>0</v>
      </c>
      <c r="BL352" s="136" t="str">
        <f>IF(BA352&lt;&gt;"","A"&amp;MATCH(BD352,CoinCollection!E:E,),"")</f>
        <v>A403</v>
      </c>
    </row>
    <row r="353" spans="14:64">
      <c r="N353" s="136"/>
      <c r="Y353" s="218" t="str">
        <f>IF(O353&lt;&gt;"","A"&amp;MATCH(R353,CoinCollection!E:E,),"")</f>
        <v/>
      </c>
      <c r="BA353">
        <v>1956</v>
      </c>
      <c r="BB353" s="218">
        <v>0</v>
      </c>
      <c r="BC353" t="str">
        <v>Penny</v>
      </c>
      <c r="BD353" t="str">
        <v>WHT1956CNT-AC</v>
      </c>
      <c r="BE353" t="str">
        <v>Wheat Penny</v>
      </c>
      <c r="BF353" t="str">
        <v>Extremely Fine</v>
      </c>
      <c r="BG353" s="225">
        <v>0.01</v>
      </c>
      <c r="BH353" s="225">
        <v>0.12</v>
      </c>
      <c r="BI353" s="136">
        <v>1</v>
      </c>
      <c r="BJ353" s="219">
        <v>0</v>
      </c>
      <c r="BK353" s="218">
        <v>0</v>
      </c>
      <c r="BL353" s="136" t="str">
        <f>IF(BA353&lt;&gt;"","A"&amp;MATCH(BD353,CoinCollection!E:E,),"")</f>
        <v>A404</v>
      </c>
    </row>
    <row r="354" spans="14:64">
      <c r="N354" s="136"/>
      <c r="Y354" s="218" t="str">
        <f>IF(O354&lt;&gt;"","A"&amp;MATCH(R354,CoinCollection!E:E,),"")</f>
        <v/>
      </c>
      <c r="BA354">
        <v>1956</v>
      </c>
      <c r="BB354" s="218">
        <v>0</v>
      </c>
      <c r="BC354" t="str">
        <v>Penny</v>
      </c>
      <c r="BD354" t="str">
        <v>WHT1956CNT-AD</v>
      </c>
      <c r="BE354" t="str">
        <v>Wheat Penny</v>
      </c>
      <c r="BF354" t="str">
        <v>Extremely Fine</v>
      </c>
      <c r="BG354" s="225">
        <v>0.01</v>
      </c>
      <c r="BH354" s="225">
        <v>0.1</v>
      </c>
      <c r="BI354" s="136">
        <v>1</v>
      </c>
      <c r="BJ354" s="219">
        <v>0</v>
      </c>
      <c r="BK354" s="218">
        <v>0</v>
      </c>
      <c r="BL354" s="136" t="str">
        <f>IF(BA354&lt;&gt;"","A"&amp;MATCH(BD354,CoinCollection!E:E,),"")</f>
        <v>A405</v>
      </c>
    </row>
    <row r="355" spans="14:64">
      <c r="N355" s="136"/>
      <c r="Y355" s="218" t="str">
        <f>IF(O355&lt;&gt;"","A"&amp;MATCH(R355,CoinCollection!E:E,),"")</f>
        <v/>
      </c>
      <c r="BA355">
        <v>1956</v>
      </c>
      <c r="BB355" s="218">
        <v>0</v>
      </c>
      <c r="BC355" t="str">
        <v>Penny</v>
      </c>
      <c r="BD355" t="str">
        <v>WHT1956CNT-AE</v>
      </c>
      <c r="BE355" t="str">
        <v>Wheat Penny</v>
      </c>
      <c r="BF355" t="str">
        <v>Extremely Fine</v>
      </c>
      <c r="BG355" s="225">
        <v>0.01</v>
      </c>
      <c r="BH355" s="225">
        <v>0.12</v>
      </c>
      <c r="BI355" s="136">
        <v>1</v>
      </c>
      <c r="BJ355" s="219">
        <v>0</v>
      </c>
      <c r="BK355" s="218">
        <v>0</v>
      </c>
      <c r="BL355" s="136" t="str">
        <f>IF(BA355&lt;&gt;"","A"&amp;MATCH(BD355,CoinCollection!E:E,),"")</f>
        <v>A406</v>
      </c>
    </row>
    <row r="356" spans="14:64">
      <c r="N356" s="136"/>
      <c r="Y356" s="218" t="str">
        <f>IF(O356&lt;&gt;"","A"&amp;MATCH(R356,CoinCollection!E:E,),"")</f>
        <v/>
      </c>
      <c r="BA356">
        <v>1956</v>
      </c>
      <c r="BB356" s="218" t="str">
        <v>D</v>
      </c>
      <c r="BC356" t="str">
        <v>Penny</v>
      </c>
      <c r="BD356" t="str">
        <v>WHT1956CNT-AF</v>
      </c>
      <c r="BE356" t="str">
        <v>Wheat Penny</v>
      </c>
      <c r="BF356" t="str">
        <v>Extremely Fine</v>
      </c>
      <c r="BG356" s="225">
        <v>0.01</v>
      </c>
      <c r="BH356" s="225">
        <v>0.12</v>
      </c>
      <c r="BI356" s="136">
        <v>1</v>
      </c>
      <c r="BJ356" s="219">
        <v>0</v>
      </c>
      <c r="BK356" s="218">
        <v>0</v>
      </c>
      <c r="BL356" s="136" t="str">
        <f>IF(BA356&lt;&gt;"","A"&amp;MATCH(BD356,CoinCollection!E:E,),"")</f>
        <v>A407</v>
      </c>
    </row>
    <row r="357" spans="14:64">
      <c r="N357" s="136"/>
      <c r="Y357" s="218" t="str">
        <f>IF(O357&lt;&gt;"","A"&amp;MATCH(R357,CoinCollection!E:E,),"")</f>
        <v/>
      </c>
      <c r="BA357">
        <v>1956</v>
      </c>
      <c r="BB357" s="218" t="str">
        <v>D</v>
      </c>
      <c r="BC357" t="str">
        <v>Penny</v>
      </c>
      <c r="BD357" t="str">
        <v>WHT1956CNT-AG</v>
      </c>
      <c r="BE357" t="str">
        <v>Wheat Penny</v>
      </c>
      <c r="BF357" t="str">
        <v>Extremely Fine</v>
      </c>
      <c r="BG357" s="225">
        <v>0.01</v>
      </c>
      <c r="BH357" s="225">
        <v>0.12</v>
      </c>
      <c r="BI357" s="136">
        <v>1</v>
      </c>
      <c r="BJ357" s="219">
        <v>0</v>
      </c>
      <c r="BK357" s="218">
        <v>0</v>
      </c>
      <c r="BL357" s="136" t="str">
        <f>IF(BA357&lt;&gt;"","A"&amp;MATCH(BD357,CoinCollection!E:E,),"")</f>
        <v>A408</v>
      </c>
    </row>
    <row r="358" spans="14:64">
      <c r="N358" s="136"/>
      <c r="Y358" s="218" t="str">
        <f>IF(O358&lt;&gt;"","A"&amp;MATCH(R358,CoinCollection!E:E,),"")</f>
        <v/>
      </c>
      <c r="BA358">
        <v>1956</v>
      </c>
      <c r="BB358" s="218" t="str">
        <v>D</v>
      </c>
      <c r="BC358" t="str">
        <v>Penny</v>
      </c>
      <c r="BD358" t="str">
        <v>WHT1956CNT-AH</v>
      </c>
      <c r="BE358" t="str">
        <v>Wheat Penny</v>
      </c>
      <c r="BF358" t="str">
        <v>Extremely Fine</v>
      </c>
      <c r="BG358" s="225">
        <v>0.01</v>
      </c>
      <c r="BH358" s="225">
        <v>0.12</v>
      </c>
      <c r="BI358" s="136">
        <v>1</v>
      </c>
      <c r="BJ358" s="219">
        <v>0</v>
      </c>
      <c r="BK358" s="218">
        <v>0</v>
      </c>
      <c r="BL358" s="136" t="str">
        <f>IF(BA358&lt;&gt;"","A"&amp;MATCH(BD358,CoinCollection!E:E,),"")</f>
        <v>A409</v>
      </c>
    </row>
    <row r="359" spans="14:64">
      <c r="N359" s="136"/>
      <c r="Y359" s="218" t="str">
        <f>IF(O359&lt;&gt;"","A"&amp;MATCH(R359,CoinCollection!E:E,),"")</f>
        <v/>
      </c>
      <c r="BA359">
        <v>1956</v>
      </c>
      <c r="BB359" s="218" t="str">
        <v>D</v>
      </c>
      <c r="BC359" t="str">
        <v>Penny</v>
      </c>
      <c r="BD359" t="str">
        <v>WHT1956CNT-AI</v>
      </c>
      <c r="BE359" t="str">
        <v>Wheat Penny</v>
      </c>
      <c r="BF359" t="str">
        <v>Extremely Fine</v>
      </c>
      <c r="BG359" s="225">
        <v>0.01</v>
      </c>
      <c r="BH359" s="225">
        <v>0.12</v>
      </c>
      <c r="BI359" s="136">
        <v>1</v>
      </c>
      <c r="BJ359" s="219">
        <v>0</v>
      </c>
      <c r="BK359" s="218">
        <v>0</v>
      </c>
      <c r="BL359" s="136" t="str">
        <f>IF(BA359&lt;&gt;"","A"&amp;MATCH(BD359,CoinCollection!E:E,),"")</f>
        <v>A410</v>
      </c>
    </row>
    <row r="360" spans="14:64">
      <c r="N360" s="136"/>
      <c r="Y360" s="218" t="str">
        <f>IF(O360&lt;&gt;"","A"&amp;MATCH(R360,CoinCollection!E:E,),"")</f>
        <v/>
      </c>
      <c r="BA360">
        <v>1956</v>
      </c>
      <c r="BB360" s="218" t="str">
        <v>D</v>
      </c>
      <c r="BC360" t="str">
        <v>Penny</v>
      </c>
      <c r="BD360" t="str">
        <v>WHT1956CNT-AJ</v>
      </c>
      <c r="BE360" t="str">
        <v>Wheat Penny</v>
      </c>
      <c r="BF360" t="str">
        <v>Extremely Fine</v>
      </c>
      <c r="BG360" s="225">
        <v>0.01</v>
      </c>
      <c r="BH360" s="225">
        <v>0.1</v>
      </c>
      <c r="BI360" s="136">
        <v>1</v>
      </c>
      <c r="BJ360" s="219">
        <v>0</v>
      </c>
      <c r="BK360" s="218">
        <v>0</v>
      </c>
      <c r="BL360" s="136" t="str">
        <f>IF(BA360&lt;&gt;"","A"&amp;MATCH(BD360,CoinCollection!E:E,),"")</f>
        <v>A411</v>
      </c>
    </row>
    <row r="361" spans="14:64">
      <c r="N361" s="136"/>
      <c r="Y361" s="218" t="str">
        <f>IF(O361&lt;&gt;"","A"&amp;MATCH(R361,CoinCollection!E:E,),"")</f>
        <v/>
      </c>
      <c r="BA361">
        <v>1956</v>
      </c>
      <c r="BB361" s="218" t="str">
        <v>D</v>
      </c>
      <c r="BC361" t="str">
        <v>Penny</v>
      </c>
      <c r="BD361" t="str">
        <v>WHT1956CNT-AK</v>
      </c>
      <c r="BE361" t="str">
        <v>Wheat Penny</v>
      </c>
      <c r="BF361" t="str">
        <v>Extremely Fine</v>
      </c>
      <c r="BG361" s="225">
        <v>0.01</v>
      </c>
      <c r="BH361" s="225">
        <v>0.01</v>
      </c>
      <c r="BI361" s="136">
        <v>1</v>
      </c>
      <c r="BJ361" s="219">
        <v>0</v>
      </c>
      <c r="BK361" s="218">
        <v>0</v>
      </c>
      <c r="BL361" s="136" t="str">
        <f>IF(BA361&lt;&gt;"","A"&amp;MATCH(BD361,CoinCollection!E:E,),"")</f>
        <v>A412</v>
      </c>
    </row>
    <row r="362" spans="14:64">
      <c r="N362" s="136"/>
      <c r="Y362" s="218" t="str">
        <f>IF(O362&lt;&gt;"","A"&amp;MATCH(R362,CoinCollection!E:E,),"")</f>
        <v/>
      </c>
      <c r="BA362">
        <v>1956</v>
      </c>
      <c r="BB362" s="218" t="str">
        <v>D</v>
      </c>
      <c r="BC362" t="str">
        <v>Penny</v>
      </c>
      <c r="BD362" t="str">
        <v>WHT1956CNT-AL</v>
      </c>
      <c r="BE362" t="str">
        <v>Wheat Penny</v>
      </c>
      <c r="BF362" t="str">
        <v>Extremely Fine</v>
      </c>
      <c r="BG362" s="225">
        <v>0.01</v>
      </c>
      <c r="BH362" s="225">
        <v>0.01</v>
      </c>
      <c r="BI362" s="136">
        <v>1</v>
      </c>
      <c r="BJ362" s="219">
        <v>0</v>
      </c>
      <c r="BK362" s="218">
        <v>0</v>
      </c>
      <c r="BL362" s="136" t="str">
        <f>IF(BA362&lt;&gt;"","A"&amp;MATCH(BD362,CoinCollection!E:E,),"")</f>
        <v>A413</v>
      </c>
    </row>
    <row r="363" spans="14:64">
      <c r="N363" s="136"/>
      <c r="Y363" s="218" t="str">
        <f>IF(O363&lt;&gt;"","A"&amp;MATCH(R363,CoinCollection!E:E,),"")</f>
        <v/>
      </c>
      <c r="BA363">
        <v>1956</v>
      </c>
      <c r="BB363" s="218" t="str">
        <v>D</v>
      </c>
      <c r="BC363" t="str">
        <v>Penny</v>
      </c>
      <c r="BD363" t="str">
        <v>WHT1956CNT-AM</v>
      </c>
      <c r="BE363" t="str">
        <v>Wheat Penny</v>
      </c>
      <c r="BF363" t="str">
        <v>Extremely Fine</v>
      </c>
      <c r="BG363" s="225">
        <v>0.01</v>
      </c>
      <c r="BH363" s="225">
        <v>0.01</v>
      </c>
      <c r="BI363" s="136">
        <v>1</v>
      </c>
      <c r="BJ363" s="219">
        <v>0</v>
      </c>
      <c r="BK363" s="218">
        <v>0</v>
      </c>
      <c r="BL363" s="136" t="str">
        <f>IF(BA363&lt;&gt;"","A"&amp;MATCH(BD363,CoinCollection!E:E,),"")</f>
        <v>A414</v>
      </c>
    </row>
    <row r="364" spans="14:64">
      <c r="N364" s="136"/>
      <c r="Y364" s="218" t="str">
        <f>IF(O364&lt;&gt;"","A"&amp;MATCH(R364,CoinCollection!E:E,),"")</f>
        <v/>
      </c>
      <c r="BA364">
        <v>1956</v>
      </c>
      <c r="BB364" s="218" t="str">
        <v>D</v>
      </c>
      <c r="BC364" t="str">
        <v>Penny</v>
      </c>
      <c r="BD364" t="str">
        <v>WHT1956CNT-AN</v>
      </c>
      <c r="BE364" t="str">
        <v>Wheat Penny</v>
      </c>
      <c r="BF364" t="str">
        <v>Extremely Fine</v>
      </c>
      <c r="BG364" s="225">
        <v>0.01</v>
      </c>
      <c r="BH364" s="225">
        <v>0.01</v>
      </c>
      <c r="BI364" s="136">
        <v>1</v>
      </c>
      <c r="BJ364" s="219">
        <v>0</v>
      </c>
      <c r="BK364" s="218">
        <v>0</v>
      </c>
      <c r="BL364" s="136" t="str">
        <f>IF(BA364&lt;&gt;"","A"&amp;MATCH(BD364,CoinCollection!E:E,),"")</f>
        <v>A415</v>
      </c>
    </row>
    <row r="365" spans="14:64">
      <c r="N365" s="136"/>
      <c r="Y365" s="218" t="str">
        <f>IF(O365&lt;&gt;"","A"&amp;MATCH(R365,CoinCollection!E:E,),"")</f>
        <v/>
      </c>
      <c r="BA365">
        <v>1956</v>
      </c>
      <c r="BB365" s="218" t="str">
        <v>D</v>
      </c>
      <c r="BC365" t="str">
        <v>Penny</v>
      </c>
      <c r="BD365" t="str">
        <v>WHT1956CNT-AO</v>
      </c>
      <c r="BE365" t="str">
        <v>Wheat Penny</v>
      </c>
      <c r="BF365" t="str">
        <v>Extremely Fine</v>
      </c>
      <c r="BG365" s="225">
        <v>0.01</v>
      </c>
      <c r="BH365" s="225">
        <v>0.01</v>
      </c>
      <c r="BI365" s="136">
        <v>1</v>
      </c>
      <c r="BJ365" s="219">
        <v>0</v>
      </c>
      <c r="BK365" s="218">
        <v>0</v>
      </c>
      <c r="BL365" s="136" t="str">
        <f>IF(BA365&lt;&gt;"","A"&amp;MATCH(BD365,CoinCollection!E:E,),"")</f>
        <v>A416</v>
      </c>
    </row>
    <row r="366" spans="14:64">
      <c r="N366" s="136"/>
      <c r="Y366" s="218" t="str">
        <f>IF(O366&lt;&gt;"","A"&amp;MATCH(R366,CoinCollection!E:E,),"")</f>
        <v/>
      </c>
      <c r="BA366">
        <v>1956</v>
      </c>
      <c r="BB366" s="218" t="str">
        <v>D</v>
      </c>
      <c r="BC366" t="str">
        <v>Penny</v>
      </c>
      <c r="BD366" t="str">
        <v>WHT1956CNT-AP</v>
      </c>
      <c r="BE366" t="str">
        <v>Wheat Penny</v>
      </c>
      <c r="BF366" t="str">
        <v>Extremely Fine</v>
      </c>
      <c r="BG366" s="225">
        <v>0.01</v>
      </c>
      <c r="BH366" s="225">
        <v>0.01</v>
      </c>
      <c r="BI366" s="136">
        <v>1</v>
      </c>
      <c r="BJ366" s="219">
        <v>0</v>
      </c>
      <c r="BK366" s="218">
        <v>0</v>
      </c>
      <c r="BL366" s="136" t="str">
        <f>IF(BA366&lt;&gt;"","A"&amp;MATCH(BD366,CoinCollection!E:E,),"")</f>
        <v>A417</v>
      </c>
    </row>
    <row r="367" spans="14:64">
      <c r="N367" s="136"/>
      <c r="Y367" s="218" t="str">
        <f>IF(O367&lt;&gt;"","A"&amp;MATCH(R367,CoinCollection!E:E,),"")</f>
        <v/>
      </c>
      <c r="BA367">
        <v>1956</v>
      </c>
      <c r="BB367" s="218">
        <v>0</v>
      </c>
      <c r="BC367" t="str">
        <v>Penny</v>
      </c>
      <c r="BD367" t="str">
        <v>WHT1956CNT-AQ</v>
      </c>
      <c r="BE367" t="str">
        <v>Wheat Penny</v>
      </c>
      <c r="BF367" t="str">
        <v>Extremely Fine</v>
      </c>
      <c r="BG367" s="225">
        <v>0.01</v>
      </c>
      <c r="BH367" s="225">
        <v>0.01</v>
      </c>
      <c r="BI367" s="136">
        <v>1</v>
      </c>
      <c r="BJ367" s="219">
        <v>0</v>
      </c>
      <c r="BK367" s="218">
        <v>0</v>
      </c>
      <c r="BL367" s="136" t="str">
        <f>IF(BA367&lt;&gt;"","A"&amp;MATCH(BD367,CoinCollection!E:E,),"")</f>
        <v>A418</v>
      </c>
    </row>
    <row r="368" spans="14:64">
      <c r="N368" s="136"/>
      <c r="Y368" s="218" t="str">
        <f>IF(O368&lt;&gt;"","A"&amp;MATCH(R368,CoinCollection!E:E,),"")</f>
        <v/>
      </c>
      <c r="BA368">
        <v>1956</v>
      </c>
      <c r="BB368" s="218">
        <v>0</v>
      </c>
      <c r="BC368" t="str">
        <v>Penny</v>
      </c>
      <c r="BD368" t="str">
        <v>WHT1956CNT-AR</v>
      </c>
      <c r="BE368" t="str">
        <v>Wheat Penny</v>
      </c>
      <c r="BF368" t="str">
        <v>Extremely Fine</v>
      </c>
      <c r="BG368" s="225">
        <v>0.01</v>
      </c>
      <c r="BH368" s="225">
        <v>0.01</v>
      </c>
      <c r="BI368" s="136">
        <v>1</v>
      </c>
      <c r="BJ368" s="219">
        <v>0</v>
      </c>
      <c r="BK368" s="218">
        <v>0</v>
      </c>
      <c r="BL368" s="136" t="str">
        <f>IF(BA368&lt;&gt;"","A"&amp;MATCH(BD368,CoinCollection!E:E,),"")</f>
        <v>A419</v>
      </c>
    </row>
    <row r="369" spans="14:64">
      <c r="N369" s="136"/>
      <c r="Y369" s="218" t="str">
        <f>IF(O369&lt;&gt;"","A"&amp;MATCH(R369,CoinCollection!E:E,),"")</f>
        <v/>
      </c>
      <c r="BA369">
        <v>1956</v>
      </c>
      <c r="BB369" s="218">
        <v>0</v>
      </c>
      <c r="BC369" t="str">
        <v>Penny</v>
      </c>
      <c r="BD369" t="str">
        <v>WHT1956CNT-AS</v>
      </c>
      <c r="BE369" t="str">
        <v>Wheat Penny</v>
      </c>
      <c r="BF369" t="str">
        <v>Extremely Fine</v>
      </c>
      <c r="BG369" s="225">
        <v>0.01</v>
      </c>
      <c r="BH369" s="225">
        <v>0.01</v>
      </c>
      <c r="BI369" s="136">
        <v>1</v>
      </c>
      <c r="BJ369" s="219">
        <v>0</v>
      </c>
      <c r="BK369" s="218">
        <v>0</v>
      </c>
      <c r="BL369" s="136" t="str">
        <f>IF(BA369&lt;&gt;"","A"&amp;MATCH(BD369,CoinCollection!E:E,),"")</f>
        <v>A420</v>
      </c>
    </row>
    <row r="370" spans="14:64">
      <c r="N370" s="136"/>
      <c r="Y370" s="218" t="str">
        <f>IF(O370&lt;&gt;"","A"&amp;MATCH(R370,CoinCollection!E:E,),"")</f>
        <v/>
      </c>
      <c r="BA370">
        <v>1956</v>
      </c>
      <c r="BB370" s="218" t="str">
        <v>D</v>
      </c>
      <c r="BC370" t="str">
        <v>Penny</v>
      </c>
      <c r="BD370" t="str">
        <v>WHT1956CNT-AT</v>
      </c>
      <c r="BE370" t="str">
        <v>Wheat Penny</v>
      </c>
      <c r="BF370" t="str">
        <v>Extremely Fine</v>
      </c>
      <c r="BG370" s="225">
        <v>0.01</v>
      </c>
      <c r="BH370" s="225">
        <v>0.01</v>
      </c>
      <c r="BI370" s="136">
        <v>1</v>
      </c>
      <c r="BJ370" s="219">
        <v>0</v>
      </c>
      <c r="BK370" s="218">
        <v>0</v>
      </c>
      <c r="BL370" s="136" t="str">
        <f>IF(BA370&lt;&gt;"","A"&amp;MATCH(BD370,CoinCollection!E:E,),"")</f>
        <v>A421</v>
      </c>
    </row>
    <row r="371" spans="14:64">
      <c r="N371" s="136"/>
      <c r="Y371" s="218" t="str">
        <f>IF(O371&lt;&gt;"","A"&amp;MATCH(R371,CoinCollection!E:E,),"")</f>
        <v/>
      </c>
      <c r="BA371">
        <v>1956</v>
      </c>
      <c r="BB371" s="218" t="str">
        <v>D</v>
      </c>
      <c r="BC371" t="str">
        <v>Penny</v>
      </c>
      <c r="BD371" t="str">
        <v>WHT1956CNT-AU</v>
      </c>
      <c r="BE371" t="str">
        <v>Wheat Penny</v>
      </c>
      <c r="BF371" t="str">
        <v>Extremely Fine</v>
      </c>
      <c r="BG371" s="225">
        <v>0.01</v>
      </c>
      <c r="BH371" s="225">
        <v>0.01</v>
      </c>
      <c r="BI371" s="136">
        <v>1</v>
      </c>
      <c r="BJ371" s="219">
        <v>0</v>
      </c>
      <c r="BK371" s="218">
        <v>0</v>
      </c>
      <c r="BL371" s="136" t="str">
        <f>IF(BA371&lt;&gt;"","A"&amp;MATCH(BD371,CoinCollection!E:E,),"")</f>
        <v>A422</v>
      </c>
    </row>
    <row r="372" spans="14:64">
      <c r="N372" s="136"/>
      <c r="Y372" s="218" t="str">
        <f>IF(O372&lt;&gt;"","A"&amp;MATCH(R372,CoinCollection!E:E,),"")</f>
        <v/>
      </c>
      <c r="BA372">
        <v>1956</v>
      </c>
      <c r="BB372" s="218" t="str">
        <v>D</v>
      </c>
      <c r="BC372" t="str">
        <v>Penny</v>
      </c>
      <c r="BD372" t="str">
        <v>WHT1956CNT-AV</v>
      </c>
      <c r="BE372" t="str">
        <v>Wheat Penny</v>
      </c>
      <c r="BF372" t="str">
        <v>Extremely Fine</v>
      </c>
      <c r="BG372" s="225">
        <v>0.01</v>
      </c>
      <c r="BH372" s="225">
        <v>0.01</v>
      </c>
      <c r="BI372" s="136">
        <v>1</v>
      </c>
      <c r="BJ372" s="219">
        <v>0</v>
      </c>
      <c r="BK372" s="218">
        <v>0</v>
      </c>
      <c r="BL372" s="136" t="str">
        <f>IF(BA372&lt;&gt;"","A"&amp;MATCH(BD372,CoinCollection!E:E,),"")</f>
        <v>A423</v>
      </c>
    </row>
    <row r="373" spans="14:64">
      <c r="N373" s="136"/>
      <c r="Y373" s="218" t="str">
        <f>IF(O373&lt;&gt;"","A"&amp;MATCH(R373,CoinCollection!E:E,),"")</f>
        <v/>
      </c>
      <c r="BA373">
        <v>1957</v>
      </c>
      <c r="BB373" s="218">
        <v>0</v>
      </c>
      <c r="BC373" t="str">
        <v>Penny</v>
      </c>
      <c r="BD373" t="str">
        <v>WHT1957CNT-AA</v>
      </c>
      <c r="BE373" t="str">
        <v>Wheat Penny</v>
      </c>
      <c r="BF373" t="str">
        <v>Extremely Fine</v>
      </c>
      <c r="BG373" s="225">
        <v>0.01</v>
      </c>
      <c r="BH373" s="225">
        <v>0.12</v>
      </c>
      <c r="BI373" s="136">
        <v>1</v>
      </c>
      <c r="BJ373" s="219">
        <v>0</v>
      </c>
      <c r="BK373" s="218">
        <v>0</v>
      </c>
      <c r="BL373" s="136" t="str">
        <f>IF(BA373&lt;&gt;"","A"&amp;MATCH(BD373,CoinCollection!E:E,),"")</f>
        <v>A424</v>
      </c>
    </row>
    <row r="374" spans="14:64">
      <c r="N374" s="136"/>
      <c r="Y374" s="218" t="str">
        <f>IF(O374&lt;&gt;"","A"&amp;MATCH(R374,CoinCollection!E:E,),"")</f>
        <v/>
      </c>
      <c r="BA374">
        <v>1957</v>
      </c>
      <c r="BB374" s="218">
        <v>0</v>
      </c>
      <c r="BC374" t="str">
        <v>Penny</v>
      </c>
      <c r="BD374" t="str">
        <v>WHT1957CNT-AB</v>
      </c>
      <c r="BE374" t="str">
        <v>Wheat Penny</v>
      </c>
      <c r="BF374" t="str">
        <v>Extremely Fine</v>
      </c>
      <c r="BG374" s="225">
        <v>0.01</v>
      </c>
      <c r="BH374" s="225">
        <v>0.12</v>
      </c>
      <c r="BI374" s="136">
        <v>1</v>
      </c>
      <c r="BJ374" s="219">
        <v>0</v>
      </c>
      <c r="BK374" s="218">
        <v>0</v>
      </c>
      <c r="BL374" s="136" t="str">
        <f>IF(BA374&lt;&gt;"","A"&amp;MATCH(BD374,CoinCollection!E:E,),"")</f>
        <v>A425</v>
      </c>
    </row>
    <row r="375" spans="14:64">
      <c r="N375" s="136"/>
      <c r="Y375" s="218" t="str">
        <f>IF(O375&lt;&gt;"","A"&amp;MATCH(R375,CoinCollection!E:E,),"")</f>
        <v/>
      </c>
      <c r="BA375">
        <v>1957</v>
      </c>
      <c r="BB375" s="218" t="str">
        <v>D</v>
      </c>
      <c r="BC375" t="str">
        <v>Penny</v>
      </c>
      <c r="BD375" t="str">
        <v>WHT1957CNT-AC</v>
      </c>
      <c r="BE375" t="str">
        <v>Wheat Penny</v>
      </c>
      <c r="BF375" t="str">
        <v>Extremely Fine</v>
      </c>
      <c r="BG375" s="225">
        <v>0.01</v>
      </c>
      <c r="BH375" s="225">
        <v>0.1</v>
      </c>
      <c r="BI375" s="136">
        <v>1</v>
      </c>
      <c r="BJ375" s="219">
        <v>0</v>
      </c>
      <c r="BK375" s="218">
        <v>0</v>
      </c>
      <c r="BL375" s="136" t="str">
        <f>IF(BA375&lt;&gt;"","A"&amp;MATCH(BD375,CoinCollection!E:E,),"")</f>
        <v>A426</v>
      </c>
    </row>
    <row r="376" spans="14:64">
      <c r="N376" s="136"/>
      <c r="Y376" s="218" t="str">
        <f>IF(O376&lt;&gt;"","A"&amp;MATCH(R376,CoinCollection!E:E,),"")</f>
        <v/>
      </c>
      <c r="BA376">
        <v>1957</v>
      </c>
      <c r="BB376" s="218" t="str">
        <v>D</v>
      </c>
      <c r="BC376" t="str">
        <v>Penny</v>
      </c>
      <c r="BD376" t="str">
        <v>WHT1957CNT-AD</v>
      </c>
      <c r="BE376" t="str">
        <v>Wheat Penny</v>
      </c>
      <c r="BF376" t="str">
        <v>Extremely Fine</v>
      </c>
      <c r="BG376" s="225">
        <v>0.01</v>
      </c>
      <c r="BH376" s="225">
        <v>0.1</v>
      </c>
      <c r="BI376" s="136">
        <v>1</v>
      </c>
      <c r="BJ376" s="219">
        <v>0</v>
      </c>
      <c r="BK376" s="218">
        <v>0</v>
      </c>
      <c r="BL376" s="136" t="str">
        <f>IF(BA376&lt;&gt;"","A"&amp;MATCH(BD376,CoinCollection!E:E,),"")</f>
        <v>A427</v>
      </c>
    </row>
    <row r="377" spans="14:64">
      <c r="N377" s="136"/>
      <c r="Y377" s="218" t="str">
        <f>IF(O377&lt;&gt;"","A"&amp;MATCH(R377,CoinCollection!E:E,),"")</f>
        <v/>
      </c>
      <c r="BA377">
        <v>1957</v>
      </c>
      <c r="BB377" s="218" t="str">
        <v>D</v>
      </c>
      <c r="BC377" t="str">
        <v>Penny</v>
      </c>
      <c r="BD377" t="str">
        <v>WHT1957CNT-AE</v>
      </c>
      <c r="BE377" t="str">
        <v>Wheat Penny</v>
      </c>
      <c r="BF377" t="str">
        <v>Extremely Fine</v>
      </c>
      <c r="BG377" s="225">
        <v>0.01</v>
      </c>
      <c r="BH377" s="225">
        <v>0.1</v>
      </c>
      <c r="BI377" s="136">
        <v>1</v>
      </c>
      <c r="BJ377" s="219">
        <v>0</v>
      </c>
      <c r="BK377" s="218">
        <v>0</v>
      </c>
      <c r="BL377" s="136" t="str">
        <f>IF(BA377&lt;&gt;"","A"&amp;MATCH(BD377,CoinCollection!E:E,),"")</f>
        <v>A428</v>
      </c>
    </row>
    <row r="378" spans="14:64">
      <c r="N378" s="136"/>
      <c r="Y378" s="218" t="str">
        <f>IF(O378&lt;&gt;"","A"&amp;MATCH(R378,CoinCollection!E:E,),"")</f>
        <v/>
      </c>
      <c r="BA378">
        <v>1957</v>
      </c>
      <c r="BB378" s="218" t="str">
        <v>D</v>
      </c>
      <c r="BC378" t="str">
        <v>Penny</v>
      </c>
      <c r="BD378" t="str">
        <v>WHT1957CNT-AF</v>
      </c>
      <c r="BE378" t="str">
        <v>Wheat Penny</v>
      </c>
      <c r="BF378" t="str">
        <v>Extremely Fine</v>
      </c>
      <c r="BG378" s="225">
        <v>0.01</v>
      </c>
      <c r="BH378" s="225">
        <v>0.1</v>
      </c>
      <c r="BI378" s="136">
        <v>1</v>
      </c>
      <c r="BJ378" s="219">
        <v>0</v>
      </c>
      <c r="BK378" s="218">
        <v>0</v>
      </c>
      <c r="BL378" s="136" t="str">
        <f>IF(BA378&lt;&gt;"","A"&amp;MATCH(BD378,CoinCollection!E:E,),"")</f>
        <v>A429</v>
      </c>
    </row>
    <row r="379" spans="14:64">
      <c r="N379" s="136"/>
      <c r="Y379" s="218" t="str">
        <f>IF(O379&lt;&gt;"","A"&amp;MATCH(R379,CoinCollection!E:E,),"")</f>
        <v/>
      </c>
      <c r="BA379">
        <v>1957</v>
      </c>
      <c r="BB379" s="218" t="str">
        <v>D</v>
      </c>
      <c r="BC379" t="str">
        <v>Penny</v>
      </c>
      <c r="BD379" t="str">
        <v>WHT1957CNT-AG</v>
      </c>
      <c r="BE379" t="str">
        <v>Wheat Penny</v>
      </c>
      <c r="BF379" t="str">
        <v>Extremely Fine</v>
      </c>
      <c r="BG379" s="225">
        <v>0.01</v>
      </c>
      <c r="BH379" s="225">
        <v>0.1</v>
      </c>
      <c r="BI379" s="136">
        <v>1</v>
      </c>
      <c r="BJ379" s="219">
        <v>0</v>
      </c>
      <c r="BK379" s="218">
        <v>0</v>
      </c>
      <c r="BL379" s="136" t="str">
        <f>IF(BA379&lt;&gt;"","A"&amp;MATCH(BD379,CoinCollection!E:E,),"")</f>
        <v>A430</v>
      </c>
    </row>
    <row r="380" spans="14:64">
      <c r="N380" s="136"/>
      <c r="Y380" s="218" t="str">
        <f>IF(O380&lt;&gt;"","A"&amp;MATCH(R380,CoinCollection!E:E,),"")</f>
        <v/>
      </c>
      <c r="BA380">
        <v>1957</v>
      </c>
      <c r="BB380" s="218" t="str">
        <v>D</v>
      </c>
      <c r="BC380" t="str">
        <v>Penny</v>
      </c>
      <c r="BD380" t="str">
        <v>WHT1957CNT-AH</v>
      </c>
      <c r="BE380" t="str">
        <v>Wheat Penny</v>
      </c>
      <c r="BF380" t="str">
        <v>Extremely Fine</v>
      </c>
      <c r="BG380" s="225">
        <v>0.01</v>
      </c>
      <c r="BH380" s="225">
        <v>0.1</v>
      </c>
      <c r="BI380" s="136">
        <v>1</v>
      </c>
      <c r="BJ380" s="219">
        <v>0</v>
      </c>
      <c r="BK380" s="218">
        <v>0</v>
      </c>
      <c r="BL380" s="136" t="str">
        <f>IF(BA380&lt;&gt;"","A"&amp;MATCH(BD380,CoinCollection!E:E,),"")</f>
        <v>A431</v>
      </c>
    </row>
    <row r="381" spans="14:64">
      <c r="N381" s="136"/>
      <c r="Y381" s="218" t="str">
        <f>IF(O381&lt;&gt;"","A"&amp;MATCH(R381,CoinCollection!E:E,),"")</f>
        <v/>
      </c>
      <c r="BA381">
        <v>1957</v>
      </c>
      <c r="BB381" s="218" t="str">
        <v>D</v>
      </c>
      <c r="BC381" t="str">
        <v>Penny</v>
      </c>
      <c r="BD381" t="str">
        <v>WHT1957CNT-AI</v>
      </c>
      <c r="BE381" t="str">
        <v>Wheat Penny</v>
      </c>
      <c r="BF381" t="str">
        <v>Extremely Fine</v>
      </c>
      <c r="BG381" s="225">
        <v>0.01</v>
      </c>
      <c r="BH381" s="225">
        <v>0.1</v>
      </c>
      <c r="BI381" s="136">
        <v>1</v>
      </c>
      <c r="BJ381" s="219">
        <v>0</v>
      </c>
      <c r="BK381" s="218">
        <v>0</v>
      </c>
      <c r="BL381" s="136" t="str">
        <f>IF(BA381&lt;&gt;"","A"&amp;MATCH(BD381,CoinCollection!E:E,),"")</f>
        <v>A432</v>
      </c>
    </row>
    <row r="382" spans="14:64">
      <c r="N382" s="136"/>
      <c r="Y382" s="218" t="str">
        <f>IF(O382&lt;&gt;"","A"&amp;MATCH(R382,CoinCollection!E:E,),"")</f>
        <v/>
      </c>
      <c r="BA382">
        <v>1957</v>
      </c>
      <c r="BB382" s="218">
        <v>0</v>
      </c>
      <c r="BC382" t="str">
        <v>Penny</v>
      </c>
      <c r="BD382" t="str">
        <v>WHT1957CNT-AJ</v>
      </c>
      <c r="BE382" t="str">
        <v>Wheat Penny</v>
      </c>
      <c r="BF382" t="str">
        <v>Extremely Fine</v>
      </c>
      <c r="BG382" s="225">
        <v>0.01</v>
      </c>
      <c r="BH382" s="225">
        <v>0.1</v>
      </c>
      <c r="BI382" s="136">
        <v>1</v>
      </c>
      <c r="BJ382" s="219">
        <v>0</v>
      </c>
      <c r="BK382" s="218">
        <v>0</v>
      </c>
      <c r="BL382" s="136" t="str">
        <f>IF(BA382&lt;&gt;"","A"&amp;MATCH(BD382,CoinCollection!E:E,),"")</f>
        <v>A433</v>
      </c>
    </row>
    <row r="383" spans="14:64">
      <c r="N383" s="136"/>
      <c r="Y383" s="218" t="str">
        <f>IF(O383&lt;&gt;"","A"&amp;MATCH(R383,CoinCollection!E:E,),"")</f>
        <v/>
      </c>
      <c r="BA383">
        <v>1957</v>
      </c>
      <c r="BB383" s="218" t="str">
        <v>D</v>
      </c>
      <c r="BC383" t="str">
        <v>Penny</v>
      </c>
      <c r="BD383" t="str">
        <v>WHT1957CNT-AK</v>
      </c>
      <c r="BE383" t="str">
        <v>Wheat Penny</v>
      </c>
      <c r="BF383" t="str">
        <v>Extremely Fine</v>
      </c>
      <c r="BG383" s="225">
        <v>0.01</v>
      </c>
      <c r="BH383" s="225">
        <v>0.1</v>
      </c>
      <c r="BI383" s="136">
        <v>1</v>
      </c>
      <c r="BJ383" s="219">
        <v>0</v>
      </c>
      <c r="BK383" s="218">
        <v>0</v>
      </c>
      <c r="BL383" s="136" t="str">
        <f>IF(BA383&lt;&gt;"","A"&amp;MATCH(BD383,CoinCollection!E:E,),"")</f>
        <v>A434</v>
      </c>
    </row>
    <row r="384" spans="14:64">
      <c r="N384" s="136"/>
      <c r="Y384" s="218" t="str">
        <f>IF(O384&lt;&gt;"","A"&amp;MATCH(R384,CoinCollection!E:E,),"")</f>
        <v/>
      </c>
      <c r="BA384">
        <v>1957</v>
      </c>
      <c r="BB384" s="218" t="str">
        <v>D</v>
      </c>
      <c r="BC384" t="str">
        <v>Penny</v>
      </c>
      <c r="BD384" t="str">
        <v>WHT1957CNT-AL</v>
      </c>
      <c r="BE384" t="str">
        <v>Wheat Penny</v>
      </c>
      <c r="BF384" t="str">
        <v>Extremely Fine</v>
      </c>
      <c r="BG384" s="225">
        <v>0.01</v>
      </c>
      <c r="BH384" s="225">
        <v>0.1</v>
      </c>
      <c r="BI384" s="136">
        <v>1</v>
      </c>
      <c r="BJ384" s="219">
        <v>0</v>
      </c>
      <c r="BK384" s="218">
        <v>0</v>
      </c>
      <c r="BL384" s="136" t="str">
        <f>IF(BA384&lt;&gt;"","A"&amp;MATCH(BD384,CoinCollection!E:E,),"")</f>
        <v>A435</v>
      </c>
    </row>
    <row r="385" spans="14:64">
      <c r="N385" s="136"/>
      <c r="Y385" s="218" t="str">
        <f>IF(O385&lt;&gt;"","A"&amp;MATCH(R385,CoinCollection!E:E,),"")</f>
        <v/>
      </c>
      <c r="BA385">
        <v>1957</v>
      </c>
      <c r="BB385" s="218" t="str">
        <v>D</v>
      </c>
      <c r="BC385" t="str">
        <v>Penny</v>
      </c>
      <c r="BD385" t="str">
        <v>WHT1957CNT-AM</v>
      </c>
      <c r="BE385" t="str">
        <v>Wheat Penny</v>
      </c>
      <c r="BF385" t="str">
        <v>Extremely Fine</v>
      </c>
      <c r="BG385" s="225">
        <v>0.01</v>
      </c>
      <c r="BH385" s="225">
        <v>0.1</v>
      </c>
      <c r="BI385" s="136">
        <v>1</v>
      </c>
      <c r="BJ385" s="219">
        <v>0</v>
      </c>
      <c r="BK385" s="218">
        <v>0</v>
      </c>
      <c r="BL385" s="136" t="str">
        <f>IF(BA385&lt;&gt;"","A"&amp;MATCH(BD385,CoinCollection!E:E,),"")</f>
        <v>A436</v>
      </c>
    </row>
    <row r="386" spans="14:64">
      <c r="N386" s="136"/>
      <c r="Y386" s="218" t="str">
        <f>IF(O386&lt;&gt;"","A"&amp;MATCH(R386,CoinCollection!E:E,),"")</f>
        <v/>
      </c>
      <c r="BA386">
        <v>1958</v>
      </c>
      <c r="BB386" s="218" t="str">
        <v>D</v>
      </c>
      <c r="BC386" t="str">
        <v>Penny</v>
      </c>
      <c r="BD386" t="str">
        <v>WHT1958CNT-AA</v>
      </c>
      <c r="BE386" t="str">
        <v>Wheat Penny</v>
      </c>
      <c r="BF386" t="str">
        <v>Extremely Fine</v>
      </c>
      <c r="BG386" s="225">
        <v>0.01</v>
      </c>
      <c r="BH386" s="225">
        <v>0.01</v>
      </c>
      <c r="BI386" s="136">
        <v>1</v>
      </c>
      <c r="BJ386" s="219">
        <v>0</v>
      </c>
      <c r="BK386" s="218">
        <v>0</v>
      </c>
      <c r="BL386" s="136" t="str">
        <f>IF(BA386&lt;&gt;"","A"&amp;MATCH(BD386,CoinCollection!E:E,),"")</f>
        <v>A437</v>
      </c>
    </row>
    <row r="387" spans="14:64">
      <c r="N387" s="136"/>
      <c r="Y387" s="218" t="str">
        <f>IF(O387&lt;&gt;"","A"&amp;MATCH(R387,CoinCollection!E:E,),"")</f>
        <v/>
      </c>
      <c r="BA387">
        <v>1958</v>
      </c>
      <c r="BB387" s="218" t="str">
        <v>D</v>
      </c>
      <c r="BC387" t="str">
        <v>Penny</v>
      </c>
      <c r="BD387" t="str">
        <v>WHT1958CNT-AB</v>
      </c>
      <c r="BE387" t="str">
        <v>Wheat Penny</v>
      </c>
      <c r="BF387" t="str">
        <v>Extremely Fine</v>
      </c>
      <c r="BG387" s="225">
        <v>0.01</v>
      </c>
      <c r="BH387" s="225">
        <v>0.1</v>
      </c>
      <c r="BI387" s="136">
        <v>1</v>
      </c>
      <c r="BJ387" s="219">
        <v>0</v>
      </c>
      <c r="BK387" s="218">
        <v>0</v>
      </c>
      <c r="BL387" s="136" t="str">
        <f>IF(BA387&lt;&gt;"","A"&amp;MATCH(BD387,CoinCollection!E:E,),"")</f>
        <v>A438</v>
      </c>
    </row>
    <row r="388" spans="14:64">
      <c r="N388" s="136"/>
      <c r="Y388" s="218" t="str">
        <f>IF(O388&lt;&gt;"","A"&amp;MATCH(R388,CoinCollection!E:E,),"")</f>
        <v/>
      </c>
      <c r="BA388">
        <v>1958</v>
      </c>
      <c r="BB388" s="218">
        <v>0</v>
      </c>
      <c r="BC388" t="str">
        <v>Penny</v>
      </c>
      <c r="BD388" t="str">
        <v>WHT1958CNT-AC</v>
      </c>
      <c r="BE388" t="str">
        <v>Wheat Penny</v>
      </c>
      <c r="BF388" t="str">
        <v>Extremely Fine</v>
      </c>
      <c r="BG388" s="225">
        <v>0.01</v>
      </c>
      <c r="BH388" s="225">
        <v>0.1</v>
      </c>
      <c r="BI388" s="136">
        <v>1</v>
      </c>
      <c r="BJ388" s="219">
        <v>0</v>
      </c>
      <c r="BK388" s="218">
        <v>0</v>
      </c>
      <c r="BL388" s="136" t="str">
        <f>IF(BA388&lt;&gt;"","A"&amp;MATCH(BD388,CoinCollection!E:E,),"")</f>
        <v>A439</v>
      </c>
    </row>
    <row r="389" spans="14:64">
      <c r="N389" s="136"/>
      <c r="Y389" s="218" t="str">
        <f>IF(O389&lt;&gt;"","A"&amp;MATCH(R389,CoinCollection!E:E,),"")</f>
        <v/>
      </c>
      <c r="BA389">
        <v>1958</v>
      </c>
      <c r="BB389" s="218">
        <v>0</v>
      </c>
      <c r="BC389" t="str">
        <v>Penny</v>
      </c>
      <c r="BD389" t="str">
        <v>WHT1958CNT-AD</v>
      </c>
      <c r="BE389" t="str">
        <v>Wheat Penny</v>
      </c>
      <c r="BF389" t="str">
        <v>Extremely Fine</v>
      </c>
      <c r="BG389" s="225">
        <v>0.01</v>
      </c>
      <c r="BH389" s="225">
        <v>0.1</v>
      </c>
      <c r="BI389" s="136">
        <v>1</v>
      </c>
      <c r="BJ389" s="219">
        <v>0</v>
      </c>
      <c r="BK389" s="218">
        <v>0</v>
      </c>
      <c r="BL389" s="136" t="str">
        <f>IF(BA389&lt;&gt;"","A"&amp;MATCH(BD389,CoinCollection!E:E,),"")</f>
        <v>A440</v>
      </c>
    </row>
    <row r="390" spans="14:64">
      <c r="N390" s="136"/>
      <c r="Y390" s="218" t="str">
        <f>IF(O390&lt;&gt;"","A"&amp;MATCH(R390,CoinCollection!E:E,),"")</f>
        <v/>
      </c>
      <c r="BA390">
        <v>1958</v>
      </c>
      <c r="BB390" s="218" t="str">
        <v>D</v>
      </c>
      <c r="BC390" t="str">
        <v>Penny</v>
      </c>
      <c r="BD390" t="str">
        <v>WHT1958CNT-AE</v>
      </c>
      <c r="BE390" t="str">
        <v>Wheat Penny</v>
      </c>
      <c r="BF390" t="str">
        <v>Extremely Fine</v>
      </c>
      <c r="BG390" s="225">
        <v>0.01</v>
      </c>
      <c r="BH390" s="225">
        <v>0.1</v>
      </c>
      <c r="BI390" s="136">
        <v>1</v>
      </c>
      <c r="BJ390" s="219">
        <v>0</v>
      </c>
      <c r="BK390" s="218">
        <v>0</v>
      </c>
      <c r="BL390" s="136" t="str">
        <f>IF(BA390&lt;&gt;"","A"&amp;MATCH(BD390,CoinCollection!E:E,),"")</f>
        <v>A441</v>
      </c>
    </row>
    <row r="391" spans="14:64">
      <c r="N391" s="136"/>
      <c r="Y391" s="218" t="str">
        <f>IF(O391&lt;&gt;"","A"&amp;MATCH(R391,CoinCollection!E:E,),"")</f>
        <v/>
      </c>
      <c r="BA391">
        <v>1958</v>
      </c>
      <c r="BB391" s="218" t="str">
        <v>D</v>
      </c>
      <c r="BC391" t="str">
        <v>Penny</v>
      </c>
      <c r="BD391" t="str">
        <v>WHT1958CNT-AF</v>
      </c>
      <c r="BE391" t="str">
        <v>Wheat Penny</v>
      </c>
      <c r="BF391" t="str">
        <v>Extremely Fine</v>
      </c>
      <c r="BG391" s="225">
        <v>0.01</v>
      </c>
      <c r="BH391" s="225">
        <v>0.1</v>
      </c>
      <c r="BI391" s="136">
        <v>1</v>
      </c>
      <c r="BJ391" s="219">
        <v>0</v>
      </c>
      <c r="BK391" s="218">
        <v>0</v>
      </c>
      <c r="BL391" s="136" t="str">
        <f>IF(BA391&lt;&gt;"","A"&amp;MATCH(BD391,CoinCollection!E:E,),"")</f>
        <v>A442</v>
      </c>
    </row>
    <row r="392" spans="14:64">
      <c r="N392" s="136"/>
      <c r="Y392" s="218" t="str">
        <f>IF(O392&lt;&gt;"","A"&amp;MATCH(R392,CoinCollection!E:E,),"")</f>
        <v/>
      </c>
      <c r="BA392">
        <v>1958</v>
      </c>
      <c r="BB392" s="218">
        <v>0</v>
      </c>
      <c r="BC392" t="str">
        <v>Penny</v>
      </c>
      <c r="BD392" t="str">
        <v>WHT1958CNT-AG</v>
      </c>
      <c r="BE392" t="str">
        <v>Wheat Penny</v>
      </c>
      <c r="BF392" t="str">
        <v>Extremely Fine</v>
      </c>
      <c r="BG392" s="225">
        <v>0.01</v>
      </c>
      <c r="BH392" s="225">
        <v>0.01</v>
      </c>
      <c r="BI392" s="136">
        <v>1</v>
      </c>
      <c r="BJ392" s="219">
        <v>0</v>
      </c>
      <c r="BK392" s="218">
        <v>0</v>
      </c>
      <c r="BL392" s="136" t="str">
        <f>IF(BA392&lt;&gt;"","A"&amp;MATCH(BD392,CoinCollection!E:E,),"")</f>
        <v>A443</v>
      </c>
    </row>
    <row r="393" spans="14:64">
      <c r="N393" s="136"/>
      <c r="Y393" s="218" t="str">
        <f>IF(O393&lt;&gt;"","A"&amp;MATCH(R393,CoinCollection!E:E,),"")</f>
        <v/>
      </c>
      <c r="BA393">
        <v>1958</v>
      </c>
      <c r="BB393" s="218" t="str">
        <v>D</v>
      </c>
      <c r="BC393" t="str">
        <v>Penny</v>
      </c>
      <c r="BD393" t="str">
        <v>WHT1958CNT-AH</v>
      </c>
      <c r="BE393" t="str">
        <v>Wheat Penny</v>
      </c>
      <c r="BF393" t="str">
        <v>Extremely Fine</v>
      </c>
      <c r="BG393" s="225">
        <v>0.01</v>
      </c>
      <c r="BH393" s="225">
        <v>0.01</v>
      </c>
      <c r="BI393" s="136">
        <v>1</v>
      </c>
      <c r="BJ393" s="219">
        <v>0</v>
      </c>
      <c r="BK393" s="218">
        <v>0</v>
      </c>
      <c r="BL393" s="136" t="str">
        <f>IF(BA393&lt;&gt;"","A"&amp;MATCH(BD393,CoinCollection!E:E,),"")</f>
        <v>A444</v>
      </c>
    </row>
    <row r="394" spans="14:64">
      <c r="N394" s="136"/>
      <c r="Y394" s="218" t="str">
        <f>IF(O394&lt;&gt;"","A"&amp;MATCH(R394,CoinCollection!E:E,),"")</f>
        <v/>
      </c>
      <c r="BA394">
        <v>1958</v>
      </c>
      <c r="BB394" s="218">
        <v>0</v>
      </c>
      <c r="BC394" t="str">
        <v>Penny</v>
      </c>
      <c r="BD394" t="str">
        <v>WHT1958CNT-AI</v>
      </c>
      <c r="BE394" t="str">
        <v>Wheat Penny</v>
      </c>
      <c r="BF394" t="str">
        <v>Extremely Fine</v>
      </c>
      <c r="BG394" s="225">
        <v>0.01</v>
      </c>
      <c r="BH394" s="225">
        <v>0.01</v>
      </c>
      <c r="BI394" s="136">
        <v>1</v>
      </c>
      <c r="BJ394" s="219">
        <v>0</v>
      </c>
      <c r="BK394" s="218">
        <v>0</v>
      </c>
      <c r="BL394" s="136" t="str">
        <f>IF(BA394&lt;&gt;"","A"&amp;MATCH(BD394,CoinCollection!E:E,),"")</f>
        <v>A445</v>
      </c>
    </row>
    <row r="395" spans="14:64">
      <c r="N395" s="136"/>
      <c r="Y395" s="218" t="str">
        <f>IF(O395&lt;&gt;"","A"&amp;MATCH(R395,CoinCollection!E:E,),"")</f>
        <v/>
      </c>
      <c r="BL395" s="136" t="str">
        <f>IF(BA395&lt;&gt;"","A"&amp;MATCH(BD395,CoinCollection!E:E,),"")</f>
        <v/>
      </c>
    </row>
    <row r="396" spans="14:64">
      <c r="N396" s="136"/>
      <c r="Y396" s="218" t="str">
        <f>IF(O396&lt;&gt;"","A"&amp;MATCH(R396,CoinCollection!E:E,),"")</f>
        <v/>
      </c>
      <c r="BL396" s="136" t="str">
        <f>IF(BA396&lt;&gt;"","A"&amp;MATCH(BD396,CoinCollection!E:E,),"")</f>
        <v/>
      </c>
    </row>
    <row r="397" spans="14:64">
      <c r="N397" s="136"/>
      <c r="Y397" s="218" t="str">
        <f>IF(O397&lt;&gt;"","A"&amp;MATCH(R397,CoinCollection!E:E,),"")</f>
        <v/>
      </c>
    </row>
    <row r="398" spans="14:64">
      <c r="N398" s="136"/>
      <c r="Y398" s="218" t="str">
        <f>IF(O398&lt;&gt;"","A"&amp;MATCH(R398,CoinCollection!E:E,),"")</f>
        <v/>
      </c>
    </row>
    <row r="399" spans="14:64">
      <c r="N399" s="136"/>
      <c r="Y399" s="218" t="str">
        <f>IF(O399&lt;&gt;"","A"&amp;MATCH(R399,CoinCollection!E:E,),"")</f>
        <v/>
      </c>
    </row>
    <row r="400" spans="14:64">
      <c r="N400" s="136"/>
      <c r="Y400" s="218" t="str">
        <f>IF(O400&lt;&gt;"","A"&amp;MATCH(R400,CoinCollection!E:E,),"")</f>
        <v/>
      </c>
    </row>
    <row r="401" spans="14:25">
      <c r="N401" s="136"/>
      <c r="Y401" s="218" t="str">
        <f>IF(O401&lt;&gt;"","A"&amp;MATCH(R401,CoinCollection!E:E,),"")</f>
        <v/>
      </c>
    </row>
    <row r="402" spans="14:25">
      <c r="N402" s="136"/>
      <c r="Y402" s="218" t="str">
        <f>IF(O402&lt;&gt;"","A"&amp;MATCH(R402,CoinCollection!E:E,),"")</f>
        <v/>
      </c>
    </row>
    <row r="403" spans="14:25">
      <c r="N403" s="136"/>
      <c r="Y403" s="218" t="str">
        <f>IF(O403&lt;&gt;"","A"&amp;MATCH(R403,CoinCollection!E:E,),"")</f>
        <v/>
      </c>
    </row>
    <row r="404" spans="14:25">
      <c r="N404" s="136"/>
      <c r="Y404" s="218" t="str">
        <f>IF(O404&lt;&gt;"","A"&amp;MATCH(R404,CoinCollection!E:E,),"")</f>
        <v/>
      </c>
    </row>
    <row r="405" spans="14:25">
      <c r="N405" s="136"/>
      <c r="Y405" s="218" t="str">
        <f>IF(O405&lt;&gt;"","A"&amp;MATCH(R405,CoinCollection!E:E,),"")</f>
        <v/>
      </c>
    </row>
    <row r="406" spans="14:25">
      <c r="N406" s="136"/>
      <c r="Y406" s="218" t="str">
        <f>IF(O406&lt;&gt;"","A"&amp;MATCH(R406,CoinCollection!E:E,),"")</f>
        <v/>
      </c>
    </row>
    <row r="407" spans="14:25">
      <c r="N407" s="136"/>
      <c r="Y407" s="218" t="str">
        <f>IF(O407&lt;&gt;"","A"&amp;MATCH(R407,CoinCollection!E:E,),"")</f>
        <v/>
      </c>
    </row>
    <row r="408" spans="14:25">
      <c r="N408" s="136"/>
      <c r="Y408" s="218" t="str">
        <f>IF(O408&lt;&gt;"","A"&amp;MATCH(R408,CoinCollection!E:E,),"")</f>
        <v/>
      </c>
    </row>
    <row r="409" spans="14:25">
      <c r="N409" s="136"/>
      <c r="Y409" s="218" t="str">
        <f>IF(O409&lt;&gt;"","A"&amp;MATCH(R409,CoinCollection!E:E,),"")</f>
        <v/>
      </c>
    </row>
    <row r="410" spans="14:25">
      <c r="N410" s="136"/>
      <c r="Y410" s="218" t="str">
        <f>IF(O410&lt;&gt;"","A"&amp;MATCH(R410,CoinCollection!E:E,),"")</f>
        <v/>
      </c>
    </row>
    <row r="411" spans="14:25">
      <c r="N411" s="136"/>
      <c r="Y411" s="218" t="str">
        <f>IF(O411&lt;&gt;"","A"&amp;MATCH(R411,CoinCollection!E:E,),"")</f>
        <v/>
      </c>
    </row>
    <row r="412" spans="14:25">
      <c r="N412" s="136"/>
      <c r="Y412" s="218" t="str">
        <f>IF(O412&lt;&gt;"","A"&amp;MATCH(R412,CoinCollection!E:E,),"")</f>
        <v/>
      </c>
    </row>
    <row r="413" spans="14:25">
      <c r="N413" s="136"/>
      <c r="Y413" s="218" t="str">
        <f>IF(O413&lt;&gt;"","A"&amp;MATCH(R413,CoinCollection!E:E,),"")</f>
        <v/>
      </c>
    </row>
    <row r="414" spans="14:25">
      <c r="N414" s="136"/>
      <c r="Y414" s="218" t="str">
        <f>IF(O414&lt;&gt;"","A"&amp;MATCH(R414,CoinCollection!E:E,),"")</f>
        <v/>
      </c>
    </row>
    <row r="415" spans="14:25">
      <c r="N415" s="136"/>
      <c r="Y415" s="218" t="str">
        <f>IF(O415&lt;&gt;"","A"&amp;MATCH(R415,CoinCollection!E:E,),"")</f>
        <v/>
      </c>
    </row>
    <row r="416" spans="14:25">
      <c r="N416" s="136"/>
      <c r="Y416" s="218" t="str">
        <f>IF(O416&lt;&gt;"","A"&amp;MATCH(R416,CoinCollection!E:E,),"")</f>
        <v/>
      </c>
    </row>
    <row r="417" spans="14:25">
      <c r="N417" s="136"/>
      <c r="Y417" s="218" t="str">
        <f>IF(O417&lt;&gt;"","A"&amp;MATCH(R417,CoinCollection!E:E,),"")</f>
        <v/>
      </c>
    </row>
    <row r="418" spans="14:25">
      <c r="N418" s="136"/>
      <c r="Y418" s="218" t="str">
        <f>IF(O418&lt;&gt;"","A"&amp;MATCH(R418,CoinCollection!E:E,),"")</f>
        <v/>
      </c>
    </row>
    <row r="419" spans="14:25">
      <c r="N419" s="136"/>
      <c r="Y419" s="218" t="str">
        <f>IF(O419&lt;&gt;"","A"&amp;MATCH(R419,CoinCollection!E:E,),"")</f>
        <v/>
      </c>
    </row>
    <row r="420" spans="14:25">
      <c r="N420" s="136"/>
      <c r="Y420" s="218" t="str">
        <f>IF(O420&lt;&gt;"","A"&amp;MATCH(R420,CoinCollection!E:E,),"")</f>
        <v/>
      </c>
    </row>
    <row r="421" spans="14:25">
      <c r="N421" s="136"/>
      <c r="Y421" s="218" t="str">
        <f>IF(O421&lt;&gt;"","A"&amp;MATCH(R421,CoinCollection!E:E,),"")</f>
        <v/>
      </c>
    </row>
    <row r="422" spans="14:25">
      <c r="N422" s="136"/>
      <c r="Y422" s="218" t="str">
        <f>IF(O422&lt;&gt;"","A"&amp;MATCH(R422,CoinCollection!E:E,),"")</f>
        <v/>
      </c>
    </row>
    <row r="423" spans="14:25">
      <c r="N423" s="136"/>
      <c r="Y423" s="218" t="str">
        <f>IF(O423&lt;&gt;"","A"&amp;MATCH(R423,CoinCollection!E:E,),"")</f>
        <v/>
      </c>
    </row>
    <row r="424" spans="14:25">
      <c r="N424" s="136"/>
      <c r="Y424" s="218" t="str">
        <f>IF(O424&lt;&gt;"","A"&amp;MATCH(R424,CoinCollection!E:E,),"")</f>
        <v/>
      </c>
    </row>
    <row r="425" spans="14:25">
      <c r="N425" s="136"/>
      <c r="Y425" s="218" t="str">
        <f>IF(O425&lt;&gt;"","A"&amp;MATCH(R425,CoinCollection!E:E,),"")</f>
        <v/>
      </c>
    </row>
    <row r="426" spans="14:25">
      <c r="N426" s="136"/>
      <c r="Y426" s="218" t="str">
        <f>IF(O426&lt;&gt;"","A"&amp;MATCH(R426,CoinCollection!E:E,),"")</f>
        <v/>
      </c>
    </row>
    <row r="427" spans="14:25">
      <c r="N427" s="136"/>
      <c r="Y427" s="218" t="str">
        <f>IF(O427&lt;&gt;"","A"&amp;MATCH(R427,CoinCollection!E:E,),"")</f>
        <v/>
      </c>
    </row>
    <row r="428" spans="14:25">
      <c r="N428" s="136"/>
      <c r="Y428" s="218" t="str">
        <f>IF(O428&lt;&gt;"","A"&amp;MATCH(R428,CoinCollection!E:E,),"")</f>
        <v/>
      </c>
    </row>
    <row r="429" spans="14:25">
      <c r="N429" s="136"/>
      <c r="Y429" s="218" t="str">
        <f>IF(O429&lt;&gt;"","A"&amp;MATCH(R429,CoinCollection!E:E,),"")</f>
        <v/>
      </c>
    </row>
    <row r="430" spans="14:25">
      <c r="N430" s="136"/>
      <c r="Y430" s="218" t="str">
        <f>IF(O430&lt;&gt;"","A"&amp;MATCH(R430,CoinCollection!E:E,),"")</f>
        <v/>
      </c>
    </row>
    <row r="431" spans="14:25">
      <c r="N431" s="136"/>
      <c r="Y431" s="218" t="str">
        <f>IF(O431&lt;&gt;"","A"&amp;MATCH(R431,CoinCollection!E:E,),"")</f>
        <v/>
      </c>
    </row>
    <row r="432" spans="14:25">
      <c r="N432" s="136"/>
      <c r="Y432" s="218" t="str">
        <f>IF(O432&lt;&gt;"","A"&amp;MATCH(R432,CoinCollection!E:E,),"")</f>
        <v/>
      </c>
    </row>
    <row r="433" spans="14:25">
      <c r="N433" s="136"/>
      <c r="Y433" s="218" t="str">
        <f>IF(O433&lt;&gt;"","A"&amp;MATCH(R433,CoinCollection!E:E,),"")</f>
        <v/>
      </c>
    </row>
    <row r="434" spans="14:25">
      <c r="N434" s="136"/>
      <c r="Y434" s="218" t="str">
        <f>IF(O434&lt;&gt;"","A"&amp;MATCH(R434,CoinCollection!E:E,),"")</f>
        <v/>
      </c>
    </row>
    <row r="435" spans="14:25">
      <c r="N435" s="136"/>
      <c r="Y435" s="218" t="str">
        <f>IF(O435&lt;&gt;"","A"&amp;MATCH(R435,CoinCollection!E:E,),"")</f>
        <v/>
      </c>
    </row>
    <row r="436" spans="14:25">
      <c r="N436" s="136"/>
      <c r="Y436" s="218" t="str">
        <f>IF(O436&lt;&gt;"","A"&amp;MATCH(R436,CoinCollection!E:E,),"")</f>
        <v/>
      </c>
    </row>
    <row r="437" spans="14:25">
      <c r="N437" s="136"/>
      <c r="Y437" s="218" t="str">
        <f>IF(O437&lt;&gt;"","A"&amp;MATCH(R437,CoinCollection!E:E,),"")</f>
        <v/>
      </c>
    </row>
    <row r="438" spans="14:25">
      <c r="N438" s="136"/>
      <c r="Y438" s="218" t="str">
        <f>IF(O438&lt;&gt;"","A"&amp;MATCH(R438,CoinCollection!E:E,),"")</f>
        <v/>
      </c>
    </row>
    <row r="439" spans="14:25">
      <c r="N439" s="136"/>
      <c r="Y439" s="218" t="str">
        <f>IF(O439&lt;&gt;"","A"&amp;MATCH(R439,CoinCollection!E:E,),"")</f>
        <v/>
      </c>
    </row>
    <row r="440" spans="14:25">
      <c r="N440" s="136"/>
      <c r="Y440" s="218" t="str">
        <f>IF(O440&lt;&gt;"","A"&amp;MATCH(R440,CoinCollection!E:E,),"")</f>
        <v/>
      </c>
    </row>
    <row r="441" spans="14:25">
      <c r="N441" s="136"/>
      <c r="Y441" s="218" t="str">
        <f>IF(O441&lt;&gt;"","A"&amp;MATCH(R441,CoinCollection!E:E,),"")</f>
        <v/>
      </c>
    </row>
    <row r="442" spans="14:25">
      <c r="N442" s="136"/>
      <c r="Y442" s="218" t="str">
        <f>IF(O442&lt;&gt;"","A"&amp;MATCH(R442,CoinCollection!E:E,),"")</f>
        <v/>
      </c>
    </row>
    <row r="443" spans="14:25">
      <c r="N443" s="136"/>
      <c r="Y443" s="218" t="str">
        <f>IF(O443&lt;&gt;"","A"&amp;MATCH(R443,CoinCollection!E:E,),"")</f>
        <v/>
      </c>
    </row>
    <row r="444" spans="14:25">
      <c r="N444" s="136"/>
      <c r="Y444" s="218" t="str">
        <f>IF(O444&lt;&gt;"","A"&amp;MATCH(R444,CoinCollection!E:E,),"")</f>
        <v/>
      </c>
    </row>
    <row r="445" spans="14:25">
      <c r="N445" s="136"/>
      <c r="Y445" s="218" t="str">
        <f>IF(O445&lt;&gt;"","A"&amp;MATCH(R445,CoinCollection!E:E,),"")</f>
        <v/>
      </c>
    </row>
    <row r="446" spans="14:25">
      <c r="N446" s="136"/>
      <c r="Y446" s="218" t="str">
        <f>IF(O446&lt;&gt;"","A"&amp;MATCH(R446,CoinCollection!E:E,),"")</f>
        <v/>
      </c>
    </row>
    <row r="447" spans="14:25">
      <c r="N447" s="136"/>
      <c r="Y447" s="218" t="str">
        <f>IF(O447&lt;&gt;"","A"&amp;MATCH(R447,CoinCollection!E:E,),"")</f>
        <v/>
      </c>
    </row>
    <row r="448" spans="14:25">
      <c r="N448" s="136"/>
      <c r="Y448" s="218" t="str">
        <f>IF(O448&lt;&gt;"","A"&amp;MATCH(R448,CoinCollection!E:E,),"")</f>
        <v/>
      </c>
    </row>
    <row r="449" spans="14:25">
      <c r="N449" s="136"/>
      <c r="Y449" s="218" t="str">
        <f>IF(O449&lt;&gt;"","A"&amp;MATCH(R449,CoinCollection!E:E,),"")</f>
        <v/>
      </c>
    </row>
    <row r="450" spans="14:25">
      <c r="N450" s="136"/>
      <c r="Y450" s="218" t="str">
        <f>IF(O450&lt;&gt;"","A"&amp;MATCH(R450,CoinCollection!E:E,),"")</f>
        <v/>
      </c>
    </row>
    <row r="451" spans="14:25">
      <c r="N451" s="136"/>
      <c r="Y451" s="218" t="str">
        <f>IF(O451&lt;&gt;"","A"&amp;MATCH(R451,CoinCollection!E:E,),"")</f>
        <v/>
      </c>
    </row>
    <row r="452" spans="14:25">
      <c r="N452" s="136"/>
      <c r="Y452" s="218" t="str">
        <f>IF(O452&lt;&gt;"","A"&amp;MATCH(R452,CoinCollection!E:E,),"")</f>
        <v/>
      </c>
    </row>
    <row r="453" spans="14:25">
      <c r="N453" s="136"/>
      <c r="Y453" s="218" t="str">
        <f>IF(O453&lt;&gt;"","A"&amp;MATCH(R453,CoinCollection!E:E,),"")</f>
        <v/>
      </c>
    </row>
    <row r="454" spans="14:25">
      <c r="N454" s="136"/>
      <c r="Y454" s="218" t="str">
        <f>IF(O454&lt;&gt;"","A"&amp;MATCH(R454,CoinCollection!E:E,),"")</f>
        <v/>
      </c>
    </row>
    <row r="455" spans="14:25">
      <c r="N455" s="136"/>
      <c r="Y455" s="218" t="str">
        <f>IF(O455&lt;&gt;"","A"&amp;MATCH(R455,CoinCollection!E:E,),"")</f>
        <v/>
      </c>
    </row>
    <row r="456" spans="14:25">
      <c r="N456" s="136"/>
      <c r="Y456" s="218" t="str">
        <f>IF(O456&lt;&gt;"","A"&amp;MATCH(R456,CoinCollection!E:E,),"")</f>
        <v/>
      </c>
    </row>
    <row r="457" spans="14:25">
      <c r="N457" s="136"/>
      <c r="Y457" s="218" t="str">
        <f>IF(O457&lt;&gt;"","A"&amp;MATCH(R457,CoinCollection!E:E,),"")</f>
        <v/>
      </c>
    </row>
    <row r="458" spans="14:25">
      <c r="N458" s="136"/>
      <c r="Y458" s="218" t="str">
        <f>IF(O458&lt;&gt;"","A"&amp;MATCH(R458,CoinCollection!E:E,),"")</f>
        <v/>
      </c>
    </row>
    <row r="459" spans="14:25">
      <c r="N459" s="136"/>
      <c r="Y459" s="218" t="str">
        <f>IF(O459&lt;&gt;"","A"&amp;MATCH(R459,CoinCollection!E:E,),"")</f>
        <v/>
      </c>
    </row>
    <row r="460" spans="14:25">
      <c r="N460" s="136"/>
      <c r="Y460" s="218" t="str">
        <f>IF(O460&lt;&gt;"","A"&amp;MATCH(R460,CoinCollection!E:E,),"")</f>
        <v/>
      </c>
    </row>
    <row r="461" spans="14:25">
      <c r="N461" s="136"/>
      <c r="Y461" s="218" t="str">
        <f>IF(O461&lt;&gt;"","A"&amp;MATCH(R461,CoinCollection!E:E,),"")</f>
        <v/>
      </c>
    </row>
    <row r="462" spans="14:25">
      <c r="N462" s="136"/>
      <c r="Y462" s="218" t="str">
        <f>IF(O462&lt;&gt;"","A"&amp;MATCH(R462,CoinCollection!E:E,),"")</f>
        <v/>
      </c>
    </row>
    <row r="463" spans="14:25">
      <c r="N463" s="136"/>
      <c r="Y463" s="218" t="str">
        <f>IF(O463&lt;&gt;"","A"&amp;MATCH(R463,CoinCollection!E:E,),"")</f>
        <v/>
      </c>
    </row>
    <row r="464" spans="14:25">
      <c r="N464" s="136"/>
      <c r="Y464" s="218" t="str">
        <f>IF(O464&lt;&gt;"","A"&amp;MATCH(R464,CoinCollection!E:E,),"")</f>
        <v/>
      </c>
    </row>
    <row r="465" spans="14:25">
      <c r="N465" s="136"/>
      <c r="Y465" s="218" t="str">
        <f>IF(O465&lt;&gt;"","A"&amp;MATCH(R465,CoinCollection!E:E,),"")</f>
        <v/>
      </c>
    </row>
    <row r="466" spans="14:25">
      <c r="N466" s="136"/>
      <c r="Y466" s="218" t="str">
        <f>IF(O466&lt;&gt;"","A"&amp;MATCH(R466,CoinCollection!E:E,),"")</f>
        <v/>
      </c>
    </row>
    <row r="467" spans="14:25">
      <c r="N467" s="136"/>
      <c r="Y467" s="218" t="str">
        <f>IF(O467&lt;&gt;"","A"&amp;MATCH(R467,CoinCollection!E:E,),"")</f>
        <v/>
      </c>
    </row>
    <row r="468" spans="14:25">
      <c r="N468" s="136"/>
      <c r="Y468" s="218" t="str">
        <f>IF(O468&lt;&gt;"","A"&amp;MATCH(R468,CoinCollection!E:E,),"")</f>
        <v/>
      </c>
    </row>
    <row r="469" spans="14:25">
      <c r="N469" s="136"/>
      <c r="Y469" s="218" t="str">
        <f>IF(O469&lt;&gt;"","A"&amp;MATCH(R469,CoinCollection!E:E,),"")</f>
        <v/>
      </c>
    </row>
    <row r="470" spans="14:25">
      <c r="N470" s="136"/>
      <c r="Y470" s="218" t="str">
        <f>IF(O470&lt;&gt;"","A"&amp;MATCH(R470,CoinCollection!E:E,),"")</f>
        <v/>
      </c>
    </row>
    <row r="471" spans="14:25">
      <c r="N471" s="136"/>
      <c r="Y471" s="218" t="str">
        <f>IF(O471&lt;&gt;"","A"&amp;MATCH(R471,CoinCollection!E:E,),"")</f>
        <v/>
      </c>
    </row>
    <row r="472" spans="14:25">
      <c r="N472" s="136"/>
      <c r="Y472" s="218" t="str">
        <f>IF(O472&lt;&gt;"","A"&amp;MATCH(R472,CoinCollection!E:E,),"")</f>
        <v/>
      </c>
    </row>
    <row r="473" spans="14:25">
      <c r="N473" s="136"/>
      <c r="Y473" s="218" t="str">
        <f>IF(O473&lt;&gt;"","A"&amp;MATCH(R473,CoinCollection!E:E,),"")</f>
        <v/>
      </c>
    </row>
    <row r="474" spans="14:25">
      <c r="N474" s="136"/>
      <c r="Y474" s="218" t="str">
        <f>IF(O474&lt;&gt;"","A"&amp;MATCH(R474,CoinCollection!E:E,),"")</f>
        <v/>
      </c>
    </row>
    <row r="475" spans="14:25">
      <c r="N475" s="136"/>
      <c r="Y475" s="218" t="str">
        <f>IF(O475&lt;&gt;"","A"&amp;MATCH(R475,CoinCollection!E:E,),"")</f>
        <v/>
      </c>
    </row>
    <row r="476" spans="14:25">
      <c r="N476" s="136"/>
      <c r="Y476" s="218" t="str">
        <f>IF(O476&lt;&gt;"","A"&amp;MATCH(R476,CoinCollection!E:E,),"")</f>
        <v/>
      </c>
    </row>
    <row r="477" spans="14:25">
      <c r="N477" s="136"/>
      <c r="Y477" s="218" t="str">
        <f>IF(O477&lt;&gt;"","A"&amp;MATCH(R477,CoinCollection!E:E,),"")</f>
        <v/>
      </c>
    </row>
    <row r="478" spans="14:25">
      <c r="N478" s="136"/>
      <c r="Y478" s="218" t="str">
        <f>IF(O478&lt;&gt;"","A"&amp;MATCH(R478,CoinCollection!E:E,),"")</f>
        <v/>
      </c>
    </row>
    <row r="479" spans="14:25">
      <c r="N479" s="136"/>
      <c r="Y479" s="218" t="str">
        <f>IF(O479&lt;&gt;"","A"&amp;MATCH(R479,CoinCollection!E:E,),"")</f>
        <v/>
      </c>
    </row>
    <row r="480" spans="14:25">
      <c r="N480" s="136"/>
      <c r="Y480" s="218" t="str">
        <f>IF(O480&lt;&gt;"","A"&amp;MATCH(R480,CoinCollection!E:E,),"")</f>
        <v/>
      </c>
    </row>
    <row r="481" spans="14:25">
      <c r="N481" s="136"/>
      <c r="Y481" s="218" t="str">
        <f>IF(O481&lt;&gt;"","A"&amp;MATCH(R481,CoinCollection!E:E,),"")</f>
        <v/>
      </c>
    </row>
    <row r="482" spans="14:25">
      <c r="N482" s="136"/>
      <c r="Y482" s="218" t="str">
        <f>IF(O482&lt;&gt;"","A"&amp;MATCH(R482,CoinCollection!E:E,),"")</f>
        <v/>
      </c>
    </row>
    <row r="483" spans="14:25">
      <c r="N483" s="136"/>
      <c r="Y483" s="218" t="str">
        <f>IF(O483&lt;&gt;"","A"&amp;MATCH(R483,CoinCollection!E:E,),"")</f>
        <v/>
      </c>
    </row>
    <row r="484" spans="14:25">
      <c r="N484" s="136"/>
      <c r="Y484" s="218" t="str">
        <f>IF(O484&lt;&gt;"","A"&amp;MATCH(R484,CoinCollection!E:E,),"")</f>
        <v/>
      </c>
    </row>
    <row r="485" spans="14:25">
      <c r="N485" s="136"/>
      <c r="Y485" s="218" t="str">
        <f>IF(O485&lt;&gt;"","A"&amp;MATCH(R485,CoinCollection!E:E,),"")</f>
        <v/>
      </c>
    </row>
    <row r="486" spans="14:25">
      <c r="N486" s="136"/>
      <c r="Y486" s="218" t="str">
        <f>IF(O486&lt;&gt;"","A"&amp;MATCH(R486,CoinCollection!E:E,),"")</f>
        <v/>
      </c>
    </row>
    <row r="487" spans="14:25">
      <c r="N487" s="136"/>
      <c r="Y487" s="218" t="str">
        <f>IF(O487&lt;&gt;"","A"&amp;MATCH(R487,CoinCollection!E:E,),"")</f>
        <v/>
      </c>
    </row>
    <row r="488" spans="14:25">
      <c r="N488" s="136"/>
      <c r="Y488" s="218" t="str">
        <f>IF(O488&lt;&gt;"","A"&amp;MATCH(R488,CoinCollection!E:E,),"")</f>
        <v/>
      </c>
    </row>
    <row r="489" spans="14:25">
      <c r="N489" s="136"/>
      <c r="Y489" s="218" t="str">
        <f>IF(O489&lt;&gt;"","A"&amp;MATCH(R489,CoinCollection!E:E,),"")</f>
        <v/>
      </c>
    </row>
    <row r="490" spans="14:25">
      <c r="N490" s="136"/>
      <c r="Y490" s="218" t="str">
        <f>IF(O490&lt;&gt;"","A"&amp;MATCH(R490,CoinCollection!E:E,),"")</f>
        <v/>
      </c>
    </row>
    <row r="491" spans="14:25">
      <c r="N491" s="136"/>
      <c r="Y491" s="218" t="str">
        <f>IF(O491&lt;&gt;"","A"&amp;MATCH(R491,CoinCollection!E:E,),"")</f>
        <v/>
      </c>
    </row>
    <row r="492" spans="14:25">
      <c r="N492" s="136"/>
      <c r="Y492" s="218" t="str">
        <f>IF(O492&lt;&gt;"","A"&amp;MATCH(R492,CoinCollection!E:E,),"")</f>
        <v/>
      </c>
    </row>
    <row r="493" spans="14:25">
      <c r="N493" s="136"/>
      <c r="Y493" s="218" t="str">
        <f>IF(O493&lt;&gt;"","A"&amp;MATCH(R493,CoinCollection!E:E,),"")</f>
        <v/>
      </c>
    </row>
    <row r="494" spans="14:25">
      <c r="N494" s="136"/>
      <c r="Y494" s="218" t="str">
        <f>IF(O494&lt;&gt;"","A"&amp;MATCH(R494,CoinCollection!E:E,),"")</f>
        <v/>
      </c>
    </row>
    <row r="495" spans="14:25">
      <c r="N495" s="136"/>
      <c r="Y495" s="218" t="str">
        <f>IF(O495&lt;&gt;"","A"&amp;MATCH(R495,CoinCollection!E:E,),"")</f>
        <v/>
      </c>
    </row>
    <row r="496" spans="14:25">
      <c r="N496" s="136"/>
      <c r="Y496" s="218" t="str">
        <f>IF(O496&lt;&gt;"","A"&amp;MATCH(R496,CoinCollection!E:E,),"")</f>
        <v/>
      </c>
    </row>
    <row r="497" spans="14:25">
      <c r="N497" s="136"/>
      <c r="Y497" s="218" t="str">
        <f>IF(O497&lt;&gt;"","A"&amp;MATCH(R497,CoinCollection!E:E,),"")</f>
        <v/>
      </c>
    </row>
    <row r="498" spans="14:25">
      <c r="N498" s="136"/>
      <c r="Y498" s="218" t="str">
        <f>IF(O498&lt;&gt;"","A"&amp;MATCH(R498,CoinCollection!E:E,),"")</f>
        <v/>
      </c>
    </row>
    <row r="499" spans="14:25">
      <c r="N499" s="136"/>
      <c r="Y499" s="218" t="str">
        <f>IF(O499&lt;&gt;"","A"&amp;MATCH(R499,CoinCollection!E:E,),"")</f>
        <v/>
      </c>
    </row>
    <row r="500" spans="14:25">
      <c r="N500" s="136"/>
      <c r="Y500" s="218" t="str">
        <f>IF(O500&lt;&gt;"","A"&amp;MATCH(R500,CoinCollection!E:E,),"")</f>
        <v/>
      </c>
    </row>
    <row r="501" spans="14:25">
      <c r="N501" s="136"/>
      <c r="Y501" s="218" t="str">
        <f>IF(O501&lt;&gt;"","A"&amp;MATCH(R501,CoinCollection!E:E,),"")</f>
        <v/>
      </c>
    </row>
    <row r="502" spans="14:25">
      <c r="N502" s="136"/>
      <c r="Y502" s="218" t="str">
        <f>IF(O502&lt;&gt;"","A"&amp;MATCH(R502,CoinCollection!E:E,),"")</f>
        <v/>
      </c>
    </row>
    <row r="503" spans="14:25">
      <c r="N503" s="136"/>
      <c r="Y503" s="218" t="str">
        <f>IF(O503&lt;&gt;"","A"&amp;MATCH(R503,CoinCollection!E:E,),"")</f>
        <v/>
      </c>
    </row>
    <row r="504" spans="14:25">
      <c r="N504" s="136"/>
      <c r="Y504" s="218" t="str">
        <f>IF(O504&lt;&gt;"","A"&amp;MATCH(R504,CoinCollection!E:E,),"")</f>
        <v/>
      </c>
    </row>
    <row r="505" spans="14:25">
      <c r="N505" s="136"/>
      <c r="Y505" s="218" t="str">
        <f>IF(O505&lt;&gt;"","A"&amp;MATCH(R505,CoinCollection!E:E,),"")</f>
        <v/>
      </c>
    </row>
    <row r="506" spans="14:25">
      <c r="N506" s="136"/>
      <c r="Y506" s="218" t="str">
        <f>IF(O506&lt;&gt;"","A"&amp;MATCH(R506,CoinCollection!E:E,),"")</f>
        <v/>
      </c>
    </row>
    <row r="507" spans="14:25">
      <c r="N507" s="136"/>
      <c r="Y507" s="218" t="str">
        <f>IF(O507&lt;&gt;"","A"&amp;MATCH(R507,CoinCollection!E:E,),"")</f>
        <v/>
      </c>
    </row>
    <row r="508" spans="14:25">
      <c r="N508" s="136"/>
      <c r="Y508" s="218" t="str">
        <f>IF(O508&lt;&gt;"","A"&amp;MATCH(R508,CoinCollection!E:E,),"")</f>
        <v/>
      </c>
    </row>
    <row r="509" spans="14:25">
      <c r="N509" s="136"/>
      <c r="Y509" s="218" t="str">
        <f>IF(O509&lt;&gt;"","A"&amp;MATCH(R509,CoinCollection!E:E,),"")</f>
        <v/>
      </c>
    </row>
    <row r="510" spans="14:25">
      <c r="N510" s="136"/>
      <c r="Y510" s="218" t="str">
        <f>IF(O510&lt;&gt;"","A"&amp;MATCH(R510,CoinCollection!E:E,),"")</f>
        <v/>
      </c>
    </row>
    <row r="511" spans="14:25">
      <c r="N511" s="136"/>
      <c r="Y511" s="218" t="str">
        <f>IF(O511&lt;&gt;"","A"&amp;MATCH(R511,CoinCollection!E:E,),"")</f>
        <v/>
      </c>
    </row>
    <row r="512" spans="14:25">
      <c r="N512" s="136"/>
      <c r="Y512" s="218" t="str">
        <f>IF(O512&lt;&gt;"","A"&amp;MATCH(R512,CoinCollection!E:E,),"")</f>
        <v/>
      </c>
    </row>
    <row r="513" spans="14:25">
      <c r="N513" s="136"/>
      <c r="Y513" s="218" t="str">
        <f>IF(O513&lt;&gt;"","A"&amp;MATCH(R513,CoinCollection!E:E,),"")</f>
        <v/>
      </c>
    </row>
    <row r="514" spans="14:25">
      <c r="N514" s="136"/>
      <c r="Y514" s="218" t="str">
        <f>IF(O514&lt;&gt;"","A"&amp;MATCH(R514,CoinCollection!E:E,),"")</f>
        <v/>
      </c>
    </row>
    <row r="515" spans="14:25">
      <c r="N515" s="136"/>
      <c r="Y515" s="218" t="str">
        <f>IF(O515&lt;&gt;"","A"&amp;MATCH(R515,CoinCollection!E:E,),"")</f>
        <v/>
      </c>
    </row>
    <row r="516" spans="14:25">
      <c r="N516" s="136"/>
      <c r="Y516" s="218" t="str">
        <f>IF(O516&lt;&gt;"","A"&amp;MATCH(R516,CoinCollection!E:E,),"")</f>
        <v/>
      </c>
    </row>
    <row r="517" spans="14:25">
      <c r="N517" s="136"/>
      <c r="Y517" s="218" t="str">
        <f>IF(O517&lt;&gt;"","A"&amp;MATCH(R517,CoinCollection!E:E,),"")</f>
        <v/>
      </c>
    </row>
    <row r="518" spans="14:25">
      <c r="N518" s="136"/>
      <c r="Y518" s="218" t="str">
        <f>IF(O518&lt;&gt;"","A"&amp;MATCH(R518,CoinCollection!E:E,),"")</f>
        <v/>
      </c>
    </row>
    <row r="519" spans="14:25">
      <c r="N519" s="136"/>
      <c r="Y519" s="218" t="str">
        <f>IF(O519&lt;&gt;"","A"&amp;MATCH(R519,CoinCollection!E:E,),"")</f>
        <v/>
      </c>
    </row>
    <row r="520" spans="14:25">
      <c r="N520" s="136"/>
      <c r="Y520" s="218" t="str">
        <f>IF(O520&lt;&gt;"","A"&amp;MATCH(R520,CoinCollection!E:E,),"")</f>
        <v/>
      </c>
    </row>
    <row r="521" spans="14:25">
      <c r="N521" s="136"/>
      <c r="Y521" s="218" t="str">
        <f>IF(O521&lt;&gt;"","A"&amp;MATCH(R521,CoinCollection!E:E,),"")</f>
        <v/>
      </c>
    </row>
    <row r="522" spans="14:25">
      <c r="N522" s="136"/>
      <c r="Y522" s="218" t="str">
        <f>IF(O522&lt;&gt;"","A"&amp;MATCH(R522,CoinCollection!E:E,),"")</f>
        <v/>
      </c>
    </row>
    <row r="523" spans="14:25">
      <c r="N523" s="136"/>
      <c r="Y523" s="218" t="str">
        <f>IF(O523&lt;&gt;"","A"&amp;MATCH(R523,CoinCollection!E:E,),"")</f>
        <v/>
      </c>
    </row>
    <row r="524" spans="14:25">
      <c r="N524" s="136"/>
      <c r="Y524" s="218" t="str">
        <f>IF(O524&lt;&gt;"","A"&amp;MATCH(R524,CoinCollection!E:E,),"")</f>
        <v/>
      </c>
    </row>
    <row r="525" spans="14:25">
      <c r="N525" s="136"/>
      <c r="Y525" s="218" t="str">
        <f>IF(O525&lt;&gt;"","A"&amp;MATCH(R525,CoinCollection!E:E,),"")</f>
        <v/>
      </c>
    </row>
    <row r="526" spans="14:25">
      <c r="N526" s="136"/>
      <c r="Y526" s="218" t="str">
        <f>IF(O526&lt;&gt;"","A"&amp;MATCH(R526,CoinCollection!E:E,),"")</f>
        <v/>
      </c>
    </row>
    <row r="527" spans="14:25">
      <c r="N527" s="136"/>
      <c r="Y527" s="218" t="str">
        <f>IF(O527&lt;&gt;"","A"&amp;MATCH(R527,CoinCollection!E:E,),"")</f>
        <v/>
      </c>
    </row>
    <row r="528" spans="14:25">
      <c r="N528" s="136"/>
      <c r="Y528" s="218" t="str">
        <f>IF(O528&lt;&gt;"","A"&amp;MATCH(R528,CoinCollection!E:E,),"")</f>
        <v/>
      </c>
    </row>
    <row r="529" spans="14:63">
      <c r="N529" s="136"/>
      <c r="Y529" s="218" t="str">
        <f>IF(O529&lt;&gt;"","A"&amp;MATCH(R529,CoinCollection!E:E,),"")</f>
        <v/>
      </c>
    </row>
    <row r="530" spans="14:63">
      <c r="N530" s="136"/>
      <c r="Y530" s="218" t="str">
        <f>IF(O530&lt;&gt;"","A"&amp;MATCH(R530,CoinCollection!E:E,),"")</f>
        <v/>
      </c>
    </row>
    <row r="531" spans="14:63">
      <c r="N531" s="136"/>
      <c r="Y531" s="218" t="str">
        <f>IF(O531&lt;&gt;"","A"&amp;MATCH(R531,CoinCollection!E:E,),"")</f>
        <v/>
      </c>
    </row>
    <row r="532" spans="14:63">
      <c r="N532" s="136"/>
      <c r="Y532" s="218" t="str">
        <f>IF(O532&lt;&gt;"","A"&amp;MATCH(R532,CoinCollection!E:E,),"")</f>
        <v/>
      </c>
    </row>
    <row r="533" spans="14:63">
      <c r="N533" s="136"/>
      <c r="Y533" s="218" t="str">
        <f>IF(O533&lt;&gt;"","A"&amp;MATCH(R533,CoinCollection!E:E,),"")</f>
        <v/>
      </c>
    </row>
    <row r="534" spans="14:63">
      <c r="N534" s="136"/>
      <c r="Y534" s="218" t="str">
        <f>IF(O534&lt;&gt;"","A"&amp;MATCH(R534,CoinCollection!E:E,),"")</f>
        <v/>
      </c>
    </row>
    <row r="535" spans="14:63">
      <c r="N535" s="136"/>
      <c r="Y535" s="218" t="str">
        <f>IF(O535&lt;&gt;"","A"&amp;MATCH(R535,CoinCollection!E:E,),"")</f>
        <v/>
      </c>
      <c r="BK535" s="219"/>
    </row>
    <row r="536" spans="14:63">
      <c r="N536" s="136"/>
      <c r="Y536" s="218" t="str">
        <f>IF(O536&lt;&gt;"","A"&amp;MATCH(R536,CoinCollection!E:E,),"")</f>
        <v/>
      </c>
      <c r="BK536" s="219"/>
    </row>
    <row r="537" spans="14:63">
      <c r="N537" s="136"/>
      <c r="Y537" s="218" t="str">
        <f>IF(O537&lt;&gt;"","A"&amp;MATCH(R537,CoinCollection!E:E,),"")</f>
        <v/>
      </c>
      <c r="BK537" s="219"/>
    </row>
    <row r="538" spans="14:63">
      <c r="N538" s="136"/>
      <c r="Y538" s="218" t="str">
        <f>IF(O538&lt;&gt;"","A"&amp;MATCH(R538,CoinCollection!E:E,),"")</f>
        <v/>
      </c>
      <c r="BK538" s="219"/>
    </row>
    <row r="539" spans="14:63">
      <c r="N539" s="136"/>
      <c r="Y539" s="218" t="str">
        <f>IF(O539&lt;&gt;"","A"&amp;MATCH(R539,CoinCollection!E:E,),"")</f>
        <v/>
      </c>
      <c r="BK539" s="219"/>
    </row>
    <row r="540" spans="14:63">
      <c r="N540" s="136"/>
      <c r="Y540" s="218" t="str">
        <f>IF(O540&lt;&gt;"","A"&amp;MATCH(R540,CoinCollection!E:E,),"")</f>
        <v/>
      </c>
      <c r="BK540" s="219"/>
    </row>
    <row r="541" spans="14:63">
      <c r="N541" s="136"/>
      <c r="Y541" s="218" t="str">
        <f>IF(O541&lt;&gt;"","A"&amp;MATCH(R541,CoinCollection!E:E,),"")</f>
        <v/>
      </c>
      <c r="BK541" s="219"/>
    </row>
    <row r="542" spans="14:63">
      <c r="N542" s="136"/>
      <c r="Y542" s="218" t="str">
        <f>IF(O542&lt;&gt;"","A"&amp;MATCH(R542,CoinCollection!E:E,),"")</f>
        <v/>
      </c>
      <c r="BK542" s="219"/>
    </row>
    <row r="543" spans="14:63">
      <c r="N543" s="136"/>
      <c r="Y543" s="218" t="str">
        <f>IF(O543&lt;&gt;"","A"&amp;MATCH(R543,CoinCollection!E:E,),"")</f>
        <v/>
      </c>
      <c r="BK543" s="219"/>
    </row>
    <row r="544" spans="14:63">
      <c r="N544" s="136"/>
      <c r="Y544" s="218" t="str">
        <f>IF(O544&lt;&gt;"","A"&amp;MATCH(R544,CoinCollection!E:E,),"")</f>
        <v/>
      </c>
      <c r="BK544" s="219"/>
    </row>
    <row r="545" spans="14:63">
      <c r="N545" s="136"/>
      <c r="Y545" s="218" t="str">
        <f>IF(O545&lt;&gt;"","A"&amp;MATCH(R545,CoinCollection!E:E,),"")</f>
        <v/>
      </c>
      <c r="BK545" s="219"/>
    </row>
    <row r="546" spans="14:63">
      <c r="N546" s="136"/>
      <c r="Y546" s="218" t="str">
        <f>IF(O546&lt;&gt;"","A"&amp;MATCH(R546,CoinCollection!E:E,),"")</f>
        <v/>
      </c>
      <c r="BK546" s="219"/>
    </row>
    <row r="547" spans="14:63">
      <c r="N547" s="136"/>
      <c r="Y547" s="218" t="str">
        <f>IF(O547&lt;&gt;"","A"&amp;MATCH(R547,CoinCollection!E:E,),"")</f>
        <v/>
      </c>
      <c r="BK547" s="219"/>
    </row>
    <row r="548" spans="14:63">
      <c r="N548" s="136"/>
      <c r="Y548" s="218" t="str">
        <f>IF(O548&lt;&gt;"","A"&amp;MATCH(R548,CoinCollection!E:E,),"")</f>
        <v/>
      </c>
      <c r="BK548" s="219"/>
    </row>
    <row r="549" spans="14:63">
      <c r="N549" s="136"/>
      <c r="Y549" s="218" t="str">
        <f>IF(O549&lt;&gt;"","A"&amp;MATCH(R549,CoinCollection!E:E,),"")</f>
        <v/>
      </c>
      <c r="BK549" s="219"/>
    </row>
    <row r="550" spans="14:63">
      <c r="N550" s="136"/>
      <c r="Y550" s="218" t="str">
        <f>IF(O550&lt;&gt;"","A"&amp;MATCH(R550,CoinCollection!E:E,),"")</f>
        <v/>
      </c>
      <c r="BK550" s="219"/>
    </row>
    <row r="551" spans="14:63">
      <c r="N551" s="136"/>
      <c r="Y551" s="218" t="str">
        <f>IF(O551&lt;&gt;"","A"&amp;MATCH(R551,CoinCollection!E:E,),"")</f>
        <v/>
      </c>
      <c r="BK551" s="219"/>
    </row>
    <row r="552" spans="14:63">
      <c r="N552" s="136"/>
      <c r="Y552" s="218" t="str">
        <f>IF(O552&lt;&gt;"","A"&amp;MATCH(R552,CoinCollection!E:E,),"")</f>
        <v/>
      </c>
      <c r="BK552" s="219"/>
    </row>
    <row r="553" spans="14:63">
      <c r="N553" s="136"/>
      <c r="Y553" s="218" t="str">
        <f>IF(O553&lt;&gt;"","A"&amp;MATCH(R553,CoinCollection!E:E,),"")</f>
        <v/>
      </c>
    </row>
    <row r="554" spans="14:63">
      <c r="N554" s="136"/>
      <c r="Y554" s="218" t="str">
        <f>IF(O554&lt;&gt;"","A"&amp;MATCH(R554,CoinCollection!E:E,),"")</f>
        <v/>
      </c>
    </row>
    <row r="555" spans="14:63">
      <c r="N555" s="136"/>
      <c r="Y555" s="218" t="str">
        <f>IF(O555&lt;&gt;"","A"&amp;MATCH(R555,CoinCollection!E:E,),"")</f>
        <v/>
      </c>
    </row>
    <row r="556" spans="14:63">
      <c r="N556" s="136"/>
      <c r="Y556" s="218" t="str">
        <f>IF(O556&lt;&gt;"","A"&amp;MATCH(R556,CoinCollection!E:E,),"")</f>
        <v/>
      </c>
    </row>
    <row r="557" spans="14:63">
      <c r="N557" s="136"/>
      <c r="Y557" s="218" t="str">
        <f>IF(O557&lt;&gt;"","A"&amp;MATCH(R557,CoinCollection!E:E,),"")</f>
        <v/>
      </c>
    </row>
    <row r="558" spans="14:63">
      <c r="N558" s="136"/>
      <c r="Y558" s="218" t="str">
        <f>IF(O558&lt;&gt;"","A"&amp;MATCH(R558,CoinCollection!E:E,),"")</f>
        <v/>
      </c>
    </row>
    <row r="559" spans="14:63">
      <c r="N559" s="136"/>
      <c r="Y559" s="218" t="str">
        <f>IF(O559&lt;&gt;"","A"&amp;MATCH(R559,CoinCollection!E:E,),"")</f>
        <v/>
      </c>
    </row>
    <row r="560" spans="14:63">
      <c r="N560" s="136"/>
      <c r="Y560" s="218" t="str">
        <f>IF(O560&lt;&gt;"","A"&amp;MATCH(R560,CoinCollection!E:E,),"")</f>
        <v/>
      </c>
    </row>
    <row r="561" spans="14:25">
      <c r="N561" s="136"/>
      <c r="Y561" s="218" t="str">
        <f>IF(O561&lt;&gt;"","A"&amp;MATCH(R561,CoinCollection!E:E,),"")</f>
        <v/>
      </c>
    </row>
    <row r="562" spans="14:25">
      <c r="N562" s="136"/>
      <c r="Y562" s="218" t="str">
        <f>IF(O562&lt;&gt;"","A"&amp;MATCH(R562,CoinCollection!E:E,),"")</f>
        <v/>
      </c>
    </row>
    <row r="563" spans="14:25">
      <c r="N563" s="136"/>
      <c r="Y563" s="218" t="str">
        <f>IF(O563&lt;&gt;"","A"&amp;MATCH(R563,CoinCollection!E:E,),"")</f>
        <v/>
      </c>
    </row>
    <row r="564" spans="14:25">
      <c r="N564" s="136"/>
      <c r="Y564" s="218" t="str">
        <f>IF(O564&lt;&gt;"","A"&amp;MATCH(R564,CoinCollection!E:E,),"")</f>
        <v/>
      </c>
    </row>
    <row r="565" spans="14:25">
      <c r="N565" s="136"/>
      <c r="Y565" s="218" t="str">
        <f>IF(O565&lt;&gt;"","A"&amp;MATCH(R565,CoinCollection!E:E,),"")</f>
        <v/>
      </c>
    </row>
    <row r="566" spans="14:25">
      <c r="N566" s="136"/>
      <c r="Y566" s="218" t="str">
        <f>IF(O566&lt;&gt;"","A"&amp;MATCH(R566,CoinCollection!E:E,),"")</f>
        <v/>
      </c>
    </row>
    <row r="567" spans="14:25">
      <c r="N567" s="136"/>
      <c r="Y567" s="218" t="str">
        <f>IF(O567&lt;&gt;"","A"&amp;MATCH(R567,CoinCollection!E:E,),"")</f>
        <v/>
      </c>
    </row>
    <row r="568" spans="14:25">
      <c r="N568" s="136"/>
      <c r="Y568" s="218" t="str">
        <f>IF(O568&lt;&gt;"","A"&amp;MATCH(R568,CoinCollection!E:E,),"")</f>
        <v/>
      </c>
    </row>
    <row r="569" spans="14:25">
      <c r="N569" s="136"/>
      <c r="Y569" s="218" t="str">
        <f>IF(O569&lt;&gt;"","A"&amp;MATCH(R569,CoinCollection!E:E,),"")</f>
        <v/>
      </c>
    </row>
    <row r="570" spans="14:25">
      <c r="N570" s="136"/>
      <c r="Y570" s="218" t="str">
        <f>IF(O570&lt;&gt;"","A"&amp;MATCH(R570,CoinCollection!E:E,),"")</f>
        <v/>
      </c>
    </row>
    <row r="571" spans="14:25">
      <c r="N571" s="136"/>
      <c r="Y571" s="218" t="str">
        <f>IF(O571&lt;&gt;"","A"&amp;MATCH(R571,CoinCollection!E:E,),"")</f>
        <v/>
      </c>
    </row>
    <row r="572" spans="14:25">
      <c r="N572" s="136"/>
      <c r="Y572" s="218" t="str">
        <f>IF(O572&lt;&gt;"","A"&amp;MATCH(R572,CoinCollection!E:E,),"")</f>
        <v/>
      </c>
    </row>
    <row r="573" spans="14:25">
      <c r="N573" s="136"/>
      <c r="Y573" s="218" t="str">
        <f>IF(O573&lt;&gt;"","A"&amp;MATCH(R573,CoinCollection!E:E,),"")</f>
        <v/>
      </c>
    </row>
    <row r="574" spans="14:25">
      <c r="N574" s="136"/>
      <c r="Y574" s="218" t="str">
        <f>IF(O574&lt;&gt;"","A"&amp;MATCH(R574,CoinCollection!E:E,),"")</f>
        <v/>
      </c>
    </row>
    <row r="575" spans="14:25">
      <c r="N575" s="136"/>
      <c r="Y575" s="218" t="str">
        <f>IF(O575&lt;&gt;"","A"&amp;MATCH(R575,CoinCollection!E:E,),"")</f>
        <v/>
      </c>
    </row>
    <row r="576" spans="14:25">
      <c r="N576" s="136"/>
      <c r="Y576" s="218" t="str">
        <f>IF(O576&lt;&gt;"","A"&amp;MATCH(R576,CoinCollection!E:E,),"")</f>
        <v/>
      </c>
    </row>
    <row r="577" spans="14:25">
      <c r="N577" s="136"/>
      <c r="Y577" s="218" t="str">
        <f>IF(O577&lt;&gt;"","A"&amp;MATCH(R577,CoinCollection!E:E,),"")</f>
        <v/>
      </c>
    </row>
    <row r="578" spans="14:25">
      <c r="N578" s="136"/>
      <c r="Y578" s="218" t="str">
        <f>IF(O578&lt;&gt;"","A"&amp;MATCH(R578,CoinCollection!E:E,),"")</f>
        <v/>
      </c>
    </row>
    <row r="579" spans="14:25">
      <c r="N579" s="136"/>
      <c r="Y579" s="218" t="str">
        <f>IF(O579&lt;&gt;"","A"&amp;MATCH(R579,CoinCollection!E:E,),"")</f>
        <v/>
      </c>
    </row>
    <row r="580" spans="14:25">
      <c r="N580" s="136"/>
      <c r="Y580" s="218" t="str">
        <f>IF(O580&lt;&gt;"","A"&amp;MATCH(R580,CoinCollection!E:E,),"")</f>
        <v/>
      </c>
    </row>
    <row r="581" spans="14:25">
      <c r="N581" s="136"/>
      <c r="Y581" s="218" t="str">
        <f>IF(O581&lt;&gt;"","A"&amp;MATCH(R581,CoinCollection!E:E,),"")</f>
        <v/>
      </c>
    </row>
    <row r="582" spans="14:25">
      <c r="N582" s="136"/>
      <c r="Y582" s="218" t="str">
        <f>IF(O582&lt;&gt;"","A"&amp;MATCH(R582,CoinCollection!E:E,),"")</f>
        <v/>
      </c>
    </row>
    <row r="583" spans="14:25">
      <c r="N583" s="136"/>
      <c r="Y583" s="218" t="str">
        <f>IF(O583&lt;&gt;"","A"&amp;MATCH(R583,CoinCollection!E:E,),"")</f>
        <v/>
      </c>
    </row>
    <row r="584" spans="14:25">
      <c r="N584" s="136"/>
      <c r="Y584" s="218" t="str">
        <f>IF(O584&lt;&gt;"","A"&amp;MATCH(R584,CoinCollection!E:E,),"")</f>
        <v/>
      </c>
    </row>
    <row r="585" spans="14:25">
      <c r="N585" s="136"/>
      <c r="Y585" s="218" t="str">
        <f>IF(O585&lt;&gt;"","A"&amp;MATCH(R585,CoinCollection!E:E,),"")</f>
        <v/>
      </c>
    </row>
    <row r="586" spans="14:25">
      <c r="N586" s="136"/>
      <c r="Y586" s="218" t="str">
        <f>IF(O586&lt;&gt;"","A"&amp;MATCH(R586,CoinCollection!E:E,),"")</f>
        <v/>
      </c>
    </row>
    <row r="587" spans="14:25">
      <c r="N587" s="136"/>
      <c r="Y587" s="218" t="str">
        <f>IF(O587&lt;&gt;"","A"&amp;MATCH(R587,CoinCollection!E:E,),"")</f>
        <v/>
      </c>
    </row>
    <row r="588" spans="14:25">
      <c r="N588" s="136"/>
      <c r="Y588" s="218" t="str">
        <f>IF(O588&lt;&gt;"","A"&amp;MATCH(R588,CoinCollection!E:E,),"")</f>
        <v/>
      </c>
    </row>
    <row r="589" spans="14:25">
      <c r="N589" s="136"/>
      <c r="Y589" s="218" t="str">
        <f>IF(O589&lt;&gt;"","A"&amp;MATCH(R589,CoinCollection!E:E,),"")</f>
        <v/>
      </c>
    </row>
    <row r="590" spans="14:25">
      <c r="N590" s="136"/>
      <c r="Y590" s="218" t="str">
        <f>IF(O590&lt;&gt;"","A"&amp;MATCH(R590,CoinCollection!E:E,),"")</f>
        <v/>
      </c>
    </row>
    <row r="591" spans="14:25">
      <c r="N591" s="136"/>
      <c r="Y591" s="218" t="str">
        <f>IF(O591&lt;&gt;"","A"&amp;MATCH(R591,CoinCollection!E:E,),"")</f>
        <v/>
      </c>
    </row>
    <row r="592" spans="14:25">
      <c r="N592" s="136"/>
      <c r="Y592" s="218" t="str">
        <f>IF(O592&lt;&gt;"","A"&amp;MATCH(R592,CoinCollection!E:E,),"")</f>
        <v/>
      </c>
    </row>
    <row r="593" spans="14:25">
      <c r="N593" s="136"/>
      <c r="Y593" s="218" t="str">
        <f>IF(O593&lt;&gt;"","A"&amp;MATCH(R593,CoinCollection!E:E,),"")</f>
        <v/>
      </c>
    </row>
    <row r="594" spans="14:25">
      <c r="N594" s="136"/>
      <c r="Y594" s="218" t="str">
        <f>IF(O594&lt;&gt;"","A"&amp;MATCH(R594,CoinCollection!E:E,),"")</f>
        <v/>
      </c>
    </row>
    <row r="595" spans="14:25">
      <c r="N595" s="136"/>
      <c r="Y595" s="218" t="str">
        <f>IF(O595&lt;&gt;"","A"&amp;MATCH(R595,CoinCollection!E:E,),"")</f>
        <v/>
      </c>
    </row>
    <row r="596" spans="14:25">
      <c r="N596" s="136"/>
      <c r="Y596" s="218" t="str">
        <f>IF(O596&lt;&gt;"","A"&amp;MATCH(R596,CoinCollection!E:E,),"")</f>
        <v/>
      </c>
    </row>
    <row r="597" spans="14:25">
      <c r="N597" s="136"/>
      <c r="Y597" s="218" t="str">
        <f>IF(O597&lt;&gt;"","A"&amp;MATCH(R597,CoinCollection!E:E,),"")</f>
        <v/>
      </c>
    </row>
    <row r="598" spans="14:25">
      <c r="N598" s="136"/>
      <c r="Y598" s="218" t="str">
        <f>IF(O598&lt;&gt;"","A"&amp;MATCH(R598,CoinCollection!E:E,),"")</f>
        <v/>
      </c>
    </row>
    <row r="599" spans="14:25">
      <c r="N599" s="136"/>
      <c r="Y599" s="218" t="str">
        <f>IF(O599&lt;&gt;"","A"&amp;MATCH(R599,CoinCollection!E:E,),"")</f>
        <v/>
      </c>
    </row>
    <row r="600" spans="14:25">
      <c r="N600" s="136"/>
      <c r="Y600" s="218" t="str">
        <f>IF(O600&lt;&gt;"","A"&amp;MATCH(R600,CoinCollection!E:E,),"")</f>
        <v/>
      </c>
    </row>
    <row r="601" spans="14:25">
      <c r="N601" s="136"/>
      <c r="Y601" s="218" t="str">
        <f>IF(O601&lt;&gt;"","A"&amp;MATCH(R601,CoinCollection!E:E,),"")</f>
        <v/>
      </c>
    </row>
    <row r="602" spans="14:25">
      <c r="N602" s="136"/>
      <c r="Y602" s="218" t="str">
        <f>IF(O602&lt;&gt;"","A"&amp;MATCH(R602,CoinCollection!E:E,),"")</f>
        <v/>
      </c>
    </row>
    <row r="603" spans="14:25">
      <c r="N603" s="136"/>
      <c r="Y603" s="218" t="str">
        <f>IF(O603&lt;&gt;"","A"&amp;MATCH(R603,CoinCollection!E:E,),"")</f>
        <v/>
      </c>
    </row>
    <row r="604" spans="14:25">
      <c r="N604" s="136"/>
      <c r="Y604" s="218" t="str">
        <f>IF(O604&lt;&gt;"","A"&amp;MATCH(R604,CoinCollection!E:E,),"")</f>
        <v/>
      </c>
    </row>
    <row r="605" spans="14:25">
      <c r="N605" s="136"/>
      <c r="Y605" s="218" t="str">
        <f>IF(O605&lt;&gt;"","A"&amp;MATCH(R605,CoinCollection!E:E,),"")</f>
        <v/>
      </c>
    </row>
    <row r="606" spans="14:25">
      <c r="N606" s="136"/>
      <c r="Y606" s="218" t="str">
        <f>IF(O606&lt;&gt;"","A"&amp;MATCH(R606,CoinCollection!E:E,),"")</f>
        <v/>
      </c>
    </row>
    <row r="607" spans="14:25">
      <c r="N607" s="136"/>
      <c r="Y607" s="218" t="str">
        <f>IF(O607&lt;&gt;"","A"&amp;MATCH(R607,CoinCollection!E:E,),"")</f>
        <v/>
      </c>
    </row>
    <row r="608" spans="14:25">
      <c r="N608" s="136"/>
      <c r="Y608" s="218" t="str">
        <f>IF(O608&lt;&gt;"","A"&amp;MATCH(R608,CoinCollection!E:E,),"")</f>
        <v/>
      </c>
    </row>
    <row r="609" spans="14:25">
      <c r="N609" s="136"/>
      <c r="Y609" s="218" t="str">
        <f>IF(O609&lt;&gt;"","A"&amp;MATCH(R609,CoinCollection!E:E,),"")</f>
        <v/>
      </c>
    </row>
    <row r="610" spans="14:25">
      <c r="N610" s="136"/>
      <c r="Y610" s="218" t="str">
        <f>IF(O610&lt;&gt;"","A"&amp;MATCH(R610,CoinCollection!E:E,),"")</f>
        <v/>
      </c>
    </row>
    <row r="611" spans="14:25">
      <c r="N611" s="136"/>
      <c r="Y611" s="218" t="str">
        <f>IF(O611&lt;&gt;"","A"&amp;MATCH(R611,CoinCollection!E:E,),"")</f>
        <v/>
      </c>
    </row>
    <row r="612" spans="14:25">
      <c r="N612" s="136"/>
      <c r="Y612" s="218" t="str">
        <f>IF(O612&lt;&gt;"","A"&amp;MATCH(R612,CoinCollection!E:E,),"")</f>
        <v/>
      </c>
    </row>
    <row r="613" spans="14:25">
      <c r="N613" s="136"/>
      <c r="Y613" s="218" t="str">
        <f>IF(O613&lt;&gt;"","A"&amp;MATCH(R613,CoinCollection!E:E,),"")</f>
        <v/>
      </c>
    </row>
    <row r="614" spans="14:25">
      <c r="N614" s="136"/>
      <c r="Y614" s="218" t="str">
        <f>IF(O614&lt;&gt;"","A"&amp;MATCH(R614,CoinCollection!E:E,),"")</f>
        <v/>
      </c>
    </row>
    <row r="615" spans="14:25">
      <c r="N615" s="136"/>
      <c r="Y615" s="218" t="str">
        <f>IF(O615&lt;&gt;"","A"&amp;MATCH(R615,CoinCollection!E:E,),"")</f>
        <v/>
      </c>
    </row>
    <row r="616" spans="14:25">
      <c r="N616" s="136"/>
      <c r="Y616" s="218" t="str">
        <f>IF(O616&lt;&gt;"","A"&amp;MATCH(R616,CoinCollection!E:E,),"")</f>
        <v/>
      </c>
    </row>
    <row r="617" spans="14:25">
      <c r="N617" s="136"/>
      <c r="Y617" s="218" t="str">
        <f>IF(O617&lt;&gt;"","A"&amp;MATCH(R617,CoinCollection!E:E,),"")</f>
        <v/>
      </c>
    </row>
    <row r="618" spans="14:25">
      <c r="N618" s="136"/>
      <c r="Y618" s="218" t="str">
        <f>IF(O618&lt;&gt;"","A"&amp;MATCH(R618,CoinCollection!E:E,),"")</f>
        <v/>
      </c>
    </row>
    <row r="619" spans="14:25">
      <c r="N619" s="136"/>
      <c r="Y619" s="218" t="str">
        <f>IF(O619&lt;&gt;"","A"&amp;MATCH(R619,CoinCollection!E:E,),"")</f>
        <v/>
      </c>
    </row>
    <row r="620" spans="14:25">
      <c r="N620" s="136"/>
      <c r="Y620" s="218" t="str">
        <f>IF(O620&lt;&gt;"","A"&amp;MATCH(R620,CoinCollection!E:E,),"")</f>
        <v/>
      </c>
    </row>
    <row r="621" spans="14:25">
      <c r="N621" s="136"/>
      <c r="Y621" s="218" t="str">
        <f>IF(O621&lt;&gt;"","A"&amp;MATCH(R621,CoinCollection!E:E,),"")</f>
        <v/>
      </c>
    </row>
    <row r="622" spans="14:25">
      <c r="N622" s="136"/>
      <c r="Y622" s="218" t="str">
        <f>IF(O622&lt;&gt;"","A"&amp;MATCH(R622,CoinCollection!E:E,),"")</f>
        <v/>
      </c>
    </row>
    <row r="623" spans="14:25">
      <c r="N623" s="136"/>
      <c r="Y623" s="218" t="str">
        <f>IF(O623&lt;&gt;"","A"&amp;MATCH(R623,CoinCollection!E:E,),"")</f>
        <v/>
      </c>
    </row>
    <row r="624" spans="14:25">
      <c r="N624" s="136"/>
      <c r="Y624" s="218" t="str">
        <f>IF(O624&lt;&gt;"","A"&amp;MATCH(R624,CoinCollection!E:E,),"")</f>
        <v/>
      </c>
    </row>
    <row r="625" spans="14:25">
      <c r="N625" s="136"/>
      <c r="Y625" s="218" t="str">
        <f>IF(O625&lt;&gt;"","A"&amp;MATCH(R625,CoinCollection!E:E,),"")</f>
        <v/>
      </c>
    </row>
    <row r="626" spans="14:25">
      <c r="N626" s="136"/>
      <c r="Y626" s="218" t="str">
        <f>IF(O626&lt;&gt;"","A"&amp;MATCH(R626,CoinCollection!E:E,),"")</f>
        <v/>
      </c>
    </row>
    <row r="627" spans="14:25">
      <c r="N627" s="136"/>
      <c r="Y627" s="218" t="str">
        <f>IF(O627&lt;&gt;"","A"&amp;MATCH(R627,CoinCollection!E:E,),"")</f>
        <v/>
      </c>
    </row>
    <row r="628" spans="14:25">
      <c r="N628" s="136"/>
      <c r="Y628" s="218" t="str">
        <f>IF(O628&lt;&gt;"","A"&amp;MATCH(R628,CoinCollection!E:E,),"")</f>
        <v/>
      </c>
    </row>
    <row r="629" spans="14:25">
      <c r="N629" s="136"/>
      <c r="Y629" s="218" t="str">
        <f>IF(O629&lt;&gt;"","A"&amp;MATCH(R629,CoinCollection!E:E,),"")</f>
        <v/>
      </c>
    </row>
    <row r="630" spans="14:25">
      <c r="N630" s="136"/>
      <c r="Y630" s="218" t="str">
        <f>IF(O630&lt;&gt;"","A"&amp;MATCH(R630,CoinCollection!E:E,),"")</f>
        <v/>
      </c>
    </row>
    <row r="631" spans="14:25">
      <c r="N631" s="136"/>
      <c r="Y631" s="218" t="str">
        <f>IF(O631&lt;&gt;"","A"&amp;MATCH(R631,CoinCollection!E:E,),"")</f>
        <v/>
      </c>
    </row>
    <row r="632" spans="14:25">
      <c r="N632" s="136"/>
      <c r="Y632" s="218" t="str">
        <f>IF(O632&lt;&gt;"","A"&amp;MATCH(R632,CoinCollection!E:E,),"")</f>
        <v/>
      </c>
    </row>
    <row r="633" spans="14:25">
      <c r="N633" s="136"/>
      <c r="Y633" s="218" t="str">
        <f>IF(O633&lt;&gt;"","A"&amp;MATCH(R633,CoinCollection!E:E,),"")</f>
        <v/>
      </c>
    </row>
    <row r="634" spans="14:25">
      <c r="N634" s="136"/>
      <c r="Y634" s="218" t="str">
        <f>IF(O634&lt;&gt;"","A"&amp;MATCH(R634,CoinCollection!E:E,),"")</f>
        <v/>
      </c>
    </row>
    <row r="635" spans="14:25">
      <c r="N635" s="136"/>
      <c r="Y635" s="218" t="str">
        <f>IF(O635&lt;&gt;"","A"&amp;MATCH(R635,CoinCollection!E:E,),"")</f>
        <v/>
      </c>
    </row>
    <row r="636" spans="14:25">
      <c r="N636" s="136"/>
      <c r="Y636" s="218" t="str">
        <f>IF(O636&lt;&gt;"","A"&amp;MATCH(R636,CoinCollection!E:E,),"")</f>
        <v/>
      </c>
    </row>
    <row r="637" spans="14:25">
      <c r="N637" s="136"/>
      <c r="Y637" s="218" t="str">
        <f>IF(O637&lt;&gt;"","A"&amp;MATCH(R637,CoinCollection!E:E,),"")</f>
        <v/>
      </c>
    </row>
    <row r="638" spans="14:25">
      <c r="N638" s="136"/>
      <c r="Y638" s="218" t="str">
        <f>IF(O638&lt;&gt;"","A"&amp;MATCH(R638,CoinCollection!E:E,),"")</f>
        <v/>
      </c>
    </row>
    <row r="639" spans="14:25">
      <c r="N639" s="136"/>
      <c r="Y639" s="218" t="str">
        <f>IF(O639&lt;&gt;"","A"&amp;MATCH(R639,CoinCollection!E:E,),"")</f>
        <v/>
      </c>
    </row>
    <row r="640" spans="14:25">
      <c r="N640" s="136"/>
      <c r="Y640" s="218" t="str">
        <f>IF(O640&lt;&gt;"","A"&amp;MATCH(R640,CoinCollection!E:E,),"")</f>
        <v/>
      </c>
    </row>
    <row r="641" spans="14:25">
      <c r="N641" s="136"/>
      <c r="Y641" s="218" t="str">
        <f>IF(O641&lt;&gt;"","A"&amp;MATCH(R641,CoinCollection!E:E,),"")</f>
        <v/>
      </c>
    </row>
    <row r="642" spans="14:25">
      <c r="N642" s="136"/>
      <c r="Y642" s="218" t="str">
        <f>IF(O642&lt;&gt;"","A"&amp;MATCH(R642,CoinCollection!E:E,),"")</f>
        <v/>
      </c>
    </row>
    <row r="643" spans="14:25">
      <c r="N643" s="136"/>
      <c r="Y643" s="218" t="str">
        <f>IF(O643&lt;&gt;"","A"&amp;MATCH(R643,CoinCollection!E:E,),"")</f>
        <v/>
      </c>
    </row>
    <row r="644" spans="14:25">
      <c r="N644" s="136"/>
      <c r="Y644" s="218" t="str">
        <f>IF(O644&lt;&gt;"","A"&amp;MATCH(R644,CoinCollection!E:E,),"")</f>
        <v/>
      </c>
    </row>
    <row r="645" spans="14:25">
      <c r="N645" s="136"/>
      <c r="Y645" s="218" t="str">
        <f>IF(O645&lt;&gt;"","A"&amp;MATCH(R645,CoinCollection!E:E,),"")</f>
        <v/>
      </c>
    </row>
    <row r="646" spans="14:25">
      <c r="N646" s="136"/>
      <c r="Y646" s="218" t="str">
        <f>IF(O646&lt;&gt;"","A"&amp;MATCH(R646,CoinCollection!E:E,),"")</f>
        <v/>
      </c>
    </row>
    <row r="647" spans="14:25">
      <c r="N647" s="136"/>
      <c r="Y647" s="218" t="str">
        <f>IF(O647&lt;&gt;"","A"&amp;MATCH(R647,CoinCollection!E:E,),"")</f>
        <v/>
      </c>
    </row>
    <row r="648" spans="14:25">
      <c r="N648" s="136"/>
      <c r="Y648" s="218" t="str">
        <f>IF(O648&lt;&gt;"","A"&amp;MATCH(R648,CoinCollection!E:E,),"")</f>
        <v/>
      </c>
    </row>
    <row r="649" spans="14:25">
      <c r="N649" s="136"/>
      <c r="Y649" s="218" t="str">
        <f>IF(O649&lt;&gt;"","A"&amp;MATCH(R649,CoinCollection!E:E,),"")</f>
        <v/>
      </c>
    </row>
    <row r="650" spans="14:25">
      <c r="N650" s="136"/>
      <c r="Y650" s="218" t="str">
        <f>IF(O650&lt;&gt;"","A"&amp;MATCH(R650,CoinCollection!E:E,),"")</f>
        <v/>
      </c>
    </row>
    <row r="651" spans="14:25">
      <c r="N651" s="136"/>
      <c r="Y651" s="218" t="str">
        <f>IF(O651&lt;&gt;"","A"&amp;MATCH(R651,CoinCollection!E:E,),"")</f>
        <v/>
      </c>
    </row>
    <row r="652" spans="14:25">
      <c r="N652" s="136"/>
      <c r="Y652" s="218" t="str">
        <f>IF(O652&lt;&gt;"","A"&amp;MATCH(R652,CoinCollection!E:E,),"")</f>
        <v/>
      </c>
    </row>
    <row r="653" spans="14:25">
      <c r="N653" s="136"/>
      <c r="Y653" s="218" t="str">
        <f>IF(O653&lt;&gt;"","A"&amp;MATCH(R653,CoinCollection!E:E,),"")</f>
        <v/>
      </c>
    </row>
    <row r="654" spans="14:25">
      <c r="N654" s="136"/>
      <c r="Y654" s="218" t="str">
        <f>IF(O654&lt;&gt;"","A"&amp;MATCH(R654,CoinCollection!E:E,),"")</f>
        <v/>
      </c>
    </row>
    <row r="655" spans="14:25">
      <c r="N655" s="136"/>
      <c r="Y655" s="218" t="str">
        <f>IF(O655&lt;&gt;"","A"&amp;MATCH(R655,CoinCollection!E:E,),"")</f>
        <v/>
      </c>
    </row>
    <row r="656" spans="14:25">
      <c r="N656" s="136"/>
      <c r="Y656" s="218" t="str">
        <f>IF(O656&lt;&gt;"","A"&amp;MATCH(R656,CoinCollection!E:E,),"")</f>
        <v/>
      </c>
    </row>
    <row r="657" spans="14:25">
      <c r="N657" s="136"/>
      <c r="Y657" s="218" t="str">
        <f>IF(O657&lt;&gt;"","A"&amp;MATCH(R657,CoinCollection!E:E,),"")</f>
        <v/>
      </c>
    </row>
    <row r="658" spans="14:25">
      <c r="N658" s="136"/>
      <c r="Y658" s="218" t="str">
        <f>IF(O658&lt;&gt;"","A"&amp;MATCH(R658,CoinCollection!E:E,),"")</f>
        <v/>
      </c>
    </row>
    <row r="659" spans="14:25">
      <c r="N659" s="136"/>
      <c r="Y659" s="218" t="str">
        <f>IF(O659&lt;&gt;"","A"&amp;MATCH(R659,CoinCollection!E:E,),"")</f>
        <v/>
      </c>
    </row>
    <row r="660" spans="14:25">
      <c r="N660" s="136"/>
      <c r="Y660" s="218" t="str">
        <f>IF(O660&lt;&gt;"","A"&amp;MATCH(R660,CoinCollection!E:E,),"")</f>
        <v/>
      </c>
    </row>
    <row r="661" spans="14:25">
      <c r="N661" s="136"/>
      <c r="Y661" s="218" t="str">
        <f>IF(O661&lt;&gt;"","A"&amp;MATCH(R661,CoinCollection!E:E,),"")</f>
        <v/>
      </c>
    </row>
    <row r="662" spans="14:25">
      <c r="N662" s="136"/>
      <c r="Y662" s="218" t="str">
        <f>IF(O662&lt;&gt;"","A"&amp;MATCH(R662,CoinCollection!E:E,),"")</f>
        <v/>
      </c>
    </row>
    <row r="663" spans="14:25">
      <c r="N663" s="136"/>
      <c r="Y663" s="218" t="str">
        <f>IF(O663&lt;&gt;"","A"&amp;MATCH(R663,CoinCollection!E:E,),"")</f>
        <v/>
      </c>
    </row>
    <row r="664" spans="14:25">
      <c r="N664" s="136"/>
      <c r="Y664" s="218" t="str">
        <f>IF(O664&lt;&gt;"","A"&amp;MATCH(R664,CoinCollection!E:E,),"")</f>
        <v/>
      </c>
    </row>
    <row r="665" spans="14:25">
      <c r="N665" s="136"/>
      <c r="Y665" s="218" t="str">
        <f>IF(O665&lt;&gt;"","A"&amp;MATCH(R665,CoinCollection!E:E,),"")</f>
        <v/>
      </c>
    </row>
    <row r="666" spans="14:25">
      <c r="N666" s="136"/>
      <c r="Y666" s="218" t="str">
        <f>IF(O666&lt;&gt;"","A"&amp;MATCH(R666,CoinCollection!E:E,),"")</f>
        <v/>
      </c>
    </row>
    <row r="667" spans="14:25">
      <c r="N667" s="136"/>
      <c r="Y667" s="218" t="str">
        <f>IF(O667&lt;&gt;"","A"&amp;MATCH(R667,CoinCollection!E:E,),"")</f>
        <v/>
      </c>
    </row>
    <row r="668" spans="14:25">
      <c r="N668" s="136"/>
      <c r="Y668" s="218" t="str">
        <f>IF(O668&lt;&gt;"","A"&amp;MATCH(R668,CoinCollection!E:E,),"")</f>
        <v/>
      </c>
    </row>
    <row r="669" spans="14:25">
      <c r="N669" s="136"/>
      <c r="Y669" s="218" t="str">
        <f>IF(O669&lt;&gt;"","A"&amp;MATCH(R669,CoinCollection!E:E,),"")</f>
        <v/>
      </c>
    </row>
    <row r="670" spans="14:25">
      <c r="N670" s="136"/>
      <c r="Y670" s="218" t="str">
        <f>IF(O670&lt;&gt;"","A"&amp;MATCH(R670,CoinCollection!E:E,),"")</f>
        <v/>
      </c>
    </row>
    <row r="671" spans="14:25">
      <c r="N671" s="136"/>
      <c r="Y671" s="218" t="str">
        <f>IF(O671&lt;&gt;"","A"&amp;MATCH(R671,CoinCollection!E:E,),"")</f>
        <v/>
      </c>
    </row>
    <row r="672" spans="14:25">
      <c r="N672" s="136"/>
      <c r="Y672" s="218" t="str">
        <f>IF(O672&lt;&gt;"","A"&amp;MATCH(R672,CoinCollection!E:E,),"")</f>
        <v/>
      </c>
    </row>
    <row r="673" spans="14:25">
      <c r="N673" s="136"/>
      <c r="Y673" s="218" t="str">
        <f>IF(O673&lt;&gt;"","A"&amp;MATCH(R673,CoinCollection!E:E,),"")</f>
        <v/>
      </c>
    </row>
    <row r="674" spans="14:25">
      <c r="N674" s="136"/>
      <c r="Y674" s="218" t="str">
        <f>IF(O674&lt;&gt;"","A"&amp;MATCH(R674,CoinCollection!E:E,),"")</f>
        <v/>
      </c>
    </row>
    <row r="675" spans="14:25">
      <c r="N675" s="136"/>
      <c r="Y675" s="218" t="str">
        <f>IF(O675&lt;&gt;"","A"&amp;MATCH(R675,CoinCollection!E:E,),"")</f>
        <v/>
      </c>
    </row>
    <row r="676" spans="14:25">
      <c r="N676" s="136"/>
      <c r="Y676" s="218" t="str">
        <f>IF(O676&lt;&gt;"","A"&amp;MATCH(R676,CoinCollection!E:E,),"")</f>
        <v/>
      </c>
    </row>
    <row r="677" spans="14:25">
      <c r="N677" s="136"/>
      <c r="Y677" s="218" t="str">
        <f>IF(O677&lt;&gt;"","A"&amp;MATCH(R677,CoinCollection!E:E,),"")</f>
        <v/>
      </c>
    </row>
    <row r="678" spans="14:25">
      <c r="N678" s="136"/>
      <c r="Y678" s="218" t="str">
        <f>IF(O678&lt;&gt;"","A"&amp;MATCH(R678,CoinCollection!E:E,),"")</f>
        <v/>
      </c>
    </row>
    <row r="679" spans="14:25">
      <c r="N679" s="136"/>
      <c r="Y679" s="218" t="str">
        <f>IF(O679&lt;&gt;"","A"&amp;MATCH(R679,CoinCollection!E:E,),"")</f>
        <v/>
      </c>
    </row>
    <row r="680" spans="14:25">
      <c r="N680" s="136"/>
      <c r="Y680" s="218" t="str">
        <f>IF(O680&lt;&gt;"","A"&amp;MATCH(R680,CoinCollection!E:E,),"")</f>
        <v/>
      </c>
    </row>
    <row r="681" spans="14:25">
      <c r="N681" s="136"/>
      <c r="Y681" s="218" t="str">
        <f>IF(O681&lt;&gt;"","A"&amp;MATCH(R681,CoinCollection!E:E,),"")</f>
        <v/>
      </c>
    </row>
    <row r="682" spans="14:25">
      <c r="N682" s="136"/>
      <c r="Y682" s="218" t="str">
        <f>IF(O682&lt;&gt;"","A"&amp;MATCH(R682,CoinCollection!E:E,),"")</f>
        <v/>
      </c>
    </row>
    <row r="683" spans="14:25">
      <c r="N683" s="136"/>
      <c r="Y683" s="218" t="str">
        <f>IF(O683&lt;&gt;"","A"&amp;MATCH(R683,CoinCollection!E:E,),"")</f>
        <v/>
      </c>
    </row>
    <row r="684" spans="14:25">
      <c r="N684" s="136"/>
      <c r="Y684" s="218" t="str">
        <f>IF(O684&lt;&gt;"","A"&amp;MATCH(R684,CoinCollection!E:E,),"")</f>
        <v/>
      </c>
    </row>
    <row r="685" spans="14:25">
      <c r="N685" s="136"/>
      <c r="Y685" s="218" t="str">
        <f>IF(O685&lt;&gt;"","A"&amp;MATCH(R685,CoinCollection!E:E,),"")</f>
        <v/>
      </c>
    </row>
    <row r="686" spans="14:25">
      <c r="N686" s="136"/>
      <c r="Y686" s="218" t="str">
        <f>IF(O686&lt;&gt;"","A"&amp;MATCH(R686,CoinCollection!E:E,),"")</f>
        <v/>
      </c>
    </row>
    <row r="687" spans="14:25">
      <c r="N687" s="136"/>
      <c r="Y687" s="218" t="str">
        <f>IF(O687&lt;&gt;"","A"&amp;MATCH(R687,CoinCollection!E:E,),"")</f>
        <v/>
      </c>
    </row>
    <row r="688" spans="14:25">
      <c r="N688" s="136"/>
      <c r="Y688" s="218" t="str">
        <f>IF(O688&lt;&gt;"","A"&amp;MATCH(R688,CoinCollection!E:E,),"")</f>
        <v/>
      </c>
    </row>
    <row r="689" spans="14:25">
      <c r="N689" s="136"/>
      <c r="Y689" s="218" t="str">
        <f>IF(O689&lt;&gt;"","A"&amp;MATCH(R689,CoinCollection!E:E,),"")</f>
        <v/>
      </c>
    </row>
    <row r="690" spans="14:25">
      <c r="N690" s="136"/>
      <c r="Y690" s="218" t="str">
        <f>IF(O690&lt;&gt;"","A"&amp;MATCH(R690,CoinCollection!E:E,),"")</f>
        <v/>
      </c>
    </row>
    <row r="691" spans="14:25">
      <c r="N691" s="136"/>
      <c r="Y691" s="218" t="str">
        <f>IF(O691&lt;&gt;"","A"&amp;MATCH(R691,CoinCollection!E:E,),"")</f>
        <v/>
      </c>
    </row>
    <row r="692" spans="14:25">
      <c r="N692" s="136"/>
      <c r="Y692" s="218" t="str">
        <f>IF(O692&lt;&gt;"","A"&amp;MATCH(R692,CoinCollection!E:E,),"")</f>
        <v/>
      </c>
    </row>
    <row r="693" spans="14:25">
      <c r="N693" s="136"/>
      <c r="Y693" s="218" t="str">
        <f>IF(O693&lt;&gt;"","A"&amp;MATCH(R693,CoinCollection!E:E,),"")</f>
        <v/>
      </c>
    </row>
    <row r="694" spans="14:25">
      <c r="N694" s="136"/>
      <c r="Y694" s="218" t="str">
        <f>IF(O694&lt;&gt;"","A"&amp;MATCH(R694,CoinCollection!E:E,),"")</f>
        <v/>
      </c>
    </row>
    <row r="695" spans="14:25">
      <c r="N695" s="136"/>
      <c r="Y695" s="218" t="str">
        <f>IF(O695&lt;&gt;"","A"&amp;MATCH(R695,CoinCollection!E:E,),"")</f>
        <v/>
      </c>
    </row>
    <row r="696" spans="14:25">
      <c r="N696" s="136"/>
      <c r="Y696" s="218" t="str">
        <f>IF(O696&lt;&gt;"","A"&amp;MATCH(R696,CoinCollection!E:E,),"")</f>
        <v/>
      </c>
    </row>
    <row r="697" spans="14:25">
      <c r="N697" s="136"/>
      <c r="Y697" s="218" t="str">
        <f>IF(O697&lt;&gt;"","A"&amp;MATCH(R697,CoinCollection!E:E,),"")</f>
        <v/>
      </c>
    </row>
    <row r="698" spans="14:25">
      <c r="N698" s="136"/>
      <c r="Y698" s="218" t="str">
        <f>IF(O698&lt;&gt;"","A"&amp;MATCH(R698,CoinCollection!E:E,),"")</f>
        <v/>
      </c>
    </row>
    <row r="699" spans="14:25">
      <c r="N699" s="136"/>
      <c r="Y699" s="218" t="str">
        <f>IF(O699&lt;&gt;"","A"&amp;MATCH(R699,CoinCollection!E:E,),"")</f>
        <v/>
      </c>
    </row>
    <row r="700" spans="14:25">
      <c r="N700" s="136"/>
      <c r="Y700" s="218" t="str">
        <f>IF(O700&lt;&gt;"","A"&amp;MATCH(R700,CoinCollection!E:E,),"")</f>
        <v/>
      </c>
    </row>
    <row r="701" spans="14:25">
      <c r="N701" s="136"/>
      <c r="Y701" s="218" t="str">
        <f>IF(O701&lt;&gt;"","A"&amp;MATCH(R701,CoinCollection!E:E,),"")</f>
        <v/>
      </c>
    </row>
    <row r="702" spans="14:25">
      <c r="N702" s="136"/>
      <c r="Y702" s="218" t="str">
        <f>IF(O702&lt;&gt;"","A"&amp;MATCH(R702,CoinCollection!E:E,),"")</f>
        <v/>
      </c>
    </row>
    <row r="703" spans="14:25">
      <c r="N703" s="136"/>
      <c r="Y703" s="218" t="str">
        <f>IF(O703&lt;&gt;"","A"&amp;MATCH(R703,CoinCollection!E:E,),"")</f>
        <v/>
      </c>
    </row>
    <row r="704" spans="14:25">
      <c r="N704" s="136"/>
      <c r="Y704" s="218" t="str">
        <f>IF(O704&lt;&gt;"","A"&amp;MATCH(R704,CoinCollection!E:E,),"")</f>
        <v/>
      </c>
    </row>
    <row r="705" spans="14:25">
      <c r="N705" s="136"/>
      <c r="Y705" s="218" t="str">
        <f>IF(O705&lt;&gt;"","A"&amp;MATCH(R705,CoinCollection!E:E,),"")</f>
        <v/>
      </c>
    </row>
    <row r="706" spans="14:25">
      <c r="N706" s="136"/>
      <c r="Y706" s="218" t="str">
        <f>IF(O706&lt;&gt;"","A"&amp;MATCH(R706,CoinCollection!E:E,),"")</f>
        <v/>
      </c>
    </row>
    <row r="707" spans="14:25">
      <c r="N707" s="136"/>
      <c r="Y707" s="218" t="str">
        <f>IF(O707&lt;&gt;"","A"&amp;MATCH(R707,CoinCollection!E:E,),"")</f>
        <v/>
      </c>
    </row>
    <row r="708" spans="14:25">
      <c r="N708" s="136"/>
      <c r="Y708" s="218" t="str">
        <f>IF(O708&lt;&gt;"","A"&amp;MATCH(R708,CoinCollection!E:E,),"")</f>
        <v/>
      </c>
    </row>
    <row r="709" spans="14:25">
      <c r="N709" s="136"/>
      <c r="Y709" s="218" t="str">
        <f>IF(O709&lt;&gt;"","A"&amp;MATCH(R709,CoinCollection!E:E,),"")</f>
        <v/>
      </c>
    </row>
    <row r="710" spans="14:25">
      <c r="N710" s="136"/>
      <c r="Y710" s="218" t="str">
        <f>IF(O710&lt;&gt;"","A"&amp;MATCH(R710,CoinCollection!E:E,),"")</f>
        <v/>
      </c>
    </row>
    <row r="711" spans="14:25">
      <c r="N711" s="136"/>
      <c r="Y711" s="218" t="str">
        <f>IF(O711&lt;&gt;"","A"&amp;MATCH(R711,CoinCollection!E:E,),"")</f>
        <v/>
      </c>
    </row>
    <row r="712" spans="14:25">
      <c r="N712" s="136"/>
      <c r="Y712" s="218" t="str">
        <f>IF(O712&lt;&gt;"","A"&amp;MATCH(R712,CoinCollection!E:E,),"")</f>
        <v/>
      </c>
    </row>
    <row r="713" spans="14:25">
      <c r="N713" s="136"/>
      <c r="Y713" s="218" t="str">
        <f>IF(O713&lt;&gt;"","A"&amp;MATCH(R713,CoinCollection!E:E,),"")</f>
        <v/>
      </c>
    </row>
    <row r="714" spans="14:25">
      <c r="N714" s="136"/>
      <c r="Y714" s="218" t="str">
        <f>IF(O714&lt;&gt;"","A"&amp;MATCH(R714,CoinCollection!E:E,),"")</f>
        <v/>
      </c>
    </row>
    <row r="715" spans="14:25">
      <c r="N715" s="136"/>
      <c r="Y715" s="218" t="str">
        <f>IF(O715&lt;&gt;"","A"&amp;MATCH(R715,CoinCollection!E:E,),"")</f>
        <v/>
      </c>
    </row>
    <row r="716" spans="14:25">
      <c r="N716" s="136"/>
      <c r="Y716" s="218" t="str">
        <f>IF(O716&lt;&gt;"","A"&amp;MATCH(R716,CoinCollection!E:E,),"")</f>
        <v/>
      </c>
    </row>
    <row r="717" spans="14:25">
      <c r="N717" s="136"/>
      <c r="Y717" s="218" t="str">
        <f>IF(O717&lt;&gt;"","A"&amp;MATCH(R717,CoinCollection!E:E,),"")</f>
        <v/>
      </c>
    </row>
    <row r="718" spans="14:25">
      <c r="N718" s="136"/>
      <c r="Y718" s="218" t="str">
        <f>IF(O718&lt;&gt;"","A"&amp;MATCH(R718,CoinCollection!E:E,),"")</f>
        <v/>
      </c>
    </row>
    <row r="719" spans="14:25">
      <c r="N719" s="136"/>
      <c r="Y719" s="218" t="str">
        <f>IF(O719&lt;&gt;"","A"&amp;MATCH(R719,CoinCollection!E:E,),"")</f>
        <v/>
      </c>
    </row>
    <row r="720" spans="14:25">
      <c r="N720" s="136"/>
      <c r="Y720" s="218" t="str">
        <f>IF(O720&lt;&gt;"","A"&amp;MATCH(R720,CoinCollection!E:E,),"")</f>
        <v/>
      </c>
    </row>
    <row r="721" spans="14:25">
      <c r="N721" s="136"/>
      <c r="Y721" s="218" t="str">
        <f>IF(O721&lt;&gt;"","A"&amp;MATCH(R721,CoinCollection!E:E,),"")</f>
        <v/>
      </c>
    </row>
    <row r="722" spans="14:25">
      <c r="N722" s="136"/>
      <c r="Y722" s="218" t="str">
        <f>IF(O722&lt;&gt;"","A"&amp;MATCH(R722,CoinCollection!E:E,),"")</f>
        <v/>
      </c>
    </row>
    <row r="723" spans="14:25">
      <c r="N723" s="136"/>
      <c r="Y723" s="218" t="str">
        <f>IF(O723&lt;&gt;"","A"&amp;MATCH(R723,CoinCollection!E:E,),"")</f>
        <v/>
      </c>
    </row>
    <row r="724" spans="14:25">
      <c r="N724" s="136"/>
      <c r="Y724" s="218" t="str">
        <f>IF(O724&lt;&gt;"","A"&amp;MATCH(R724,CoinCollection!E:E,),"")</f>
        <v/>
      </c>
    </row>
    <row r="725" spans="14:25">
      <c r="N725" s="136"/>
      <c r="Y725" s="218" t="str">
        <f>IF(O725&lt;&gt;"","A"&amp;MATCH(R725,CoinCollection!E:E,),"")</f>
        <v/>
      </c>
    </row>
    <row r="726" spans="14:25">
      <c r="N726" s="136"/>
      <c r="Y726" s="218" t="str">
        <f>IF(O726&lt;&gt;"","A"&amp;MATCH(R726,CoinCollection!E:E,),"")</f>
        <v/>
      </c>
    </row>
    <row r="727" spans="14:25">
      <c r="N727" s="136"/>
      <c r="Y727" s="218" t="str">
        <f>IF(O727&lt;&gt;"","A"&amp;MATCH(R727,CoinCollection!E:E,),"")</f>
        <v/>
      </c>
    </row>
    <row r="728" spans="14:25">
      <c r="N728" s="136"/>
      <c r="Y728" s="218" t="str">
        <f>IF(O728&lt;&gt;"","A"&amp;MATCH(R728,CoinCollection!E:E,),"")</f>
        <v/>
      </c>
    </row>
    <row r="729" spans="14:25">
      <c r="N729" s="136"/>
      <c r="Y729" s="218" t="str">
        <f>IF(O729&lt;&gt;"","A"&amp;MATCH(R729,CoinCollection!E:E,),"")</f>
        <v/>
      </c>
    </row>
    <row r="730" spans="14:25">
      <c r="N730" s="136"/>
      <c r="Y730" s="218" t="str">
        <f>IF(O730&lt;&gt;"","A"&amp;MATCH(R730,CoinCollection!E:E,),"")</f>
        <v/>
      </c>
    </row>
    <row r="731" spans="14:25">
      <c r="N731" s="136"/>
      <c r="Y731" s="218" t="str">
        <f>IF(O731&lt;&gt;"","A"&amp;MATCH(R731,CoinCollection!E:E,),"")</f>
        <v/>
      </c>
    </row>
    <row r="732" spans="14:25">
      <c r="N732" s="136"/>
      <c r="Y732" s="218" t="str">
        <f>IF(O732&lt;&gt;"","A"&amp;MATCH(R732,CoinCollection!E:E,),"")</f>
        <v/>
      </c>
    </row>
    <row r="733" spans="14:25">
      <c r="N733" s="136"/>
      <c r="Y733" s="218" t="str">
        <f>IF(O733&lt;&gt;"","A"&amp;MATCH(R733,CoinCollection!E:E,),"")</f>
        <v/>
      </c>
    </row>
    <row r="734" spans="14:25">
      <c r="N734" s="136"/>
      <c r="Y734" s="218" t="str">
        <f>IF(O734&lt;&gt;"","A"&amp;MATCH(R734,CoinCollection!E:E,),"")</f>
        <v/>
      </c>
    </row>
    <row r="735" spans="14:25">
      <c r="N735" s="136"/>
      <c r="Y735" s="218" t="str">
        <f>IF(O735&lt;&gt;"","A"&amp;MATCH(R735,CoinCollection!E:E,),"")</f>
        <v/>
      </c>
    </row>
    <row r="736" spans="14:25">
      <c r="N736" s="136"/>
      <c r="Y736" s="218" t="str">
        <f>IF(O736&lt;&gt;"","A"&amp;MATCH(R736,CoinCollection!E:E,),"")</f>
        <v/>
      </c>
    </row>
    <row r="737" spans="14:25">
      <c r="N737" s="136"/>
      <c r="Y737" s="218" t="str">
        <f>IF(O737&lt;&gt;"","A"&amp;MATCH(R737,CoinCollection!E:E,),"")</f>
        <v/>
      </c>
    </row>
    <row r="738" spans="14:25">
      <c r="N738" s="136"/>
      <c r="Y738" s="218" t="str">
        <f>IF(O738&lt;&gt;"","A"&amp;MATCH(R738,CoinCollection!E:E,),"")</f>
        <v/>
      </c>
    </row>
    <row r="739" spans="14:25">
      <c r="N739" s="136"/>
      <c r="Y739" s="218" t="str">
        <f>IF(O739&lt;&gt;"","A"&amp;MATCH(R739,CoinCollection!E:E,),"")</f>
        <v/>
      </c>
    </row>
    <row r="740" spans="14:25">
      <c r="N740" s="136"/>
      <c r="Y740" s="218" t="str">
        <f>IF(O740&lt;&gt;"","A"&amp;MATCH(R740,CoinCollection!E:E,),"")</f>
        <v/>
      </c>
    </row>
    <row r="741" spans="14:25">
      <c r="N741" s="136"/>
      <c r="Y741" s="218" t="str">
        <f>IF(O741&lt;&gt;"","A"&amp;MATCH(R741,CoinCollection!E:E,),"")</f>
        <v/>
      </c>
    </row>
    <row r="742" spans="14:25">
      <c r="N742" s="136"/>
      <c r="Y742" s="218" t="str">
        <f>IF(O742&lt;&gt;"","A"&amp;MATCH(R742,CoinCollection!E:E,),"")</f>
        <v/>
      </c>
    </row>
    <row r="743" spans="14:25">
      <c r="N743" s="136"/>
      <c r="Y743" s="218" t="str">
        <f>IF(O743&lt;&gt;"","A"&amp;MATCH(R743,CoinCollection!E:E,),"")</f>
        <v/>
      </c>
    </row>
    <row r="744" spans="14:25">
      <c r="N744" s="136"/>
      <c r="Y744" s="218" t="str">
        <f>IF(O744&lt;&gt;"","A"&amp;MATCH(R744,CoinCollection!E:E,),"")</f>
        <v/>
      </c>
    </row>
    <row r="745" spans="14:25">
      <c r="N745" s="136"/>
      <c r="Y745" s="218" t="str">
        <f>IF(O745&lt;&gt;"","A"&amp;MATCH(R745,CoinCollection!E:E,),"")</f>
        <v/>
      </c>
    </row>
    <row r="746" spans="14:25">
      <c r="N746" s="136"/>
      <c r="Y746" s="218" t="str">
        <f>IF(O746&lt;&gt;"","A"&amp;MATCH(R746,CoinCollection!E:E,),"")</f>
        <v/>
      </c>
    </row>
    <row r="747" spans="14:25">
      <c r="N747" s="136"/>
      <c r="Y747" s="218" t="str">
        <f>IF(O747&lt;&gt;"","A"&amp;MATCH(R747,CoinCollection!E:E,),"")</f>
        <v/>
      </c>
    </row>
    <row r="748" spans="14:25">
      <c r="N748" s="136"/>
      <c r="Y748" s="218" t="str">
        <f>IF(O748&lt;&gt;"","A"&amp;MATCH(R748,CoinCollection!E:E,),"")</f>
        <v/>
      </c>
    </row>
    <row r="749" spans="14:25">
      <c r="N749" s="136"/>
      <c r="Y749" s="218" t="str">
        <f>IF(O749&lt;&gt;"","A"&amp;MATCH(R749,CoinCollection!E:E,),"")</f>
        <v/>
      </c>
    </row>
    <row r="750" spans="14:25">
      <c r="N750" s="136"/>
      <c r="Y750" s="218" t="str">
        <f>IF(O750&lt;&gt;"","A"&amp;MATCH(R750,CoinCollection!E:E,),"")</f>
        <v/>
      </c>
    </row>
    <row r="751" spans="14:25">
      <c r="N751" s="136"/>
      <c r="Y751" s="218" t="str">
        <f>IF(O751&lt;&gt;"","A"&amp;MATCH(R751,CoinCollection!E:E,),"")</f>
        <v/>
      </c>
    </row>
    <row r="752" spans="14:25">
      <c r="N752" s="136"/>
      <c r="Y752" s="218" t="str">
        <f>IF(O752&lt;&gt;"","A"&amp;MATCH(R752,CoinCollection!E:E,),"")</f>
        <v/>
      </c>
    </row>
    <row r="753" spans="14:25">
      <c r="N753" s="136"/>
      <c r="Y753" s="218" t="str">
        <f>IF(O753&lt;&gt;"","A"&amp;MATCH(R753,CoinCollection!E:E,),"")</f>
        <v/>
      </c>
    </row>
    <row r="754" spans="14:25">
      <c r="N754" s="136"/>
      <c r="Y754" s="218" t="str">
        <f>IF(O754&lt;&gt;"","A"&amp;MATCH(R754,CoinCollection!E:E,),"")</f>
        <v/>
      </c>
    </row>
    <row r="755" spans="14:25">
      <c r="N755" s="136"/>
      <c r="Y755" s="218" t="str">
        <f>IF(O755&lt;&gt;"","A"&amp;MATCH(R755,CoinCollection!E:E,),"")</f>
        <v/>
      </c>
    </row>
    <row r="756" spans="14:25">
      <c r="N756" s="136"/>
      <c r="Y756" s="218" t="str">
        <f>IF(O756&lt;&gt;"","A"&amp;MATCH(R756,CoinCollection!E:E,),"")</f>
        <v/>
      </c>
    </row>
    <row r="757" spans="14:25">
      <c r="N757" s="136"/>
      <c r="Y757" s="218" t="str">
        <f>IF(O757&lt;&gt;"","A"&amp;MATCH(R757,CoinCollection!E:E,),"")</f>
        <v/>
      </c>
    </row>
    <row r="758" spans="14:25">
      <c r="N758" s="136"/>
      <c r="Y758" s="218" t="str">
        <f>IF(O758&lt;&gt;"","A"&amp;MATCH(R758,CoinCollection!E:E,),"")</f>
        <v/>
      </c>
    </row>
    <row r="759" spans="14:25">
      <c r="N759" s="136"/>
      <c r="Y759" s="218" t="str">
        <f>IF(O759&lt;&gt;"","A"&amp;MATCH(R759,CoinCollection!E:E,),"")</f>
        <v/>
      </c>
    </row>
    <row r="760" spans="14:25">
      <c r="N760" s="136"/>
      <c r="Y760" s="218" t="str">
        <f>IF(O760&lt;&gt;"","A"&amp;MATCH(R760,CoinCollection!E:E,),"")</f>
        <v/>
      </c>
    </row>
    <row r="761" spans="14:25">
      <c r="N761" s="136"/>
      <c r="Y761" s="218" t="str">
        <f>IF(O761&lt;&gt;"","A"&amp;MATCH(R761,CoinCollection!E:E,),"")</f>
        <v/>
      </c>
    </row>
    <row r="762" spans="14:25">
      <c r="N762" s="136"/>
      <c r="Y762" s="218" t="str">
        <f>IF(O762&lt;&gt;"","A"&amp;MATCH(R762,CoinCollection!E:E,),"")</f>
        <v/>
      </c>
    </row>
    <row r="763" spans="14:25">
      <c r="N763" s="136"/>
      <c r="Y763" s="218" t="str">
        <f>IF(O763&lt;&gt;"","A"&amp;MATCH(R763,CoinCollection!E:E,),"")</f>
        <v/>
      </c>
    </row>
    <row r="764" spans="14:25">
      <c r="N764" s="136"/>
      <c r="Y764" s="218" t="str">
        <f>IF(O764&lt;&gt;"","A"&amp;MATCH(R764,CoinCollection!E:E,),"")</f>
        <v/>
      </c>
    </row>
    <row r="765" spans="14:25">
      <c r="N765" s="136"/>
      <c r="Y765" s="218" t="str">
        <f>IF(O765&lt;&gt;"","A"&amp;MATCH(R765,CoinCollection!E:E,),"")</f>
        <v/>
      </c>
    </row>
    <row r="766" spans="14:25">
      <c r="N766" s="136"/>
      <c r="Y766" s="218" t="str">
        <f>IF(O766&lt;&gt;"","A"&amp;MATCH(R766,CoinCollection!E:E,),"")</f>
        <v/>
      </c>
    </row>
    <row r="767" spans="14:25">
      <c r="N767" s="136"/>
      <c r="Y767" s="218" t="str">
        <f>IF(O767&lt;&gt;"","A"&amp;MATCH(R767,CoinCollection!E:E,),"")</f>
        <v/>
      </c>
    </row>
    <row r="768" spans="14:25">
      <c r="N768" s="136"/>
      <c r="Y768" s="218" t="str">
        <f>IF(O768&lt;&gt;"","A"&amp;MATCH(R768,CoinCollection!E:E,),"")</f>
        <v/>
      </c>
    </row>
    <row r="769" spans="14:25">
      <c r="N769" s="136"/>
      <c r="Y769" s="218" t="str">
        <f>IF(O769&lt;&gt;"","A"&amp;MATCH(R769,CoinCollection!E:E,),"")</f>
        <v/>
      </c>
    </row>
    <row r="770" spans="14:25">
      <c r="N770" s="136"/>
      <c r="Y770" s="218" t="str">
        <f>IF(O770&lt;&gt;"","A"&amp;MATCH(R770,CoinCollection!E:E,),"")</f>
        <v/>
      </c>
    </row>
    <row r="771" spans="14:25">
      <c r="N771" s="136"/>
      <c r="Y771" s="218" t="str">
        <f>IF(O771&lt;&gt;"","A"&amp;MATCH(R771,CoinCollection!E:E,),"")</f>
        <v/>
      </c>
    </row>
    <row r="772" spans="14:25">
      <c r="N772" s="136"/>
      <c r="Y772" s="218" t="str">
        <f>IF(O772&lt;&gt;"","A"&amp;MATCH(R772,CoinCollection!E:E,),"")</f>
        <v/>
      </c>
    </row>
    <row r="773" spans="14:25">
      <c r="N773" s="136"/>
      <c r="Y773" s="218" t="str">
        <f>IF(O773&lt;&gt;"","A"&amp;MATCH(R773,CoinCollection!E:E,),"")</f>
        <v/>
      </c>
    </row>
    <row r="774" spans="14:25">
      <c r="N774" s="136"/>
      <c r="Y774" s="218" t="str">
        <f>IF(O774&lt;&gt;"","A"&amp;MATCH(R774,CoinCollection!E:E,),"")</f>
        <v/>
      </c>
    </row>
    <row r="775" spans="14:25">
      <c r="N775" s="136"/>
      <c r="Y775" s="218" t="str">
        <f>IF(O775&lt;&gt;"","A"&amp;MATCH(R775,CoinCollection!E:E,),"")</f>
        <v/>
      </c>
    </row>
    <row r="776" spans="14:25">
      <c r="N776" s="136"/>
      <c r="Y776" s="218" t="str">
        <f>IF(O776&lt;&gt;"","A"&amp;MATCH(R776,CoinCollection!E:E,),"")</f>
        <v/>
      </c>
    </row>
    <row r="777" spans="14:25">
      <c r="N777" s="136"/>
      <c r="Y777" s="218" t="str">
        <f>IF(O777&lt;&gt;"","A"&amp;MATCH(R777,CoinCollection!E:E,),"")</f>
        <v/>
      </c>
    </row>
    <row r="778" spans="14:25">
      <c r="N778" s="136"/>
      <c r="Y778" s="218" t="str">
        <f>IF(O778&lt;&gt;"","A"&amp;MATCH(R778,CoinCollection!E:E,),"")</f>
        <v/>
      </c>
    </row>
    <row r="779" spans="14:25">
      <c r="N779" s="136"/>
      <c r="Y779" s="218" t="str">
        <f>IF(O779&lt;&gt;"","A"&amp;MATCH(R779,CoinCollection!E:E,),"")</f>
        <v/>
      </c>
    </row>
    <row r="780" spans="14:25">
      <c r="N780" s="136"/>
      <c r="Y780" s="218" t="str">
        <f>IF(O780&lt;&gt;"","A"&amp;MATCH(R780,CoinCollection!E:E,),"")</f>
        <v/>
      </c>
    </row>
    <row r="781" spans="14:25">
      <c r="N781" s="136"/>
      <c r="Y781" s="218" t="str">
        <f>IF(O781&lt;&gt;"","A"&amp;MATCH(R781,CoinCollection!E:E,),"")</f>
        <v/>
      </c>
    </row>
    <row r="782" spans="14:25">
      <c r="N782" s="136"/>
      <c r="Y782" s="218" t="str">
        <f>IF(O782&lt;&gt;"","A"&amp;MATCH(R782,CoinCollection!E:E,),"")</f>
        <v/>
      </c>
    </row>
    <row r="783" spans="14:25">
      <c r="N783" s="136"/>
      <c r="Y783" s="218" t="str">
        <f>IF(O783&lt;&gt;"","A"&amp;MATCH(R783,CoinCollection!E:E,),"")</f>
        <v/>
      </c>
    </row>
    <row r="784" spans="14:25">
      <c r="N784" s="136"/>
      <c r="Y784" s="218" t="str">
        <f>IF(O784&lt;&gt;"","A"&amp;MATCH(R784,CoinCollection!E:E,),"")</f>
        <v/>
      </c>
    </row>
    <row r="785" spans="14:25">
      <c r="N785" s="136"/>
      <c r="Y785" s="218" t="str">
        <f>IF(O785&lt;&gt;"","A"&amp;MATCH(R785,CoinCollection!E:E,),"")</f>
        <v/>
      </c>
    </row>
    <row r="786" spans="14:25">
      <c r="N786" s="136"/>
      <c r="Y786" s="218" t="str">
        <f>IF(O786&lt;&gt;"","A"&amp;MATCH(R786,CoinCollection!E:E,),"")</f>
        <v/>
      </c>
    </row>
    <row r="787" spans="14:25">
      <c r="N787" s="136"/>
      <c r="Y787" s="218" t="str">
        <f>IF(O787&lt;&gt;"","A"&amp;MATCH(R787,CoinCollection!E:E,),"")</f>
        <v/>
      </c>
    </row>
    <row r="788" spans="14:25">
      <c r="N788" s="136"/>
      <c r="Y788" s="218" t="str">
        <f>IF(O788&lt;&gt;"","A"&amp;MATCH(R788,CoinCollection!E:E,),"")</f>
        <v/>
      </c>
    </row>
    <row r="789" spans="14:25">
      <c r="N789" s="136"/>
      <c r="Y789" s="218" t="str">
        <f>IF(O789&lt;&gt;"","A"&amp;MATCH(R789,CoinCollection!E:E,),"")</f>
        <v/>
      </c>
    </row>
    <row r="790" spans="14:25">
      <c r="N790" s="136"/>
      <c r="Y790" s="218" t="str">
        <f>IF(O790&lt;&gt;"","A"&amp;MATCH(R790,CoinCollection!E:E,),"")</f>
        <v/>
      </c>
    </row>
    <row r="791" spans="14:25">
      <c r="N791" s="136"/>
      <c r="Y791" s="218" t="str">
        <f>IF(O791&lt;&gt;"","A"&amp;MATCH(R791,CoinCollection!E:E,),"")</f>
        <v/>
      </c>
    </row>
    <row r="792" spans="14:25">
      <c r="N792" s="136"/>
      <c r="Y792" s="218" t="str">
        <f>IF(O792&lt;&gt;"","A"&amp;MATCH(R792,CoinCollection!E:E,),"")</f>
        <v/>
      </c>
    </row>
    <row r="793" spans="14:25">
      <c r="N793" s="136"/>
      <c r="Y793" s="218" t="str">
        <f>IF(O793&lt;&gt;"","A"&amp;MATCH(R793,CoinCollection!E:E,),"")</f>
        <v/>
      </c>
    </row>
    <row r="794" spans="14:25">
      <c r="N794" s="136"/>
      <c r="Y794" s="218" t="str">
        <f>IF(O794&lt;&gt;"","A"&amp;MATCH(R794,CoinCollection!E:E,),"")</f>
        <v/>
      </c>
    </row>
    <row r="795" spans="14:25">
      <c r="N795" s="136"/>
      <c r="Y795" s="218" t="str">
        <f>IF(O795&lt;&gt;"","A"&amp;MATCH(R795,CoinCollection!E:E,),"")</f>
        <v/>
      </c>
    </row>
    <row r="796" spans="14:25">
      <c r="N796" s="136"/>
      <c r="Y796" s="218" t="str">
        <f>IF(O796&lt;&gt;"","A"&amp;MATCH(R796,CoinCollection!E:E,),"")</f>
        <v/>
      </c>
    </row>
    <row r="797" spans="14:25">
      <c r="N797" s="136"/>
      <c r="Y797" s="218" t="str">
        <f>IF(O797&lt;&gt;"","A"&amp;MATCH(R797,CoinCollection!E:E,),"")</f>
        <v/>
      </c>
    </row>
    <row r="798" spans="14:25">
      <c r="N798" s="136"/>
      <c r="Y798" s="218" t="str">
        <f>IF(O798&lt;&gt;"","A"&amp;MATCH(R798,CoinCollection!E:E,),"")</f>
        <v/>
      </c>
    </row>
    <row r="799" spans="14:25">
      <c r="N799" s="136"/>
      <c r="Y799" s="218" t="str">
        <f>IF(O799&lt;&gt;"","A"&amp;MATCH(R799,CoinCollection!E:E,),"")</f>
        <v/>
      </c>
    </row>
    <row r="800" spans="14:25">
      <c r="N800" s="136"/>
      <c r="Y800" s="218" t="str">
        <f>IF(O800&lt;&gt;"","A"&amp;MATCH(R800,CoinCollection!E:E,),"")</f>
        <v/>
      </c>
    </row>
    <row r="801" spans="14:25">
      <c r="N801" s="136"/>
      <c r="Y801" s="218" t="str">
        <f>IF(O801&lt;&gt;"","A"&amp;MATCH(R801,CoinCollection!E:E,),"")</f>
        <v/>
      </c>
    </row>
    <row r="802" spans="14:25">
      <c r="N802" s="136"/>
      <c r="Y802" s="218" t="str">
        <f>IF(O802&lt;&gt;"","A"&amp;MATCH(R802,CoinCollection!E:E,),"")</f>
        <v/>
      </c>
    </row>
    <row r="803" spans="14:25">
      <c r="N803" s="136"/>
      <c r="Y803" s="218" t="str">
        <f>IF(O803&lt;&gt;"","A"&amp;MATCH(R803,CoinCollection!E:E,),"")</f>
        <v/>
      </c>
    </row>
    <row r="804" spans="14:25">
      <c r="N804" s="136"/>
      <c r="Y804" s="218" t="str">
        <f>IF(O804&lt;&gt;"","A"&amp;MATCH(R804,CoinCollection!E:E,),"")</f>
        <v/>
      </c>
    </row>
    <row r="805" spans="14:25">
      <c r="N805" s="136"/>
      <c r="Y805" s="218" t="str">
        <f>IF(O805&lt;&gt;"","A"&amp;MATCH(R805,CoinCollection!E:E,),"")</f>
        <v/>
      </c>
    </row>
    <row r="806" spans="14:25">
      <c r="N806" s="136"/>
      <c r="Y806" s="218" t="str">
        <f>IF(O806&lt;&gt;"","A"&amp;MATCH(R806,CoinCollection!E:E,),"")</f>
        <v/>
      </c>
    </row>
    <row r="807" spans="14:25">
      <c r="N807" s="136"/>
      <c r="Y807" s="218" t="str">
        <f>IF(O807&lt;&gt;"","A"&amp;MATCH(R807,CoinCollection!E:E,),"")</f>
        <v/>
      </c>
    </row>
    <row r="808" spans="14:25">
      <c r="N808" s="136"/>
      <c r="Y808" s="218" t="str">
        <f>IF(O808&lt;&gt;"","A"&amp;MATCH(R808,CoinCollection!E:E,),"")</f>
        <v/>
      </c>
    </row>
    <row r="809" spans="14:25">
      <c r="N809" s="136"/>
      <c r="Y809" s="218" t="str">
        <f>IF(O809&lt;&gt;"","A"&amp;MATCH(R809,CoinCollection!E:E,),"")</f>
        <v/>
      </c>
    </row>
    <row r="810" spans="14:25">
      <c r="N810" s="136"/>
      <c r="Y810" s="218" t="str">
        <f>IF(O810&lt;&gt;"","A"&amp;MATCH(R810,CoinCollection!E:E,),"")</f>
        <v/>
      </c>
    </row>
    <row r="811" spans="14:25">
      <c r="N811" s="136"/>
      <c r="Y811" s="218" t="str">
        <f>IF(O811&lt;&gt;"","A"&amp;MATCH(R811,CoinCollection!E:E,),"")</f>
        <v/>
      </c>
    </row>
    <row r="812" spans="14:25">
      <c r="N812" s="136"/>
      <c r="Y812" s="218" t="str">
        <f>IF(O812&lt;&gt;"","A"&amp;MATCH(R812,CoinCollection!E:E,),"")</f>
        <v/>
      </c>
    </row>
    <row r="813" spans="14:25">
      <c r="N813" s="136"/>
      <c r="Y813" s="218" t="str">
        <f>IF(O813&lt;&gt;"","A"&amp;MATCH(R813,CoinCollection!E:E,),"")</f>
        <v/>
      </c>
    </row>
    <row r="814" spans="14:25">
      <c r="N814" s="136"/>
      <c r="Y814" s="218" t="str">
        <f>IF(O814&lt;&gt;"","A"&amp;MATCH(R814,CoinCollection!E:E,),"")</f>
        <v/>
      </c>
    </row>
    <row r="815" spans="14:25">
      <c r="N815" s="136"/>
      <c r="Y815" s="218" t="str">
        <f>IF(O815&lt;&gt;"","A"&amp;MATCH(R815,CoinCollection!E:E,),"")</f>
        <v/>
      </c>
    </row>
    <row r="816" spans="14:25">
      <c r="N816" s="136"/>
      <c r="Y816" s="218" t="str">
        <f>IF(O816&lt;&gt;"","A"&amp;MATCH(R816,CoinCollection!E:E,),"")</f>
        <v/>
      </c>
    </row>
    <row r="817" spans="14:25">
      <c r="N817" s="136"/>
      <c r="Y817" s="218" t="str">
        <f>IF(O817&lt;&gt;"","A"&amp;MATCH(R817,CoinCollection!E:E,),"")</f>
        <v/>
      </c>
    </row>
    <row r="818" spans="14:25">
      <c r="N818" s="136"/>
      <c r="Y818" s="218" t="str">
        <f>IF(O818&lt;&gt;"","A"&amp;MATCH(R818,CoinCollection!E:E,),"")</f>
        <v/>
      </c>
    </row>
    <row r="819" spans="14:25">
      <c r="N819" s="136"/>
      <c r="Y819" s="218" t="str">
        <f>IF(O819&lt;&gt;"","A"&amp;MATCH(R819,CoinCollection!E:E,),"")</f>
        <v/>
      </c>
    </row>
    <row r="820" spans="14:25">
      <c r="N820" s="136"/>
      <c r="Y820" s="218" t="str">
        <f>IF(O820&lt;&gt;"","A"&amp;MATCH(R820,CoinCollection!E:E,),"")</f>
        <v/>
      </c>
    </row>
    <row r="821" spans="14:25">
      <c r="N821" s="136"/>
      <c r="Y821" s="218" t="str">
        <f>IF(O821&lt;&gt;"","A"&amp;MATCH(R821,CoinCollection!E:E,),"")</f>
        <v/>
      </c>
    </row>
    <row r="822" spans="14:25">
      <c r="N822" s="136"/>
      <c r="Y822" s="218" t="str">
        <f>IF(O822&lt;&gt;"","A"&amp;MATCH(R822,CoinCollection!E:E,),"")</f>
        <v/>
      </c>
    </row>
    <row r="823" spans="14:25">
      <c r="N823" s="136"/>
      <c r="Y823" s="218" t="str">
        <f>IF(O823&lt;&gt;"","A"&amp;MATCH(R823,CoinCollection!E:E,),"")</f>
        <v/>
      </c>
    </row>
    <row r="824" spans="14:25">
      <c r="N824" s="136"/>
      <c r="Y824" s="218" t="str">
        <f>IF(O824&lt;&gt;"","A"&amp;MATCH(R824,CoinCollection!E:E,),"")</f>
        <v/>
      </c>
    </row>
    <row r="825" spans="14:25">
      <c r="N825" s="136"/>
      <c r="Y825" s="218" t="str">
        <f>IF(O825&lt;&gt;"","A"&amp;MATCH(R825,CoinCollection!E:E,),"")</f>
        <v/>
      </c>
    </row>
    <row r="826" spans="14:25">
      <c r="N826" s="136"/>
      <c r="Y826" s="218" t="str">
        <f>IF(O826&lt;&gt;"","A"&amp;MATCH(R826,CoinCollection!E:E,),"")</f>
        <v/>
      </c>
    </row>
    <row r="827" spans="14:25">
      <c r="N827" s="136"/>
      <c r="Y827" s="218" t="str">
        <f>IF(O827&lt;&gt;"","A"&amp;MATCH(R827,CoinCollection!E:E,),"")</f>
        <v/>
      </c>
    </row>
    <row r="828" spans="14:25">
      <c r="N828" s="136"/>
      <c r="Y828" s="218" t="str">
        <f>IF(O828&lt;&gt;"","A"&amp;MATCH(R828,CoinCollection!E:E,),"")</f>
        <v/>
      </c>
    </row>
    <row r="829" spans="14:25">
      <c r="N829" s="136"/>
      <c r="Y829" s="218" t="str">
        <f>IF(O829&lt;&gt;"","A"&amp;MATCH(R829,CoinCollection!E:E,),"")</f>
        <v/>
      </c>
    </row>
    <row r="830" spans="14:25">
      <c r="N830" s="136"/>
      <c r="Y830" s="218" t="str">
        <f>IF(O830&lt;&gt;"","A"&amp;MATCH(R830,CoinCollection!E:E,),"")</f>
        <v/>
      </c>
    </row>
    <row r="831" spans="14:25">
      <c r="N831" s="136"/>
      <c r="Y831" s="218" t="str">
        <f>IF(O831&lt;&gt;"","A"&amp;MATCH(R831,CoinCollection!E:E,),"")</f>
        <v/>
      </c>
    </row>
    <row r="832" spans="14:25">
      <c r="N832" s="136"/>
      <c r="Y832" s="218" t="str">
        <f>IF(O832&lt;&gt;"","A"&amp;MATCH(R832,CoinCollection!E:E,),"")</f>
        <v/>
      </c>
    </row>
    <row r="833" spans="14:25">
      <c r="N833" s="136"/>
      <c r="Y833" s="218" t="str">
        <f>IF(O833&lt;&gt;"","A"&amp;MATCH(R833,CoinCollection!E:E,),"")</f>
        <v/>
      </c>
    </row>
    <row r="834" spans="14:25">
      <c r="N834" s="136"/>
      <c r="Y834" s="218" t="str">
        <f>IF(O834&lt;&gt;"","A"&amp;MATCH(R834,CoinCollection!E:E,),"")</f>
        <v/>
      </c>
    </row>
    <row r="835" spans="14:25">
      <c r="N835" s="136"/>
      <c r="Y835" s="218" t="str">
        <f>IF(O835&lt;&gt;"","A"&amp;MATCH(R835,CoinCollection!E:E,),"")</f>
        <v/>
      </c>
    </row>
    <row r="836" spans="14:25">
      <c r="N836" s="136"/>
      <c r="Y836" s="218" t="str">
        <f>IF(O836&lt;&gt;"","A"&amp;MATCH(R836,CoinCollection!E:E,),"")</f>
        <v/>
      </c>
    </row>
    <row r="837" spans="14:25">
      <c r="N837" s="136"/>
      <c r="Y837" s="218" t="str">
        <f>IF(O837&lt;&gt;"","A"&amp;MATCH(R837,CoinCollection!E:E,),"")</f>
        <v/>
      </c>
    </row>
    <row r="838" spans="14:25">
      <c r="N838" s="136"/>
      <c r="Y838" s="218" t="str">
        <f>IF(O838&lt;&gt;"","A"&amp;MATCH(R838,CoinCollection!E:E,),"")</f>
        <v/>
      </c>
    </row>
    <row r="839" spans="14:25">
      <c r="N839" s="136"/>
      <c r="Y839" s="218" t="str">
        <f>IF(O839&lt;&gt;"","A"&amp;MATCH(R839,CoinCollection!E:E,),"")</f>
        <v/>
      </c>
    </row>
    <row r="840" spans="14:25">
      <c r="N840" s="136"/>
      <c r="Y840" s="218" t="str">
        <f>IF(O840&lt;&gt;"","A"&amp;MATCH(R840,CoinCollection!E:E,),"")</f>
        <v/>
      </c>
    </row>
    <row r="841" spans="14:25">
      <c r="N841" s="136"/>
      <c r="Y841" s="218" t="str">
        <f>IF(O841&lt;&gt;"","A"&amp;MATCH(R841,CoinCollection!E:E,),"")</f>
        <v/>
      </c>
    </row>
    <row r="842" spans="14:25">
      <c r="N842" s="136"/>
      <c r="Y842" s="218" t="str">
        <f>IF(O842&lt;&gt;"","A"&amp;MATCH(R842,CoinCollection!E:E,),"")</f>
        <v/>
      </c>
    </row>
    <row r="843" spans="14:25">
      <c r="N843" s="136"/>
      <c r="Y843" s="218" t="str">
        <f>IF(O843&lt;&gt;"","A"&amp;MATCH(R843,CoinCollection!E:E,),"")</f>
        <v/>
      </c>
    </row>
    <row r="844" spans="14:25">
      <c r="N844" s="136"/>
      <c r="Y844" s="218" t="str">
        <f>IF(O844&lt;&gt;"","A"&amp;MATCH(R844,CoinCollection!E:E,),"")</f>
        <v/>
      </c>
    </row>
    <row r="845" spans="14:25">
      <c r="N845" s="136"/>
      <c r="Y845" s="218" t="str">
        <f>IF(O845&lt;&gt;"","A"&amp;MATCH(R845,CoinCollection!E:E,),"")</f>
        <v/>
      </c>
    </row>
    <row r="846" spans="14:25">
      <c r="N846" s="136"/>
      <c r="Y846" s="218" t="str">
        <f>IF(O846&lt;&gt;"","A"&amp;MATCH(R846,CoinCollection!E:E,),"")</f>
        <v/>
      </c>
    </row>
    <row r="847" spans="14:25">
      <c r="N847" s="136"/>
      <c r="Y847" s="218" t="str">
        <f>IF(O847&lt;&gt;"","A"&amp;MATCH(R847,CoinCollection!E:E,),"")</f>
        <v/>
      </c>
    </row>
    <row r="848" spans="14:25">
      <c r="N848" s="136"/>
      <c r="Y848" s="218" t="str">
        <f>IF(O848&lt;&gt;"","A"&amp;MATCH(R848,CoinCollection!E:E,),"")</f>
        <v/>
      </c>
    </row>
    <row r="849" spans="14:25">
      <c r="N849" s="136"/>
      <c r="Y849" s="218" t="str">
        <f>IF(O849&lt;&gt;"","A"&amp;MATCH(R849,CoinCollection!E:E,),"")</f>
        <v/>
      </c>
    </row>
    <row r="850" spans="14:25">
      <c r="N850" s="136"/>
      <c r="Y850" s="218" t="str">
        <f>IF(O850&lt;&gt;"","A"&amp;MATCH(R850,CoinCollection!E:E,),"")</f>
        <v/>
      </c>
    </row>
    <row r="851" spans="14:25">
      <c r="N851" s="136"/>
      <c r="Y851" s="218" t="str">
        <f>IF(O851&lt;&gt;"","A"&amp;MATCH(R851,CoinCollection!E:E,),"")</f>
        <v/>
      </c>
    </row>
    <row r="852" spans="14:25">
      <c r="N852" s="136"/>
      <c r="Y852" s="218" t="str">
        <f>IF(O852&lt;&gt;"","A"&amp;MATCH(R852,CoinCollection!E:E,),"")</f>
        <v/>
      </c>
    </row>
    <row r="853" spans="14:25">
      <c r="N853" s="136"/>
      <c r="Y853" s="218" t="str">
        <f>IF(O853&lt;&gt;"","A"&amp;MATCH(R853,CoinCollection!E:E,),"")</f>
        <v/>
      </c>
    </row>
    <row r="854" spans="14:25">
      <c r="N854" s="136"/>
      <c r="Y854" s="218" t="str">
        <f>IF(O854&lt;&gt;"","A"&amp;MATCH(R854,CoinCollection!E:E,),"")</f>
        <v/>
      </c>
    </row>
    <row r="855" spans="14:25">
      <c r="N855" s="136"/>
      <c r="Y855" s="218" t="str">
        <f>IF(O855&lt;&gt;"","A"&amp;MATCH(R855,CoinCollection!E:E,),"")</f>
        <v/>
      </c>
    </row>
    <row r="856" spans="14:25">
      <c r="N856" s="136"/>
      <c r="Y856" s="218" t="str">
        <f>IF(O856&lt;&gt;"","A"&amp;MATCH(R856,CoinCollection!E:E,),"")</f>
        <v/>
      </c>
    </row>
    <row r="857" spans="14:25">
      <c r="N857" s="136"/>
      <c r="Y857" s="218" t="str">
        <f>IF(O857&lt;&gt;"","A"&amp;MATCH(R857,CoinCollection!E:E,),"")</f>
        <v/>
      </c>
    </row>
    <row r="858" spans="14:25">
      <c r="N858" s="136"/>
      <c r="Y858" s="218" t="str">
        <f>IF(O858&lt;&gt;"","A"&amp;MATCH(R858,CoinCollection!E:E,),"")</f>
        <v/>
      </c>
    </row>
    <row r="859" spans="14:25">
      <c r="N859" s="136"/>
      <c r="Y859" s="218" t="str">
        <f>IF(O859&lt;&gt;"","A"&amp;MATCH(R859,CoinCollection!E:E,),"")</f>
        <v/>
      </c>
    </row>
    <row r="860" spans="14:25">
      <c r="N860" s="136"/>
      <c r="Y860" s="218" t="str">
        <f>IF(O860&lt;&gt;"","A"&amp;MATCH(R860,CoinCollection!E:E,),"")</f>
        <v/>
      </c>
    </row>
    <row r="861" spans="14:25">
      <c r="N861" s="136"/>
      <c r="Y861" s="218" t="str">
        <f>IF(O861&lt;&gt;"","A"&amp;MATCH(R861,CoinCollection!E:E,),"")</f>
        <v/>
      </c>
    </row>
    <row r="862" spans="14:25">
      <c r="N862" s="136"/>
      <c r="Y862" s="218" t="str">
        <f>IF(O862&lt;&gt;"","A"&amp;MATCH(R862,CoinCollection!E:E,),"")</f>
        <v/>
      </c>
    </row>
    <row r="863" spans="14:25">
      <c r="N863" s="136"/>
      <c r="Y863" s="218" t="str">
        <f>IF(O863&lt;&gt;"","A"&amp;MATCH(R863,CoinCollection!E:E,),"")</f>
        <v/>
      </c>
    </row>
    <row r="864" spans="14:25">
      <c r="N864" s="136"/>
      <c r="Y864" s="218" t="str">
        <f>IF(O864&lt;&gt;"","A"&amp;MATCH(R864,CoinCollection!E:E,),"")</f>
        <v/>
      </c>
    </row>
    <row r="865" spans="14:25">
      <c r="N865" s="136"/>
      <c r="Y865" s="218" t="str">
        <f>IF(O865&lt;&gt;"","A"&amp;MATCH(R865,CoinCollection!E:E,),"")</f>
        <v/>
      </c>
    </row>
    <row r="866" spans="14:25">
      <c r="N866" s="136"/>
      <c r="Y866" s="218" t="str">
        <f>IF(O866&lt;&gt;"","A"&amp;MATCH(R866,CoinCollection!E:E,),"")</f>
        <v/>
      </c>
    </row>
    <row r="867" spans="14:25">
      <c r="N867" s="136"/>
      <c r="Y867" s="218" t="str">
        <f>IF(O867&lt;&gt;"","A"&amp;MATCH(R867,CoinCollection!E:E,),"")</f>
        <v/>
      </c>
    </row>
    <row r="868" spans="14:25">
      <c r="N868" s="136"/>
      <c r="Y868" s="218" t="str">
        <f>IF(O868&lt;&gt;"","A"&amp;MATCH(R868,CoinCollection!E:E,),"")</f>
        <v/>
      </c>
    </row>
    <row r="869" spans="14:25">
      <c r="N869" s="136"/>
      <c r="Y869" s="218" t="str">
        <f>IF(O869&lt;&gt;"","A"&amp;MATCH(R869,CoinCollection!E:E,),"")</f>
        <v/>
      </c>
    </row>
    <row r="870" spans="14:25">
      <c r="N870" s="136"/>
      <c r="Y870" s="218" t="str">
        <f>IF(O870&lt;&gt;"","A"&amp;MATCH(R870,CoinCollection!E:E,),"")</f>
        <v/>
      </c>
    </row>
    <row r="871" spans="14:25">
      <c r="N871" s="136"/>
      <c r="Y871" s="218" t="str">
        <f>IF(O871&lt;&gt;"","A"&amp;MATCH(R871,CoinCollection!E:E,),"")</f>
        <v/>
      </c>
    </row>
    <row r="872" spans="14:25">
      <c r="N872" s="136"/>
      <c r="Y872" s="218" t="str">
        <f>IF(O872&lt;&gt;"","A"&amp;MATCH(R872,CoinCollection!E:E,),"")</f>
        <v/>
      </c>
    </row>
    <row r="873" spans="14:25">
      <c r="N873" s="136"/>
      <c r="Y873" s="218" t="str">
        <f>IF(O873&lt;&gt;"","A"&amp;MATCH(R873,CoinCollection!E:E,),"")</f>
        <v/>
      </c>
    </row>
    <row r="874" spans="14:25">
      <c r="N874" s="136"/>
      <c r="Y874" s="218" t="str">
        <f>IF(O874&lt;&gt;"","A"&amp;MATCH(R874,CoinCollection!E:E,),"")</f>
        <v/>
      </c>
    </row>
    <row r="875" spans="14:25">
      <c r="N875" s="136"/>
      <c r="Y875" s="218" t="str">
        <f>IF(O875&lt;&gt;"","A"&amp;MATCH(R875,CoinCollection!E:E,),"")</f>
        <v/>
      </c>
    </row>
    <row r="876" spans="14:25">
      <c r="N876" s="136"/>
      <c r="Y876" s="218" t="str">
        <f>IF(O876&lt;&gt;"","A"&amp;MATCH(R876,CoinCollection!E:E,),"")</f>
        <v/>
      </c>
    </row>
    <row r="877" spans="14:25">
      <c r="N877" s="136"/>
      <c r="Y877" s="218" t="str">
        <f>IF(O877&lt;&gt;"","A"&amp;MATCH(R877,CoinCollection!E:E,),"")</f>
        <v/>
      </c>
    </row>
    <row r="878" spans="14:25">
      <c r="N878" s="136"/>
      <c r="Y878" s="218" t="str">
        <f>IF(O878&lt;&gt;"","A"&amp;MATCH(R878,CoinCollection!E:E,),"")</f>
        <v/>
      </c>
    </row>
    <row r="879" spans="14:25">
      <c r="N879" s="136"/>
      <c r="Y879" s="218" t="str">
        <f>IF(O879&lt;&gt;"","A"&amp;MATCH(R879,CoinCollection!E:E,),"")</f>
        <v/>
      </c>
    </row>
    <row r="880" spans="14:25">
      <c r="N880" s="136"/>
      <c r="Y880" s="218" t="str">
        <f>IF(O880&lt;&gt;"","A"&amp;MATCH(R880,CoinCollection!E:E,),"")</f>
        <v/>
      </c>
    </row>
    <row r="881" spans="14:25">
      <c r="N881" s="136"/>
      <c r="Y881" s="218" t="str">
        <f>IF(O881&lt;&gt;"","A"&amp;MATCH(R881,CoinCollection!E:E,),"")</f>
        <v/>
      </c>
    </row>
    <row r="882" spans="14:25">
      <c r="N882" s="136"/>
      <c r="Y882" s="218" t="str">
        <f>IF(O882&lt;&gt;"","A"&amp;MATCH(R882,CoinCollection!E:E,),"")</f>
        <v/>
      </c>
    </row>
    <row r="883" spans="14:25">
      <c r="N883" s="136"/>
      <c r="Y883" s="218" t="str">
        <f>IF(O883&lt;&gt;"","A"&amp;MATCH(R883,CoinCollection!E:E,),"")</f>
        <v/>
      </c>
    </row>
    <row r="884" spans="14:25">
      <c r="N884" s="136"/>
      <c r="Y884" s="218" t="str">
        <f>IF(O884&lt;&gt;"","A"&amp;MATCH(R884,CoinCollection!E:E,),"")</f>
        <v/>
      </c>
    </row>
    <row r="885" spans="14:25">
      <c r="N885" s="136"/>
      <c r="Y885" s="218" t="str">
        <f>IF(O885&lt;&gt;"","A"&amp;MATCH(R885,CoinCollection!E:E,),"")</f>
        <v/>
      </c>
    </row>
    <row r="886" spans="14:25">
      <c r="N886" s="136"/>
      <c r="Y886" s="218" t="str">
        <f>IF(O886&lt;&gt;"","A"&amp;MATCH(R886,CoinCollection!E:E,),"")</f>
        <v/>
      </c>
    </row>
    <row r="887" spans="14:25">
      <c r="N887" s="136"/>
      <c r="Y887" s="218" t="str">
        <f>IF(O887&lt;&gt;"","A"&amp;MATCH(R887,CoinCollection!E:E,),"")</f>
        <v/>
      </c>
    </row>
    <row r="888" spans="14:25">
      <c r="N888" s="136"/>
      <c r="Y888" s="218" t="str">
        <f>IF(O888&lt;&gt;"","A"&amp;MATCH(R888,CoinCollection!E:E,),"")</f>
        <v/>
      </c>
    </row>
    <row r="889" spans="14:25">
      <c r="N889" s="136"/>
      <c r="Y889" s="218" t="str">
        <f>IF(O889&lt;&gt;"","A"&amp;MATCH(R889,CoinCollection!E:E,),"")</f>
        <v/>
      </c>
    </row>
    <row r="890" spans="14:25">
      <c r="N890" s="136"/>
      <c r="Y890" s="218" t="str">
        <f>IF(O890&lt;&gt;"","A"&amp;MATCH(R890,CoinCollection!E:E,),"")</f>
        <v/>
      </c>
    </row>
    <row r="891" spans="14:25">
      <c r="N891" s="136"/>
      <c r="Y891" s="218" t="str">
        <f>IF(O891&lt;&gt;"","A"&amp;MATCH(R891,CoinCollection!E:E,),"")</f>
        <v/>
      </c>
    </row>
    <row r="892" spans="14:25">
      <c r="N892" s="136"/>
      <c r="Y892" s="218" t="str">
        <f>IF(O892&lt;&gt;"","A"&amp;MATCH(R892,CoinCollection!E:E,),"")</f>
        <v/>
      </c>
    </row>
    <row r="893" spans="14:25">
      <c r="N893" s="136"/>
      <c r="Y893" s="218" t="str">
        <f>IF(O893&lt;&gt;"","A"&amp;MATCH(R893,CoinCollection!E:E,),"")</f>
        <v/>
      </c>
    </row>
    <row r="894" spans="14:25">
      <c r="N894" s="136"/>
      <c r="Y894" s="218" t="str">
        <f>IF(O894&lt;&gt;"","A"&amp;MATCH(R894,CoinCollection!E:E,),"")</f>
        <v/>
      </c>
    </row>
    <row r="895" spans="14:25">
      <c r="N895" s="136"/>
      <c r="Y895" s="218" t="str">
        <f>IF(O895&lt;&gt;"","A"&amp;MATCH(R895,CoinCollection!E:E,),"")</f>
        <v/>
      </c>
    </row>
    <row r="896" spans="14:25">
      <c r="N896" s="136"/>
      <c r="Y896" s="218" t="str">
        <f>IF(O896&lt;&gt;"","A"&amp;MATCH(R896,CoinCollection!E:E,),"")</f>
        <v/>
      </c>
    </row>
    <row r="897" spans="14:25">
      <c r="N897" s="136"/>
      <c r="Y897" s="218" t="str">
        <f>IF(O897&lt;&gt;"","A"&amp;MATCH(R897,CoinCollection!E:E,),"")</f>
        <v/>
      </c>
    </row>
    <row r="898" spans="14:25">
      <c r="N898" s="136"/>
      <c r="Y898" s="218" t="str">
        <f>IF(O898&lt;&gt;"","A"&amp;MATCH(R898,CoinCollection!E:E,),"")</f>
        <v/>
      </c>
    </row>
    <row r="899" spans="14:25">
      <c r="N899" s="136"/>
      <c r="Y899" s="218" t="str">
        <f>IF(O899&lt;&gt;"","A"&amp;MATCH(R899,CoinCollection!E:E,),"")</f>
        <v/>
      </c>
    </row>
    <row r="900" spans="14:25">
      <c r="N900" s="136"/>
      <c r="Y900" s="218" t="str">
        <f>IF(O900&lt;&gt;"","A"&amp;MATCH(R900,CoinCollection!E:E,),"")</f>
        <v/>
      </c>
    </row>
    <row r="901" spans="14:25">
      <c r="N901" s="136"/>
      <c r="Y901" s="218" t="str">
        <f>IF(O901&lt;&gt;"","A"&amp;MATCH(R901,CoinCollection!E:E,),"")</f>
        <v/>
      </c>
    </row>
    <row r="902" spans="14:25">
      <c r="N902" s="136"/>
      <c r="Y902" s="218" t="str">
        <f>IF(O902&lt;&gt;"","A"&amp;MATCH(R902,CoinCollection!E:E,),"")</f>
        <v/>
      </c>
    </row>
    <row r="903" spans="14:25">
      <c r="N903" s="136"/>
      <c r="Y903" s="218" t="str">
        <f>IF(O903&lt;&gt;"","A"&amp;MATCH(R903,CoinCollection!E:E,),"")</f>
        <v/>
      </c>
    </row>
    <row r="904" spans="14:25">
      <c r="N904" s="136"/>
      <c r="Y904" s="218" t="str">
        <f>IF(O904&lt;&gt;"","A"&amp;MATCH(R904,CoinCollection!E:E,),"")</f>
        <v/>
      </c>
    </row>
    <row r="905" spans="14:25">
      <c r="N905" s="136"/>
      <c r="Y905" s="218" t="str">
        <f>IF(O905&lt;&gt;"","A"&amp;MATCH(R905,CoinCollection!E:E,),"")</f>
        <v/>
      </c>
    </row>
    <row r="906" spans="14:25">
      <c r="N906" s="136"/>
      <c r="Y906" s="218" t="str">
        <f>IF(O906&lt;&gt;"","A"&amp;MATCH(R906,CoinCollection!E:E,),"")</f>
        <v/>
      </c>
    </row>
    <row r="907" spans="14:25">
      <c r="N907" s="136"/>
      <c r="Y907" s="218" t="str">
        <f>IF(O907&lt;&gt;"","A"&amp;MATCH(R907,CoinCollection!E:E,),"")</f>
        <v/>
      </c>
    </row>
    <row r="908" spans="14:25">
      <c r="N908" s="136"/>
      <c r="Y908" s="218" t="str">
        <f>IF(O908&lt;&gt;"","A"&amp;MATCH(R908,CoinCollection!E:E,),"")</f>
        <v/>
      </c>
    </row>
    <row r="909" spans="14:25">
      <c r="N909" s="136"/>
      <c r="Y909" s="218" t="str">
        <f>IF(O909&lt;&gt;"","A"&amp;MATCH(R909,CoinCollection!E:E,),"")</f>
        <v/>
      </c>
    </row>
    <row r="910" spans="14:25">
      <c r="N910" s="136"/>
      <c r="Y910" s="218" t="str">
        <f>IF(O910&lt;&gt;"","A"&amp;MATCH(R910,CoinCollection!E:E,),"")</f>
        <v/>
      </c>
    </row>
    <row r="911" spans="14:25">
      <c r="N911" s="136"/>
      <c r="Y911" s="218" t="str">
        <f>IF(O911&lt;&gt;"","A"&amp;MATCH(R911,CoinCollection!E:E,),"")</f>
        <v/>
      </c>
    </row>
    <row r="912" spans="14:25">
      <c r="N912" s="136"/>
      <c r="Y912" s="218" t="str">
        <f>IF(O912&lt;&gt;"","A"&amp;MATCH(R912,CoinCollection!E:E,),"")</f>
        <v/>
      </c>
    </row>
    <row r="913" spans="14:25">
      <c r="N913" s="136"/>
      <c r="Y913" s="218" t="str">
        <f>IF(O913&lt;&gt;"","A"&amp;MATCH(R913,CoinCollection!E:E,),"")</f>
        <v/>
      </c>
    </row>
    <row r="914" spans="14:25">
      <c r="N914" s="136"/>
      <c r="Y914" s="218" t="str">
        <f>IF(O914&lt;&gt;"","A"&amp;MATCH(R914,CoinCollection!E:E,),"")</f>
        <v/>
      </c>
    </row>
    <row r="915" spans="14:25">
      <c r="N915" s="136"/>
      <c r="Y915" s="218" t="str">
        <f>IF(O915&lt;&gt;"","A"&amp;MATCH(R915,CoinCollection!E:E,),"")</f>
        <v/>
      </c>
    </row>
    <row r="916" spans="14:25">
      <c r="N916" s="136"/>
      <c r="Y916" s="218" t="str">
        <f>IF(O916&lt;&gt;"","A"&amp;MATCH(R916,CoinCollection!E:E,),"")</f>
        <v/>
      </c>
    </row>
    <row r="917" spans="14:25">
      <c r="N917" s="136"/>
      <c r="Y917" s="218" t="str">
        <f>IF(O917&lt;&gt;"","A"&amp;MATCH(R917,CoinCollection!E:E,),"")</f>
        <v/>
      </c>
    </row>
    <row r="918" spans="14:25">
      <c r="N918" s="136"/>
      <c r="Y918" s="218" t="str">
        <f>IF(O918&lt;&gt;"","A"&amp;MATCH(R918,CoinCollection!E:E,),"")</f>
        <v/>
      </c>
    </row>
    <row r="919" spans="14:25">
      <c r="N919" s="136"/>
      <c r="Y919" s="218" t="str">
        <f>IF(O919&lt;&gt;"","A"&amp;MATCH(R919,CoinCollection!E:E,),"")</f>
        <v/>
      </c>
    </row>
    <row r="920" spans="14:25">
      <c r="N920" s="136"/>
      <c r="Y920" s="218" t="str">
        <f>IF(O920&lt;&gt;"","A"&amp;MATCH(R920,CoinCollection!E:E,),"")</f>
        <v/>
      </c>
    </row>
    <row r="921" spans="14:25">
      <c r="N921" s="136"/>
      <c r="Y921" s="218" t="str">
        <f>IF(O921&lt;&gt;"","A"&amp;MATCH(R921,CoinCollection!E:E,),"")</f>
        <v/>
      </c>
    </row>
    <row r="922" spans="14:25">
      <c r="N922" s="136"/>
      <c r="Y922" s="218" t="str">
        <f>IF(O922&lt;&gt;"","A"&amp;MATCH(R922,CoinCollection!E:E,),"")</f>
        <v/>
      </c>
    </row>
    <row r="923" spans="14:25">
      <c r="N923" s="136"/>
      <c r="Y923" s="218" t="str">
        <f>IF(O923&lt;&gt;"","A"&amp;MATCH(R923,CoinCollection!E:E,),"")</f>
        <v/>
      </c>
    </row>
    <row r="924" spans="14:25">
      <c r="N924" s="136"/>
      <c r="Y924" s="218" t="str">
        <f>IF(O924&lt;&gt;"","A"&amp;MATCH(R924,CoinCollection!E:E,),"")</f>
        <v/>
      </c>
    </row>
    <row r="925" spans="14:25">
      <c r="N925" s="136"/>
      <c r="Y925" s="218" t="str">
        <f>IF(O925&lt;&gt;"","A"&amp;MATCH(R925,CoinCollection!E:E,),"")</f>
        <v/>
      </c>
    </row>
    <row r="926" spans="14:25">
      <c r="N926" s="136"/>
      <c r="Y926" s="218" t="str">
        <f>IF(O926&lt;&gt;"","A"&amp;MATCH(R926,CoinCollection!E:E,),"")</f>
        <v/>
      </c>
    </row>
    <row r="927" spans="14:25">
      <c r="N927" s="136"/>
      <c r="Y927" s="218" t="str">
        <f>IF(O927&lt;&gt;"","A"&amp;MATCH(R927,CoinCollection!E:E,),"")</f>
        <v/>
      </c>
    </row>
    <row r="928" spans="14:25">
      <c r="N928" s="136"/>
      <c r="Y928" s="218" t="str">
        <f>IF(O928&lt;&gt;"","A"&amp;MATCH(R928,CoinCollection!E:E,),"")</f>
        <v/>
      </c>
    </row>
    <row r="929" spans="14:25">
      <c r="N929" s="136"/>
      <c r="Y929" s="218" t="str">
        <f>IF(O929&lt;&gt;"","A"&amp;MATCH(R929,CoinCollection!E:E,),"")</f>
        <v/>
      </c>
    </row>
    <row r="930" spans="14:25">
      <c r="N930" s="136"/>
      <c r="Y930" s="218" t="str">
        <f>IF(O930&lt;&gt;"","A"&amp;MATCH(R930,CoinCollection!E:E,),"")</f>
        <v/>
      </c>
    </row>
    <row r="931" spans="14:25">
      <c r="N931" s="136"/>
      <c r="Y931" s="218" t="str">
        <f>IF(O931&lt;&gt;"","A"&amp;MATCH(R931,CoinCollection!E:E,),"")</f>
        <v/>
      </c>
    </row>
    <row r="932" spans="14:25">
      <c r="N932" s="136"/>
      <c r="Y932" s="218" t="str">
        <f>IF(O932&lt;&gt;"","A"&amp;MATCH(R932,CoinCollection!E:E,),"")</f>
        <v/>
      </c>
    </row>
    <row r="933" spans="14:25">
      <c r="N933" s="136"/>
      <c r="Y933" s="218" t="str">
        <f>IF(O933&lt;&gt;"","A"&amp;MATCH(R933,CoinCollection!E:E,),"")</f>
        <v/>
      </c>
    </row>
    <row r="934" spans="14:25">
      <c r="N934" s="136"/>
      <c r="Y934" s="218" t="str">
        <f>IF(O934&lt;&gt;"","A"&amp;MATCH(R934,CoinCollection!E:E,),"")</f>
        <v/>
      </c>
    </row>
    <row r="935" spans="14:25">
      <c r="N935" s="136"/>
      <c r="Y935" s="218" t="str">
        <f>IF(O935&lt;&gt;"","A"&amp;MATCH(R935,CoinCollection!E:E,),"")</f>
        <v/>
      </c>
    </row>
    <row r="936" spans="14:25">
      <c r="N936" s="136"/>
      <c r="Y936" s="218" t="str">
        <f>IF(O936&lt;&gt;"","A"&amp;MATCH(R936,CoinCollection!E:E,),"")</f>
        <v/>
      </c>
    </row>
    <row r="937" spans="14:25">
      <c r="N937" s="136"/>
      <c r="Y937" s="218" t="str">
        <f>IF(O937&lt;&gt;"","A"&amp;MATCH(R937,CoinCollection!E:E,),"")</f>
        <v/>
      </c>
    </row>
    <row r="938" spans="14:25">
      <c r="N938" s="136"/>
      <c r="Y938" s="218" t="str">
        <f>IF(O938&lt;&gt;"","A"&amp;MATCH(R938,CoinCollection!E:E,),"")</f>
        <v/>
      </c>
    </row>
    <row r="939" spans="14:25">
      <c r="N939" s="136"/>
      <c r="Y939" s="218" t="str">
        <f>IF(O939&lt;&gt;"","A"&amp;MATCH(R939,CoinCollection!E:E,),"")</f>
        <v/>
      </c>
    </row>
    <row r="940" spans="14:25">
      <c r="N940" s="136"/>
      <c r="Y940" s="218" t="str">
        <f>IF(O940&lt;&gt;"","A"&amp;MATCH(R940,CoinCollection!E:E,),"")</f>
        <v/>
      </c>
    </row>
    <row r="941" spans="14:25">
      <c r="N941" s="136"/>
      <c r="Y941" s="218" t="str">
        <f>IF(O941&lt;&gt;"","A"&amp;MATCH(R941,CoinCollection!E:E,),"")</f>
        <v/>
      </c>
    </row>
    <row r="942" spans="14:25">
      <c r="N942" s="136"/>
      <c r="Y942" s="218" t="str">
        <f>IF(O942&lt;&gt;"","A"&amp;MATCH(R942,CoinCollection!E:E,),"")</f>
        <v/>
      </c>
    </row>
    <row r="943" spans="14:25">
      <c r="N943" s="136"/>
      <c r="Y943" s="218" t="str">
        <f>IF(O943&lt;&gt;"","A"&amp;MATCH(R943,CoinCollection!E:E,),"")</f>
        <v/>
      </c>
    </row>
    <row r="944" spans="14:25">
      <c r="N944" s="136"/>
      <c r="Y944" s="218" t="str">
        <f>IF(O944&lt;&gt;"","A"&amp;MATCH(R944,CoinCollection!E:E,),"")</f>
        <v/>
      </c>
    </row>
    <row r="945" spans="14:25">
      <c r="N945" s="136"/>
      <c r="Y945" s="218" t="str">
        <f>IF(O945&lt;&gt;"","A"&amp;MATCH(R945,CoinCollection!E:E,),"")</f>
        <v/>
      </c>
    </row>
    <row r="946" spans="14:25">
      <c r="N946" s="136"/>
      <c r="Y946" s="218" t="str">
        <f>IF(O946&lt;&gt;"","A"&amp;MATCH(R946,CoinCollection!E:E,),"")</f>
        <v/>
      </c>
    </row>
    <row r="947" spans="14:25">
      <c r="N947" s="136"/>
      <c r="Y947" s="218" t="str">
        <f>IF(O947&lt;&gt;"","A"&amp;MATCH(R947,CoinCollection!E:E,),"")</f>
        <v/>
      </c>
    </row>
    <row r="948" spans="14:25">
      <c r="N948" s="136"/>
      <c r="Y948" s="218" t="str">
        <f>IF(O948&lt;&gt;"","A"&amp;MATCH(R948,CoinCollection!E:E,),"")</f>
        <v/>
      </c>
    </row>
    <row r="949" spans="14:25">
      <c r="N949" s="136"/>
      <c r="Y949" s="218" t="str">
        <f>IF(O949&lt;&gt;"","A"&amp;MATCH(R949,CoinCollection!E:E,),"")</f>
        <v/>
      </c>
    </row>
    <row r="950" spans="14:25">
      <c r="N950" s="136"/>
      <c r="Y950" s="218" t="str">
        <f>IF(O950&lt;&gt;"","A"&amp;MATCH(R950,CoinCollection!E:E,),"")</f>
        <v/>
      </c>
    </row>
    <row r="951" spans="14:25">
      <c r="N951" s="136"/>
      <c r="Y951" s="218" t="str">
        <f>IF(O951&lt;&gt;"","A"&amp;MATCH(R951,CoinCollection!E:E,),"")</f>
        <v/>
      </c>
    </row>
    <row r="952" spans="14:25">
      <c r="N952" s="136"/>
      <c r="Y952" s="218" t="str">
        <f>IF(O952&lt;&gt;"","A"&amp;MATCH(R952,CoinCollection!E:E,),"")</f>
        <v/>
      </c>
    </row>
    <row r="953" spans="14:25">
      <c r="N953" s="136"/>
      <c r="Y953" s="218" t="str">
        <f>IF(O953&lt;&gt;"","A"&amp;MATCH(R953,CoinCollection!E:E,),"")</f>
        <v/>
      </c>
    </row>
    <row r="954" spans="14:25">
      <c r="N954" s="136"/>
      <c r="Y954" s="218" t="str">
        <f>IF(O954&lt;&gt;"","A"&amp;MATCH(R954,CoinCollection!E:E,),"")</f>
        <v/>
      </c>
    </row>
    <row r="955" spans="14:25">
      <c r="N955" s="136"/>
      <c r="Y955" s="218" t="str">
        <f>IF(O955&lt;&gt;"","A"&amp;MATCH(R955,CoinCollection!E:E,),"")</f>
        <v/>
      </c>
    </row>
    <row r="956" spans="14:25">
      <c r="N956" s="136"/>
      <c r="Y956" s="218" t="str">
        <f>IF(O956&lt;&gt;"","A"&amp;MATCH(R956,CoinCollection!E:E,),"")</f>
        <v/>
      </c>
    </row>
    <row r="957" spans="14:25">
      <c r="N957" s="136"/>
      <c r="Y957" s="218" t="str">
        <f>IF(O957&lt;&gt;"","A"&amp;MATCH(R957,CoinCollection!E:E,),"")</f>
        <v/>
      </c>
    </row>
    <row r="958" spans="14:25">
      <c r="N958" s="136"/>
      <c r="Y958" s="218" t="str">
        <f>IF(O958&lt;&gt;"","A"&amp;MATCH(R958,CoinCollection!E:E,),"")</f>
        <v/>
      </c>
    </row>
    <row r="959" spans="14:25">
      <c r="N959" s="136"/>
      <c r="Y959" s="218" t="str">
        <f>IF(O959&lt;&gt;"","A"&amp;MATCH(R959,CoinCollection!E:E,),"")</f>
        <v/>
      </c>
    </row>
    <row r="960" spans="14:25">
      <c r="N960" s="136"/>
      <c r="Y960" s="218" t="str">
        <f>IF(O960&lt;&gt;"","A"&amp;MATCH(R960,CoinCollection!E:E,),"")</f>
        <v/>
      </c>
    </row>
    <row r="961" spans="14:25">
      <c r="N961" s="136"/>
      <c r="Y961" s="218" t="str">
        <f>IF(O961&lt;&gt;"","A"&amp;MATCH(R961,CoinCollection!E:E,),"")</f>
        <v/>
      </c>
    </row>
    <row r="962" spans="14:25">
      <c r="N962" s="136"/>
      <c r="Y962" s="218" t="str">
        <f>IF(O962&lt;&gt;"","A"&amp;MATCH(R962,CoinCollection!E:E,),"")</f>
        <v/>
      </c>
    </row>
    <row r="963" spans="14:25">
      <c r="N963" s="136"/>
      <c r="Y963" s="218" t="str">
        <f>IF(O963&lt;&gt;"","A"&amp;MATCH(R963,CoinCollection!E:E,),"")</f>
        <v/>
      </c>
    </row>
    <row r="964" spans="14:25">
      <c r="N964" s="136"/>
      <c r="Y964" s="218" t="str">
        <f>IF(O964&lt;&gt;"","A"&amp;MATCH(R964,CoinCollection!E:E,),"")</f>
        <v/>
      </c>
    </row>
    <row r="965" spans="14:25">
      <c r="N965" s="136"/>
      <c r="Y965" s="218" t="str">
        <f>IF(O965&lt;&gt;"","A"&amp;MATCH(R965,CoinCollection!E:E,),"")</f>
        <v/>
      </c>
    </row>
    <row r="966" spans="14:25">
      <c r="N966" s="136"/>
      <c r="Y966" s="218" t="str">
        <f>IF(O966&lt;&gt;"","A"&amp;MATCH(R966,CoinCollection!E:E,),"")</f>
        <v/>
      </c>
    </row>
    <row r="967" spans="14:25">
      <c r="N967" s="136"/>
      <c r="Y967" s="218" t="str">
        <f>IF(O967&lt;&gt;"","A"&amp;MATCH(R967,CoinCollection!E:E,),"")</f>
        <v/>
      </c>
    </row>
    <row r="968" spans="14:25">
      <c r="N968" s="136"/>
      <c r="Y968" s="218" t="str">
        <f>IF(O968&lt;&gt;"","A"&amp;MATCH(R968,CoinCollection!E:E,),"")</f>
        <v/>
      </c>
    </row>
    <row r="969" spans="14:25">
      <c r="N969" s="136"/>
      <c r="Y969" s="218" t="str">
        <f>IF(O969&lt;&gt;"","A"&amp;MATCH(R969,CoinCollection!E:E,),"")</f>
        <v/>
      </c>
    </row>
    <row r="970" spans="14:25">
      <c r="N970" s="136"/>
      <c r="Y970" s="218" t="str">
        <f>IF(O970&lt;&gt;"","A"&amp;MATCH(R970,CoinCollection!E:E,),"")</f>
        <v/>
      </c>
    </row>
    <row r="971" spans="14:25">
      <c r="N971" s="136"/>
      <c r="Y971" s="218" t="str">
        <f>IF(O971&lt;&gt;"","A"&amp;MATCH(R971,CoinCollection!E:E,),"")</f>
        <v/>
      </c>
    </row>
    <row r="972" spans="14:25">
      <c r="N972" s="136"/>
      <c r="Y972" s="218" t="str">
        <f>IF(O972&lt;&gt;"","A"&amp;MATCH(R972,CoinCollection!E:E,),"")</f>
        <v/>
      </c>
    </row>
    <row r="973" spans="14:25">
      <c r="N973" s="136"/>
      <c r="Y973" s="218" t="str">
        <f>IF(O973&lt;&gt;"","A"&amp;MATCH(R973,CoinCollection!E:E,),"")</f>
        <v/>
      </c>
    </row>
    <row r="974" spans="14:25">
      <c r="N974" s="136"/>
      <c r="Y974" s="218" t="str">
        <f>IF(O974&lt;&gt;"","A"&amp;MATCH(R974,CoinCollection!E:E,),"")</f>
        <v/>
      </c>
    </row>
    <row r="975" spans="14:25">
      <c r="N975" s="136"/>
      <c r="Y975" s="218" t="str">
        <f>IF(O975&lt;&gt;"","A"&amp;MATCH(R975,CoinCollection!E:E,),"")</f>
        <v/>
      </c>
    </row>
    <row r="976" spans="14:25">
      <c r="N976" s="136"/>
      <c r="Y976" s="218" t="str">
        <f>IF(O976&lt;&gt;"","A"&amp;MATCH(R976,CoinCollection!E:E,),"")</f>
        <v/>
      </c>
    </row>
    <row r="977" spans="14:25">
      <c r="N977" s="136"/>
      <c r="Y977" s="218" t="str">
        <f>IF(O977&lt;&gt;"","A"&amp;MATCH(R977,CoinCollection!E:E,),"")</f>
        <v/>
      </c>
    </row>
    <row r="978" spans="14:25">
      <c r="N978" s="136"/>
      <c r="Y978" s="218" t="str">
        <f>IF(O978&lt;&gt;"","A"&amp;MATCH(R978,CoinCollection!E:E,),"")</f>
        <v/>
      </c>
    </row>
    <row r="979" spans="14:25">
      <c r="N979" s="136"/>
      <c r="Y979" s="218" t="str">
        <f>IF(O979&lt;&gt;"","A"&amp;MATCH(R979,CoinCollection!E:E,),"")</f>
        <v/>
      </c>
    </row>
    <row r="980" spans="14:25">
      <c r="N980" s="136"/>
      <c r="Y980" s="218" t="str">
        <f>IF(O980&lt;&gt;"","A"&amp;MATCH(R980,CoinCollection!E:E,),"")</f>
        <v/>
      </c>
    </row>
    <row r="981" spans="14:25">
      <c r="N981" s="136"/>
      <c r="Y981" s="218" t="str">
        <f>IF(O981&lt;&gt;"","A"&amp;MATCH(R981,CoinCollection!E:E,),"")</f>
        <v/>
      </c>
    </row>
    <row r="982" spans="14:25">
      <c r="N982" s="136"/>
      <c r="Y982" s="218" t="str">
        <f>IF(O982&lt;&gt;"","A"&amp;MATCH(R982,CoinCollection!E:E,),"")</f>
        <v/>
      </c>
    </row>
    <row r="983" spans="14:25">
      <c r="N983" s="136"/>
      <c r="Y983" s="218" t="str">
        <f>IF(O983&lt;&gt;"","A"&amp;MATCH(R983,CoinCollection!E:E,),"")</f>
        <v/>
      </c>
    </row>
    <row r="984" spans="14:25">
      <c r="N984" s="136"/>
      <c r="Y984" s="218" t="str">
        <f>IF(O984&lt;&gt;"","A"&amp;MATCH(R984,CoinCollection!E:E,),"")</f>
        <v/>
      </c>
    </row>
    <row r="985" spans="14:25">
      <c r="N985" s="136"/>
      <c r="Y985" s="218" t="str">
        <f>IF(O985&lt;&gt;"","A"&amp;MATCH(R985,CoinCollection!E:E,),"")</f>
        <v/>
      </c>
    </row>
    <row r="986" spans="14:25">
      <c r="N986" s="136"/>
      <c r="Y986" s="218" t="str">
        <f>IF(O986&lt;&gt;"","A"&amp;MATCH(R986,CoinCollection!E:E,),"")</f>
        <v/>
      </c>
    </row>
    <row r="987" spans="14:25">
      <c r="N987" s="136"/>
      <c r="Y987" s="218" t="str">
        <f>IF(O987&lt;&gt;"","A"&amp;MATCH(R987,CoinCollection!E:E,),"")</f>
        <v/>
      </c>
    </row>
    <row r="988" spans="14:25">
      <c r="N988" s="136"/>
      <c r="Y988" s="218" t="str">
        <f>IF(O988&lt;&gt;"","A"&amp;MATCH(R988,CoinCollection!E:E,),"")</f>
        <v/>
      </c>
    </row>
    <row r="989" spans="14:25">
      <c r="N989" s="136"/>
      <c r="Y989" s="218" t="str">
        <f>IF(O989&lt;&gt;"","A"&amp;MATCH(R989,CoinCollection!E:E,),"")</f>
        <v/>
      </c>
    </row>
    <row r="990" spans="14:25">
      <c r="N990" s="136"/>
      <c r="Y990" s="218" t="str">
        <f>IF(O990&lt;&gt;"","A"&amp;MATCH(R990,CoinCollection!E:E,),"")</f>
        <v/>
      </c>
    </row>
    <row r="991" spans="14:25">
      <c r="N991" s="136"/>
      <c r="Y991" s="218" t="str">
        <f>IF(O991&lt;&gt;"","A"&amp;MATCH(R991,CoinCollection!E:E,),"")</f>
        <v/>
      </c>
    </row>
    <row r="992" spans="14:25">
      <c r="N992" s="136"/>
      <c r="Y992" s="218" t="str">
        <f>IF(O992&lt;&gt;"","A"&amp;MATCH(R992,CoinCollection!E:E,),"")</f>
        <v/>
      </c>
    </row>
    <row r="993" spans="14:25">
      <c r="N993" s="136"/>
      <c r="Y993" s="218" t="str">
        <f>IF(O993&lt;&gt;"","A"&amp;MATCH(R993,CoinCollection!E:E,),"")</f>
        <v/>
      </c>
    </row>
    <row r="994" spans="14:25">
      <c r="N994" s="136"/>
      <c r="Y994" s="218" t="str">
        <f>IF(O994&lt;&gt;"","A"&amp;MATCH(R994,CoinCollection!E:E,),"")</f>
        <v/>
      </c>
    </row>
    <row r="995" spans="14:25">
      <c r="N995" s="136"/>
      <c r="Y995" s="218" t="str">
        <f>IF(O995&lt;&gt;"","A"&amp;MATCH(R995,CoinCollection!E:E,),"")</f>
        <v/>
      </c>
    </row>
    <row r="996" spans="14:25">
      <c r="N996" s="136"/>
      <c r="Y996" s="218" t="str">
        <f>IF(O996&lt;&gt;"","A"&amp;MATCH(R996,CoinCollection!E:E,),"")</f>
        <v/>
      </c>
    </row>
    <row r="997" spans="14:25">
      <c r="N997" s="136"/>
      <c r="Y997" s="218" t="str">
        <f>IF(O997&lt;&gt;"","A"&amp;MATCH(R997,CoinCollection!E:E,),"")</f>
        <v/>
      </c>
    </row>
    <row r="998" spans="14:25">
      <c r="N998" s="136"/>
      <c r="Y998" s="218" t="str">
        <f>IF(O998&lt;&gt;"","A"&amp;MATCH(R998,CoinCollection!E:E,),"")</f>
        <v/>
      </c>
    </row>
    <row r="999" spans="14:25">
      <c r="N999" s="136"/>
      <c r="Y999" s="218" t="str">
        <f>IF(O999&lt;&gt;"","A"&amp;MATCH(R999,CoinCollection!E:E,),"")</f>
        <v/>
      </c>
    </row>
    <row r="1000" spans="14:25">
      <c r="N1000" s="136"/>
      <c r="Y1000" s="218" t="str">
        <f>IF(O1000&lt;&gt;"","A"&amp;MATCH(R1000,CoinCollection!E:E,),"")</f>
        <v/>
      </c>
    </row>
    <row r="1001" spans="14:25">
      <c r="N1001" s="136"/>
      <c r="Y1001" s="218" t="str">
        <f>IF(O1001&lt;&gt;"","A"&amp;MATCH(R1001,CoinCollection!E:E,),"")</f>
        <v/>
      </c>
    </row>
    <row r="1002" spans="14:25">
      <c r="N1002" s="136"/>
      <c r="Y1002" s="218" t="str">
        <f>IF(O1002&lt;&gt;"","A"&amp;MATCH(R1002,CoinCollection!E:E,),"")</f>
        <v/>
      </c>
    </row>
    <row r="1003" spans="14:25">
      <c r="N1003" s="136"/>
      <c r="Y1003" s="218" t="str">
        <f>IF(O1003&lt;&gt;"","A"&amp;MATCH(R1003,CoinCollection!E:E,),"")</f>
        <v/>
      </c>
    </row>
    <row r="1004" spans="14:25">
      <c r="N1004" s="136"/>
      <c r="Y1004" s="218" t="str">
        <f>IF(O1004&lt;&gt;"","A"&amp;MATCH(R1004,CoinCollection!E:E,),"")</f>
        <v/>
      </c>
    </row>
    <row r="1005" spans="14:25">
      <c r="N1005" s="136"/>
      <c r="Y1005" s="218" t="str">
        <f>IF(O1005&lt;&gt;"","A"&amp;MATCH(R1005,CoinCollection!E:E,),"")</f>
        <v/>
      </c>
    </row>
    <row r="1006" spans="14:25">
      <c r="N1006" s="136"/>
      <c r="Y1006" s="218" t="str">
        <f>IF(O1006&lt;&gt;"","A"&amp;MATCH(R1006,CoinCollection!E:E,),"")</f>
        <v/>
      </c>
    </row>
    <row r="1007" spans="14:25">
      <c r="N1007" s="136"/>
      <c r="Y1007" s="218" t="str">
        <f>IF(O1007&lt;&gt;"","A"&amp;MATCH(R1007,CoinCollection!E:E,),"")</f>
        <v/>
      </c>
    </row>
    <row r="1008" spans="14:25">
      <c r="N1008" s="136"/>
      <c r="Y1008" s="218" t="str">
        <f>IF(O1008&lt;&gt;"","A"&amp;MATCH(R1008,CoinCollection!E:E,),"")</f>
        <v/>
      </c>
    </row>
    <row r="1009" spans="14:25">
      <c r="N1009" s="136"/>
      <c r="Y1009" s="218" t="str">
        <f>IF(O1009&lt;&gt;"","A"&amp;MATCH(R1009,CoinCollection!E:E,),"")</f>
        <v/>
      </c>
    </row>
    <row r="1010" spans="14:25">
      <c r="N1010" s="136"/>
      <c r="Y1010" s="218" t="str">
        <f>IF(O1010&lt;&gt;"","A"&amp;MATCH(R1010,CoinCollection!E:E,),"")</f>
        <v/>
      </c>
    </row>
    <row r="1011" spans="14:25">
      <c r="N1011" s="136"/>
      <c r="Y1011" s="218" t="str">
        <f>IF(O1011&lt;&gt;"","A"&amp;MATCH(R1011,CoinCollection!E:E,),"")</f>
        <v/>
      </c>
    </row>
    <row r="1012" spans="14:25">
      <c r="N1012" s="136"/>
      <c r="Y1012" s="218" t="str">
        <f>IF(O1012&lt;&gt;"","A"&amp;MATCH(R1012,CoinCollection!E:E,),"")</f>
        <v/>
      </c>
    </row>
    <row r="1013" spans="14:25">
      <c r="N1013" s="136"/>
      <c r="Y1013" s="218" t="str">
        <f>IF(O1013&lt;&gt;"","A"&amp;MATCH(R1013,CoinCollection!E:E,),"")</f>
        <v/>
      </c>
    </row>
    <row r="1014" spans="14:25">
      <c r="N1014" s="136"/>
      <c r="Y1014" s="218" t="str">
        <f>IF(O1014&lt;&gt;"","A"&amp;MATCH(R1014,CoinCollection!E:E,),"")</f>
        <v/>
      </c>
    </row>
    <row r="1015" spans="14:25">
      <c r="N1015" s="136"/>
      <c r="Y1015" s="218" t="str">
        <f>IF(O1015&lt;&gt;"","A"&amp;MATCH(R1015,CoinCollection!E:E,),"")</f>
        <v/>
      </c>
    </row>
    <row r="1016" spans="14:25">
      <c r="N1016" s="136"/>
      <c r="Y1016" s="218" t="str">
        <f>IF(O1016&lt;&gt;"","A"&amp;MATCH(R1016,CoinCollection!E:E,),"")</f>
        <v/>
      </c>
    </row>
    <row r="1017" spans="14:25">
      <c r="N1017" s="136"/>
      <c r="Y1017" s="218" t="str">
        <f>IF(O1017&lt;&gt;"","A"&amp;MATCH(R1017,CoinCollection!E:E,),"")</f>
        <v/>
      </c>
    </row>
    <row r="1018" spans="14:25">
      <c r="N1018" s="136"/>
      <c r="Y1018" s="218" t="str">
        <f>IF(O1018&lt;&gt;"","A"&amp;MATCH(R1018,CoinCollection!E:E,),"")</f>
        <v/>
      </c>
    </row>
    <row r="1019" spans="14:25">
      <c r="N1019" s="136"/>
      <c r="Y1019" s="218" t="str">
        <f>IF(O1019&lt;&gt;"","A"&amp;MATCH(R1019,CoinCollection!E:E,),"")</f>
        <v/>
      </c>
    </row>
    <row r="1020" spans="14:25">
      <c r="N1020" s="136"/>
      <c r="Y1020" s="218" t="str">
        <f>IF(O1020&lt;&gt;"","A"&amp;MATCH(R1020,CoinCollection!E:E,),"")</f>
        <v/>
      </c>
    </row>
    <row r="1021" spans="14:25">
      <c r="N1021" s="136"/>
      <c r="Y1021" s="218" t="str">
        <f>IF(O1021&lt;&gt;"","A"&amp;MATCH(R1021,CoinCollection!E:E,),"")</f>
        <v/>
      </c>
    </row>
    <row r="1022" spans="14:25">
      <c r="N1022" s="136"/>
      <c r="Y1022" s="218" t="str">
        <f>IF(O1022&lt;&gt;"","A"&amp;MATCH(R1022,CoinCollection!E:E,),"")</f>
        <v/>
      </c>
    </row>
    <row r="1023" spans="14:25">
      <c r="N1023" s="136"/>
      <c r="Y1023" s="218" t="str">
        <f>IF(O1023&lt;&gt;"","A"&amp;MATCH(R1023,CoinCollection!E:E,),"")</f>
        <v/>
      </c>
    </row>
    <row r="1024" spans="14:25">
      <c r="N1024" s="136"/>
      <c r="Y1024" s="218" t="str">
        <f>IF(O1024&lt;&gt;"","A"&amp;MATCH(R1024,CoinCollection!E:E,),"")</f>
        <v/>
      </c>
    </row>
    <row r="1025" spans="14:25">
      <c r="N1025" s="136"/>
      <c r="Y1025" s="218" t="str">
        <f>IF(O1025&lt;&gt;"","A"&amp;MATCH(R1025,CoinCollection!E:E,),"")</f>
        <v/>
      </c>
    </row>
    <row r="1026" spans="14:25">
      <c r="N1026" s="136"/>
      <c r="Y1026" s="218" t="str">
        <f>IF(O1026&lt;&gt;"","A"&amp;MATCH(R1026,CoinCollection!E:E,),"")</f>
        <v/>
      </c>
    </row>
    <row r="1027" spans="14:25">
      <c r="N1027" s="136"/>
      <c r="Y1027" s="218" t="str">
        <f>IF(O1027&lt;&gt;"","A"&amp;MATCH(R1027,CoinCollection!E:E,),"")</f>
        <v/>
      </c>
    </row>
    <row r="1028" spans="14:25">
      <c r="N1028" s="136"/>
      <c r="Y1028" s="218" t="str">
        <f>IF(O1028&lt;&gt;"","A"&amp;MATCH(R1028,CoinCollection!E:E,),"")</f>
        <v/>
      </c>
    </row>
    <row r="1029" spans="14:25">
      <c r="N1029" s="136"/>
      <c r="Y1029" s="218" t="str">
        <f>IF(O1029&lt;&gt;"","A"&amp;MATCH(R1029,CoinCollection!E:E,),"")</f>
        <v/>
      </c>
    </row>
    <row r="1030" spans="14:25">
      <c r="N1030" s="136"/>
      <c r="Y1030" s="218" t="str">
        <f>IF(O1030&lt;&gt;"","A"&amp;MATCH(R1030,CoinCollection!E:E,),"")</f>
        <v/>
      </c>
    </row>
    <row r="1031" spans="14:25">
      <c r="N1031" s="136"/>
      <c r="Y1031" s="218" t="str">
        <f>IF(O1031&lt;&gt;"","A"&amp;MATCH(R1031,CoinCollection!E:E,),"")</f>
        <v/>
      </c>
    </row>
    <row r="1032" spans="14:25">
      <c r="N1032" s="136"/>
      <c r="Y1032" s="218" t="str">
        <f>IF(O1032&lt;&gt;"","A"&amp;MATCH(R1032,CoinCollection!E:E,),"")</f>
        <v/>
      </c>
    </row>
    <row r="1033" spans="14:25">
      <c r="N1033" s="136"/>
      <c r="Y1033" s="218" t="str">
        <f>IF(O1033&lt;&gt;"","A"&amp;MATCH(R1033,CoinCollection!E:E,),"")</f>
        <v/>
      </c>
    </row>
    <row r="1034" spans="14:25">
      <c r="N1034" s="136"/>
      <c r="Y1034" s="218" t="str">
        <f>IF(O1034&lt;&gt;"","A"&amp;MATCH(R1034,CoinCollection!E:E,),"")</f>
        <v/>
      </c>
    </row>
    <row r="1035" spans="14:25">
      <c r="N1035" s="136"/>
      <c r="Y1035" s="218" t="str">
        <f>IF(O1035&lt;&gt;"","A"&amp;MATCH(R1035,CoinCollection!E:E,),"")</f>
        <v/>
      </c>
    </row>
    <row r="1036" spans="14:25">
      <c r="N1036" s="136"/>
      <c r="Y1036" s="218" t="str">
        <f>IF(O1036&lt;&gt;"","A"&amp;MATCH(R1036,CoinCollection!E:E,),"")</f>
        <v/>
      </c>
    </row>
    <row r="1037" spans="14:25">
      <c r="N1037" s="136"/>
      <c r="Y1037" s="218" t="str">
        <f>IF(O1037&lt;&gt;"","A"&amp;MATCH(R1037,CoinCollection!E:E,),"")</f>
        <v/>
      </c>
    </row>
    <row r="1038" spans="14:25">
      <c r="N1038" s="136"/>
      <c r="Y1038" s="218" t="str">
        <f>IF(O1038&lt;&gt;"","A"&amp;MATCH(R1038,CoinCollection!E:E,),"")</f>
        <v/>
      </c>
    </row>
    <row r="1039" spans="14:25">
      <c r="N1039" s="136"/>
      <c r="Y1039" s="218" t="str">
        <f>IF(O1039&lt;&gt;"","A"&amp;MATCH(R1039,CoinCollection!E:E,),"")</f>
        <v/>
      </c>
    </row>
    <row r="1040" spans="14:25">
      <c r="N1040" s="136"/>
      <c r="Y1040" s="218" t="str">
        <f>IF(O1040&lt;&gt;"","A"&amp;MATCH(R1040,CoinCollection!E:E,),"")</f>
        <v/>
      </c>
    </row>
    <row r="1041" spans="14:25">
      <c r="N1041" s="136"/>
      <c r="Y1041" s="218" t="str">
        <f>IF(O1041&lt;&gt;"","A"&amp;MATCH(R1041,CoinCollection!E:E,),"")</f>
        <v/>
      </c>
    </row>
    <row r="1042" spans="14:25">
      <c r="N1042" s="136"/>
      <c r="Y1042" s="218" t="str">
        <f>IF(O1042&lt;&gt;"","A"&amp;MATCH(R1042,CoinCollection!E:E,),"")</f>
        <v/>
      </c>
    </row>
    <row r="1043" spans="14:25">
      <c r="N1043" s="136"/>
      <c r="Y1043" s="218" t="str">
        <f>IF(O1043&lt;&gt;"","A"&amp;MATCH(R1043,CoinCollection!E:E,),"")</f>
        <v/>
      </c>
    </row>
    <row r="1044" spans="14:25">
      <c r="N1044" s="136"/>
      <c r="Y1044" s="218" t="str">
        <f>IF(O1044&lt;&gt;"","A"&amp;MATCH(R1044,CoinCollection!E:E,),"")</f>
        <v/>
      </c>
    </row>
    <row r="1045" spans="14:25">
      <c r="N1045" s="136"/>
      <c r="Y1045" s="218" t="str">
        <f>IF(O1045&lt;&gt;"","A"&amp;MATCH(R1045,CoinCollection!E:E,),"")</f>
        <v/>
      </c>
    </row>
    <row r="1046" spans="14:25">
      <c r="N1046" s="136"/>
      <c r="Y1046" s="218" t="str">
        <f>IF(O1046&lt;&gt;"","A"&amp;MATCH(R1046,CoinCollection!E:E,),"")</f>
        <v/>
      </c>
    </row>
    <row r="1047" spans="14:25">
      <c r="N1047" s="136"/>
      <c r="Y1047" s="218" t="str">
        <f>IF(O1047&lt;&gt;"","A"&amp;MATCH(R1047,CoinCollection!E:E,),"")</f>
        <v/>
      </c>
    </row>
    <row r="1048" spans="14:25">
      <c r="N1048" s="136"/>
      <c r="Y1048" s="218" t="str">
        <f>IF(O1048&lt;&gt;"","A"&amp;MATCH(R1048,CoinCollection!E:E,),"")</f>
        <v/>
      </c>
    </row>
    <row r="1049" spans="14:25">
      <c r="N1049" s="136"/>
      <c r="Y1049" s="218" t="str">
        <f>IF(O1049&lt;&gt;"","A"&amp;MATCH(R1049,CoinCollection!E:E,),"")</f>
        <v/>
      </c>
    </row>
    <row r="1050" spans="14:25">
      <c r="N1050" s="136"/>
      <c r="Y1050" s="218" t="str">
        <f>IF(O1050&lt;&gt;"","A"&amp;MATCH(R1050,CoinCollection!E:E,),"")</f>
        <v/>
      </c>
    </row>
    <row r="1051" spans="14:25">
      <c r="N1051" s="136"/>
      <c r="Y1051" s="218" t="str">
        <f>IF(O1051&lt;&gt;"","A"&amp;MATCH(R1051,CoinCollection!E:E,),"")</f>
        <v/>
      </c>
    </row>
    <row r="1052" spans="14:25">
      <c r="N1052" s="136"/>
      <c r="Y1052" s="218" t="str">
        <f>IF(O1052&lt;&gt;"","A"&amp;MATCH(R1052,CoinCollection!E:E,),"")</f>
        <v/>
      </c>
    </row>
    <row r="1053" spans="14:25">
      <c r="N1053" s="136"/>
      <c r="Y1053" s="218" t="str">
        <f>IF(O1053&lt;&gt;"","A"&amp;MATCH(R1053,CoinCollection!E:E,),"")</f>
        <v/>
      </c>
    </row>
    <row r="1054" spans="14:25">
      <c r="N1054" s="136"/>
      <c r="Y1054" s="218" t="str">
        <f>IF(O1054&lt;&gt;"","A"&amp;MATCH(R1054,CoinCollection!E:E,),"")</f>
        <v/>
      </c>
    </row>
    <row r="1055" spans="14:25">
      <c r="N1055" s="136"/>
      <c r="Y1055" s="218" t="str">
        <f>IF(O1055&lt;&gt;"","A"&amp;MATCH(R1055,CoinCollection!E:E,),"")</f>
        <v/>
      </c>
    </row>
    <row r="1056" spans="14:25">
      <c r="N1056" s="136"/>
      <c r="Y1056" s="218" t="str">
        <f>IF(O1056&lt;&gt;"","A"&amp;MATCH(R1056,CoinCollection!E:E,),"")</f>
        <v/>
      </c>
    </row>
    <row r="1057" spans="14:25">
      <c r="N1057" s="136"/>
      <c r="Y1057" s="218" t="str">
        <f>IF(O1057&lt;&gt;"","A"&amp;MATCH(R1057,CoinCollection!E:E,),"")</f>
        <v/>
      </c>
    </row>
    <row r="1058" spans="14:25">
      <c r="N1058" s="136"/>
      <c r="Y1058" s="218" t="str">
        <f>IF(O1058&lt;&gt;"","A"&amp;MATCH(R1058,CoinCollection!E:E,),"")</f>
        <v/>
      </c>
    </row>
    <row r="1059" spans="14:25">
      <c r="N1059" s="136"/>
      <c r="Y1059" s="218" t="str">
        <f>IF(O1059&lt;&gt;"","A"&amp;MATCH(R1059,CoinCollection!E:E,),"")</f>
        <v/>
      </c>
    </row>
    <row r="1060" spans="14:25">
      <c r="N1060" s="136"/>
      <c r="Y1060" s="218" t="str">
        <f>IF(O1060&lt;&gt;"","A"&amp;MATCH(R1060,CoinCollection!E:E,),"")</f>
        <v/>
      </c>
    </row>
    <row r="1061" spans="14:25">
      <c r="N1061" s="136"/>
      <c r="Y1061" s="218" t="str">
        <f>IF(O1061&lt;&gt;"","A"&amp;MATCH(R1061,CoinCollection!E:E,),"")</f>
        <v/>
      </c>
    </row>
    <row r="1062" spans="14:25">
      <c r="N1062" s="136"/>
      <c r="Y1062" s="218" t="str">
        <f>IF(O1062&lt;&gt;"","A"&amp;MATCH(R1062,CoinCollection!E:E,),"")</f>
        <v/>
      </c>
    </row>
    <row r="1063" spans="14:25">
      <c r="N1063" s="136"/>
      <c r="Y1063" s="218" t="str">
        <f>IF(O1063&lt;&gt;"","A"&amp;MATCH(R1063,CoinCollection!E:E,),"")</f>
        <v/>
      </c>
    </row>
    <row r="1064" spans="14:25">
      <c r="N1064" s="136"/>
      <c r="Y1064" s="218" t="str">
        <f>IF(O1064&lt;&gt;"","A"&amp;MATCH(R1064,CoinCollection!E:E,),"")</f>
        <v/>
      </c>
    </row>
    <row r="1065" spans="14:25">
      <c r="N1065" s="136"/>
      <c r="Y1065" s="218" t="str">
        <f>IF(O1065&lt;&gt;"","A"&amp;MATCH(R1065,CoinCollection!E:E,),"")</f>
        <v/>
      </c>
    </row>
    <row r="1066" spans="14:25">
      <c r="N1066" s="136"/>
      <c r="Y1066" s="218" t="str">
        <f>IF(O1066&lt;&gt;"","A"&amp;MATCH(R1066,CoinCollection!E:E,),"")</f>
        <v/>
      </c>
    </row>
    <row r="1067" spans="14:25">
      <c r="N1067" s="136"/>
      <c r="Y1067" s="218" t="str">
        <f>IF(O1067&lt;&gt;"","A"&amp;MATCH(R1067,CoinCollection!E:E,),"")</f>
        <v/>
      </c>
    </row>
    <row r="1068" spans="14:25">
      <c r="N1068" s="136"/>
      <c r="Y1068" s="218" t="str">
        <f>IF(O1068&lt;&gt;"","A"&amp;MATCH(R1068,CoinCollection!E:E,),"")</f>
        <v/>
      </c>
    </row>
    <row r="1069" spans="14:25">
      <c r="N1069" s="136"/>
      <c r="Y1069" s="218" t="str">
        <f>IF(O1069&lt;&gt;"","A"&amp;MATCH(R1069,CoinCollection!E:E,),"")</f>
        <v/>
      </c>
    </row>
    <row r="1070" spans="14:25">
      <c r="N1070" s="136"/>
      <c r="Y1070" s="218" t="str">
        <f>IF(O1070&lt;&gt;"","A"&amp;MATCH(R1070,CoinCollection!E:E,),"")</f>
        <v/>
      </c>
    </row>
    <row r="1071" spans="14:25">
      <c r="N1071" s="136"/>
      <c r="Y1071" s="218" t="str">
        <f>IF(O1071&lt;&gt;"","A"&amp;MATCH(R1071,CoinCollection!E:E,),"")</f>
        <v/>
      </c>
    </row>
    <row r="1072" spans="14:25">
      <c r="N1072" s="136"/>
      <c r="Y1072" s="218" t="str">
        <f>IF(O1072&lt;&gt;"","A"&amp;MATCH(R1072,CoinCollection!E:E,),"")</f>
        <v/>
      </c>
    </row>
    <row r="1073" spans="14:25">
      <c r="N1073" s="136"/>
      <c r="Y1073" s="218" t="str">
        <f>IF(O1073&lt;&gt;"","A"&amp;MATCH(R1073,CoinCollection!E:E,),"")</f>
        <v/>
      </c>
    </row>
    <row r="1074" spans="14:25">
      <c r="N1074" s="136"/>
      <c r="Y1074" s="218" t="str">
        <f>IF(O1074&lt;&gt;"","A"&amp;MATCH(R1074,CoinCollection!E:E,),"")</f>
        <v/>
      </c>
    </row>
    <row r="1075" spans="14:25">
      <c r="N1075" s="136"/>
      <c r="Y1075" s="218" t="str">
        <f>IF(O1075&lt;&gt;"","A"&amp;MATCH(R1075,CoinCollection!E:E,),"")</f>
        <v/>
      </c>
    </row>
    <row r="1076" spans="14:25">
      <c r="N1076" s="136"/>
      <c r="Y1076" s="218" t="str">
        <f>IF(O1076&lt;&gt;"","A"&amp;MATCH(R1076,CoinCollection!E:E,),"")</f>
        <v/>
      </c>
    </row>
    <row r="1077" spans="14:25">
      <c r="N1077" s="136"/>
      <c r="Y1077" s="218" t="str">
        <f>IF(O1077&lt;&gt;"","A"&amp;MATCH(R1077,CoinCollection!E:E,),"")</f>
        <v/>
      </c>
    </row>
    <row r="1078" spans="14:25">
      <c r="N1078" s="136"/>
      <c r="Y1078" s="218" t="str">
        <f>IF(O1078&lt;&gt;"","A"&amp;MATCH(R1078,CoinCollection!E:E,),"")</f>
        <v/>
      </c>
    </row>
    <row r="1079" spans="14:25">
      <c r="N1079" s="136"/>
      <c r="Y1079" s="218" t="str">
        <f>IF(O1079&lt;&gt;"","A"&amp;MATCH(R1079,CoinCollection!E:E,),"")</f>
        <v/>
      </c>
    </row>
    <row r="1080" spans="14:25">
      <c r="N1080" s="136"/>
      <c r="Y1080" s="218" t="str">
        <f>IF(O1080&lt;&gt;"","A"&amp;MATCH(R1080,CoinCollection!E:E,),"")</f>
        <v/>
      </c>
    </row>
    <row r="1081" spans="14:25">
      <c r="N1081" s="136"/>
      <c r="Y1081" s="218" t="str">
        <f>IF(O1081&lt;&gt;"","A"&amp;MATCH(R1081,CoinCollection!E:E,),"")</f>
        <v/>
      </c>
    </row>
    <row r="1082" spans="14:25">
      <c r="N1082" s="136"/>
      <c r="Y1082" s="218" t="str">
        <f>IF(O1082&lt;&gt;"","A"&amp;MATCH(R1082,CoinCollection!E:E,),"")</f>
        <v/>
      </c>
    </row>
    <row r="1083" spans="14:25">
      <c r="N1083" s="136"/>
      <c r="Y1083" s="218" t="str">
        <f>IF(O1083&lt;&gt;"","A"&amp;MATCH(R1083,CoinCollection!E:E,),"")</f>
        <v/>
      </c>
    </row>
    <row r="1084" spans="14:25">
      <c r="N1084" s="136"/>
      <c r="Y1084" s="218" t="str">
        <f>IF(O1084&lt;&gt;"","A"&amp;MATCH(R1084,CoinCollection!E:E,),"")</f>
        <v/>
      </c>
    </row>
    <row r="1085" spans="14:25">
      <c r="N1085" s="136"/>
      <c r="Y1085" s="218" t="str">
        <f>IF(O1085&lt;&gt;"","A"&amp;MATCH(R1085,CoinCollection!E:E,),"")</f>
        <v/>
      </c>
    </row>
    <row r="1086" spans="14:25">
      <c r="N1086" s="136"/>
      <c r="Y1086" s="218" t="str">
        <f>IF(O1086&lt;&gt;"","A"&amp;MATCH(R1086,CoinCollection!E:E,),"")</f>
        <v/>
      </c>
    </row>
    <row r="1087" spans="14:25">
      <c r="N1087" s="136"/>
      <c r="Y1087" s="218" t="str">
        <f>IF(O1087&lt;&gt;"","A"&amp;MATCH(R1087,CoinCollection!E:E,),"")</f>
        <v/>
      </c>
    </row>
    <row r="1088" spans="14:25">
      <c r="N1088" s="136"/>
      <c r="Y1088" s="218" t="str">
        <f>IF(O1088&lt;&gt;"","A"&amp;MATCH(R1088,CoinCollection!E:E,),"")</f>
        <v/>
      </c>
    </row>
    <row r="1089" spans="14:25">
      <c r="N1089" s="136"/>
      <c r="Y1089" s="218" t="str">
        <f>IF(O1089&lt;&gt;"","A"&amp;MATCH(R1089,CoinCollection!E:E,),"")</f>
        <v/>
      </c>
    </row>
    <row r="1090" spans="14:25">
      <c r="N1090" s="136"/>
      <c r="Y1090" s="218" t="str">
        <f>IF(O1090&lt;&gt;"","A"&amp;MATCH(R1090,CoinCollection!E:E,),"")</f>
        <v/>
      </c>
    </row>
    <row r="1091" spans="14:25">
      <c r="N1091" s="136"/>
      <c r="Y1091" s="218" t="str">
        <f>IF(O1091&lt;&gt;"","A"&amp;MATCH(R1091,CoinCollection!E:E,),"")</f>
        <v/>
      </c>
    </row>
    <row r="1092" spans="14:25">
      <c r="N1092" s="136"/>
      <c r="Y1092" s="218" t="str">
        <f>IF(O1092&lt;&gt;"","A"&amp;MATCH(R1092,CoinCollection!E:E,),"")</f>
        <v/>
      </c>
    </row>
    <row r="1093" spans="14:25">
      <c r="N1093" s="136"/>
      <c r="Y1093" s="218" t="str">
        <f>IF(O1093&lt;&gt;"","A"&amp;MATCH(R1093,CoinCollection!E:E,),"")</f>
        <v/>
      </c>
    </row>
    <row r="1094" spans="14:25">
      <c r="N1094" s="136"/>
      <c r="Y1094" s="218" t="str">
        <f>IF(O1094&lt;&gt;"","A"&amp;MATCH(R1094,CoinCollection!E:E,),"")</f>
        <v/>
      </c>
    </row>
    <row r="1095" spans="14:25">
      <c r="N1095" s="136"/>
      <c r="Y1095" s="218" t="str">
        <f>IF(O1095&lt;&gt;"","A"&amp;MATCH(R1095,CoinCollection!E:E,),"")</f>
        <v/>
      </c>
    </row>
    <row r="1096" spans="14:25">
      <c r="N1096" s="136"/>
      <c r="Y1096" s="218" t="str">
        <f>IF(O1096&lt;&gt;"","A"&amp;MATCH(R1096,CoinCollection!E:E,),"")</f>
        <v/>
      </c>
    </row>
    <row r="1097" spans="14:25">
      <c r="N1097" s="136"/>
      <c r="Y1097" s="218" t="str">
        <f>IF(O1097&lt;&gt;"","A"&amp;MATCH(R1097,CoinCollection!E:E,),"")</f>
        <v/>
      </c>
    </row>
    <row r="1098" spans="14:25">
      <c r="N1098" s="136"/>
      <c r="Y1098" s="218" t="str">
        <f>IF(O1098&lt;&gt;"","A"&amp;MATCH(R1098,CoinCollection!E:E,),"")</f>
        <v/>
      </c>
    </row>
    <row r="1099" spans="14:25">
      <c r="N1099" s="136"/>
      <c r="Y1099" s="218" t="str">
        <f>IF(O1099&lt;&gt;"","A"&amp;MATCH(R1099,CoinCollection!E:E,),"")</f>
        <v/>
      </c>
    </row>
    <row r="1100" spans="14:25">
      <c r="N1100" s="136"/>
      <c r="Y1100" s="218" t="str">
        <f>IF(O1100&lt;&gt;"","A"&amp;MATCH(R1100,CoinCollection!E:E,),"")</f>
        <v/>
      </c>
    </row>
    <row r="1101" spans="14:25">
      <c r="N1101" s="136"/>
      <c r="Y1101" s="218" t="str">
        <f>IF(O1101&lt;&gt;"","A"&amp;MATCH(R1101,CoinCollection!E:E,),"")</f>
        <v/>
      </c>
    </row>
    <row r="1102" spans="14:25">
      <c r="N1102" s="136"/>
      <c r="Y1102" s="218" t="str">
        <f>IF(O1102&lt;&gt;"","A"&amp;MATCH(R1102,CoinCollection!E:E,),"")</f>
        <v/>
      </c>
    </row>
    <row r="1103" spans="14:25">
      <c r="N1103" s="136"/>
      <c r="Y1103" s="218" t="str">
        <f>IF(O1103&lt;&gt;"","A"&amp;MATCH(R1103,CoinCollection!E:E,),"")</f>
        <v/>
      </c>
    </row>
    <row r="1104" spans="14:25">
      <c r="N1104" s="136"/>
      <c r="Y1104" s="218" t="str">
        <f>IF(O1104&lt;&gt;"","A"&amp;MATCH(R1104,CoinCollection!E:E,),"")</f>
        <v/>
      </c>
    </row>
    <row r="1105" spans="14:25">
      <c r="N1105" s="136"/>
      <c r="Y1105" s="218" t="str">
        <f>IF(O1105&lt;&gt;"","A"&amp;MATCH(R1105,CoinCollection!E:E,),"")</f>
        <v/>
      </c>
    </row>
    <row r="1106" spans="14:25">
      <c r="N1106" s="136"/>
      <c r="Y1106" s="218" t="str">
        <f>IF(O1106&lt;&gt;"","A"&amp;MATCH(R1106,CoinCollection!E:E,),"")</f>
        <v/>
      </c>
    </row>
    <row r="1107" spans="14:25">
      <c r="N1107" s="136"/>
      <c r="Y1107" s="218" t="str">
        <f>IF(O1107&lt;&gt;"","A"&amp;MATCH(R1107,CoinCollection!E:E,),"")</f>
        <v/>
      </c>
    </row>
    <row r="1108" spans="14:25">
      <c r="N1108" s="136"/>
      <c r="Y1108" s="218" t="str">
        <f>IF(O1108&lt;&gt;"","A"&amp;MATCH(R1108,CoinCollection!E:E,),"")</f>
        <v/>
      </c>
    </row>
    <row r="1109" spans="14:25">
      <c r="N1109" s="136"/>
      <c r="Y1109" s="218" t="str">
        <f>IF(O1109&lt;&gt;"","A"&amp;MATCH(R1109,CoinCollection!E:E,),"")</f>
        <v/>
      </c>
    </row>
    <row r="1110" spans="14:25">
      <c r="N1110" s="136"/>
      <c r="Y1110" s="218" t="str">
        <f>IF(O1110&lt;&gt;"","A"&amp;MATCH(R1110,CoinCollection!E:E,),"")</f>
        <v/>
      </c>
    </row>
    <row r="1111" spans="14:25">
      <c r="N1111" s="136"/>
      <c r="Y1111" s="218" t="str">
        <f>IF(O1111&lt;&gt;"","A"&amp;MATCH(R1111,CoinCollection!E:E,),"")</f>
        <v/>
      </c>
    </row>
    <row r="1112" spans="14:25">
      <c r="N1112" s="136"/>
      <c r="Y1112" s="218" t="str">
        <f>IF(O1112&lt;&gt;"","A"&amp;MATCH(R1112,CoinCollection!E:E,),"")</f>
        <v/>
      </c>
    </row>
    <row r="1113" spans="14:25">
      <c r="N1113" s="136"/>
      <c r="Y1113" s="218" t="str">
        <f>IF(O1113&lt;&gt;"","A"&amp;MATCH(R1113,CoinCollection!E:E,),"")</f>
        <v/>
      </c>
    </row>
    <row r="1114" spans="14:25">
      <c r="N1114" s="136"/>
      <c r="Y1114" s="218" t="str">
        <f>IF(O1114&lt;&gt;"","A"&amp;MATCH(R1114,CoinCollection!E:E,),"")</f>
        <v/>
      </c>
    </row>
    <row r="1115" spans="14:25">
      <c r="N1115" s="136"/>
      <c r="Y1115" s="218" t="str">
        <f>IF(O1115&lt;&gt;"","A"&amp;MATCH(R1115,CoinCollection!E:E,),"")</f>
        <v/>
      </c>
    </row>
    <row r="1116" spans="14:25">
      <c r="N1116" s="136"/>
      <c r="Y1116" s="218" t="str">
        <f>IF(O1116&lt;&gt;"","A"&amp;MATCH(R1116,CoinCollection!E:E,),"")</f>
        <v/>
      </c>
    </row>
    <row r="1117" spans="14:25">
      <c r="N1117" s="136"/>
      <c r="Y1117" s="218" t="str">
        <f>IF(O1117&lt;&gt;"","A"&amp;MATCH(R1117,CoinCollection!E:E,),"")</f>
        <v/>
      </c>
    </row>
    <row r="1118" spans="14:25">
      <c r="N1118" s="136"/>
      <c r="Y1118" s="218" t="str">
        <f>IF(O1118&lt;&gt;"","A"&amp;MATCH(R1118,CoinCollection!E:E,),"")</f>
        <v/>
      </c>
    </row>
    <row r="1119" spans="14:25">
      <c r="N1119" s="136"/>
      <c r="Y1119" s="218" t="str">
        <f>IF(O1119&lt;&gt;"","A"&amp;MATCH(R1119,CoinCollection!E:E,),"")</f>
        <v/>
      </c>
    </row>
    <row r="1120" spans="14:25">
      <c r="N1120" s="136"/>
      <c r="Y1120" s="218" t="str">
        <f>IF(O1120&lt;&gt;"","A"&amp;MATCH(R1120,CoinCollection!E:E,),"")</f>
        <v/>
      </c>
    </row>
    <row r="1121" spans="14:25">
      <c r="N1121" s="136"/>
      <c r="Y1121" s="218" t="str">
        <f>IF(O1121&lt;&gt;"","A"&amp;MATCH(R1121,CoinCollection!E:E,),"")</f>
        <v/>
      </c>
    </row>
    <row r="1122" spans="14:25">
      <c r="N1122" s="136"/>
      <c r="Y1122" s="218" t="str">
        <f>IF(O1122&lt;&gt;"","A"&amp;MATCH(R1122,CoinCollection!E:E,),"")</f>
        <v/>
      </c>
    </row>
    <row r="1123" spans="14:25">
      <c r="N1123" s="136"/>
      <c r="Y1123" s="218" t="str">
        <f>IF(O1123&lt;&gt;"","A"&amp;MATCH(R1123,CoinCollection!E:E,),"")</f>
        <v/>
      </c>
    </row>
    <row r="1124" spans="14:25">
      <c r="N1124" s="136"/>
      <c r="Y1124" s="218" t="str">
        <f>IF(O1124&lt;&gt;"","A"&amp;MATCH(R1124,CoinCollection!E:E,),"")</f>
        <v/>
      </c>
    </row>
    <row r="1125" spans="14:25">
      <c r="N1125" s="136"/>
      <c r="Y1125" s="218" t="str">
        <f>IF(O1125&lt;&gt;"","A"&amp;MATCH(R1125,CoinCollection!E:E,),"")</f>
        <v/>
      </c>
    </row>
    <row r="1126" spans="14:25">
      <c r="N1126" s="136"/>
      <c r="Y1126" s="218" t="str">
        <f>IF(O1126&lt;&gt;"","A"&amp;MATCH(R1126,CoinCollection!E:E,),"")</f>
        <v/>
      </c>
    </row>
    <row r="1127" spans="14:25">
      <c r="N1127" s="136"/>
      <c r="Y1127" s="218" t="str">
        <f>IF(O1127&lt;&gt;"","A"&amp;MATCH(R1127,CoinCollection!E:E,),"")</f>
        <v/>
      </c>
    </row>
    <row r="1128" spans="14:25">
      <c r="N1128" s="136"/>
      <c r="Y1128" s="218" t="str">
        <f>IF(O1128&lt;&gt;"","A"&amp;MATCH(R1128,CoinCollection!E:E,),"")</f>
        <v/>
      </c>
    </row>
    <row r="1129" spans="14:25">
      <c r="N1129" s="136"/>
      <c r="Y1129" s="218" t="str">
        <f>IF(O1129&lt;&gt;"","A"&amp;MATCH(R1129,CoinCollection!E:E,),"")</f>
        <v/>
      </c>
    </row>
    <row r="1130" spans="14:25">
      <c r="N1130" s="136"/>
      <c r="Y1130" s="218" t="str">
        <f>IF(O1130&lt;&gt;"","A"&amp;MATCH(R1130,CoinCollection!E:E,),"")</f>
        <v/>
      </c>
    </row>
    <row r="1131" spans="14:25">
      <c r="N1131" s="136"/>
      <c r="Y1131" s="218" t="str">
        <f>IF(O1131&lt;&gt;"","A"&amp;MATCH(R1131,CoinCollection!E:E,),"")</f>
        <v/>
      </c>
    </row>
    <row r="1132" spans="14:25">
      <c r="N1132" s="136"/>
      <c r="Y1132" s="218" t="str">
        <f>IF(O1132&lt;&gt;"","A"&amp;MATCH(R1132,CoinCollection!E:E,),"")</f>
        <v/>
      </c>
    </row>
    <row r="1133" spans="14:25">
      <c r="N1133" s="136"/>
      <c r="Y1133" s="218" t="str">
        <f>IF(O1133&lt;&gt;"","A"&amp;MATCH(R1133,CoinCollection!E:E,),"")</f>
        <v/>
      </c>
    </row>
    <row r="1134" spans="14:25">
      <c r="N1134" s="136"/>
      <c r="Y1134" s="218" t="str">
        <f>IF(O1134&lt;&gt;"","A"&amp;MATCH(R1134,CoinCollection!E:E,),"")</f>
        <v/>
      </c>
    </row>
    <row r="1135" spans="14:25">
      <c r="N1135" s="136"/>
      <c r="Y1135" s="218" t="str">
        <f>IF(O1135&lt;&gt;"","A"&amp;MATCH(R1135,CoinCollection!E:E,),"")</f>
        <v/>
      </c>
    </row>
    <row r="1136" spans="14:25">
      <c r="N1136" s="136"/>
      <c r="Y1136" s="218" t="str">
        <f>IF(O1136&lt;&gt;"","A"&amp;MATCH(R1136,CoinCollection!E:E,),"")</f>
        <v/>
      </c>
    </row>
    <row r="1137" spans="14:25">
      <c r="N1137" s="136"/>
      <c r="Y1137" s="218" t="str">
        <f>IF(O1137&lt;&gt;"","A"&amp;MATCH(R1137,CoinCollection!E:E,),"")</f>
        <v/>
      </c>
    </row>
    <row r="1138" spans="14:25">
      <c r="N1138" s="136"/>
      <c r="Y1138" s="218" t="str">
        <f>IF(O1138&lt;&gt;"","A"&amp;MATCH(R1138,CoinCollection!E:E,),"")</f>
        <v/>
      </c>
    </row>
    <row r="1139" spans="14:25">
      <c r="N1139" s="136"/>
      <c r="Y1139" s="218" t="str">
        <f>IF(O1139&lt;&gt;"","A"&amp;MATCH(R1139,CoinCollection!E:E,),"")</f>
        <v/>
      </c>
    </row>
    <row r="1140" spans="14:25">
      <c r="N1140" s="136"/>
      <c r="Y1140" s="218" t="str">
        <f>IF(O1140&lt;&gt;"","A"&amp;MATCH(R1140,CoinCollection!E:E,),"")</f>
        <v/>
      </c>
    </row>
    <row r="1141" spans="14:25">
      <c r="N1141" s="136"/>
      <c r="Y1141" s="218" t="str">
        <f>IF(O1141&lt;&gt;"","A"&amp;MATCH(R1141,CoinCollection!E:E,),"")</f>
        <v/>
      </c>
    </row>
    <row r="1142" spans="14:25">
      <c r="N1142" s="136"/>
      <c r="Y1142" s="218" t="str">
        <f>IF(O1142&lt;&gt;"","A"&amp;MATCH(R1142,CoinCollection!E:E,),"")</f>
        <v/>
      </c>
    </row>
    <row r="1143" spans="14:25">
      <c r="N1143" s="136"/>
      <c r="Y1143" s="218" t="str">
        <f>IF(O1143&lt;&gt;"","A"&amp;MATCH(R1143,CoinCollection!E:E,),"")</f>
        <v/>
      </c>
    </row>
    <row r="1144" spans="14:25">
      <c r="N1144" s="136"/>
      <c r="Y1144" s="218" t="str">
        <f>IF(O1144&lt;&gt;"","A"&amp;MATCH(R1144,CoinCollection!E:E,),"")</f>
        <v/>
      </c>
    </row>
    <row r="1145" spans="14:25">
      <c r="N1145" s="136"/>
      <c r="Y1145" s="218" t="str">
        <f>IF(O1145&lt;&gt;"","A"&amp;MATCH(R1145,CoinCollection!E:E,),"")</f>
        <v/>
      </c>
    </row>
    <row r="1146" spans="14:25">
      <c r="N1146" s="136"/>
      <c r="Y1146" s="218" t="str">
        <f>IF(O1146&lt;&gt;"","A"&amp;MATCH(R1146,CoinCollection!E:E,),"")</f>
        <v/>
      </c>
    </row>
    <row r="1147" spans="14:25">
      <c r="N1147" s="136"/>
      <c r="Y1147" s="218" t="str">
        <f>IF(O1147&lt;&gt;"","A"&amp;MATCH(R1147,CoinCollection!E:E,),"")</f>
        <v/>
      </c>
    </row>
    <row r="1148" spans="14:25">
      <c r="N1148" s="136"/>
      <c r="Y1148" s="218" t="str">
        <f>IF(O1148&lt;&gt;"","A"&amp;MATCH(R1148,CoinCollection!E:E,),"")</f>
        <v/>
      </c>
    </row>
    <row r="1149" spans="14:25">
      <c r="N1149" s="136"/>
      <c r="Y1149" s="218" t="str">
        <f>IF(O1149&lt;&gt;"","A"&amp;MATCH(R1149,CoinCollection!E:E,),"")</f>
        <v/>
      </c>
    </row>
    <row r="1150" spans="14:25">
      <c r="N1150" s="136"/>
      <c r="Y1150" s="218" t="str">
        <f>IF(O1150&lt;&gt;"","A"&amp;MATCH(R1150,CoinCollection!E:E,),"")</f>
        <v/>
      </c>
    </row>
    <row r="1151" spans="14:25">
      <c r="N1151" s="136"/>
      <c r="Y1151" s="218" t="str">
        <f>IF(O1151&lt;&gt;"","A"&amp;MATCH(R1151,CoinCollection!E:E,),"")</f>
        <v/>
      </c>
    </row>
    <row r="1152" spans="14:25">
      <c r="N1152" s="136"/>
      <c r="Y1152" s="218" t="str">
        <f>IF(O1152&lt;&gt;"","A"&amp;MATCH(R1152,CoinCollection!E:E,),"")</f>
        <v/>
      </c>
    </row>
    <row r="1153" spans="14:25">
      <c r="N1153" s="136"/>
      <c r="Y1153" s="218" t="str">
        <f>IF(O1153&lt;&gt;"","A"&amp;MATCH(R1153,CoinCollection!E:E,),"")</f>
        <v/>
      </c>
    </row>
    <row r="1154" spans="14:25">
      <c r="N1154" s="136"/>
      <c r="Y1154" s="218" t="str">
        <f>IF(O1154&lt;&gt;"","A"&amp;MATCH(R1154,CoinCollection!E:E,),"")</f>
        <v/>
      </c>
    </row>
    <row r="1155" spans="14:25">
      <c r="N1155" s="136"/>
      <c r="Y1155" s="218" t="str">
        <f>IF(O1155&lt;&gt;"","A"&amp;MATCH(R1155,CoinCollection!E:E,),"")</f>
        <v/>
      </c>
    </row>
    <row r="1156" spans="14:25">
      <c r="N1156" s="136"/>
      <c r="Y1156" s="218" t="str">
        <f>IF(O1156&lt;&gt;"","A"&amp;MATCH(R1156,CoinCollection!E:E,),"")</f>
        <v/>
      </c>
    </row>
    <row r="1157" spans="14:25">
      <c r="N1157" s="136"/>
      <c r="Y1157" s="218" t="str">
        <f>IF(O1157&lt;&gt;"","A"&amp;MATCH(R1157,CoinCollection!E:E,),"")</f>
        <v/>
      </c>
    </row>
    <row r="1158" spans="14:25">
      <c r="N1158" s="136"/>
      <c r="Y1158" s="218" t="str">
        <f>IF(O1158&lt;&gt;"","A"&amp;MATCH(R1158,CoinCollection!E:E,),"")</f>
        <v/>
      </c>
    </row>
    <row r="1159" spans="14:25">
      <c r="N1159" s="136"/>
      <c r="Y1159" s="218" t="str">
        <f>IF(O1159&lt;&gt;"","A"&amp;MATCH(R1159,CoinCollection!E:E,),"")</f>
        <v/>
      </c>
    </row>
    <row r="1160" spans="14:25">
      <c r="N1160" s="136"/>
      <c r="Y1160" s="218" t="str">
        <f>IF(O1160&lt;&gt;"","A"&amp;MATCH(R1160,CoinCollection!E:E,),"")</f>
        <v/>
      </c>
    </row>
    <row r="1161" spans="14:25">
      <c r="N1161" s="136"/>
      <c r="Y1161" s="218" t="str">
        <f>IF(O1161&lt;&gt;"","A"&amp;MATCH(R1161,CoinCollection!E:E,),"")</f>
        <v/>
      </c>
    </row>
    <row r="1162" spans="14:25">
      <c r="N1162" s="136"/>
      <c r="Y1162" s="218" t="str">
        <f>IF(O1162&lt;&gt;"","A"&amp;MATCH(R1162,CoinCollection!E:E,),"")</f>
        <v/>
      </c>
    </row>
    <row r="1163" spans="14:25">
      <c r="N1163" s="136"/>
      <c r="Y1163" s="218" t="str">
        <f>IF(O1163&lt;&gt;"","A"&amp;MATCH(R1163,CoinCollection!E:E,),"")</f>
        <v/>
      </c>
    </row>
    <row r="1164" spans="14:25">
      <c r="N1164" s="136"/>
      <c r="Y1164" s="218" t="str">
        <f>IF(O1164&lt;&gt;"","A"&amp;MATCH(R1164,CoinCollection!E:E,),"")</f>
        <v/>
      </c>
    </row>
    <row r="1165" spans="14:25">
      <c r="N1165" s="136"/>
      <c r="Y1165" s="218" t="str">
        <f>IF(O1165&lt;&gt;"","A"&amp;MATCH(R1165,CoinCollection!E:E,),"")</f>
        <v/>
      </c>
    </row>
    <row r="1166" spans="14:25">
      <c r="N1166" s="136"/>
      <c r="Y1166" s="218" t="str">
        <f>IF(O1166&lt;&gt;"","A"&amp;MATCH(R1166,CoinCollection!E:E,),"")</f>
        <v/>
      </c>
    </row>
    <row r="1167" spans="14:25">
      <c r="N1167" s="136"/>
      <c r="Y1167" s="218" t="str">
        <f>IF(O1167&lt;&gt;"","A"&amp;MATCH(R1167,CoinCollection!E:E,),"")</f>
        <v/>
      </c>
    </row>
    <row r="1168" spans="14:25">
      <c r="N1168" s="136"/>
      <c r="Y1168" s="218" t="str">
        <f>IF(O1168&lt;&gt;"","A"&amp;MATCH(R1168,CoinCollection!E:E,),"")</f>
        <v/>
      </c>
    </row>
    <row r="1169" spans="14:25">
      <c r="N1169" s="136"/>
      <c r="Y1169" s="218" t="str">
        <f>IF(O1169&lt;&gt;"","A"&amp;MATCH(R1169,CoinCollection!E:E,),"")</f>
        <v/>
      </c>
    </row>
    <row r="1170" spans="14:25">
      <c r="N1170" s="136"/>
      <c r="Y1170" s="218" t="str">
        <f>IF(O1170&lt;&gt;"","A"&amp;MATCH(R1170,CoinCollection!E:E,),"")</f>
        <v/>
      </c>
    </row>
    <row r="1171" spans="14:25">
      <c r="N1171" s="136"/>
      <c r="Y1171" s="218" t="str">
        <f>IF(O1171&lt;&gt;"","A"&amp;MATCH(R1171,CoinCollection!E:E,),"")</f>
        <v/>
      </c>
    </row>
    <row r="1172" spans="14:25">
      <c r="N1172" s="136"/>
      <c r="Y1172" s="218" t="str">
        <f>IF(O1172&lt;&gt;"","A"&amp;MATCH(R1172,CoinCollection!E:E,),"")</f>
        <v/>
      </c>
    </row>
    <row r="1173" spans="14:25">
      <c r="N1173" s="136"/>
      <c r="Y1173" s="218" t="str">
        <f>IF(O1173&lt;&gt;"","A"&amp;MATCH(R1173,CoinCollection!E:E,),"")</f>
        <v/>
      </c>
    </row>
    <row r="1174" spans="14:25">
      <c r="N1174" s="136"/>
      <c r="Y1174" s="218" t="str">
        <f>IF(O1174&lt;&gt;"","A"&amp;MATCH(R1174,CoinCollection!E:E,),"")</f>
        <v/>
      </c>
    </row>
    <row r="1175" spans="14:25">
      <c r="N1175" s="136"/>
      <c r="Y1175" s="218" t="str">
        <f>IF(O1175&lt;&gt;"","A"&amp;MATCH(R1175,CoinCollection!E:E,),"")</f>
        <v/>
      </c>
    </row>
    <row r="1176" spans="14:25">
      <c r="N1176" s="136"/>
      <c r="Y1176" s="218" t="str">
        <f>IF(O1176&lt;&gt;"","A"&amp;MATCH(R1176,CoinCollection!E:E,),"")</f>
        <v/>
      </c>
    </row>
    <row r="1177" spans="14:25">
      <c r="N1177" s="136"/>
      <c r="Y1177" s="218" t="str">
        <f>IF(O1177&lt;&gt;"","A"&amp;MATCH(R1177,CoinCollection!E:E,),"")</f>
        <v/>
      </c>
    </row>
    <row r="1178" spans="14:25">
      <c r="N1178" s="136"/>
      <c r="Y1178" s="218" t="str">
        <f>IF(O1178&lt;&gt;"","A"&amp;MATCH(R1178,CoinCollection!E:E,),"")</f>
        <v/>
      </c>
    </row>
    <row r="1179" spans="14:25">
      <c r="N1179" s="136"/>
      <c r="Y1179" s="218" t="str">
        <f>IF(O1179&lt;&gt;"","A"&amp;MATCH(R1179,CoinCollection!E:E,),"")</f>
        <v/>
      </c>
    </row>
    <row r="1180" spans="14:25">
      <c r="N1180" s="136"/>
      <c r="Y1180" s="218" t="str">
        <f>IF(O1180&lt;&gt;"","A"&amp;MATCH(R1180,CoinCollection!E:E,),"")</f>
        <v/>
      </c>
    </row>
    <row r="1181" spans="14:25">
      <c r="N1181" s="136"/>
    </row>
    <row r="1182" spans="14:25">
      <c r="N1182" s="136"/>
    </row>
    <row r="1183" spans="14:25">
      <c r="N1183" s="136"/>
    </row>
    <row r="1184" spans="14:25">
      <c r="N1184" s="136"/>
    </row>
  </sheetData>
  <sortState xmlns:xlrd2="http://schemas.microsoft.com/office/spreadsheetml/2017/richdata2" ref="BO5:BO81">
    <sortCondition descending="1" ref="BO5:BO81"/>
  </sortState>
  <dataValidations count="1">
    <dataValidation type="list" allowBlank="1" showInputMessage="1" showErrorMessage="1" sqref="BU4 BB1" xr:uid="{F0666AC5-36BB-490E-8897-26D356C61AC2}">
      <formula1>$BU$4:$BU$81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68BB5DB-F7BF-4D0F-ADE6-EB9CADD2C19F}">
          <x14:formula1>
            <xm:f>Dashboard!$A$8:$A$17</xm:f>
          </x14:formula1>
          <xm:sqref>O1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5F943-C4D1-4AD5-AE14-836BD232EAF8}">
  <sheetPr codeName="Sheet4">
    <tabColor theme="9" tint="0.79998168889431442"/>
  </sheetPr>
  <dimension ref="A1:R172"/>
  <sheetViews>
    <sheetView topLeftCell="A37" workbookViewId="0">
      <selection activeCell="B47" sqref="B47"/>
    </sheetView>
  </sheetViews>
  <sheetFormatPr defaultColWidth="11.42578125" defaultRowHeight="12.75"/>
  <cols>
    <col min="1" max="7" width="17.42578125" customWidth="1"/>
    <col min="9" max="9" width="13.7109375" customWidth="1"/>
    <col min="10" max="10" width="11" customWidth="1"/>
    <col min="11" max="11" width="20.140625" style="3" bestFit="1" customWidth="1"/>
    <col min="12" max="12" width="23" style="3" bestFit="1" customWidth="1"/>
    <col min="13" max="13" width="14.140625" bestFit="1" customWidth="1"/>
    <col min="14" max="14" width="23.140625" bestFit="1" customWidth="1"/>
  </cols>
  <sheetData>
    <row r="1" spans="1:11">
      <c r="A1" s="1" t="s">
        <v>28</v>
      </c>
      <c r="B1" s="1" t="s">
        <v>29</v>
      </c>
      <c r="C1" s="1" t="s">
        <v>30</v>
      </c>
      <c r="D1" s="1" t="s">
        <v>31</v>
      </c>
      <c r="E1" s="1" t="s">
        <v>32</v>
      </c>
      <c r="F1" s="1" t="s">
        <v>33</v>
      </c>
      <c r="G1" s="1" t="s">
        <v>34</v>
      </c>
      <c r="H1" s="1" t="s">
        <v>35</v>
      </c>
      <c r="I1" s="1" t="s">
        <v>36</v>
      </c>
      <c r="J1" s="1" t="s">
        <v>37</v>
      </c>
    </row>
    <row r="2" spans="1:11">
      <c r="A2" s="2">
        <v>1892</v>
      </c>
      <c r="B2" t="s">
        <v>38</v>
      </c>
      <c r="C2" s="3">
        <v>1922</v>
      </c>
      <c r="D2" s="3" t="s">
        <v>39</v>
      </c>
      <c r="E2" s="3"/>
      <c r="F2" s="3"/>
      <c r="G2" s="3"/>
      <c r="H2" s="3" t="s">
        <v>40</v>
      </c>
      <c r="I2" s="3"/>
      <c r="J2" s="186">
        <v>2024</v>
      </c>
    </row>
    <row r="3" spans="1:11">
      <c r="A3" s="2">
        <v>1893</v>
      </c>
      <c r="B3" t="s">
        <v>41</v>
      </c>
      <c r="C3" s="3" t="s">
        <v>42</v>
      </c>
      <c r="D3" s="3"/>
      <c r="E3" s="3"/>
      <c r="F3" s="3"/>
      <c r="G3" s="3"/>
      <c r="J3" s="186" t="s">
        <v>43</v>
      </c>
    </row>
    <row r="4" spans="1:11">
      <c r="A4" s="3">
        <v>1894</v>
      </c>
      <c r="B4" t="s">
        <v>44</v>
      </c>
      <c r="D4" s="3"/>
      <c r="E4" s="3"/>
      <c r="F4" s="3"/>
      <c r="G4" s="3"/>
      <c r="H4" s="3"/>
      <c r="J4" s="186" t="s">
        <v>45</v>
      </c>
    </row>
    <row r="5" spans="1:11">
      <c r="A5" s="2">
        <v>1895</v>
      </c>
      <c r="B5" t="s">
        <v>46</v>
      </c>
      <c r="C5" s="3"/>
      <c r="D5" s="3"/>
      <c r="E5" s="3"/>
      <c r="F5" s="3"/>
      <c r="G5" s="3"/>
      <c r="I5" s="3"/>
      <c r="J5" s="3">
        <v>2025</v>
      </c>
    </row>
    <row r="6" spans="1:11">
      <c r="A6" s="2">
        <v>1897</v>
      </c>
      <c r="C6" s="3"/>
      <c r="D6" s="3"/>
      <c r="E6" s="3"/>
      <c r="F6" s="3"/>
      <c r="G6" s="3"/>
      <c r="H6" s="3"/>
      <c r="I6" s="3"/>
      <c r="J6" s="3" t="s">
        <v>1179</v>
      </c>
    </row>
    <row r="7" spans="1:11">
      <c r="A7" s="2">
        <v>1898</v>
      </c>
      <c r="C7" s="3"/>
      <c r="D7" s="3"/>
      <c r="E7" s="3"/>
      <c r="F7" s="3"/>
      <c r="G7" s="3"/>
      <c r="J7" s="186" t="s">
        <v>1180</v>
      </c>
    </row>
    <row r="8" spans="1:11">
      <c r="A8" s="3"/>
      <c r="C8" s="3"/>
      <c r="D8" s="3"/>
      <c r="E8" s="3"/>
      <c r="F8" s="3"/>
      <c r="G8" s="3"/>
      <c r="H8" s="3"/>
      <c r="J8" s="3">
        <v>2026</v>
      </c>
    </row>
    <row r="9" spans="1:11">
      <c r="A9" s="3"/>
      <c r="D9" s="3" t="s">
        <v>3828</v>
      </c>
      <c r="E9" s="3"/>
      <c r="F9" s="3"/>
      <c r="G9" s="3"/>
      <c r="H9" s="3"/>
      <c r="I9" s="3"/>
      <c r="J9" s="3" t="s">
        <v>1587</v>
      </c>
    </row>
    <row r="10" spans="1:11">
      <c r="A10" s="3"/>
      <c r="C10" s="3"/>
      <c r="D10" s="3"/>
      <c r="E10" s="3"/>
      <c r="F10" s="3"/>
      <c r="G10" s="3"/>
      <c r="H10" s="3"/>
      <c r="I10" s="3"/>
      <c r="J10" s="3" t="s">
        <v>4911</v>
      </c>
    </row>
    <row r="11" spans="1:11">
      <c r="A11" s="3"/>
      <c r="B11" s="3"/>
      <c r="C11" s="3"/>
      <c r="D11" s="3"/>
      <c r="E11" s="3"/>
      <c r="F11" s="3"/>
      <c r="G11" s="3"/>
      <c r="H11" s="3"/>
      <c r="I11" s="3"/>
    </row>
    <row r="12" spans="1:11">
      <c r="A12" s="3"/>
      <c r="C12" s="3"/>
      <c r="D12" s="3"/>
      <c r="E12" s="3"/>
      <c r="F12" s="3"/>
      <c r="G12" s="3"/>
      <c r="I12" s="186" t="s">
        <v>2155</v>
      </c>
      <c r="K12" s="3">
        <v>23</v>
      </c>
    </row>
    <row r="13" spans="1:11">
      <c r="A13" s="3"/>
      <c r="B13" s="4"/>
      <c r="D13" s="3"/>
      <c r="E13" s="3"/>
      <c r="F13" s="3"/>
      <c r="G13" s="3"/>
      <c r="I13" s="3"/>
    </row>
    <row r="14" spans="1:11">
      <c r="A14" s="3"/>
      <c r="B14" s="4"/>
      <c r="D14" s="3"/>
      <c r="E14" s="3"/>
      <c r="F14" s="3"/>
      <c r="G14" s="3"/>
      <c r="I14" s="3"/>
    </row>
    <row r="15" spans="1:11">
      <c r="A15" s="3"/>
      <c r="C15" s="3"/>
      <c r="D15" s="3"/>
      <c r="E15" s="3"/>
      <c r="F15" s="3"/>
      <c r="G15" s="3"/>
      <c r="I15" s="3"/>
    </row>
    <row r="16" spans="1:11">
      <c r="A16" s="1" t="str">
        <f t="shared" ref="A16:I16" si="0">"Needed = "&amp;COUNTA(A2:A15)</f>
        <v>Needed = 6</v>
      </c>
      <c r="B16" s="1" t="str">
        <f t="shared" si="0"/>
        <v>Needed = 4</v>
      </c>
      <c r="C16" s="1" t="str">
        <f t="shared" si="0"/>
        <v>Needed = 2</v>
      </c>
      <c r="D16" s="1" t="str">
        <f t="shared" si="0"/>
        <v>Needed = 2</v>
      </c>
      <c r="E16" s="1" t="str">
        <f t="shared" si="0"/>
        <v>Needed = 0</v>
      </c>
      <c r="F16" s="1" t="str">
        <f t="shared" si="0"/>
        <v>Needed = 0</v>
      </c>
      <c r="G16" s="1" t="str">
        <f t="shared" si="0"/>
        <v>Needed = 0</v>
      </c>
      <c r="H16" s="1" t="str">
        <f t="shared" si="0"/>
        <v>Needed = 1</v>
      </c>
      <c r="I16" s="1" t="str">
        <f t="shared" si="0"/>
        <v>Needed = 1</v>
      </c>
      <c r="J16" s="1" t="str">
        <f>"Needed = "&amp;COUNTA(J2:J14)</f>
        <v>Needed = 9</v>
      </c>
    </row>
    <row r="17" spans="1:12">
      <c r="A17" s="3"/>
      <c r="I17" s="5">
        <f>COUNTA(A2:J15)</f>
        <v>25</v>
      </c>
    </row>
    <row r="18" spans="1:12">
      <c r="A18" s="6"/>
      <c r="I18" s="5" t="str">
        <f>"1970 S to Date = "&amp;COUNTA(E2:J15)</f>
        <v>1970 S to Date = 11</v>
      </c>
    </row>
    <row r="19" spans="1:12">
      <c r="A19" s="8" t="s">
        <v>47</v>
      </c>
      <c r="B19" s="9"/>
      <c r="D19" s="10" t="s">
        <v>48</v>
      </c>
      <c r="E19" s="11"/>
      <c r="F19" s="11"/>
      <c r="G19" s="11"/>
      <c r="I19" s="5" t="str">
        <f>"1892 to 1931 S = "&amp;COUNTA(A2:D14)</f>
        <v>1892 to 1931 S = 14</v>
      </c>
    </row>
    <row r="20" spans="1:12">
      <c r="A20" s="8" t="s">
        <v>49</v>
      </c>
      <c r="B20" s="9"/>
      <c r="D20" s="10" t="s">
        <v>50</v>
      </c>
      <c r="E20" s="11"/>
      <c r="F20" s="11"/>
      <c r="G20" s="11"/>
    </row>
    <row r="21" spans="1:12">
      <c r="A21" s="3"/>
      <c r="D21" s="10" t="s">
        <v>51</v>
      </c>
      <c r="E21" s="11"/>
      <c r="F21" s="11"/>
      <c r="G21" s="11"/>
      <c r="J21" s="3" t="s">
        <v>52</v>
      </c>
      <c r="L21" s="3" t="s">
        <v>53</v>
      </c>
    </row>
    <row r="22" spans="1:12">
      <c r="A22" s="12" t="s">
        <v>54</v>
      </c>
      <c r="B22" s="13"/>
      <c r="D22" s="10" t="s">
        <v>55</v>
      </c>
      <c r="E22" s="11"/>
      <c r="F22" s="11"/>
      <c r="G22" s="11"/>
    </row>
    <row r="23" spans="1:12">
      <c r="A23" s="14" t="s">
        <v>56</v>
      </c>
      <c r="B23" s="13"/>
      <c r="D23" s="10" t="s">
        <v>57</v>
      </c>
      <c r="E23" s="11"/>
      <c r="F23" s="11"/>
      <c r="G23" s="11"/>
    </row>
    <row r="24" spans="1:12">
      <c r="A24" s="14" t="s">
        <v>58</v>
      </c>
      <c r="B24" s="13"/>
      <c r="D24" s="10" t="s">
        <v>59</v>
      </c>
      <c r="E24" s="11"/>
      <c r="F24" s="11"/>
      <c r="G24" s="11"/>
      <c r="J24" s="3"/>
    </row>
    <row r="25" spans="1:12">
      <c r="D25" s="10" t="s">
        <v>60</v>
      </c>
      <c r="E25" s="11"/>
      <c r="F25" s="11"/>
      <c r="G25" s="11"/>
      <c r="J25" s="3"/>
    </row>
    <row r="26" spans="1:12">
      <c r="A26" s="19" t="s">
        <v>62</v>
      </c>
      <c r="B26" s="19"/>
      <c r="D26" s="10" t="s">
        <v>61</v>
      </c>
      <c r="E26" s="11"/>
      <c r="F26" s="11"/>
      <c r="G26" s="11"/>
      <c r="J26" s="3"/>
    </row>
    <row r="27" spans="1:12">
      <c r="A27" s="22" t="s">
        <v>84</v>
      </c>
      <c r="B27" s="23" t="s">
        <v>84</v>
      </c>
    </row>
    <row r="28" spans="1:12">
      <c r="A28" s="24">
        <v>1948</v>
      </c>
      <c r="B28" s="25" t="s">
        <v>64</v>
      </c>
      <c r="G28" s="15" t="str">
        <f>"Needed = "&amp;COUNTA(I2:I21)</f>
        <v>Needed = 5</v>
      </c>
      <c r="H28" s="15" t="str">
        <f>"Needed = "&amp;COUNTA(J2:J21)</f>
        <v>Needed = 11</v>
      </c>
      <c r="I28" s="1"/>
      <c r="J28" s="1"/>
      <c r="K28" s="5"/>
    </row>
    <row r="29" spans="1:12">
      <c r="A29" s="24" t="s">
        <v>65</v>
      </c>
      <c r="B29" s="25">
        <v>1958</v>
      </c>
      <c r="C29" s="3"/>
      <c r="D29" s="7" t="s">
        <v>63</v>
      </c>
      <c r="E29" s="7"/>
      <c r="F29" s="7"/>
      <c r="G29" s="16" t="str">
        <f>"Needed Last Century = "&amp;COUNTA(A2:D21)</f>
        <v>Needed Last Century = 23</v>
      </c>
      <c r="H29" s="17"/>
    </row>
    <row r="30" spans="1:12">
      <c r="A30" s="24" t="s">
        <v>67</v>
      </c>
      <c r="B30" s="25" t="s">
        <v>68</v>
      </c>
      <c r="C30" s="3"/>
      <c r="D30" s="3"/>
      <c r="E30" s="3"/>
      <c r="F30" s="3"/>
      <c r="G30" s="16" t="str">
        <f>"Needed Current Century = "&amp;COUNTA(I2:J21)</f>
        <v>Needed Current Century = 16</v>
      </c>
      <c r="H30" s="17"/>
    </row>
    <row r="31" spans="1:12">
      <c r="A31" s="24" t="s">
        <v>70</v>
      </c>
      <c r="B31" s="25" t="s">
        <v>71</v>
      </c>
      <c r="C31" s="3"/>
      <c r="D31" s="7" t="s">
        <v>66</v>
      </c>
      <c r="E31" s="7"/>
      <c r="F31" s="7"/>
      <c r="G31" s="7"/>
      <c r="H31" s="7"/>
    </row>
    <row r="32" spans="1:12">
      <c r="A32" s="24" t="s">
        <v>73</v>
      </c>
      <c r="B32" s="25" t="s">
        <v>74</v>
      </c>
      <c r="C32" s="3"/>
      <c r="D32" s="14" t="s">
        <v>69</v>
      </c>
      <c r="E32" s="18"/>
      <c r="F32" s="18"/>
      <c r="G32" s="18"/>
      <c r="H32" s="18"/>
      <c r="I32" s="18"/>
      <c r="J32" s="18"/>
    </row>
    <row r="33" spans="1:15">
      <c r="A33" s="24">
        <v>1953</v>
      </c>
      <c r="B33" s="25" t="s">
        <v>76</v>
      </c>
      <c r="D33" s="14" t="s">
        <v>72</v>
      </c>
      <c r="E33" s="18"/>
      <c r="F33" s="18"/>
      <c r="G33" s="18"/>
      <c r="H33" s="18"/>
      <c r="I33" s="18"/>
      <c r="J33" s="18"/>
    </row>
    <row r="34" spans="1:15">
      <c r="A34" s="24" t="s">
        <v>78</v>
      </c>
      <c r="B34" s="25" t="s">
        <v>79</v>
      </c>
      <c r="D34" s="14" t="s">
        <v>75</v>
      </c>
      <c r="E34" s="18"/>
      <c r="F34" s="18"/>
      <c r="G34" s="18"/>
      <c r="H34" s="18"/>
      <c r="I34" s="18"/>
      <c r="J34" s="18"/>
    </row>
    <row r="35" spans="1:15">
      <c r="A35" s="24" t="s">
        <v>81</v>
      </c>
      <c r="B35" s="27"/>
      <c r="D35" s="14" t="s">
        <v>77</v>
      </c>
      <c r="E35" s="18"/>
      <c r="F35" s="18"/>
      <c r="G35" s="18"/>
      <c r="H35" s="18"/>
      <c r="I35" s="18"/>
      <c r="J35" s="18"/>
    </row>
    <row r="36" spans="1:15">
      <c r="A36" s="28"/>
      <c r="B36" s="27"/>
      <c r="D36" s="14" t="s">
        <v>80</v>
      </c>
      <c r="E36" s="18"/>
      <c r="F36" s="18"/>
      <c r="G36" s="18"/>
      <c r="H36" s="18"/>
      <c r="I36" s="18"/>
      <c r="J36" s="18"/>
    </row>
    <row r="37" spans="1:15">
      <c r="A37" s="29" t="s">
        <v>117</v>
      </c>
      <c r="B37" s="27"/>
      <c r="D37" s="14" t="s">
        <v>82</v>
      </c>
      <c r="E37" s="18"/>
      <c r="F37" s="18"/>
      <c r="G37" s="18"/>
      <c r="H37" s="18"/>
      <c r="I37" s="18"/>
      <c r="J37" s="18"/>
    </row>
    <row r="39" spans="1:15">
      <c r="A39" s="558" t="s">
        <v>83</v>
      </c>
      <c r="B39" s="558"/>
      <c r="C39" s="558"/>
      <c r="D39" s="558"/>
      <c r="E39" s="20"/>
      <c r="F39" s="282"/>
      <c r="G39" s="282"/>
      <c r="H39" s="282"/>
      <c r="K39"/>
      <c r="O39" s="21"/>
    </row>
    <row r="40" spans="1:15">
      <c r="A40" s="22" t="s">
        <v>84</v>
      </c>
      <c r="B40" s="22" t="s">
        <v>84</v>
      </c>
      <c r="C40" s="22" t="s">
        <v>84</v>
      </c>
      <c r="D40" s="22" t="s">
        <v>84</v>
      </c>
      <c r="E40" s="24"/>
      <c r="O40" s="21"/>
    </row>
    <row r="41" spans="1:15">
      <c r="A41" s="25" t="s">
        <v>2244</v>
      </c>
      <c r="B41" s="25" t="s">
        <v>156</v>
      </c>
      <c r="C41" s="25" t="s">
        <v>2256</v>
      </c>
      <c r="D41" s="25" t="s">
        <v>758</v>
      </c>
      <c r="E41" s="25" t="s">
        <v>2284</v>
      </c>
    </row>
    <row r="42" spans="1:15">
      <c r="A42" s="25">
        <v>1884</v>
      </c>
      <c r="B42" s="25" t="s">
        <v>161</v>
      </c>
      <c r="C42" s="25" t="s">
        <v>2257</v>
      </c>
      <c r="D42" s="25" t="s">
        <v>253</v>
      </c>
      <c r="E42" s="25" t="s">
        <v>2284</v>
      </c>
    </row>
    <row r="43" spans="1:15">
      <c r="A43" s="25">
        <v>1885</v>
      </c>
      <c r="B43" s="25" t="s">
        <v>166</v>
      </c>
      <c r="C43" s="25" t="s">
        <v>2258</v>
      </c>
      <c r="D43" s="25" t="s">
        <v>2282</v>
      </c>
      <c r="E43" s="25" t="s">
        <v>2284</v>
      </c>
    </row>
    <row r="44" spans="1:15">
      <c r="A44" s="25">
        <v>1886</v>
      </c>
      <c r="B44" s="25" t="s">
        <v>171</v>
      </c>
      <c r="C44" s="25" t="s">
        <v>195</v>
      </c>
      <c r="D44" s="25" t="s">
        <v>182</v>
      </c>
      <c r="E44" s="25" t="s">
        <v>2286</v>
      </c>
    </row>
    <row r="45" spans="1:15">
      <c r="A45" s="25">
        <v>1887</v>
      </c>
      <c r="B45" s="25" t="s">
        <v>187</v>
      </c>
      <c r="C45" s="25" t="s">
        <v>2259</v>
      </c>
      <c r="D45" s="25" t="s">
        <v>2285</v>
      </c>
      <c r="E45" s="25" t="s">
        <v>2286</v>
      </c>
    </row>
    <row r="46" spans="1:15">
      <c r="A46" s="25">
        <v>1888</v>
      </c>
      <c r="B46" s="25" t="s">
        <v>1167</v>
      </c>
      <c r="C46" s="25" t="s">
        <v>201</v>
      </c>
      <c r="D46" s="25" t="s">
        <v>193</v>
      </c>
      <c r="E46" s="25"/>
    </row>
    <row r="47" spans="1:15">
      <c r="A47" s="25">
        <v>1891</v>
      </c>
      <c r="B47" s="25" t="s">
        <v>89</v>
      </c>
      <c r="C47" s="25" t="s">
        <v>2260</v>
      </c>
      <c r="D47" s="25" t="s">
        <v>2287</v>
      </c>
      <c r="E47" s="25"/>
    </row>
    <row r="48" spans="1:15">
      <c r="A48" s="25">
        <v>1892</v>
      </c>
      <c r="B48" s="25" t="s">
        <v>97</v>
      </c>
      <c r="C48" s="25" t="s">
        <v>209</v>
      </c>
      <c r="D48" s="25" t="s">
        <v>202</v>
      </c>
      <c r="E48" s="25"/>
    </row>
    <row r="49" spans="1:15">
      <c r="A49" s="25">
        <v>1894</v>
      </c>
      <c r="B49" s="25" t="s">
        <v>122</v>
      </c>
      <c r="C49" s="25" t="s">
        <v>2261</v>
      </c>
      <c r="D49" s="25" t="s">
        <v>2296</v>
      </c>
      <c r="E49" s="25"/>
    </row>
    <row r="50" spans="1:15">
      <c r="A50" s="25">
        <v>1895</v>
      </c>
      <c r="B50" s="25" t="s">
        <v>162</v>
      </c>
      <c r="C50" s="25" t="s">
        <v>216</v>
      </c>
      <c r="D50" s="25" t="s">
        <v>214</v>
      </c>
    </row>
    <row r="51" spans="1:15">
      <c r="A51" s="25">
        <v>1898</v>
      </c>
      <c r="B51" s="25" t="s">
        <v>70</v>
      </c>
      <c r="C51" s="25" t="s">
        <v>2262</v>
      </c>
      <c r="D51" s="25" t="s">
        <v>217</v>
      </c>
      <c r="O51" s="26"/>
    </row>
    <row r="52" spans="1:15">
      <c r="A52" s="25">
        <v>1899</v>
      </c>
      <c r="B52" s="25" t="s">
        <v>229</v>
      </c>
      <c r="C52" s="25" t="s">
        <v>221</v>
      </c>
      <c r="D52" s="25" t="s">
        <v>2297</v>
      </c>
      <c r="O52" s="26"/>
    </row>
    <row r="53" spans="1:15">
      <c r="A53" s="25">
        <v>1900</v>
      </c>
      <c r="B53" s="25">
        <v>1956</v>
      </c>
      <c r="C53" s="25" t="s">
        <v>2263</v>
      </c>
      <c r="D53" s="25" t="s">
        <v>222</v>
      </c>
      <c r="O53" s="26"/>
    </row>
    <row r="54" spans="1:15">
      <c r="A54" s="25" t="s">
        <v>2408</v>
      </c>
      <c r="B54" s="25" t="s">
        <v>236</v>
      </c>
      <c r="C54" s="25" t="s">
        <v>2264</v>
      </c>
      <c r="D54" s="25" t="s">
        <v>226</v>
      </c>
      <c r="E54" s="25"/>
      <c r="O54" s="26"/>
    </row>
    <row r="55" spans="1:15">
      <c r="A55" s="25" t="s">
        <v>4695</v>
      </c>
      <c r="B55" s="25">
        <v>1958</v>
      </c>
      <c r="C55" s="25" t="s">
        <v>2265</v>
      </c>
      <c r="D55" s="25" t="s">
        <v>2288</v>
      </c>
      <c r="E55" s="25"/>
      <c r="O55" s="26"/>
    </row>
    <row r="56" spans="1:15">
      <c r="A56" s="25" t="s">
        <v>2310</v>
      </c>
      <c r="B56" s="25">
        <v>1959</v>
      </c>
      <c r="C56" s="25" t="s">
        <v>2266</v>
      </c>
      <c r="D56" s="25" t="s">
        <v>2289</v>
      </c>
      <c r="E56" s="25"/>
      <c r="O56" s="26"/>
    </row>
    <row r="57" spans="1:15">
      <c r="A57" s="25" t="s">
        <v>2311</v>
      </c>
      <c r="B57" s="25">
        <v>1960</v>
      </c>
      <c r="C57" s="25" t="s">
        <v>2267</v>
      </c>
      <c r="D57" s="25" t="s">
        <v>43</v>
      </c>
      <c r="E57" s="25"/>
      <c r="O57" s="26"/>
    </row>
    <row r="58" spans="1:15">
      <c r="A58" s="25">
        <v>1914</v>
      </c>
      <c r="B58" s="25" t="s">
        <v>93</v>
      </c>
      <c r="C58" s="25" t="s">
        <v>102</v>
      </c>
      <c r="D58" s="25"/>
      <c r="E58" s="25"/>
      <c r="O58" s="26"/>
    </row>
    <row r="59" spans="1:15">
      <c r="A59" s="25" t="s">
        <v>46</v>
      </c>
      <c r="B59" s="25" t="s">
        <v>2312</v>
      </c>
      <c r="C59" s="25" t="s">
        <v>2268</v>
      </c>
      <c r="D59" s="25"/>
      <c r="E59" s="25"/>
      <c r="O59" s="26"/>
    </row>
    <row r="60" spans="1:15">
      <c r="A60" s="25" t="s">
        <v>218</v>
      </c>
      <c r="B60" s="25" t="s">
        <v>98</v>
      </c>
      <c r="C60" s="25" t="s">
        <v>2269</v>
      </c>
      <c r="D60" s="25"/>
      <c r="E60" s="25"/>
      <c r="O60" s="26"/>
    </row>
    <row r="61" spans="1:15">
      <c r="A61" s="25">
        <v>1915</v>
      </c>
      <c r="B61" s="25" t="s">
        <v>575</v>
      </c>
      <c r="C61" s="25" t="s">
        <v>2270</v>
      </c>
      <c r="D61" s="25"/>
      <c r="E61" s="25"/>
      <c r="O61" s="26"/>
    </row>
    <row r="62" spans="1:15">
      <c r="A62" s="25" t="s">
        <v>223</v>
      </c>
      <c r="B62" s="25" t="s">
        <v>581</v>
      </c>
      <c r="C62" s="25" t="s">
        <v>115</v>
      </c>
      <c r="D62" s="25">
        <f>COUNTA(A58:A81)+COUNTA(B41:B46)</f>
        <v>30</v>
      </c>
      <c r="E62" s="25" t="s">
        <v>2293</v>
      </c>
      <c r="O62" s="26"/>
    </row>
    <row r="63" spans="1:15">
      <c r="A63" s="25" t="s">
        <v>227</v>
      </c>
      <c r="B63" s="25" t="s">
        <v>583</v>
      </c>
      <c r="C63" s="25" t="s">
        <v>2271</v>
      </c>
      <c r="D63" s="25">
        <f>COUNTA(A41:A55)</f>
        <v>15</v>
      </c>
      <c r="E63" s="25" t="s">
        <v>2294</v>
      </c>
      <c r="O63" s="26"/>
    </row>
    <row r="64" spans="1:15">
      <c r="A64" s="25" t="s">
        <v>232</v>
      </c>
      <c r="B64" s="25" t="s">
        <v>101</v>
      </c>
      <c r="C64" s="25" t="s">
        <v>2272</v>
      </c>
      <c r="D64" s="25">
        <f>COUNTA(B47:B81)+COUNTA(C42:C81)+COUNTA(D41:D57)</f>
        <v>92</v>
      </c>
      <c r="E64" s="25" t="s">
        <v>2298</v>
      </c>
      <c r="O64" s="26"/>
    </row>
    <row r="65" spans="1:17">
      <c r="A65" s="25" t="s">
        <v>234</v>
      </c>
      <c r="B65" s="25">
        <v>1971</v>
      </c>
      <c r="C65" s="25" t="s">
        <v>2273</v>
      </c>
      <c r="D65" s="25">
        <f>SUM(D62:D64)</f>
        <v>137</v>
      </c>
      <c r="E65" s="25"/>
      <c r="O65" s="26"/>
    </row>
    <row r="66" spans="1:17">
      <c r="A66" s="25" t="s">
        <v>237</v>
      </c>
      <c r="B66" s="25" t="s">
        <v>2245</v>
      </c>
      <c r="C66" s="25" t="s">
        <v>128</v>
      </c>
      <c r="D66" s="25"/>
      <c r="E66" s="25"/>
      <c r="O66" s="26"/>
    </row>
    <row r="67" spans="1:17">
      <c r="A67" s="25" t="s">
        <v>85</v>
      </c>
      <c r="B67" s="25" t="s">
        <v>2246</v>
      </c>
      <c r="C67" s="25" t="s">
        <v>2274</v>
      </c>
      <c r="D67" s="25"/>
      <c r="E67" s="25"/>
      <c r="O67" s="26"/>
    </row>
    <row r="68" spans="1:17">
      <c r="A68" s="25">
        <v>1918</v>
      </c>
      <c r="B68" s="25" t="s">
        <v>123</v>
      </c>
      <c r="C68" s="25" t="s">
        <v>2275</v>
      </c>
      <c r="D68" s="25"/>
      <c r="E68" s="25"/>
      <c r="O68" s="26"/>
    </row>
    <row r="69" spans="1:17">
      <c r="A69" s="25" t="s">
        <v>91</v>
      </c>
      <c r="B69" s="25" t="s">
        <v>2295</v>
      </c>
      <c r="C69" s="25" t="s">
        <v>2276</v>
      </c>
      <c r="D69" s="25"/>
      <c r="E69" s="25"/>
      <c r="O69" s="26"/>
    </row>
    <row r="70" spans="1:17">
      <c r="A70" s="25" t="s">
        <v>96</v>
      </c>
      <c r="B70" s="25" t="s">
        <v>2249</v>
      </c>
      <c r="C70" s="25" t="s">
        <v>144</v>
      </c>
      <c r="D70" s="25"/>
      <c r="E70" s="25"/>
      <c r="O70" s="26"/>
    </row>
    <row r="71" spans="1:17">
      <c r="A71" s="25">
        <v>1919</v>
      </c>
      <c r="B71" s="25" t="s">
        <v>2248</v>
      </c>
      <c r="C71" s="25" t="s">
        <v>2277</v>
      </c>
      <c r="D71" s="25"/>
      <c r="E71" s="25"/>
      <c r="O71" s="26"/>
    </row>
    <row r="72" spans="1:17">
      <c r="A72" s="25" t="s">
        <v>1162</v>
      </c>
      <c r="B72" s="25" t="s">
        <v>2247</v>
      </c>
      <c r="C72" s="25" t="s">
        <v>159</v>
      </c>
      <c r="D72" s="25"/>
      <c r="E72" s="25"/>
    </row>
    <row r="73" spans="1:17">
      <c r="A73" s="25" t="s">
        <v>1163</v>
      </c>
      <c r="B73" s="25" t="s">
        <v>148</v>
      </c>
      <c r="C73" s="25" t="s">
        <v>2278</v>
      </c>
      <c r="D73" s="25"/>
      <c r="E73" s="25"/>
    </row>
    <row r="74" spans="1:17">
      <c r="A74" s="25" t="s">
        <v>110</v>
      </c>
      <c r="B74" s="25" t="s">
        <v>2250</v>
      </c>
      <c r="C74" s="25" t="s">
        <v>742</v>
      </c>
      <c r="D74" s="25" t="s">
        <v>2280</v>
      </c>
      <c r="E74" s="25"/>
    </row>
    <row r="75" spans="1:17">
      <c r="A75" s="25" t="s">
        <v>113</v>
      </c>
      <c r="B75" s="25" t="s">
        <v>158</v>
      </c>
      <c r="C75" s="25" t="s">
        <v>169</v>
      </c>
      <c r="D75" s="25" t="s">
        <v>2280</v>
      </c>
      <c r="E75" s="25"/>
      <c r="O75" s="28"/>
    </row>
    <row r="76" spans="1:17">
      <c r="A76" s="25" t="s">
        <v>118</v>
      </c>
      <c r="B76" s="25" t="s">
        <v>2251</v>
      </c>
      <c r="C76" s="25" t="s">
        <v>2279</v>
      </c>
      <c r="D76" s="25" t="s">
        <v>2280</v>
      </c>
      <c r="E76" s="25"/>
      <c r="O76" s="28"/>
    </row>
    <row r="77" spans="1:17">
      <c r="A77" s="25" t="s">
        <v>1165</v>
      </c>
      <c r="B77" s="25" t="s">
        <v>168</v>
      </c>
      <c r="C77" s="25" t="s">
        <v>169</v>
      </c>
      <c r="D77" s="25" t="s">
        <v>2281</v>
      </c>
      <c r="E77" s="25"/>
      <c r="O77" s="28"/>
    </row>
    <row r="78" spans="1:17">
      <c r="A78" s="25" t="s">
        <v>42</v>
      </c>
      <c r="B78" s="25" t="s">
        <v>2252</v>
      </c>
      <c r="C78" s="25" t="s">
        <v>2279</v>
      </c>
      <c r="D78" s="25" t="s">
        <v>2281</v>
      </c>
      <c r="E78" s="25"/>
      <c r="O78" s="28"/>
    </row>
    <row r="79" spans="1:17">
      <c r="A79" s="25" t="s">
        <v>138</v>
      </c>
      <c r="B79" s="25" t="s">
        <v>2253</v>
      </c>
      <c r="C79" s="25" t="s">
        <v>758</v>
      </c>
      <c r="D79" s="25" t="s">
        <v>2283</v>
      </c>
      <c r="E79" s="25"/>
      <c r="O79" s="28"/>
    </row>
    <row r="80" spans="1:17">
      <c r="A80" s="25" t="s">
        <v>146</v>
      </c>
      <c r="B80" s="25" t="s">
        <v>2254</v>
      </c>
      <c r="C80" s="25" t="s">
        <v>253</v>
      </c>
      <c r="D80" s="25" t="s">
        <v>2283</v>
      </c>
      <c r="E80" s="25"/>
      <c r="O80" s="28"/>
      <c r="P80" s="134" t="s">
        <v>2290</v>
      </c>
      <c r="Q80" s="134" t="s">
        <v>2291</v>
      </c>
    </row>
    <row r="81" spans="1:18">
      <c r="A81" s="25" t="s">
        <v>151</v>
      </c>
      <c r="B81" s="25" t="s">
        <v>2255</v>
      </c>
      <c r="C81" s="25" t="s">
        <v>2282</v>
      </c>
      <c r="D81" s="25" t="s">
        <v>2283</v>
      </c>
      <c r="E81" s="25"/>
      <c r="O81" s="28"/>
      <c r="P81">
        <v>15</v>
      </c>
      <c r="Q81">
        <v>33</v>
      </c>
      <c r="R81">
        <f>Q81+P81</f>
        <v>48</v>
      </c>
    </row>
    <row r="82" spans="1:18">
      <c r="A82" s="28"/>
      <c r="B82" s="28"/>
      <c r="C82" s="27"/>
      <c r="D82" s="28"/>
      <c r="H82" s="28"/>
      <c r="I82" s="28"/>
      <c r="O82" s="28"/>
      <c r="P82">
        <v>28</v>
      </c>
      <c r="Q82">
        <v>64</v>
      </c>
      <c r="R82">
        <f>Q82+P82</f>
        <v>92</v>
      </c>
    </row>
    <row r="83" spans="1:18">
      <c r="A83" s="558" t="s">
        <v>239</v>
      </c>
      <c r="B83" s="558"/>
      <c r="C83" s="558"/>
      <c r="D83" s="558"/>
      <c r="K83"/>
      <c r="L83"/>
      <c r="N83" s="28"/>
      <c r="O83" s="28"/>
      <c r="P83">
        <v>156</v>
      </c>
      <c r="Q83">
        <v>255</v>
      </c>
      <c r="R83">
        <f>Q83+P83</f>
        <v>411</v>
      </c>
    </row>
    <row r="84" spans="1:18">
      <c r="A84" s="30" t="s">
        <v>240</v>
      </c>
      <c r="B84" s="21" t="s">
        <v>240</v>
      </c>
      <c r="C84" s="21" t="s">
        <v>240</v>
      </c>
      <c r="D84" s="21" t="s">
        <v>240</v>
      </c>
      <c r="O84" s="28"/>
      <c r="P84">
        <f>SUM(P81:P83)</f>
        <v>199</v>
      </c>
      <c r="Q84">
        <f>SUM(Q81:Q83)</f>
        <v>352</v>
      </c>
    </row>
    <row r="85" spans="1:18">
      <c r="A85" s="24">
        <v>1946</v>
      </c>
      <c r="B85" s="24" t="s">
        <v>76</v>
      </c>
      <c r="C85" s="24" t="s">
        <v>177</v>
      </c>
      <c r="D85" s="24" t="s">
        <v>241</v>
      </c>
    </row>
    <row r="86" spans="1:18">
      <c r="A86" s="24" t="s">
        <v>152</v>
      </c>
      <c r="B86" s="24">
        <v>1962</v>
      </c>
      <c r="C86" s="24" t="s">
        <v>242</v>
      </c>
      <c r="D86" s="24" t="s">
        <v>124</v>
      </c>
      <c r="O86" s="28"/>
      <c r="P86" s="135">
        <f>SUM(J86:O86)</f>
        <v>0</v>
      </c>
      <c r="Q86" s="135" t="s">
        <v>2292</v>
      </c>
      <c r="R86">
        <f>Q84-P84</f>
        <v>153</v>
      </c>
    </row>
    <row r="87" spans="1:18">
      <c r="A87" s="24" t="s">
        <v>157</v>
      </c>
      <c r="B87" s="24" t="s">
        <v>79</v>
      </c>
      <c r="C87" s="24" t="s">
        <v>181</v>
      </c>
      <c r="D87" s="24" t="s">
        <v>132</v>
      </c>
      <c r="O87" s="28"/>
    </row>
    <row r="88" spans="1:18">
      <c r="A88" s="24">
        <v>1947</v>
      </c>
      <c r="B88" s="24">
        <v>1963</v>
      </c>
      <c r="C88" s="24" t="s">
        <v>243</v>
      </c>
      <c r="D88" s="24" t="s">
        <v>244</v>
      </c>
      <c r="O88" s="28"/>
    </row>
    <row r="89" spans="1:18">
      <c r="A89" s="24" t="s">
        <v>162</v>
      </c>
      <c r="B89" s="24">
        <v>1964</v>
      </c>
      <c r="C89" s="24" t="s">
        <v>245</v>
      </c>
      <c r="D89" s="24" t="s">
        <v>136</v>
      </c>
      <c r="O89" s="28"/>
    </row>
    <row r="90" spans="1:18">
      <c r="A90" s="24" t="s">
        <v>167</v>
      </c>
      <c r="B90" s="24">
        <v>1965</v>
      </c>
      <c r="C90" s="24" t="s">
        <v>184</v>
      </c>
      <c r="D90" s="24" t="s">
        <v>246</v>
      </c>
      <c r="O90" s="28"/>
    </row>
    <row r="91" spans="1:18">
      <c r="A91" s="24">
        <v>1948</v>
      </c>
      <c r="B91" s="24">
        <v>1966</v>
      </c>
      <c r="C91" s="24" t="s">
        <v>247</v>
      </c>
      <c r="D91" s="24" t="s">
        <v>140</v>
      </c>
    </row>
    <row r="92" spans="1:18">
      <c r="A92" s="24" t="s">
        <v>172</v>
      </c>
      <c r="B92" s="24">
        <v>1967</v>
      </c>
      <c r="C92" s="24" t="s">
        <v>189</v>
      </c>
      <c r="D92" s="24" t="s">
        <v>248</v>
      </c>
    </row>
    <row r="93" spans="1:18">
      <c r="A93" s="24" t="s">
        <v>65</v>
      </c>
      <c r="B93" s="24" t="s">
        <v>93</v>
      </c>
      <c r="C93" s="24" t="s">
        <v>249</v>
      </c>
      <c r="D93" s="24" t="s">
        <v>149</v>
      </c>
    </row>
    <row r="94" spans="1:18">
      <c r="A94" s="24">
        <v>1949</v>
      </c>
      <c r="B94" s="24">
        <v>1968</v>
      </c>
      <c r="C94" s="24" t="s">
        <v>250</v>
      </c>
      <c r="D94" s="24" t="s">
        <v>159</v>
      </c>
    </row>
    <row r="95" spans="1:18">
      <c r="A95" s="24" t="s">
        <v>67</v>
      </c>
      <c r="B95" s="24" t="s">
        <v>98</v>
      </c>
      <c r="C95" s="24" t="s">
        <v>192</v>
      </c>
      <c r="D95" s="24" t="s">
        <v>164</v>
      </c>
    </row>
    <row r="96" spans="1:18">
      <c r="A96" s="24" t="s">
        <v>188</v>
      </c>
      <c r="B96" s="24">
        <v>1969</v>
      </c>
      <c r="C96" s="24" t="s">
        <v>251</v>
      </c>
      <c r="D96" s="24" t="s">
        <v>169</v>
      </c>
    </row>
    <row r="97" spans="1:4">
      <c r="A97" s="24">
        <v>1950</v>
      </c>
      <c r="B97" s="24">
        <v>1970</v>
      </c>
      <c r="C97" s="24" t="s">
        <v>195</v>
      </c>
      <c r="D97" s="24" t="s">
        <v>174</v>
      </c>
    </row>
    <row r="98" spans="1:4">
      <c r="A98" s="24" t="s">
        <v>252</v>
      </c>
      <c r="B98" s="24" t="s">
        <v>101</v>
      </c>
      <c r="C98" s="24" t="s">
        <v>198</v>
      </c>
      <c r="D98" s="24" t="s">
        <v>253</v>
      </c>
    </row>
    <row r="99" spans="1:4">
      <c r="A99" s="24" t="s">
        <v>254</v>
      </c>
      <c r="B99" s="24" t="s">
        <v>255</v>
      </c>
      <c r="C99" s="24" t="s">
        <v>205</v>
      </c>
      <c r="D99" s="24" t="s">
        <v>178</v>
      </c>
    </row>
    <row r="100" spans="1:4">
      <c r="A100" s="24">
        <v>1951</v>
      </c>
      <c r="B100" s="24" t="s">
        <v>256</v>
      </c>
      <c r="C100" s="24" t="s">
        <v>209</v>
      </c>
      <c r="D100" s="24" t="s">
        <v>185</v>
      </c>
    </row>
    <row r="101" spans="1:4">
      <c r="A101" s="24" t="s">
        <v>197</v>
      </c>
      <c r="B101" s="24" t="s">
        <v>114</v>
      </c>
      <c r="C101" s="24" t="s">
        <v>257</v>
      </c>
      <c r="D101" s="24" t="s">
        <v>190</v>
      </c>
    </row>
    <row r="102" spans="1:4">
      <c r="A102" s="24" t="s">
        <v>70</v>
      </c>
      <c r="B102" s="24" t="s">
        <v>258</v>
      </c>
      <c r="C102" s="24" t="s">
        <v>213</v>
      </c>
      <c r="D102" s="24" t="s">
        <v>196</v>
      </c>
    </row>
    <row r="103" spans="1:4">
      <c r="A103" s="24">
        <v>1952</v>
      </c>
      <c r="B103" s="24" t="s">
        <v>259</v>
      </c>
      <c r="C103" s="24" t="s">
        <v>216</v>
      </c>
      <c r="D103" s="24" t="s">
        <v>199</v>
      </c>
    </row>
    <row r="104" spans="1:4">
      <c r="A104" s="24" t="s">
        <v>73</v>
      </c>
      <c r="B104" s="24" t="s">
        <v>119</v>
      </c>
      <c r="C104" s="24" t="s">
        <v>220</v>
      </c>
      <c r="D104" s="24" t="s">
        <v>202</v>
      </c>
    </row>
    <row r="105" spans="1:4">
      <c r="A105" s="24" t="s">
        <v>212</v>
      </c>
      <c r="B105" s="24" t="s">
        <v>123</v>
      </c>
      <c r="C105" s="24" t="s">
        <v>221</v>
      </c>
      <c r="D105" s="24" t="s">
        <v>210</v>
      </c>
    </row>
    <row r="106" spans="1:4">
      <c r="A106" s="24">
        <v>1953</v>
      </c>
      <c r="B106" s="24" t="s">
        <v>260</v>
      </c>
      <c r="C106" s="24" t="s">
        <v>225</v>
      </c>
      <c r="D106" s="24" t="s">
        <v>217</v>
      </c>
    </row>
    <row r="107" spans="1:4">
      <c r="A107" s="24" t="s">
        <v>78</v>
      </c>
      <c r="B107" s="24" t="s">
        <v>127</v>
      </c>
      <c r="C107" s="24" t="s">
        <v>261</v>
      </c>
      <c r="D107" s="24" t="s">
        <v>214</v>
      </c>
    </row>
    <row r="108" spans="1:4">
      <c r="A108" s="24" t="s">
        <v>81</v>
      </c>
      <c r="B108" s="24" t="s">
        <v>262</v>
      </c>
      <c r="C108" s="24" t="s">
        <v>263</v>
      </c>
      <c r="D108" s="24" t="s">
        <v>40</v>
      </c>
    </row>
    <row r="109" spans="1:4">
      <c r="A109" s="24">
        <v>1954</v>
      </c>
      <c r="B109" s="24" t="s">
        <v>264</v>
      </c>
      <c r="C109" s="24" t="s">
        <v>230</v>
      </c>
      <c r="D109" s="24" t="s">
        <v>226</v>
      </c>
    </row>
    <row r="110" spans="1:4">
      <c r="A110" s="24" t="s">
        <v>64</v>
      </c>
      <c r="B110" s="24" t="s">
        <v>131</v>
      </c>
      <c r="C110" s="24" t="s">
        <v>265</v>
      </c>
      <c r="D110" s="24" t="s">
        <v>100</v>
      </c>
    </row>
    <row r="111" spans="1:4">
      <c r="A111" s="24" t="s">
        <v>229</v>
      </c>
      <c r="B111" s="24" t="s">
        <v>266</v>
      </c>
      <c r="C111" s="24" t="s">
        <v>87</v>
      </c>
      <c r="D111" s="24" t="s">
        <v>106</v>
      </c>
    </row>
    <row r="112" spans="1:4">
      <c r="A112" s="24">
        <v>1955</v>
      </c>
      <c r="B112" s="24" t="s">
        <v>267</v>
      </c>
      <c r="C112" s="24" t="s">
        <v>268</v>
      </c>
      <c r="D112" s="24" t="s">
        <v>112</v>
      </c>
    </row>
    <row r="113" spans="1:9">
      <c r="A113" s="24" t="s">
        <v>269</v>
      </c>
      <c r="B113" s="24" t="s">
        <v>135</v>
      </c>
      <c r="C113" s="24" t="s">
        <v>270</v>
      </c>
      <c r="D113" s="24" t="s">
        <v>271</v>
      </c>
    </row>
    <row r="114" spans="1:9">
      <c r="A114" s="24" t="s">
        <v>236</v>
      </c>
      <c r="B114" s="24" t="s">
        <v>272</v>
      </c>
      <c r="C114" s="24" t="s">
        <v>94</v>
      </c>
      <c r="D114" s="24" t="s">
        <v>125</v>
      </c>
    </row>
    <row r="115" spans="1:9">
      <c r="A115" s="24">
        <v>1956</v>
      </c>
      <c r="B115" s="24" t="s">
        <v>273</v>
      </c>
      <c r="C115" s="24" t="s">
        <v>274</v>
      </c>
      <c r="D115" s="24" t="s">
        <v>133</v>
      </c>
    </row>
    <row r="116" spans="1:9">
      <c r="A116" s="24" t="s">
        <v>275</v>
      </c>
      <c r="B116" s="24" t="s">
        <v>143</v>
      </c>
      <c r="C116" s="24" t="s">
        <v>99</v>
      </c>
      <c r="D116" s="24" t="s">
        <v>141</v>
      </c>
    </row>
    <row r="117" spans="1:9">
      <c r="A117" s="24">
        <v>1957</v>
      </c>
      <c r="B117" s="24" t="s">
        <v>276</v>
      </c>
      <c r="C117" s="24" t="s">
        <v>277</v>
      </c>
      <c r="D117" s="24" t="s">
        <v>150</v>
      </c>
    </row>
    <row r="118" spans="1:9">
      <c r="A118" s="24" t="s">
        <v>278</v>
      </c>
      <c r="B118" s="24" t="s">
        <v>153</v>
      </c>
      <c r="C118" s="24" t="s">
        <v>105</v>
      </c>
      <c r="D118" s="24" t="s">
        <v>160</v>
      </c>
    </row>
    <row r="119" spans="1:9">
      <c r="A119" s="24">
        <v>1958</v>
      </c>
      <c r="B119" s="24" t="s">
        <v>158</v>
      </c>
      <c r="C119" s="24" t="s">
        <v>279</v>
      </c>
      <c r="D119" s="28"/>
    </row>
    <row r="120" spans="1:9">
      <c r="A120" s="24" t="s">
        <v>68</v>
      </c>
      <c r="B120" s="24" t="s">
        <v>280</v>
      </c>
      <c r="C120" s="24" t="s">
        <v>281</v>
      </c>
      <c r="D120" s="28"/>
    </row>
    <row r="121" spans="1:9">
      <c r="A121" s="24">
        <v>1959</v>
      </c>
      <c r="B121" s="24" t="s">
        <v>163</v>
      </c>
      <c r="C121" s="24" t="s">
        <v>282</v>
      </c>
      <c r="D121" s="28"/>
    </row>
    <row r="122" spans="1:9">
      <c r="A122" s="24" t="s">
        <v>71</v>
      </c>
      <c r="B122" s="24" t="s">
        <v>168</v>
      </c>
      <c r="C122" s="24" t="s">
        <v>111</v>
      </c>
      <c r="D122" s="28"/>
    </row>
    <row r="123" spans="1:9">
      <c r="A123" s="24">
        <v>1960</v>
      </c>
      <c r="B123" s="24" t="s">
        <v>283</v>
      </c>
      <c r="C123" s="24" t="s">
        <v>284</v>
      </c>
      <c r="D123" s="28"/>
    </row>
    <row r="124" spans="1:9">
      <c r="A124" s="24" t="s">
        <v>74</v>
      </c>
      <c r="B124" s="24" t="s">
        <v>173</v>
      </c>
      <c r="C124" s="24" t="s">
        <v>285</v>
      </c>
      <c r="D124" s="28"/>
    </row>
    <row r="125" spans="1:9">
      <c r="A125" s="24">
        <v>1961</v>
      </c>
      <c r="C125" s="24" t="s">
        <v>120</v>
      </c>
      <c r="D125" s="28"/>
    </row>
    <row r="126" spans="1:9">
      <c r="D126" s="24"/>
      <c r="E126" s="24"/>
    </row>
    <row r="127" spans="1:9">
      <c r="A127" s="558" t="s">
        <v>62</v>
      </c>
      <c r="B127" s="558"/>
      <c r="C127" s="558"/>
      <c r="D127" s="558"/>
      <c r="E127" s="558"/>
      <c r="F127" s="558"/>
      <c r="G127" s="558"/>
    </row>
    <row r="128" spans="1:9">
      <c r="A128" s="30" t="s">
        <v>240</v>
      </c>
      <c r="B128" s="21" t="s">
        <v>240</v>
      </c>
      <c r="C128" s="21" t="s">
        <v>240</v>
      </c>
      <c r="D128" s="21" t="s">
        <v>240</v>
      </c>
      <c r="E128" s="21" t="s">
        <v>240</v>
      </c>
      <c r="F128" s="21" t="s">
        <v>240</v>
      </c>
      <c r="G128" s="21" t="s">
        <v>240</v>
      </c>
      <c r="I128" s="28"/>
    </row>
    <row r="129" spans="1:9">
      <c r="A129" s="3">
        <v>1916</v>
      </c>
      <c r="B129" s="28" t="s">
        <v>92</v>
      </c>
      <c r="C129" s="28" t="s">
        <v>583</v>
      </c>
      <c r="D129" s="28" t="s">
        <v>2265</v>
      </c>
      <c r="E129" s="28" t="s">
        <v>248</v>
      </c>
      <c r="F129" s="28" t="s">
        <v>768</v>
      </c>
      <c r="G129" s="28" t="s">
        <v>179</v>
      </c>
    </row>
    <row r="130" spans="1:9">
      <c r="A130" s="24" t="s">
        <v>2313</v>
      </c>
      <c r="B130" s="28" t="s">
        <v>97</v>
      </c>
      <c r="C130" s="28" t="s">
        <v>2336</v>
      </c>
      <c r="D130" s="28" t="s">
        <v>245</v>
      </c>
      <c r="E130" s="28" t="s">
        <v>144</v>
      </c>
      <c r="F130" s="28" t="s">
        <v>100</v>
      </c>
      <c r="G130" s="28" t="s">
        <v>183</v>
      </c>
      <c r="I130" s="28"/>
    </row>
    <row r="131" spans="1:9">
      <c r="A131" s="24" t="s">
        <v>234</v>
      </c>
      <c r="B131" s="24" t="s">
        <v>107</v>
      </c>
      <c r="C131" s="28" t="s">
        <v>2245</v>
      </c>
      <c r="D131" s="28" t="s">
        <v>2266</v>
      </c>
      <c r="E131" s="28" t="s">
        <v>2277</v>
      </c>
      <c r="F131" s="28" t="s">
        <v>2365</v>
      </c>
      <c r="G131" s="28" t="s">
        <v>2386</v>
      </c>
      <c r="I131" s="28"/>
    </row>
    <row r="132" spans="1:9">
      <c r="A132" s="24">
        <v>1917</v>
      </c>
      <c r="B132" s="24" t="s">
        <v>126</v>
      </c>
      <c r="C132" s="28" t="s">
        <v>258</v>
      </c>
      <c r="D132" s="28" t="s">
        <v>274</v>
      </c>
      <c r="E132" s="28" t="s">
        <v>2353</v>
      </c>
      <c r="F132" s="28" t="s">
        <v>2366</v>
      </c>
      <c r="G132" s="28" t="s">
        <v>2387</v>
      </c>
      <c r="I132" s="28"/>
    </row>
    <row r="133" spans="1:9">
      <c r="A133" s="24" t="s">
        <v>2314</v>
      </c>
      <c r="B133" s="24" t="s">
        <v>130</v>
      </c>
      <c r="C133" s="28" t="s">
        <v>2246</v>
      </c>
      <c r="D133" s="28" t="s">
        <v>2267</v>
      </c>
      <c r="E133" s="28" t="s">
        <v>154</v>
      </c>
      <c r="F133" s="28" t="s">
        <v>775</v>
      </c>
      <c r="G133" s="28" t="s">
        <v>200</v>
      </c>
      <c r="I133" s="28"/>
    </row>
    <row r="134" spans="1:9">
      <c r="A134" s="24" t="s">
        <v>2315</v>
      </c>
      <c r="B134" s="24" t="s">
        <v>139</v>
      </c>
      <c r="C134" s="28" t="s">
        <v>123</v>
      </c>
      <c r="D134" s="28" t="s">
        <v>2344</v>
      </c>
      <c r="E134" s="28" t="s">
        <v>159</v>
      </c>
      <c r="F134" s="28" t="s">
        <v>106</v>
      </c>
      <c r="G134" s="28" t="s">
        <v>203</v>
      </c>
      <c r="I134" s="28"/>
    </row>
    <row r="135" spans="1:9">
      <c r="A135" s="24" t="s">
        <v>2316</v>
      </c>
      <c r="B135" s="24" t="s">
        <v>142</v>
      </c>
      <c r="C135" s="28" t="s">
        <v>2295</v>
      </c>
      <c r="D135" s="28" t="s">
        <v>102</v>
      </c>
      <c r="E135" s="28" t="s">
        <v>2278</v>
      </c>
      <c r="F135" s="28" t="s">
        <v>2367</v>
      </c>
      <c r="G135" s="28" t="s">
        <v>2388</v>
      </c>
    </row>
    <row r="136" spans="1:9">
      <c r="A136" s="24" t="s">
        <v>2317</v>
      </c>
      <c r="B136" s="24" t="s">
        <v>147</v>
      </c>
      <c r="C136" s="28" t="s">
        <v>2249</v>
      </c>
      <c r="D136" s="28" t="s">
        <v>2268</v>
      </c>
      <c r="E136" s="28" t="s">
        <v>2354</v>
      </c>
      <c r="F136" s="28" t="s">
        <v>2368</v>
      </c>
      <c r="G136" s="28" t="s">
        <v>2389</v>
      </c>
    </row>
    <row r="137" spans="1:9">
      <c r="A137" s="24">
        <v>1918</v>
      </c>
      <c r="B137" s="24" t="s">
        <v>152</v>
      </c>
      <c r="C137" s="28" t="s">
        <v>2337</v>
      </c>
      <c r="D137" s="28" t="s">
        <v>2345</v>
      </c>
      <c r="E137" s="28" t="s">
        <v>742</v>
      </c>
      <c r="F137" s="28" t="s">
        <v>781</v>
      </c>
      <c r="G137" s="28" t="s">
        <v>1176</v>
      </c>
    </row>
    <row r="138" spans="1:9">
      <c r="A138" s="24" t="s">
        <v>91</v>
      </c>
      <c r="B138" s="24" t="s">
        <v>157</v>
      </c>
      <c r="C138" s="28" t="s">
        <v>2338</v>
      </c>
      <c r="D138" s="28" t="s">
        <v>698</v>
      </c>
      <c r="E138" s="28" t="s">
        <v>169</v>
      </c>
      <c r="F138" s="28" t="s">
        <v>112</v>
      </c>
      <c r="G138" s="28" t="s">
        <v>43</v>
      </c>
    </row>
    <row r="139" spans="1:9">
      <c r="A139" s="24" t="s">
        <v>96</v>
      </c>
      <c r="B139" s="24">
        <v>1948</v>
      </c>
      <c r="C139" s="28" t="s">
        <v>2339</v>
      </c>
      <c r="D139" s="28" t="s">
        <v>108</v>
      </c>
      <c r="E139" s="28" t="s">
        <v>2279</v>
      </c>
      <c r="F139" s="28" t="s">
        <v>2369</v>
      </c>
      <c r="G139" s="28" t="s">
        <v>2390</v>
      </c>
    </row>
    <row r="140" spans="1:9">
      <c r="A140" s="24">
        <v>1919</v>
      </c>
      <c r="B140" s="24" t="s">
        <v>65</v>
      </c>
      <c r="C140" s="28" t="s">
        <v>2341</v>
      </c>
      <c r="D140" s="28" t="s">
        <v>2269</v>
      </c>
      <c r="E140" s="28" t="s">
        <v>2355</v>
      </c>
      <c r="F140" s="28" t="s">
        <v>2370</v>
      </c>
      <c r="G140" s="28" t="s">
        <v>2391</v>
      </c>
    </row>
    <row r="141" spans="1:9">
      <c r="A141" s="24" t="s">
        <v>1162</v>
      </c>
      <c r="B141" s="24" t="s">
        <v>67</v>
      </c>
      <c r="C141" s="28" t="s">
        <v>2340</v>
      </c>
      <c r="D141" s="28" t="s">
        <v>2346</v>
      </c>
      <c r="E141" s="28" t="s">
        <v>758</v>
      </c>
      <c r="F141" s="28" t="s">
        <v>785</v>
      </c>
      <c r="G141" s="28" t="s">
        <v>1178</v>
      </c>
    </row>
    <row r="142" spans="1:9">
      <c r="A142" s="24" t="s">
        <v>1163</v>
      </c>
      <c r="B142" s="24" t="s">
        <v>2319</v>
      </c>
      <c r="C142" s="28" t="s">
        <v>148</v>
      </c>
      <c r="D142" s="28" t="s">
        <v>282</v>
      </c>
      <c r="E142" s="28" t="s">
        <v>253</v>
      </c>
      <c r="F142" s="28" t="s">
        <v>271</v>
      </c>
      <c r="G142" s="28" t="s">
        <v>1179</v>
      </c>
    </row>
    <row r="143" spans="1:9">
      <c r="A143" s="24">
        <v>1920</v>
      </c>
      <c r="B143" s="24" t="s">
        <v>2320</v>
      </c>
      <c r="C143" s="28" t="s">
        <v>2250</v>
      </c>
      <c r="D143" s="28" t="s">
        <v>281</v>
      </c>
      <c r="E143" s="28" t="s">
        <v>2282</v>
      </c>
      <c r="F143" s="28" t="s">
        <v>2371</v>
      </c>
      <c r="G143" s="28" t="s">
        <v>2392</v>
      </c>
    </row>
    <row r="144" spans="1:9">
      <c r="A144" s="24" t="s">
        <v>110</v>
      </c>
      <c r="B144" s="24" t="s">
        <v>70</v>
      </c>
      <c r="C144" s="28" t="s">
        <v>2251</v>
      </c>
      <c r="D144" s="28" t="s">
        <v>2270</v>
      </c>
      <c r="E144" s="28" t="s">
        <v>2356</v>
      </c>
      <c r="F144" s="28" t="s">
        <v>2372</v>
      </c>
      <c r="G144" s="28" t="s">
        <v>2385</v>
      </c>
    </row>
    <row r="145" spans="1:7">
      <c r="A145" s="24" t="s">
        <v>113</v>
      </c>
      <c r="B145" s="24" t="s">
        <v>73</v>
      </c>
      <c r="C145" s="28" t="s">
        <v>168</v>
      </c>
      <c r="D145" s="28" t="s">
        <v>710</v>
      </c>
      <c r="E145" s="28" t="s">
        <v>182</v>
      </c>
      <c r="F145" s="28" t="s">
        <v>791</v>
      </c>
      <c r="G145" s="28"/>
    </row>
    <row r="146" spans="1:7">
      <c r="A146" s="24">
        <v>1921</v>
      </c>
      <c r="B146" s="24" t="s">
        <v>2321</v>
      </c>
      <c r="C146" s="28" t="s">
        <v>2252</v>
      </c>
      <c r="D146" s="28" t="s">
        <v>115</v>
      </c>
      <c r="E146" s="28" t="s">
        <v>185</v>
      </c>
      <c r="F146" s="28" t="s">
        <v>125</v>
      </c>
      <c r="G146" s="28"/>
    </row>
    <row r="147" spans="1:7">
      <c r="A147" s="24" t="s">
        <v>1164</v>
      </c>
      <c r="B147" s="24">
        <v>1953</v>
      </c>
      <c r="C147" s="28" t="s">
        <v>2253</v>
      </c>
      <c r="D147" s="28" t="s">
        <v>2271</v>
      </c>
      <c r="E147" s="28" t="s">
        <v>2285</v>
      </c>
      <c r="F147" s="28" t="s">
        <v>2373</v>
      </c>
      <c r="G147" s="28"/>
    </row>
    <row r="148" spans="1:7">
      <c r="A148" s="24" t="s">
        <v>118</v>
      </c>
      <c r="B148" s="24" t="s">
        <v>78</v>
      </c>
      <c r="C148" s="28" t="s">
        <v>177</v>
      </c>
      <c r="D148" s="28" t="s">
        <v>2347</v>
      </c>
      <c r="E148" s="28" t="s">
        <v>2357</v>
      </c>
      <c r="F148" s="28" t="s">
        <v>2374</v>
      </c>
      <c r="G148" s="28"/>
    </row>
    <row r="149" spans="1:7">
      <c r="A149" s="24" t="s">
        <v>1165</v>
      </c>
      <c r="B149" s="24" t="s">
        <v>2322</v>
      </c>
      <c r="C149" s="28" t="s">
        <v>2254</v>
      </c>
      <c r="D149" s="28" t="s">
        <v>715</v>
      </c>
      <c r="E149" s="28" t="s">
        <v>193</v>
      </c>
      <c r="F149" s="28" t="s">
        <v>799</v>
      </c>
      <c r="G149" s="28"/>
    </row>
    <row r="150" spans="1:7">
      <c r="A150" s="24" t="s">
        <v>171</v>
      </c>
      <c r="B150" s="24" t="s">
        <v>81</v>
      </c>
      <c r="C150" s="28" t="s">
        <v>243</v>
      </c>
      <c r="D150" s="28" t="s">
        <v>719</v>
      </c>
      <c r="E150" s="28" t="s">
        <v>196</v>
      </c>
      <c r="F150" s="28" t="s">
        <v>133</v>
      </c>
      <c r="G150" s="28"/>
    </row>
    <row r="151" spans="1:7">
      <c r="A151" s="24" t="s">
        <v>180</v>
      </c>
      <c r="B151" s="24" t="s">
        <v>64</v>
      </c>
      <c r="C151" s="28" t="s">
        <v>2342</v>
      </c>
      <c r="D151" s="28" t="s">
        <v>2272</v>
      </c>
      <c r="E151" s="28" t="s">
        <v>2287</v>
      </c>
      <c r="F151" s="28" t="s">
        <v>2375</v>
      </c>
      <c r="G151" s="28"/>
    </row>
    <row r="152" spans="1:7">
      <c r="A152" s="24" t="s">
        <v>187</v>
      </c>
      <c r="B152" s="24" t="s">
        <v>2323</v>
      </c>
      <c r="C152" s="28" t="s">
        <v>655</v>
      </c>
      <c r="D152" s="28" t="s">
        <v>2348</v>
      </c>
      <c r="E152" s="28" t="s">
        <v>2358</v>
      </c>
      <c r="F152" s="28" t="s">
        <v>2376</v>
      </c>
      <c r="G152" s="28"/>
    </row>
    <row r="153" spans="1:7">
      <c r="A153" s="24" t="s">
        <v>191</v>
      </c>
      <c r="B153" s="24" t="s">
        <v>2324</v>
      </c>
      <c r="C153" s="28" t="s">
        <v>247</v>
      </c>
      <c r="D153" s="28" t="s">
        <v>241</v>
      </c>
      <c r="E153" s="28" t="s">
        <v>202</v>
      </c>
      <c r="F153" s="28" t="s">
        <v>804</v>
      </c>
      <c r="G153" s="28"/>
    </row>
    <row r="154" spans="1:7">
      <c r="A154" s="24" t="s">
        <v>2318</v>
      </c>
      <c r="B154" s="24" t="s">
        <v>2325</v>
      </c>
      <c r="C154" s="28" t="s">
        <v>2257</v>
      </c>
      <c r="D154" s="28" t="s">
        <v>725</v>
      </c>
      <c r="E154" s="28" t="s">
        <v>206</v>
      </c>
      <c r="F154" s="28" t="s">
        <v>141</v>
      </c>
      <c r="G154" s="28"/>
    </row>
    <row r="155" spans="1:7">
      <c r="A155" s="24">
        <v>1934</v>
      </c>
      <c r="B155" s="24" t="s">
        <v>2327</v>
      </c>
      <c r="C155" s="28" t="s">
        <v>2258</v>
      </c>
      <c r="D155" s="28" t="s">
        <v>2273</v>
      </c>
      <c r="E155" s="28" t="s">
        <v>2296</v>
      </c>
      <c r="F155" s="28" t="s">
        <v>2377</v>
      </c>
      <c r="G155" s="28"/>
    </row>
    <row r="156" spans="1:7">
      <c r="A156" s="24" t="s">
        <v>204</v>
      </c>
      <c r="B156" s="24">
        <v>1958</v>
      </c>
      <c r="C156" s="28" t="s">
        <v>2343</v>
      </c>
      <c r="D156" s="28" t="s">
        <v>2349</v>
      </c>
      <c r="E156" s="28" t="s">
        <v>2359</v>
      </c>
      <c r="F156" s="28" t="s">
        <v>2378</v>
      </c>
      <c r="G156" s="28"/>
    </row>
    <row r="157" spans="1:7">
      <c r="A157" s="24" t="s">
        <v>1813</v>
      </c>
      <c r="B157" s="24" t="s">
        <v>2326</v>
      </c>
      <c r="C157" s="28" t="s">
        <v>2259</v>
      </c>
      <c r="D157" s="28" t="s">
        <v>727</v>
      </c>
      <c r="E157" s="28" t="s">
        <v>214</v>
      </c>
      <c r="F157" s="28" t="s">
        <v>810</v>
      </c>
      <c r="G157" s="28"/>
    </row>
    <row r="158" spans="1:7">
      <c r="A158" s="24">
        <v>1935</v>
      </c>
      <c r="B158" s="24" t="s">
        <v>68</v>
      </c>
      <c r="C158" s="28" t="s">
        <v>671</v>
      </c>
      <c r="D158" s="28" t="s">
        <v>128</v>
      </c>
      <c r="E158" s="28" t="s">
        <v>217</v>
      </c>
      <c r="F158" s="28" t="s">
        <v>150</v>
      </c>
      <c r="G158" s="28"/>
    </row>
    <row r="159" spans="1:7">
      <c r="A159" s="24" t="s">
        <v>208</v>
      </c>
      <c r="B159" s="24" t="s">
        <v>2328</v>
      </c>
      <c r="C159" s="28" t="s">
        <v>2260</v>
      </c>
      <c r="D159" s="28" t="s">
        <v>2274</v>
      </c>
      <c r="E159" s="28" t="s">
        <v>2297</v>
      </c>
      <c r="F159" s="28" t="s">
        <v>2379</v>
      </c>
      <c r="G159" s="28"/>
    </row>
    <row r="160" spans="1:7">
      <c r="A160" s="24" t="s">
        <v>211</v>
      </c>
      <c r="B160" s="24" t="s">
        <v>71</v>
      </c>
      <c r="C160" s="28" t="s">
        <v>257</v>
      </c>
      <c r="D160" s="28" t="s">
        <v>2350</v>
      </c>
      <c r="E160" s="28" t="s">
        <v>2360</v>
      </c>
      <c r="F160" s="28" t="s">
        <v>2380</v>
      </c>
      <c r="G160" s="28"/>
    </row>
    <row r="161" spans="1:9">
      <c r="A161" s="24" t="s">
        <v>215</v>
      </c>
      <c r="B161" s="24" t="s">
        <v>2329</v>
      </c>
      <c r="C161" s="28" t="s">
        <v>209</v>
      </c>
      <c r="D161" s="28" t="s">
        <v>244</v>
      </c>
      <c r="E161" s="28" t="s">
        <v>222</v>
      </c>
      <c r="F161" s="28" t="s">
        <v>815</v>
      </c>
      <c r="G161" s="28"/>
    </row>
    <row r="162" spans="1:9">
      <c r="A162" s="24" t="s">
        <v>219</v>
      </c>
      <c r="B162" s="24" t="s">
        <v>74</v>
      </c>
      <c r="C162" s="28" t="s">
        <v>2261</v>
      </c>
      <c r="D162" s="28" t="s">
        <v>731</v>
      </c>
      <c r="E162" s="28" t="s">
        <v>226</v>
      </c>
      <c r="F162" s="28" t="s">
        <v>160</v>
      </c>
      <c r="G162" s="28"/>
    </row>
    <row r="163" spans="1:9">
      <c r="A163" s="24" t="s">
        <v>451</v>
      </c>
      <c r="B163" s="24" t="s">
        <v>2330</v>
      </c>
      <c r="C163" s="28" t="s">
        <v>216</v>
      </c>
      <c r="D163" s="28" t="s">
        <v>2275</v>
      </c>
      <c r="E163" s="28" t="s">
        <v>2361</v>
      </c>
      <c r="F163" s="28" t="s">
        <v>2381</v>
      </c>
      <c r="G163" s="28"/>
    </row>
    <row r="164" spans="1:9">
      <c r="A164" s="24" t="s">
        <v>1167</v>
      </c>
      <c r="B164" s="24" t="s">
        <v>76</v>
      </c>
      <c r="C164" s="28" t="s">
        <v>675</v>
      </c>
      <c r="D164" s="28" t="s">
        <v>2351</v>
      </c>
      <c r="E164" s="28" t="s">
        <v>2362</v>
      </c>
      <c r="F164" s="28" t="s">
        <v>2382</v>
      </c>
      <c r="G164" s="28"/>
    </row>
    <row r="165" spans="1:9">
      <c r="A165" s="24" t="s">
        <v>224</v>
      </c>
      <c r="B165" s="24" t="s">
        <v>2331</v>
      </c>
      <c r="C165" s="28" t="s">
        <v>2262</v>
      </c>
      <c r="D165" s="28" t="s">
        <v>246</v>
      </c>
      <c r="E165" s="28" t="s">
        <v>88</v>
      </c>
      <c r="F165" s="28" t="s">
        <v>819</v>
      </c>
      <c r="G165" s="28"/>
    </row>
    <row r="166" spans="1:9">
      <c r="A166" s="24" t="s">
        <v>233</v>
      </c>
      <c r="B166" s="24" t="s">
        <v>2332</v>
      </c>
      <c r="C166" s="28" t="s">
        <v>678</v>
      </c>
      <c r="D166" s="28" t="s">
        <v>736</v>
      </c>
      <c r="E166" s="28" t="s">
        <v>90</v>
      </c>
      <c r="F166" s="28" t="s">
        <v>170</v>
      </c>
      <c r="G166" s="28"/>
    </row>
    <row r="167" spans="1:9">
      <c r="A167" s="24" t="s">
        <v>235</v>
      </c>
      <c r="B167" s="24" t="s">
        <v>554</v>
      </c>
      <c r="C167" s="28" t="s">
        <v>2263</v>
      </c>
      <c r="D167" s="28" t="s">
        <v>2276</v>
      </c>
      <c r="E167" s="28" t="s">
        <v>2363</v>
      </c>
      <c r="F167" s="28" t="s">
        <v>2383</v>
      </c>
      <c r="G167" s="28"/>
    </row>
    <row r="168" spans="1:9">
      <c r="A168" s="24" t="s">
        <v>238</v>
      </c>
      <c r="B168" s="24" t="s">
        <v>2333</v>
      </c>
      <c r="C168" s="28" t="s">
        <v>263</v>
      </c>
      <c r="D168" s="28" t="s">
        <v>2352</v>
      </c>
      <c r="E168" s="28" t="s">
        <v>2364</v>
      </c>
      <c r="F168" s="28" t="s">
        <v>2384</v>
      </c>
      <c r="G168" s="28"/>
    </row>
    <row r="169" spans="1:9">
      <c r="A169" s="24">
        <v>1941</v>
      </c>
      <c r="B169" s="24" t="s">
        <v>2334</v>
      </c>
      <c r="C169" s="28" t="s">
        <v>2264</v>
      </c>
      <c r="E169" s="28"/>
      <c r="F169" s="3"/>
    </row>
    <row r="170" spans="1:9">
      <c r="A170" s="24" t="s">
        <v>86</v>
      </c>
      <c r="B170" s="24" t="s">
        <v>2335</v>
      </c>
      <c r="C170" s="28" t="s">
        <v>265</v>
      </c>
      <c r="E170" s="28"/>
      <c r="F170" s="3"/>
    </row>
    <row r="171" spans="1:9">
      <c r="E171" s="3"/>
      <c r="F171" s="3"/>
    </row>
    <row r="172" spans="1:9">
      <c r="A172" s="3">
        <f t="shared" ref="A172:G172" si="1">COUNTA(A129:A170)</f>
        <v>42</v>
      </c>
      <c r="B172" s="3">
        <f t="shared" si="1"/>
        <v>42</v>
      </c>
      <c r="C172" s="3">
        <f t="shared" si="1"/>
        <v>42</v>
      </c>
      <c r="D172" s="3">
        <f t="shared" si="1"/>
        <v>40</v>
      </c>
      <c r="E172" s="3">
        <f t="shared" si="1"/>
        <v>40</v>
      </c>
      <c r="F172" s="3">
        <f t="shared" si="1"/>
        <v>40</v>
      </c>
      <c r="G172" s="3">
        <f t="shared" si="1"/>
        <v>16</v>
      </c>
      <c r="I172" s="3">
        <f>SUM(A172:G172)</f>
        <v>262</v>
      </c>
    </row>
  </sheetData>
  <mergeCells count="3">
    <mergeCell ref="A127:G127"/>
    <mergeCell ref="A39:D39"/>
    <mergeCell ref="A83:D83"/>
  </mergeCells>
  <phoneticPr fontId="19" type="noConversion"/>
  <pageMargins left="0.2" right="0.2" top="0.44652777777777802" bottom="0.27847222222222201" header="0.179861111111111" footer="0.179861111111111"/>
  <pageSetup orientation="landscape" r:id="rId1"/>
  <headerFooter differentFirst="1">
    <oddHeader>&amp;LDate:  &amp;D&amp;CCoin Collection Want List&amp;RPage: &amp;P</oddHeader>
    <oddFooter>&amp;CPage &amp;P</oddFooter>
    <firstHeader>&amp;LDate: &amp;D&amp;CCoin Collection Want List</firstHead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E7C12-350E-4B88-9D3D-1EB2F649E2C2}">
  <sheetPr codeName="Sheet27">
    <pageSetUpPr fitToPage="1"/>
  </sheetPr>
  <dimension ref="A1:T26"/>
  <sheetViews>
    <sheetView workbookViewId="0">
      <selection activeCell="T26" sqref="T26"/>
    </sheetView>
  </sheetViews>
  <sheetFormatPr defaultRowHeight="15"/>
  <cols>
    <col min="1" max="1" width="5.5703125" style="330" bestFit="1" customWidth="1"/>
    <col min="2" max="2" width="14" style="330" bestFit="1" customWidth="1"/>
    <col min="3" max="3" width="7.85546875" style="330" bestFit="1" customWidth="1"/>
    <col min="4" max="4" width="8.28515625" style="330" bestFit="1" customWidth="1"/>
    <col min="5" max="5" width="7.85546875" style="330" bestFit="1" customWidth="1"/>
    <col min="6" max="6" width="8.28515625" style="330" bestFit="1" customWidth="1"/>
    <col min="7" max="7" width="9.140625" style="330"/>
    <col min="8" max="8" width="16" style="330" bestFit="1" customWidth="1"/>
    <col min="9" max="9" width="9.140625" style="330"/>
    <col min="10" max="10" width="16" style="330" bestFit="1" customWidth="1"/>
    <col min="11" max="11" width="9.140625" style="330"/>
    <col min="12" max="12" width="23.28515625" style="330" hidden="1" customWidth="1"/>
    <col min="13" max="14" width="5.28515625" style="378" hidden="1" customWidth="1"/>
    <col min="15" max="15" width="23.7109375" style="330" hidden="1" customWidth="1"/>
    <col min="16" max="17" width="7" style="378" hidden="1" customWidth="1"/>
    <col min="18" max="18" width="23.7109375" style="330" hidden="1" customWidth="1"/>
    <col min="19" max="19" width="0" style="378" hidden="1" customWidth="1"/>
    <col min="20" max="16384" width="9.140625" style="330"/>
  </cols>
  <sheetData>
    <row r="1" spans="1:20">
      <c r="A1" s="387" t="s">
        <v>2594</v>
      </c>
      <c r="H1" s="348"/>
      <c r="I1" s="348"/>
      <c r="J1" s="348"/>
    </row>
    <row r="2" spans="1:20">
      <c r="A2" s="330" t="s">
        <v>4646</v>
      </c>
      <c r="B2" s="331" t="s">
        <v>84</v>
      </c>
      <c r="C2" s="332" t="s">
        <v>4647</v>
      </c>
      <c r="D2" s="332" t="s">
        <v>4648</v>
      </c>
      <c r="E2" s="332" t="s">
        <v>4649</v>
      </c>
      <c r="F2" s="333" t="s">
        <v>4650</v>
      </c>
      <c r="H2" s="360" t="s">
        <v>4912</v>
      </c>
      <c r="I2" s="348"/>
      <c r="J2" s="360" t="s">
        <v>4912</v>
      </c>
    </row>
    <row r="3" spans="1:20">
      <c r="A3" s="334" t="b">
        <f t="shared" ref="A3:A15" si="0">IF(M3&lt;&gt;"",TRUE,FALSE)</f>
        <v>0</v>
      </c>
      <c r="B3" s="335" t="s">
        <v>4651</v>
      </c>
      <c r="C3" s="388" t="b">
        <f t="shared" ref="C3:C15" si="1">IF(P3&lt;&gt;"",TRUE,FALSE)</f>
        <v>1</v>
      </c>
      <c r="D3" s="337" t="s">
        <v>2394</v>
      </c>
      <c r="E3" s="336" t="b">
        <f t="shared" ref="E3:E14" si="2">IF(S3&lt;&gt;"",TRUE,FALSE)</f>
        <v>1</v>
      </c>
      <c r="F3" s="338">
        <v>1900</v>
      </c>
      <c r="H3" s="378" t="str" cm="1">
        <f t="array" ref="H3:H15">_xlfn._xlws.FILTER(B3:B15,A3:A15=FALSE)</f>
        <v>1872</v>
      </c>
      <c r="I3" s="378"/>
      <c r="J3" s="450" t="str" cm="1">
        <f t="array" ref="J3:J24">_xlfn.LET(_xlpm.stacked_data, _xlfn.VSTACK(A3:B15, C3:D15, E3:F14),
    _xlfn._xlws.FILTER(_xlfn.CHOOSECOLS(_xlpm.stacked_data, 2), _xlfn.CHOOSECOLS(_xlpm.stacked_data, 1) = FALSE)
)</f>
        <v>1872</v>
      </c>
      <c r="L3" s="330" t="str">
        <f>B3&amp;" "&amp;$A$1</f>
        <v>1872 Indian Head Penny</v>
      </c>
      <c r="M3" s="378" t="str">
        <f>IFERROR(MATCH(L3,CoinCollection!O:O,0),"")</f>
        <v/>
      </c>
      <c r="O3" s="387" t="str">
        <f>D3&amp;" "&amp;$A$1</f>
        <v>1887 Indian Head Penny</v>
      </c>
      <c r="P3" s="378">
        <f>IFERROR(MATCH(O3,CoinCollection!O:O,0),"")</f>
        <v>2</v>
      </c>
      <c r="Q3" s="378" t="b">
        <f t="shared" ref="Q3:Q15" si="3">IF(P3&gt;0,C3="TRUE",)</f>
        <v>0</v>
      </c>
      <c r="R3" s="330" t="str">
        <f>F3&amp;" "&amp;$A$1</f>
        <v>1900 Indian Head Penny</v>
      </c>
      <c r="S3" s="378">
        <f>IFERROR(MATCH(R3,CoinCollection!O:O,0),"")</f>
        <v>13</v>
      </c>
      <c r="T3" s="339" t="str" cm="1">
        <f t="array" ref="T3:T24">_xlfn.LET(_xlpm.stacked_data,_xlfn.VSTACK(A3:B15,C3:D15,E3:F14),
_xlfn._xlws.FILTER(_xlfn.CHOOSECOLS(_xlpm.stacked_data,2),_xlfn.CHOOSECOLS(_xlpm.stacked_data,1)=FALSE)
)</f>
        <v>1872</v>
      </c>
    </row>
    <row r="4" spans="1:20">
      <c r="A4" s="334" t="b">
        <f t="shared" si="0"/>
        <v>0</v>
      </c>
      <c r="B4" s="340" t="s">
        <v>4652</v>
      </c>
      <c r="C4" s="388" t="b">
        <f t="shared" si="1"/>
        <v>1</v>
      </c>
      <c r="D4" s="342" t="s">
        <v>2395</v>
      </c>
      <c r="E4" s="336" t="b">
        <f t="shared" si="2"/>
        <v>1</v>
      </c>
      <c r="F4" s="343">
        <v>1901</v>
      </c>
      <c r="H4" s="378" t="str">
        <v>1873</v>
      </c>
      <c r="I4" s="378"/>
      <c r="J4" s="450" t="str">
        <v>1873</v>
      </c>
      <c r="L4" s="330" t="str">
        <f t="shared" ref="L4:L15" si="4">B4&amp;" "&amp;$A$1</f>
        <v>1873 Indian Head Penny</v>
      </c>
      <c r="M4" s="378" t="str">
        <f>IFERROR(MATCH(L4,CoinCollection!O:O,0),"")</f>
        <v/>
      </c>
      <c r="O4" s="387" t="str">
        <f t="shared" ref="O4:O15" si="5">D4&amp;" "&amp;$A$1</f>
        <v>1888 Indian Head Penny</v>
      </c>
      <c r="P4" s="378">
        <f>IFERROR(MATCH(O4,CoinCollection!O:O,0),"")</f>
        <v>3</v>
      </c>
      <c r="Q4" s="378" t="b">
        <f t="shared" si="3"/>
        <v>0</v>
      </c>
      <c r="R4" s="330" t="str">
        <f t="shared" ref="R4:R14" si="6">F4&amp;" "&amp;$A$1</f>
        <v>1901 Indian Head Penny</v>
      </c>
      <c r="S4" s="378">
        <f>IFERROR(MATCH(R4,CoinCollection!O:O,0),"")</f>
        <v>14</v>
      </c>
      <c r="T4" s="330" t="str">
        <v>1873</v>
      </c>
    </row>
    <row r="5" spans="1:20">
      <c r="A5" s="334" t="b">
        <f t="shared" si="0"/>
        <v>0</v>
      </c>
      <c r="B5" s="335" t="s">
        <v>4653</v>
      </c>
      <c r="C5" s="388" t="b">
        <f t="shared" si="1"/>
        <v>1</v>
      </c>
      <c r="D5" s="337" t="s">
        <v>2396</v>
      </c>
      <c r="E5" s="336" t="b">
        <f t="shared" si="2"/>
        <v>1</v>
      </c>
      <c r="F5" s="338">
        <v>1902</v>
      </c>
      <c r="H5" s="378" t="str">
        <v>1874</v>
      </c>
      <c r="I5" s="378"/>
      <c r="J5" s="450" t="str">
        <v>1874</v>
      </c>
      <c r="L5" s="330" t="str">
        <f t="shared" si="4"/>
        <v>1874 Indian Head Penny</v>
      </c>
      <c r="M5" s="378" t="str">
        <f>IFERROR(MATCH(L5,CoinCollection!O:O,0),"")</f>
        <v/>
      </c>
      <c r="O5" s="387" t="str">
        <f t="shared" si="5"/>
        <v>1889 Indian Head Penny</v>
      </c>
      <c r="P5" s="378">
        <f>IFERROR(MATCH(O5,CoinCollection!O:O,0),"")</f>
        <v>5</v>
      </c>
      <c r="Q5" s="378" t="b">
        <f t="shared" si="3"/>
        <v>0</v>
      </c>
      <c r="R5" s="330" t="str">
        <f t="shared" si="6"/>
        <v>1902 Indian Head Penny</v>
      </c>
      <c r="S5" s="378">
        <f>IFERROR(MATCH(R5,CoinCollection!O:O,0),"")</f>
        <v>17</v>
      </c>
      <c r="T5" s="330" t="str">
        <v>1874</v>
      </c>
    </row>
    <row r="6" spans="1:20">
      <c r="A6" s="334" t="b">
        <f t="shared" si="0"/>
        <v>0</v>
      </c>
      <c r="B6" s="340" t="s">
        <v>4654</v>
      </c>
      <c r="C6" s="388" t="b">
        <f t="shared" si="1"/>
        <v>1</v>
      </c>
      <c r="D6" s="342" t="s">
        <v>2397</v>
      </c>
      <c r="E6" s="336" t="b">
        <f t="shared" si="2"/>
        <v>1</v>
      </c>
      <c r="F6" s="344" t="s">
        <v>4175</v>
      </c>
      <c r="H6" s="378" t="str">
        <v>1875</v>
      </c>
      <c r="I6" s="378"/>
      <c r="J6" s="451" t="str">
        <v>1875</v>
      </c>
      <c r="L6" s="330" t="str">
        <f t="shared" si="4"/>
        <v>1875 Indian Head Penny</v>
      </c>
      <c r="M6" s="378" t="str">
        <f>IFERROR(MATCH(L6,CoinCollection!O:O,0),"")</f>
        <v/>
      </c>
      <c r="O6" s="387" t="str">
        <f t="shared" si="5"/>
        <v>1890 Indian Head Penny</v>
      </c>
      <c r="P6" s="378">
        <f>IFERROR(MATCH(O6,CoinCollection!O:O,0),"")</f>
        <v>8</v>
      </c>
      <c r="Q6" s="378" t="b">
        <f t="shared" si="3"/>
        <v>0</v>
      </c>
      <c r="R6" s="330" t="str">
        <f t="shared" si="6"/>
        <v>1903 Indian Head Penny</v>
      </c>
      <c r="S6" s="378">
        <f>IFERROR(MATCH(R6,CoinCollection!O:O,0),"")</f>
        <v>20</v>
      </c>
      <c r="T6" s="330" t="str">
        <v>1875</v>
      </c>
    </row>
    <row r="7" spans="1:20">
      <c r="A7" s="334" t="b">
        <f t="shared" si="0"/>
        <v>0</v>
      </c>
      <c r="B7" s="335" t="s">
        <v>4655</v>
      </c>
      <c r="C7" s="388" t="b">
        <f t="shared" si="1"/>
        <v>1</v>
      </c>
      <c r="D7" s="337" t="s">
        <v>2398</v>
      </c>
      <c r="E7" s="336" t="b">
        <f t="shared" si="2"/>
        <v>1</v>
      </c>
      <c r="F7" s="345" t="s">
        <v>4176</v>
      </c>
      <c r="H7" s="378" t="str">
        <v>1876</v>
      </c>
      <c r="I7" s="378"/>
      <c r="J7" s="378" t="str">
        <v>1876</v>
      </c>
      <c r="L7" s="330" t="str">
        <f t="shared" si="4"/>
        <v>1876 Indian Head Penny</v>
      </c>
      <c r="M7" s="378" t="str">
        <f>IFERROR(MATCH(L7,CoinCollection!O:O,0),"")</f>
        <v/>
      </c>
      <c r="O7" s="387" t="str">
        <f t="shared" si="5"/>
        <v>1891 Indian Head Penny</v>
      </c>
      <c r="P7" s="378">
        <f>IFERROR(MATCH(O7,CoinCollection!O:O,0),"")</f>
        <v>10</v>
      </c>
      <c r="Q7" s="378" t="b">
        <f t="shared" si="3"/>
        <v>0</v>
      </c>
      <c r="R7" s="330" t="str">
        <f t="shared" si="6"/>
        <v>1904 Indian Head Penny</v>
      </c>
      <c r="S7" s="378">
        <f>IFERROR(MATCH(R7,CoinCollection!O:O,0),"")</f>
        <v>24</v>
      </c>
      <c r="T7" s="330" t="str">
        <v>1876</v>
      </c>
    </row>
    <row r="8" spans="1:20">
      <c r="A8" s="334" t="b">
        <f t="shared" si="0"/>
        <v>0</v>
      </c>
      <c r="B8" s="340" t="s">
        <v>4656</v>
      </c>
      <c r="C8" s="388" t="b">
        <f t="shared" si="1"/>
        <v>0</v>
      </c>
      <c r="D8" s="342" t="s">
        <v>2399</v>
      </c>
      <c r="E8" s="336" t="b">
        <f t="shared" si="2"/>
        <v>1</v>
      </c>
      <c r="F8" s="344" t="s">
        <v>2400</v>
      </c>
      <c r="H8" s="378" t="str">
        <v>1877</v>
      </c>
      <c r="I8" s="378"/>
      <c r="J8" s="378" t="str">
        <v>1877</v>
      </c>
      <c r="L8" s="330" t="str">
        <f t="shared" si="4"/>
        <v>1877 Indian Head Penny</v>
      </c>
      <c r="M8" s="378" t="str">
        <f>IFERROR(MATCH(L8,CoinCollection!O:O,0),"")</f>
        <v/>
      </c>
      <c r="O8" s="387" t="str">
        <f t="shared" si="5"/>
        <v>1892 Indian Head Penny</v>
      </c>
      <c r="P8" s="378" t="str">
        <f>IFERROR(MATCH(O8,CoinCollection!O:O,0),"")</f>
        <v/>
      </c>
      <c r="Q8" s="378" t="b">
        <f t="shared" si="3"/>
        <v>0</v>
      </c>
      <c r="R8" s="330" t="str">
        <f t="shared" si="6"/>
        <v>1905 Indian Head Penny</v>
      </c>
      <c r="S8" s="378">
        <f>IFERROR(MATCH(R8,CoinCollection!O:O,0),"")</f>
        <v>26</v>
      </c>
      <c r="T8" s="330" t="str">
        <v>1877</v>
      </c>
    </row>
    <row r="9" spans="1:20">
      <c r="A9" s="334" t="b">
        <f t="shared" si="0"/>
        <v>0</v>
      </c>
      <c r="B9" s="335" t="s">
        <v>4657</v>
      </c>
      <c r="C9" s="388" t="b">
        <f t="shared" si="1"/>
        <v>0</v>
      </c>
      <c r="D9" s="337" t="s">
        <v>4232</v>
      </c>
      <c r="E9" s="336" t="b">
        <f t="shared" si="2"/>
        <v>1</v>
      </c>
      <c r="F9" s="345" t="s">
        <v>2401</v>
      </c>
      <c r="H9" s="378" t="str">
        <v>1878</v>
      </c>
      <c r="I9" s="378"/>
      <c r="J9" s="378" t="str">
        <v>1878</v>
      </c>
      <c r="L9" s="330" t="str">
        <f t="shared" si="4"/>
        <v>1878 Indian Head Penny</v>
      </c>
      <c r="M9" s="378" t="str">
        <f>IFERROR(MATCH(L9,CoinCollection!O:O,0),"")</f>
        <v/>
      </c>
      <c r="O9" s="387" t="str">
        <f t="shared" si="5"/>
        <v>1893 Indian Head Penny</v>
      </c>
      <c r="P9" s="378" t="str">
        <f>IFERROR(MATCH(O9,CoinCollection!O:O,0),"")</f>
        <v/>
      </c>
      <c r="Q9" s="378" t="b">
        <f t="shared" si="3"/>
        <v>0</v>
      </c>
      <c r="R9" s="330" t="str">
        <f t="shared" si="6"/>
        <v>1906 Indian Head Penny</v>
      </c>
      <c r="S9" s="378">
        <f>IFERROR(MATCH(R9,CoinCollection!O:O,0),"")</f>
        <v>29</v>
      </c>
      <c r="T9" s="330" t="str">
        <v>1878</v>
      </c>
    </row>
    <row r="10" spans="1:20">
      <c r="A10" s="334" t="b">
        <f t="shared" si="0"/>
        <v>0</v>
      </c>
      <c r="B10" s="340" t="s">
        <v>4658</v>
      </c>
      <c r="C10" s="388" t="b">
        <f t="shared" si="1"/>
        <v>0</v>
      </c>
      <c r="D10" s="342" t="s">
        <v>4659</v>
      </c>
      <c r="E10" s="336" t="b">
        <f t="shared" si="2"/>
        <v>1</v>
      </c>
      <c r="F10" s="344" t="s">
        <v>2402</v>
      </c>
      <c r="H10" s="378" t="str">
        <v>1879</v>
      </c>
      <c r="I10" s="378"/>
      <c r="J10" s="378" t="str">
        <v>1879</v>
      </c>
      <c r="L10" s="330" t="str">
        <f t="shared" si="4"/>
        <v>1879 Indian Head Penny</v>
      </c>
      <c r="M10" s="378" t="str">
        <f>IFERROR(MATCH(L10,CoinCollection!O:O,0),"")</f>
        <v/>
      </c>
      <c r="O10" s="387" t="str">
        <f t="shared" si="5"/>
        <v>1894 Indian Head Penny</v>
      </c>
      <c r="P10" s="378" t="str">
        <f>IFERROR(MATCH(O10,CoinCollection!O:O,0),"")</f>
        <v/>
      </c>
      <c r="Q10" s="378" t="b">
        <f t="shared" si="3"/>
        <v>0</v>
      </c>
      <c r="R10" s="330" t="str">
        <f t="shared" si="6"/>
        <v>1907 Indian Head Penny</v>
      </c>
      <c r="S10" s="378">
        <f>IFERROR(MATCH(R10,CoinCollection!O:O,0),"")</f>
        <v>34</v>
      </c>
      <c r="T10" s="330" t="str">
        <v>1879</v>
      </c>
    </row>
    <row r="11" spans="1:20">
      <c r="A11" s="334" t="b">
        <f t="shared" si="0"/>
        <v>0</v>
      </c>
      <c r="B11" s="335" t="s">
        <v>4660</v>
      </c>
      <c r="C11" s="388" t="b">
        <f t="shared" si="1"/>
        <v>0</v>
      </c>
      <c r="D11" s="337" t="s">
        <v>4661</v>
      </c>
      <c r="E11" s="336" t="b">
        <f t="shared" si="2"/>
        <v>1</v>
      </c>
      <c r="F11" s="345" t="s">
        <v>2403</v>
      </c>
      <c r="H11" s="378" t="str">
        <v>1880</v>
      </c>
      <c r="I11" s="378"/>
      <c r="J11" s="378" t="str">
        <v>1880</v>
      </c>
      <c r="L11" s="330" t="str">
        <f t="shared" si="4"/>
        <v>1880 Indian Head Penny</v>
      </c>
      <c r="M11" s="378" t="str">
        <f>IFERROR(MATCH(L11,CoinCollection!O:O,0),"")</f>
        <v/>
      </c>
      <c r="O11" s="387" t="str">
        <f t="shared" si="5"/>
        <v>1895 Indian Head Penny</v>
      </c>
      <c r="P11" s="378" t="str">
        <f>IFERROR(MATCH(O11,CoinCollection!O:O,0),"")</f>
        <v/>
      </c>
      <c r="Q11" s="378" t="b">
        <f t="shared" si="3"/>
        <v>0</v>
      </c>
      <c r="R11" s="330" t="str">
        <f t="shared" si="6"/>
        <v>1908 Indian Head Penny</v>
      </c>
      <c r="S11" s="378">
        <f>IFERROR(MATCH(R11,CoinCollection!O:O,0),"")</f>
        <v>37</v>
      </c>
      <c r="T11" s="330" t="str">
        <v>1880</v>
      </c>
    </row>
    <row r="12" spans="1:20">
      <c r="A12" s="334" t="b">
        <f t="shared" si="0"/>
        <v>0</v>
      </c>
      <c r="B12" s="340" t="s">
        <v>4662</v>
      </c>
      <c r="C12" s="388" t="b">
        <f t="shared" si="1"/>
        <v>1</v>
      </c>
      <c r="D12" s="342" t="s">
        <v>4170</v>
      </c>
      <c r="E12" s="336" t="b">
        <f t="shared" si="2"/>
        <v>0</v>
      </c>
      <c r="F12" s="344" t="s">
        <v>4663</v>
      </c>
      <c r="H12" s="378" t="str">
        <v>1881</v>
      </c>
      <c r="I12" s="378"/>
      <c r="J12" s="378" t="str">
        <v>1881</v>
      </c>
      <c r="L12" s="330" t="str">
        <f t="shared" si="4"/>
        <v>1881 Indian Head Penny</v>
      </c>
      <c r="M12" s="378" t="str">
        <f>IFERROR(MATCH(L12,CoinCollection!O:O,0),"")</f>
        <v/>
      </c>
      <c r="O12" s="387" t="str">
        <f t="shared" si="5"/>
        <v>1896 Indian Head Penny</v>
      </c>
      <c r="P12" s="378">
        <f>IFERROR(MATCH(O12,CoinCollection!O:O,0),"")</f>
        <v>11</v>
      </c>
      <c r="Q12" s="378" t="b">
        <f t="shared" si="3"/>
        <v>0</v>
      </c>
      <c r="R12" s="330" t="str">
        <f t="shared" si="6"/>
        <v>1908-S Indian Head Penny</v>
      </c>
      <c r="S12" s="378" t="str">
        <f>IFERROR(MATCH(R12,CoinCollection!O:O,0),"")</f>
        <v/>
      </c>
      <c r="T12" s="330" t="str">
        <v>1881</v>
      </c>
    </row>
    <row r="13" spans="1:20">
      <c r="A13" s="334" t="b">
        <f t="shared" si="0"/>
        <v>0</v>
      </c>
      <c r="B13" s="335" t="s">
        <v>4664</v>
      </c>
      <c r="C13" s="388" t="b">
        <f t="shared" si="1"/>
        <v>0</v>
      </c>
      <c r="D13" s="337" t="s">
        <v>4233</v>
      </c>
      <c r="E13" s="336" t="b">
        <f t="shared" si="2"/>
        <v>0</v>
      </c>
      <c r="F13" s="338">
        <v>1909</v>
      </c>
      <c r="H13" s="378" t="str">
        <v>1882</v>
      </c>
      <c r="I13" s="378"/>
      <c r="J13" s="378" t="str">
        <v>1882</v>
      </c>
      <c r="L13" s="330" t="str">
        <f t="shared" si="4"/>
        <v>1882 Indian Head Penny</v>
      </c>
      <c r="M13" s="378" t="str">
        <f>IFERROR(MATCH(L13,CoinCollection!O:O,0),"")</f>
        <v/>
      </c>
      <c r="O13" s="387" t="str">
        <f t="shared" si="5"/>
        <v>1897 Indian Head Penny</v>
      </c>
      <c r="P13" s="378" t="str">
        <f>IFERROR(MATCH(O13,CoinCollection!O:O,0),"")</f>
        <v/>
      </c>
      <c r="Q13" s="378" t="b">
        <f t="shared" si="3"/>
        <v>0</v>
      </c>
      <c r="R13" s="330" t="str">
        <f t="shared" si="6"/>
        <v>1909 Indian Head Penny</v>
      </c>
      <c r="S13" s="378" t="str">
        <f>IFERROR(MATCH(R13,CoinCollection!O:O,0),"")</f>
        <v/>
      </c>
      <c r="T13" s="330" t="str">
        <v>1882</v>
      </c>
    </row>
    <row r="14" spans="1:20">
      <c r="A14" s="334" t="b">
        <f t="shared" si="0"/>
        <v>0</v>
      </c>
      <c r="B14" s="340" t="s">
        <v>1589</v>
      </c>
      <c r="C14" s="388" t="b">
        <f t="shared" si="1"/>
        <v>0</v>
      </c>
      <c r="D14" s="342" t="s">
        <v>4665</v>
      </c>
      <c r="E14" s="336" t="b">
        <f t="shared" si="2"/>
        <v>0</v>
      </c>
      <c r="F14" s="344" t="s">
        <v>4666</v>
      </c>
      <c r="H14" s="378" t="str">
        <v>1883</v>
      </c>
      <c r="I14" s="378"/>
      <c r="J14" s="378" t="str">
        <v>1883</v>
      </c>
      <c r="L14" s="330" t="str">
        <f t="shared" si="4"/>
        <v>1883 Indian Head Penny</v>
      </c>
      <c r="M14" s="378" t="str">
        <f>IFERROR(MATCH(L14,CoinCollection!O:O,0),"")</f>
        <v/>
      </c>
      <c r="O14" s="387" t="str">
        <f t="shared" si="5"/>
        <v>1898 Indian Head Penny</v>
      </c>
      <c r="P14" s="378" t="str">
        <f>IFERROR(MATCH(O14,CoinCollection!O:O,0),"")</f>
        <v/>
      </c>
      <c r="Q14" s="378" t="b">
        <f t="shared" si="3"/>
        <v>0</v>
      </c>
      <c r="R14" s="330" t="str">
        <f t="shared" si="6"/>
        <v>1909-S Indian Head Penny</v>
      </c>
      <c r="S14" s="378" t="str">
        <f>IFERROR(MATCH(R14,CoinCollection!O:O,0),"")</f>
        <v/>
      </c>
      <c r="T14" s="330" t="str">
        <v>1883</v>
      </c>
    </row>
    <row r="15" spans="1:20">
      <c r="A15" s="334" t="b">
        <f t="shared" si="0"/>
        <v>0</v>
      </c>
      <c r="B15" s="346" t="s">
        <v>2393</v>
      </c>
      <c r="C15" s="388" t="b">
        <f t="shared" si="1"/>
        <v>1</v>
      </c>
      <c r="D15" s="347" t="s">
        <v>4171</v>
      </c>
      <c r="E15" s="452" t="s">
        <v>53</v>
      </c>
      <c r="F15" s="453" t="s">
        <v>53</v>
      </c>
      <c r="H15" s="378" t="str">
        <v>1884</v>
      </c>
      <c r="I15" s="378"/>
      <c r="J15" s="378" t="str">
        <v>1884</v>
      </c>
      <c r="L15" s="330" t="str">
        <f t="shared" si="4"/>
        <v>1884 Indian Head Penny</v>
      </c>
      <c r="M15" s="378" t="str">
        <f>IFERROR(MATCH(L15,CoinCollection!O:O,0),"")</f>
        <v/>
      </c>
      <c r="O15" s="387" t="str">
        <f t="shared" si="5"/>
        <v>1899 Indian Head Penny</v>
      </c>
      <c r="P15" s="378">
        <f>IFERROR(MATCH(O15,CoinCollection!O:O,0),"")</f>
        <v>12</v>
      </c>
      <c r="Q15" s="378" t="b">
        <f t="shared" si="3"/>
        <v>0</v>
      </c>
      <c r="T15" s="330" t="str">
        <v>1884</v>
      </c>
    </row>
    <row r="16" spans="1:20">
      <c r="H16" s="378" t="str" cm="1">
        <f t="array" ref="H16:H21">_xlfn._xlws.FILTER('Indian Head Penneies'!D3:D15,'Indian Head Penneies'!C3:C15=FALSE)</f>
        <v>1892</v>
      </c>
      <c r="I16" s="378"/>
      <c r="J16" s="378" t="str">
        <v>1892</v>
      </c>
      <c r="T16" s="330" t="str">
        <v>1892</v>
      </c>
    </row>
    <row r="17" spans="2:20">
      <c r="H17" s="378" t="str">
        <v>1893</v>
      </c>
      <c r="I17" s="378"/>
      <c r="J17" s="378" t="str">
        <v>1893</v>
      </c>
      <c r="T17" s="330" t="str">
        <v>1893</v>
      </c>
    </row>
    <row r="18" spans="2:20">
      <c r="B18" s="348" t="s">
        <v>4668</v>
      </c>
      <c r="C18" s="349">
        <f>COUNTIF(A3:F15,"=False")</f>
        <v>22</v>
      </c>
      <c r="H18" s="378" t="str">
        <v>1894</v>
      </c>
      <c r="I18" s="378"/>
      <c r="J18" s="378" t="str">
        <v>1894</v>
      </c>
      <c r="T18" s="330" t="str">
        <v>1894</v>
      </c>
    </row>
    <row r="19" spans="2:20">
      <c r="B19" s="348" t="s">
        <v>4669</v>
      </c>
      <c r="C19" s="349">
        <f>COUNTIF(A3:F15,"=True")</f>
        <v>16</v>
      </c>
      <c r="H19" s="378" t="str">
        <v>1895</v>
      </c>
      <c r="I19" s="378"/>
      <c r="J19" s="378" t="str">
        <v>1895</v>
      </c>
      <c r="T19" s="330" t="str">
        <v>1895</v>
      </c>
    </row>
    <row r="20" spans="2:20">
      <c r="H20" s="378" t="str">
        <v>1897</v>
      </c>
      <c r="I20" s="378"/>
      <c r="J20" s="378" t="str">
        <v>1897</v>
      </c>
      <c r="T20" s="339" t="str">
        <v>1897</v>
      </c>
    </row>
    <row r="21" spans="2:20">
      <c r="H21" s="378" t="str">
        <v>1898</v>
      </c>
      <c r="I21" s="378"/>
      <c r="J21" s="378" t="str">
        <v>1898</v>
      </c>
      <c r="T21" s="330" t="str">
        <v>1898</v>
      </c>
    </row>
    <row r="22" spans="2:20">
      <c r="H22" s="378" t="str" cm="1">
        <f t="array" ref="H22:H24">_xlfn._xlws.FILTER(F3:F14,E3:E14=FALSE)</f>
        <v>1908-S</v>
      </c>
      <c r="I22" s="378"/>
      <c r="J22" s="378" t="str">
        <v>1908-S</v>
      </c>
      <c r="T22" s="330" t="str">
        <v>1908-S</v>
      </c>
    </row>
    <row r="23" spans="2:20">
      <c r="H23" s="378">
        <v>1909</v>
      </c>
      <c r="I23" s="378"/>
      <c r="J23" s="378">
        <v>1909</v>
      </c>
      <c r="T23" s="339">
        <v>1909</v>
      </c>
    </row>
    <row r="24" spans="2:20">
      <c r="H24" s="378" t="str">
        <v>1909-S</v>
      </c>
      <c r="I24" s="378"/>
      <c r="J24" s="378" t="str">
        <v>1909-S</v>
      </c>
      <c r="T24" s="330" t="str">
        <v>1909-S</v>
      </c>
    </row>
    <row r="26" spans="2:20">
      <c r="I26" s="339">
        <f>COUNTA(H3:H24)</f>
        <v>22</v>
      </c>
      <c r="K26" s="339">
        <f>COUNTA(_xlfn.ANCHORARRAY(J3))</f>
        <v>22</v>
      </c>
      <c r="T26" s="330">
        <f>COUNTA(_xlfn.ANCHORARRAY(T3))</f>
        <v>22</v>
      </c>
    </row>
  </sheetData>
  <pageMargins left="0.7" right="0.7" top="0.75" bottom="0.75" header="0.3" footer="0.3"/>
  <pageSetup scale="8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AE7A-048F-46B7-9283-40A957C7BCE6}">
  <sheetPr codeName="Sheet28"/>
  <dimension ref="A1:AP70"/>
  <sheetViews>
    <sheetView topLeftCell="A15" workbookViewId="0">
      <selection activeCell="K45" sqref="K45"/>
    </sheetView>
  </sheetViews>
  <sheetFormatPr defaultRowHeight="15"/>
  <cols>
    <col min="1" max="1" width="9.140625" style="330"/>
    <col min="2" max="2" width="14" style="339" bestFit="1" customWidth="1"/>
    <col min="3" max="3" width="6.85546875" style="330" bestFit="1" customWidth="1"/>
    <col min="4" max="4" width="10.7109375" style="330" bestFit="1" customWidth="1"/>
    <col min="5" max="5" width="7.85546875" style="330" bestFit="1" customWidth="1"/>
    <col min="6" max="6" width="12" style="330" bestFit="1" customWidth="1"/>
    <col min="7" max="8" width="12" style="330" customWidth="1"/>
    <col min="9" max="9" width="7.85546875" style="330" bestFit="1" customWidth="1"/>
    <col min="10" max="10" width="27" style="330" bestFit="1" customWidth="1"/>
    <col min="11" max="11" width="7.85546875" style="330" bestFit="1" customWidth="1"/>
    <col min="12" max="12" width="21.5703125" style="330" bestFit="1" customWidth="1"/>
    <col min="13" max="13" width="7.85546875" style="330" bestFit="1" customWidth="1"/>
    <col min="14" max="14" width="27" style="330" bestFit="1" customWidth="1"/>
    <col min="15" max="15" width="7.85546875" style="330" bestFit="1" customWidth="1"/>
    <col min="16" max="16" width="25.42578125" style="330" customWidth="1"/>
    <col min="17" max="17" width="7.85546875" style="330" bestFit="1" customWidth="1"/>
    <col min="18" max="18" width="23.85546875" style="330" bestFit="1" customWidth="1"/>
    <col min="19" max="19" width="3.85546875" style="330" customWidth="1"/>
    <col min="20" max="20" width="3.28515625" style="330" customWidth="1"/>
    <col min="21" max="21" width="21.5703125" style="330" bestFit="1" customWidth="1"/>
    <col min="22" max="22" width="5.28515625" style="330" customWidth="1"/>
    <col min="23" max="23" width="27" style="330" bestFit="1" customWidth="1"/>
    <col min="24" max="24" width="9.140625" style="330"/>
    <col min="25" max="25" width="22.85546875" style="330" hidden="1" customWidth="1"/>
    <col min="26" max="26" width="6.140625" style="330" hidden="1" customWidth="1"/>
    <col min="27" max="27" width="19.42578125" style="330" hidden="1" customWidth="1"/>
    <col min="28" max="28" width="6.140625" style="330" hidden="1" customWidth="1"/>
    <col min="29" max="29" width="29.85546875" style="330" hidden="1" customWidth="1"/>
    <col min="30" max="30" width="6.140625" style="330" hidden="1" customWidth="1"/>
    <col min="31" max="31" width="31.42578125" style="330" hidden="1" customWidth="1"/>
    <col min="32" max="32" width="6.140625" style="330" hidden="1" customWidth="1"/>
    <col min="33" max="33" width="31.42578125" style="330" hidden="1" customWidth="1"/>
    <col min="34" max="34" width="6.140625" style="330" hidden="1" customWidth="1"/>
    <col min="35" max="35" width="33.5703125" style="330" hidden="1" customWidth="1"/>
    <col min="36" max="36" width="6.140625" style="330" hidden="1" customWidth="1"/>
    <col min="37" max="37" width="24.42578125" style="330" hidden="1" customWidth="1"/>
    <col min="38" max="38" width="6.140625" style="330" hidden="1" customWidth="1"/>
    <col min="39" max="39" width="27.85546875" style="330" hidden="1" customWidth="1"/>
    <col min="40" max="40" width="6.140625" style="330" hidden="1" customWidth="1"/>
    <col min="41" max="41" width="30.5703125" style="330" hidden="1" customWidth="1"/>
    <col min="42" max="42" width="6.140625" style="330" hidden="1" customWidth="1"/>
    <col min="43" max="16384" width="9.140625" style="330"/>
  </cols>
  <sheetData>
    <row r="1" spans="1:42">
      <c r="A1" s="389" t="s">
        <v>4913</v>
      </c>
      <c r="C1" s="330">
        <v>1958</v>
      </c>
      <c r="D1" s="389" t="s">
        <v>3753</v>
      </c>
      <c r="J1" s="244" t="s">
        <v>4914</v>
      </c>
      <c r="K1" s="330">
        <v>1959</v>
      </c>
      <c r="L1" s="389" t="s">
        <v>4951</v>
      </c>
    </row>
    <row r="2" spans="1:42">
      <c r="A2" s="331" t="s">
        <v>4646</v>
      </c>
      <c r="B2" s="332" t="s">
        <v>84</v>
      </c>
      <c r="C2" s="332" t="s">
        <v>4647</v>
      </c>
      <c r="D2" s="332" t="s">
        <v>4648</v>
      </c>
      <c r="E2" s="332" t="s">
        <v>4649</v>
      </c>
      <c r="F2" s="332" t="s">
        <v>4650</v>
      </c>
      <c r="G2" s="332" t="s">
        <v>4902</v>
      </c>
      <c r="H2" s="332" t="s">
        <v>4671</v>
      </c>
      <c r="I2" s="332" t="s">
        <v>4672</v>
      </c>
      <c r="J2" s="332" t="s">
        <v>4673</v>
      </c>
      <c r="K2" s="332" t="s">
        <v>4674</v>
      </c>
      <c r="L2" s="332" t="s">
        <v>4675</v>
      </c>
      <c r="M2" s="332" t="s">
        <v>4676</v>
      </c>
      <c r="N2" s="332" t="s">
        <v>4677</v>
      </c>
      <c r="O2" s="332" t="s">
        <v>4678</v>
      </c>
      <c r="P2" s="332" t="s">
        <v>4679</v>
      </c>
      <c r="Q2" s="332" t="s">
        <v>4680</v>
      </c>
      <c r="R2" s="333" t="s">
        <v>4681</v>
      </c>
      <c r="U2" s="360" t="s">
        <v>4912</v>
      </c>
      <c r="W2" s="360" t="s">
        <v>4912</v>
      </c>
    </row>
    <row r="3" spans="1:42">
      <c r="A3" s="350" t="b">
        <f>IF(Z3&lt;&gt;"",TRUE,FALSE)</f>
        <v>1</v>
      </c>
      <c r="B3" s="339">
        <v>1909</v>
      </c>
      <c r="C3" s="351" t="b">
        <f>IF(AB3&lt;&gt;"",TRUE,FALSE)</f>
        <v>0</v>
      </c>
      <c r="D3" s="390" t="s">
        <v>2438</v>
      </c>
      <c r="E3" s="341" t="b">
        <f>IF(AD3&lt;&gt;"",TRUE,FALSE)</f>
        <v>1</v>
      </c>
      <c r="F3" s="342" t="s">
        <v>832</v>
      </c>
      <c r="G3" s="341" t="b">
        <f>IF(AF3&lt;&gt;"",TRUE,FALSE)</f>
        <v>1</v>
      </c>
      <c r="H3" s="313" t="s">
        <v>863</v>
      </c>
      <c r="I3" s="336" t="b">
        <f>IF(AH3&lt;&gt;"",TRUE,FALSE)</f>
        <v>1</v>
      </c>
      <c r="J3" s="446" t="s">
        <v>5246</v>
      </c>
      <c r="K3" s="336" t="b">
        <f>IF(AJ3&lt;&gt;"",TRUE,FALSE)</f>
        <v>0</v>
      </c>
      <c r="L3" s="408" t="s">
        <v>4936</v>
      </c>
      <c r="M3" s="336" t="b">
        <f>IF(AL3&lt;&gt;"",TRUE,FALSE)</f>
        <v>1</v>
      </c>
      <c r="N3" s="337" t="s">
        <v>4200</v>
      </c>
      <c r="O3" s="336" t="b">
        <f>IF(AN3&lt;&gt;"",TRUE,FALSE)</f>
        <v>1</v>
      </c>
      <c r="P3" s="446" t="s">
        <v>5243</v>
      </c>
      <c r="Q3" s="341" t="b">
        <f>IF(AP3&lt;&gt;"",TRUE,FALSE)</f>
        <v>1</v>
      </c>
      <c r="R3" s="342" t="s">
        <v>972</v>
      </c>
      <c r="U3" s="339" t="s">
        <v>4666</v>
      </c>
      <c r="W3" s="339" t="str" cm="1">
        <f t="array" ref="W3:W39">_xlfn.LET(_xlpm.stacked_data,_xlfn.VSTACK(A3:B43,C3:D43,E3:F43,G3:H42,I3:J43,K3:L43,M3:N43,O3:P43,Q3:R34),
_xlfn._xlws.FILTER(_xlfn.CHOOSECOLS(_xlpm.stacked_data,2),_xlfn.CHOOSECOLS(_xlpm.stacked_data,1)=FALSE)
)</f>
        <v>1909-S</v>
      </c>
      <c r="Y3" s="339" t="str">
        <f t="shared" ref="Y3:Y43" si="0">B3&amp;" "&amp;$D$1</f>
        <v>1909 Wheat Penny</v>
      </c>
      <c r="Z3" s="339">
        <f>IFERROR(MATCH(Y3,CoinCollection!O:O,0),"")</f>
        <v>41</v>
      </c>
      <c r="AA3" s="330" t="str">
        <f t="shared" ref="AA3:AA43" si="1">D3&amp;" "&amp;$D$1</f>
        <v>1923-S Wheat Penny</v>
      </c>
      <c r="AB3" s="339" t="str">
        <f>IFERROR(MATCH(AA3,CoinCollection!O:O,0),"")</f>
        <v/>
      </c>
      <c r="AC3" s="342" t="str">
        <f t="shared" ref="AC3:AC16" si="2">F3&amp;" "&amp;$D$1</f>
        <v>1938-D Wheat Penny</v>
      </c>
      <c r="AD3" s="339">
        <f>IFERROR(MATCH(AC3,CoinCollection!O:O,0),"")</f>
        <v>178</v>
      </c>
      <c r="AE3" s="342" t="str">
        <f t="shared" ref="AE3:AE21" si="3">H3&amp;" "&amp;$D$1</f>
        <v>1951-S Wheat Penny</v>
      </c>
      <c r="AF3" s="339">
        <f>IFERROR(MATCH(AC3,CoinCollection!O:O,0),"")</f>
        <v>178</v>
      </c>
      <c r="AG3" s="330" t="str">
        <f>J3</f>
        <v>1969-S Memorial Penny Proof</v>
      </c>
      <c r="AH3" s="339">
        <f>IFERROR(MATCH(AG3,CoinCollection!O:O,0),"")</f>
        <v>568</v>
      </c>
      <c r="AI3" s="330" t="str">
        <f>L3&amp;" "&amp;$J$1</f>
        <v>1982 Copper LG Date Memorial Penny</v>
      </c>
      <c r="AJ3" s="339" t="str">
        <f>IFERROR(MATCH(AI3,CoinCollection!O:O,0),"")</f>
        <v/>
      </c>
      <c r="AK3" s="330" t="str">
        <f>N3&amp;" "&amp;$J$1</f>
        <v>1994 Memorial Penny</v>
      </c>
      <c r="AL3" s="339">
        <f>IFERROR(MATCH(AK3,CoinCollection!O:O,0),"")</f>
        <v>826</v>
      </c>
      <c r="AM3" s="330" t="str">
        <f>P3</f>
        <v>2007-S Memorial Penny Proof</v>
      </c>
      <c r="AN3" s="339">
        <f>IFERROR(MATCH(AM3,CoinCollection!O:O,0),"")</f>
        <v>960</v>
      </c>
      <c r="AO3" s="342" t="str">
        <f>R3&amp;" "&amp;$L$1</f>
        <v>2016-D Shield Penny</v>
      </c>
      <c r="AP3" s="339">
        <f>IFERROR(MATCH(AO3,CoinCollection!O:O,0),"")</f>
        <v>1057</v>
      </c>
    </row>
    <row r="4" spans="1:42">
      <c r="A4" s="350" t="b">
        <f t="shared" ref="A4:A43" si="4">IF(Z4&lt;&gt;"",TRUE,FALSE)</f>
        <v>1</v>
      </c>
      <c r="B4" s="437" t="s">
        <v>5264</v>
      </c>
      <c r="C4" s="351" t="b">
        <f t="shared" ref="C4:C43" si="5">IF(AB4&lt;&gt;"",TRUE,FALSE)</f>
        <v>1</v>
      </c>
      <c r="D4" s="362">
        <v>1924</v>
      </c>
      <c r="E4" s="341" t="b">
        <f t="shared" ref="E4:E43" si="6">IF(AD4&lt;&gt;"",TRUE,FALSE)</f>
        <v>1</v>
      </c>
      <c r="F4" s="337" t="s">
        <v>833</v>
      </c>
      <c r="G4" s="341" t="b">
        <f t="shared" ref="G4:G42" si="7">IF(AF4&lt;&gt;"",TRUE,FALSE)</f>
        <v>1</v>
      </c>
      <c r="H4" s="362">
        <v>1952</v>
      </c>
      <c r="I4" s="336" t="b">
        <f t="shared" ref="I4:I43" si="8">IF(AH4&lt;&gt;"",TRUE,FALSE)</f>
        <v>1</v>
      </c>
      <c r="J4" s="342" t="s">
        <v>4186</v>
      </c>
      <c r="K4" s="336" t="b">
        <f t="shared" ref="K4:K43" si="9">IF(AJ4&lt;&gt;"",TRUE,FALSE)</f>
        <v>0</v>
      </c>
      <c r="L4" s="409" t="s">
        <v>4937</v>
      </c>
      <c r="M4" s="336" t="b">
        <f t="shared" ref="M4:M43" si="10">IF(AL4&lt;&gt;"",TRUE,FALSE)</f>
        <v>1</v>
      </c>
      <c r="N4" s="342" t="s">
        <v>924</v>
      </c>
      <c r="O4" s="336" t="b">
        <f t="shared" ref="O4:O43" si="11">IF(AN4&lt;&gt;"",TRUE,FALSE)</f>
        <v>1</v>
      </c>
      <c r="P4" s="342" t="s">
        <v>4214</v>
      </c>
      <c r="Q4" s="341" t="b">
        <f t="shared" ref="Q4:Q34" si="12">IF(AP4&lt;&gt;"",TRUE,FALSE)</f>
        <v>1</v>
      </c>
      <c r="R4" s="446" t="s">
        <v>5251</v>
      </c>
      <c r="U4" s="339" t="s">
        <v>4688</v>
      </c>
      <c r="W4" s="339" t="str">
        <v>1909-S VDB</v>
      </c>
      <c r="Y4" s="339" t="str">
        <f t="shared" si="0"/>
        <v>1909-VDB Wheat Penny</v>
      </c>
      <c r="Z4" s="339">
        <f>IFERROR(MATCH(Y4,CoinCollection!O:O,0),"")</f>
        <v>40</v>
      </c>
      <c r="AA4" s="330" t="str">
        <f t="shared" si="1"/>
        <v>1924 Wheat Penny</v>
      </c>
      <c r="AB4" s="339">
        <f>IFERROR(MATCH(AA4,CoinCollection!O:O,0),"")</f>
        <v>97</v>
      </c>
      <c r="AC4" s="342" t="str">
        <f t="shared" si="2"/>
        <v>1938-S Wheat Penny</v>
      </c>
      <c r="AD4" s="339">
        <f>IFERROR(MATCH(AC4,CoinCollection!O:O,0),"")</f>
        <v>180</v>
      </c>
      <c r="AE4" s="342" t="str">
        <f t="shared" si="3"/>
        <v>1952 Wheat Penny</v>
      </c>
      <c r="AF4" s="339">
        <f>IFERROR(MATCH(AC4,CoinCollection!O:O,0),"")</f>
        <v>180</v>
      </c>
      <c r="AG4" s="330" t="str">
        <f>J4&amp;" "&amp;$J$1</f>
        <v>1970 Memorial Penny</v>
      </c>
      <c r="AH4" s="339">
        <f>IFERROR(MATCH(AG4,CoinCollection!O:O,0),"")</f>
        <v>570</v>
      </c>
      <c r="AI4" s="330" t="str">
        <f t="shared" ref="AI4:AI42" si="13">L4&amp;" "&amp;$J$1</f>
        <v>1982 Copper SM Date Memorial Penny</v>
      </c>
      <c r="AJ4" s="339" t="str">
        <f>IFERROR(MATCH(AI4,CoinCollection!O:O,0),"")</f>
        <v/>
      </c>
      <c r="AK4" s="330" t="str">
        <f t="shared" ref="AK4:AK43" si="14">N4&amp;" "&amp;$J$1</f>
        <v>1994-D Memorial Penny</v>
      </c>
      <c r="AL4" s="339">
        <f>IFERROR(MATCH(AK4,CoinCollection!O:O,0),"")</f>
        <v>830</v>
      </c>
      <c r="AM4" s="330" t="str">
        <f t="shared" ref="AM4:AM24" si="15">P4&amp;" "&amp;$J$1</f>
        <v>2008 Memorial Penny</v>
      </c>
      <c r="AN4" s="339">
        <f>IFERROR(MATCH(AM4,CoinCollection!O:O,0),"")</f>
        <v>964</v>
      </c>
      <c r="AO4" s="342" t="str">
        <f>R4</f>
        <v>2016-S Shield Penny Proof</v>
      </c>
      <c r="AP4" s="339">
        <f>IFERROR(MATCH(AO4,CoinCollection!O:O,0),"")</f>
        <v>1059</v>
      </c>
    </row>
    <row r="5" spans="1:42">
      <c r="A5" s="350" t="b">
        <f t="shared" si="4"/>
        <v>0</v>
      </c>
      <c r="B5" s="339" t="s">
        <v>4666</v>
      </c>
      <c r="C5" s="351" t="b">
        <f t="shared" si="5"/>
        <v>0</v>
      </c>
      <c r="D5" s="390" t="s">
        <v>2440</v>
      </c>
      <c r="E5" s="341" t="b">
        <f t="shared" si="6"/>
        <v>1</v>
      </c>
      <c r="F5" s="342" t="s">
        <v>2472</v>
      </c>
      <c r="G5" s="341" t="b">
        <f t="shared" si="7"/>
        <v>1</v>
      </c>
      <c r="H5" s="390" t="s">
        <v>864</v>
      </c>
      <c r="I5" s="336" t="b">
        <f t="shared" si="8"/>
        <v>1</v>
      </c>
      <c r="J5" s="337" t="s">
        <v>884</v>
      </c>
      <c r="K5" s="336" t="b">
        <f t="shared" si="9"/>
        <v>0</v>
      </c>
      <c r="L5" s="408" t="s">
        <v>4938</v>
      </c>
      <c r="M5" s="336" t="b">
        <f t="shared" si="10"/>
        <v>1</v>
      </c>
      <c r="N5" s="446" t="s">
        <v>5230</v>
      </c>
      <c r="O5" s="336" t="b">
        <f t="shared" si="11"/>
        <v>1</v>
      </c>
      <c r="P5" s="337" t="s">
        <v>956</v>
      </c>
      <c r="Q5" s="341" t="b">
        <f t="shared" si="12"/>
        <v>1</v>
      </c>
      <c r="R5" s="342" t="s">
        <v>973</v>
      </c>
      <c r="U5" s="339" t="s">
        <v>4695</v>
      </c>
      <c r="W5" s="339" t="str">
        <v>1912-S</v>
      </c>
      <c r="Y5" s="339" t="str">
        <f t="shared" si="0"/>
        <v>1909-S Wheat Penny</v>
      </c>
      <c r="Z5" s="339" t="str">
        <f>IFERROR(MATCH(Y5,CoinCollection!O:O,0),"")</f>
        <v/>
      </c>
      <c r="AA5" s="330" t="str">
        <f t="shared" si="1"/>
        <v>1924-D Wheat Penny</v>
      </c>
      <c r="AB5" s="339" t="str">
        <f>IFERROR(MATCH(AA5,CoinCollection!O:O,0),"")</f>
        <v/>
      </c>
      <c r="AC5" s="342" t="str">
        <f t="shared" si="2"/>
        <v>1939 Wheat Penny</v>
      </c>
      <c r="AD5" s="339">
        <f>IFERROR(MATCH(AC5,CoinCollection!O:O,0),"")</f>
        <v>182</v>
      </c>
      <c r="AE5" s="342" t="str">
        <f t="shared" si="3"/>
        <v>1952-D Wheat Penny</v>
      </c>
      <c r="AF5" s="339">
        <f>IFERROR(MATCH(AC5,CoinCollection!O:O,0),"")</f>
        <v>182</v>
      </c>
      <c r="AG5" s="330" t="str">
        <f>J5&amp;" "&amp;$J$1</f>
        <v>1970-D Memorial Penny</v>
      </c>
      <c r="AH5" s="339">
        <f>IFERROR(MATCH(AG5,CoinCollection!O:O,0),"")</f>
        <v>575</v>
      </c>
      <c r="AI5" s="330" t="str">
        <f t="shared" si="13"/>
        <v>1982-D Copper LG Date Memorial Penny</v>
      </c>
      <c r="AJ5" s="339" t="str">
        <f>IFERROR(MATCH(AI5,CoinCollection!O:O,0),"")</f>
        <v/>
      </c>
      <c r="AK5" s="330" t="str">
        <f>N5</f>
        <v>1994-S Memorial Penny Proof</v>
      </c>
      <c r="AL5" s="339">
        <f>IFERROR(MATCH(AK5,CoinCollection!O:O,0),"")</f>
        <v>837</v>
      </c>
      <c r="AM5" s="330" t="str">
        <f t="shared" si="15"/>
        <v>2008-D Memorial Penny</v>
      </c>
      <c r="AN5" s="339">
        <f>IFERROR(MATCH(AM5,CoinCollection!O:O,0),"")</f>
        <v>969</v>
      </c>
      <c r="AO5" s="342" t="str">
        <f t="shared" ref="AO5:AO33" si="16">R5&amp;" "&amp;$L$1</f>
        <v>2017-P Shield Penny</v>
      </c>
      <c r="AP5" s="339">
        <f>IFERROR(MATCH(AO5,CoinCollection!O:O,0),"")</f>
        <v>1061</v>
      </c>
    </row>
    <row r="6" spans="1:42">
      <c r="A6" s="350" t="b">
        <f t="shared" si="4"/>
        <v>0</v>
      </c>
      <c r="B6" s="339" t="s">
        <v>4688</v>
      </c>
      <c r="C6" s="351" t="b">
        <f t="shared" si="5"/>
        <v>1</v>
      </c>
      <c r="D6" s="391" t="s">
        <v>2441</v>
      </c>
      <c r="E6" s="341" t="b">
        <f t="shared" si="6"/>
        <v>1</v>
      </c>
      <c r="F6" s="337" t="s">
        <v>834</v>
      </c>
      <c r="G6" s="341" t="b">
        <f t="shared" si="7"/>
        <v>1</v>
      </c>
      <c r="H6" s="391" t="s">
        <v>865</v>
      </c>
      <c r="I6" s="336" t="b">
        <f t="shared" si="8"/>
        <v>0</v>
      </c>
      <c r="J6" s="447" t="s">
        <v>5247</v>
      </c>
      <c r="K6" s="336" t="b">
        <f t="shared" si="9"/>
        <v>0</v>
      </c>
      <c r="L6" s="409" t="s">
        <v>4939</v>
      </c>
      <c r="M6" s="336" t="b">
        <f t="shared" si="10"/>
        <v>1</v>
      </c>
      <c r="N6" s="342" t="s">
        <v>4201</v>
      </c>
      <c r="O6" s="336" t="b">
        <f t="shared" si="11"/>
        <v>1</v>
      </c>
      <c r="P6" s="447" t="s">
        <v>5244</v>
      </c>
      <c r="Q6" s="341" t="b">
        <f t="shared" si="12"/>
        <v>1</v>
      </c>
      <c r="R6" s="337" t="s">
        <v>974</v>
      </c>
      <c r="U6" s="339" t="s">
        <v>2413</v>
      </c>
      <c r="W6" s="339" t="str">
        <v>1914-D</v>
      </c>
      <c r="Y6" s="339" t="str">
        <f t="shared" si="0"/>
        <v>1909-S VDB Wheat Penny</v>
      </c>
      <c r="Z6" s="339" t="str">
        <f>IFERROR(MATCH(Y6,CoinCollection!O:O,0),"")</f>
        <v/>
      </c>
      <c r="AA6" s="330" t="str">
        <f t="shared" si="1"/>
        <v>1924-S Wheat Penny</v>
      </c>
      <c r="AB6" s="339">
        <f>IFERROR(MATCH(AA6,CoinCollection!O:O,0),"")</f>
        <v>99</v>
      </c>
      <c r="AC6" s="342" t="str">
        <f t="shared" si="2"/>
        <v>1939-D Wheat Penny</v>
      </c>
      <c r="AD6" s="339">
        <f>IFERROR(MATCH(AC6,CoinCollection!O:O,0),"")</f>
        <v>192</v>
      </c>
      <c r="AE6" s="342" t="str">
        <f t="shared" si="3"/>
        <v>1952-S Wheat Penny</v>
      </c>
      <c r="AF6" s="339">
        <f>IFERROR(MATCH(AC6,CoinCollection!O:O,0),"")</f>
        <v>192</v>
      </c>
      <c r="AG6" s="330" t="str">
        <f>J6</f>
        <v>1970-S Memorial Penny Proof</v>
      </c>
      <c r="AH6" s="339" t="str">
        <f>IFERROR(MATCH(AG6,CoinCollection!O:O,0),"")</f>
        <v/>
      </c>
      <c r="AI6" s="330" t="str">
        <f t="shared" si="13"/>
        <v>1982 Zinc LG Date Memorial Penny</v>
      </c>
      <c r="AJ6" s="339" t="str">
        <f>IFERROR(MATCH(AI6,CoinCollection!O:O,0),"")</f>
        <v/>
      </c>
      <c r="AK6" s="330" t="str">
        <f t="shared" si="14"/>
        <v>1995 Memorial Penny</v>
      </c>
      <c r="AL6" s="339">
        <f>IFERROR(MATCH(AK6,CoinCollection!O:O,0),"")</f>
        <v>843</v>
      </c>
      <c r="AM6" s="330" t="str">
        <f>P6</f>
        <v>2008-S Memorial Penny Proof</v>
      </c>
      <c r="AN6" s="339">
        <f>IFERROR(MATCH(AM6,CoinCollection!O:O,0),"")</f>
        <v>972</v>
      </c>
      <c r="AO6" s="342" t="str">
        <f t="shared" si="16"/>
        <v>2017-D Shield Penny</v>
      </c>
      <c r="AP6" s="339">
        <f>IFERROR(MATCH(AO6,CoinCollection!O:O,0),"")</f>
        <v>1070</v>
      </c>
    </row>
    <row r="7" spans="1:42">
      <c r="A7" s="350" t="b">
        <f t="shared" si="4"/>
        <v>1</v>
      </c>
      <c r="B7" s="339">
        <v>1910</v>
      </c>
      <c r="C7" s="351" t="b">
        <f t="shared" si="5"/>
        <v>1</v>
      </c>
      <c r="D7" s="364">
        <v>1925</v>
      </c>
      <c r="E7" s="341" t="b">
        <f t="shared" si="6"/>
        <v>1</v>
      </c>
      <c r="F7" s="342" t="s">
        <v>835</v>
      </c>
      <c r="G7" s="341" t="b">
        <f t="shared" si="7"/>
        <v>1</v>
      </c>
      <c r="H7" s="364">
        <v>1953</v>
      </c>
      <c r="I7" s="336" t="b">
        <f t="shared" si="8"/>
        <v>0</v>
      </c>
      <c r="J7" s="408" t="s">
        <v>4930</v>
      </c>
      <c r="K7" s="336" t="b">
        <f t="shared" si="9"/>
        <v>0</v>
      </c>
      <c r="L7" s="408" t="s">
        <v>4940</v>
      </c>
      <c r="M7" s="336" t="b">
        <f t="shared" si="10"/>
        <v>1</v>
      </c>
      <c r="N7" s="337" t="s">
        <v>926</v>
      </c>
      <c r="O7" s="446" t="s">
        <v>53</v>
      </c>
      <c r="P7" s="445" t="s">
        <v>4700</v>
      </c>
      <c r="Q7" s="341" t="b">
        <f t="shared" si="12"/>
        <v>1</v>
      </c>
      <c r="R7" s="447" t="s">
        <v>5252</v>
      </c>
      <c r="U7" s="339" t="s">
        <v>2428</v>
      </c>
      <c r="W7" s="339" t="str">
        <v>1918-S</v>
      </c>
      <c r="Y7" s="339" t="str">
        <f t="shared" si="0"/>
        <v>1910 Wheat Penny</v>
      </c>
      <c r="Z7" s="339">
        <f>IFERROR(MATCH(Y7,CoinCollection!O:O,0),"")</f>
        <v>44</v>
      </c>
      <c r="AA7" s="330" t="str">
        <f t="shared" si="1"/>
        <v>1925 Wheat Penny</v>
      </c>
      <c r="AB7" s="339">
        <f>IFERROR(MATCH(AA7,CoinCollection!O:O,0),"")</f>
        <v>101</v>
      </c>
      <c r="AC7" s="342" t="str">
        <f t="shared" si="2"/>
        <v>1939-S Wheat Penny</v>
      </c>
      <c r="AD7" s="339">
        <f>IFERROR(MATCH(AC7,CoinCollection!O:O,0),"")</f>
        <v>193</v>
      </c>
      <c r="AE7" s="342" t="str">
        <f t="shared" si="3"/>
        <v>1953 Wheat Penny</v>
      </c>
      <c r="AF7" s="339">
        <f>IFERROR(MATCH(AC7,CoinCollection!O:O,0),"")</f>
        <v>193</v>
      </c>
      <c r="AG7" s="330" t="str">
        <f>J7&amp;" "&amp;$J$1</f>
        <v>1970-S SM Date Memorial Penny</v>
      </c>
      <c r="AH7" s="339" t="str">
        <f>IFERROR(MATCH(AG7,CoinCollection!O:O,0),"")</f>
        <v/>
      </c>
      <c r="AI7" s="330" t="str">
        <f t="shared" si="13"/>
        <v>1982 Zinc SM Date Memorial Penny</v>
      </c>
      <c r="AJ7" s="339" t="str">
        <f>IFERROR(MATCH(AI7,CoinCollection!O:O,0),"")</f>
        <v/>
      </c>
      <c r="AK7" s="330" t="str">
        <f t="shared" si="14"/>
        <v>1995-D Memorial Penny</v>
      </c>
      <c r="AL7" s="339">
        <f>IFERROR(MATCH(AK7,CoinCollection!O:O,0),"")</f>
        <v>845</v>
      </c>
      <c r="AM7" s="348" t="str">
        <f t="shared" si="15"/>
        <v>Bicentennial Memorial Penny</v>
      </c>
      <c r="AN7" s="448" t="str">
        <f>IFERROR(MATCH(AM7,CoinCollection!O:O,0),"")</f>
        <v/>
      </c>
      <c r="AO7" s="342" t="str">
        <f>R7</f>
        <v>2017-S Shield Penny Proof</v>
      </c>
      <c r="AP7" s="339">
        <f>IFERROR(MATCH(AO7,CoinCollection!O:O,0),"")</f>
        <v>1073</v>
      </c>
    </row>
    <row r="8" spans="1:42">
      <c r="A8" s="350" t="b">
        <f t="shared" si="4"/>
        <v>1</v>
      </c>
      <c r="B8" s="339" t="s">
        <v>4701</v>
      </c>
      <c r="C8" s="351" t="b">
        <f t="shared" si="5"/>
        <v>1</v>
      </c>
      <c r="D8" s="391" t="s">
        <v>2443</v>
      </c>
      <c r="E8" s="341" t="b">
        <f t="shared" si="6"/>
        <v>1</v>
      </c>
      <c r="F8" s="337" t="s">
        <v>2473</v>
      </c>
      <c r="G8" s="341" t="b">
        <f t="shared" si="7"/>
        <v>1</v>
      </c>
      <c r="H8" s="391" t="s">
        <v>866</v>
      </c>
      <c r="I8" s="336" t="b">
        <f t="shared" si="8"/>
        <v>0</v>
      </c>
      <c r="J8" s="409" t="s">
        <v>4931</v>
      </c>
      <c r="K8" s="336" t="b">
        <f t="shared" si="9"/>
        <v>0</v>
      </c>
      <c r="L8" s="409" t="s">
        <v>4941</v>
      </c>
      <c r="M8" s="336" t="b">
        <f t="shared" si="10"/>
        <v>1</v>
      </c>
      <c r="N8" s="447" t="s">
        <v>5231</v>
      </c>
      <c r="O8" s="446" t="s">
        <v>53</v>
      </c>
      <c r="P8" s="342" t="s">
        <v>4706</v>
      </c>
      <c r="Q8" s="341" t="b">
        <f t="shared" si="12"/>
        <v>1</v>
      </c>
      <c r="R8" s="337" t="s">
        <v>4224</v>
      </c>
      <c r="U8" s="339" t="s">
        <v>2430</v>
      </c>
      <c r="W8" s="339" t="str">
        <v>1919-D</v>
      </c>
      <c r="Y8" s="339" t="str">
        <f t="shared" si="0"/>
        <v>1910-S Wheat Penny</v>
      </c>
      <c r="Z8" s="339">
        <f>IFERROR(MATCH(Y8,CoinCollection!O:O,0),"")</f>
        <v>45</v>
      </c>
      <c r="AA8" s="330" t="str">
        <f t="shared" si="1"/>
        <v>1925-D Wheat Penny</v>
      </c>
      <c r="AB8" s="339">
        <f>IFERROR(MATCH(AA8,CoinCollection!O:O,0),"")</f>
        <v>104</v>
      </c>
      <c r="AC8" s="342" t="str">
        <f t="shared" si="2"/>
        <v>1940 Wheat Penny</v>
      </c>
      <c r="AD8" s="339">
        <f>IFERROR(MATCH(AC8,CoinCollection!O:O,0),"")</f>
        <v>195</v>
      </c>
      <c r="AE8" s="342" t="str">
        <f t="shared" si="3"/>
        <v>1953-D Wheat Penny</v>
      </c>
      <c r="AF8" s="339">
        <f>IFERROR(MATCH(AC8,CoinCollection!O:O,0),"")</f>
        <v>195</v>
      </c>
      <c r="AG8" s="330" t="str">
        <f>J8&amp;" "&amp;$J$1</f>
        <v>1970-S LG Date Memorial Penny</v>
      </c>
      <c r="AH8" s="339" t="str">
        <f>IFERROR(MATCH(AG8,CoinCollection!O:O,0),"")</f>
        <v/>
      </c>
      <c r="AI8" s="330" t="str">
        <f t="shared" si="13"/>
        <v>1982-D Zinc LG Date Memorial Penny</v>
      </c>
      <c r="AJ8" s="339" t="str">
        <f>IFERROR(MATCH(AI8,CoinCollection!O:O,0),"")</f>
        <v/>
      </c>
      <c r="AK8" s="330" t="str">
        <f>N8</f>
        <v>1995-S Memorial Penny Proof</v>
      </c>
      <c r="AL8" s="339">
        <f>IFERROR(MATCH(AK8,CoinCollection!O:O,0),"")</f>
        <v>848</v>
      </c>
      <c r="AM8" s="348" t="str">
        <f t="shared" si="15"/>
        <v>Birthplace Memorial Penny</v>
      </c>
      <c r="AN8" s="448" t="str">
        <f>IFERROR(MATCH(AM8,CoinCollection!O:O,0),"")</f>
        <v/>
      </c>
      <c r="AO8" s="342" t="str">
        <f t="shared" si="16"/>
        <v>2018 Shield Penny</v>
      </c>
      <c r="AP8" s="339">
        <f>IFERROR(MATCH(AO8,CoinCollection!O:O,0),"")</f>
        <v>1080</v>
      </c>
    </row>
    <row r="9" spans="1:42">
      <c r="A9" s="350" t="b">
        <f t="shared" si="4"/>
        <v>1</v>
      </c>
      <c r="B9" s="339">
        <v>1911</v>
      </c>
      <c r="C9" s="351" t="b">
        <f t="shared" si="5"/>
        <v>1</v>
      </c>
      <c r="D9" s="390" t="s">
        <v>2444</v>
      </c>
      <c r="E9" s="341" t="b">
        <f t="shared" si="6"/>
        <v>1</v>
      </c>
      <c r="F9" s="342" t="s">
        <v>836</v>
      </c>
      <c r="G9" s="341" t="b">
        <f t="shared" si="7"/>
        <v>1</v>
      </c>
      <c r="H9" s="390" t="s">
        <v>867</v>
      </c>
      <c r="I9" s="336" t="b">
        <f t="shared" si="8"/>
        <v>1</v>
      </c>
      <c r="J9" s="337" t="s">
        <v>2498</v>
      </c>
      <c r="K9" s="336" t="b">
        <f t="shared" si="9"/>
        <v>0</v>
      </c>
      <c r="L9" s="408" t="s">
        <v>4942</v>
      </c>
      <c r="M9" s="336" t="b">
        <f t="shared" si="10"/>
        <v>1</v>
      </c>
      <c r="N9" s="337" t="s">
        <v>4202</v>
      </c>
      <c r="O9" s="336" t="b">
        <f t="shared" si="11"/>
        <v>1</v>
      </c>
      <c r="P9" s="337" t="s">
        <v>4215</v>
      </c>
      <c r="Q9" s="341" t="b">
        <f t="shared" si="12"/>
        <v>1</v>
      </c>
      <c r="R9" s="342" t="s">
        <v>976</v>
      </c>
      <c r="U9" s="339" t="s">
        <v>4713</v>
      </c>
      <c r="W9" s="339" t="str">
        <v>1922-P</v>
      </c>
      <c r="Y9" s="339" t="str">
        <f t="shared" si="0"/>
        <v>1911 Wheat Penny</v>
      </c>
      <c r="Z9" s="339">
        <f>IFERROR(MATCH(Y9,CoinCollection!O:O,0),"")</f>
        <v>46</v>
      </c>
      <c r="AA9" s="330" t="str">
        <f t="shared" si="1"/>
        <v>1925-S Wheat Penny</v>
      </c>
      <c r="AB9" s="339">
        <f>IFERROR(MATCH(AA9,CoinCollection!O:O,0),"")</f>
        <v>103</v>
      </c>
      <c r="AC9" s="342" t="str">
        <f t="shared" si="2"/>
        <v>1940-D Wheat Penny</v>
      </c>
      <c r="AD9" s="339">
        <f>IFERROR(MATCH(AC9,CoinCollection!O:O,0),"")</f>
        <v>200</v>
      </c>
      <c r="AE9" s="342" t="str">
        <f t="shared" si="3"/>
        <v>1953-S Wheat Penny</v>
      </c>
      <c r="AF9" s="339">
        <f>IFERROR(MATCH(AC9,CoinCollection!O:O,0),"")</f>
        <v>200</v>
      </c>
      <c r="AG9" s="330" t="str">
        <f>J9&amp;" "&amp;$J$1</f>
        <v>1971 Memorial Penny</v>
      </c>
      <c r="AH9" s="339">
        <f>IFERROR(MATCH(AG9,CoinCollection!O:O,0),"")</f>
        <v>583</v>
      </c>
      <c r="AI9" s="330" t="str">
        <f t="shared" si="13"/>
        <v>1982-D Zinc SM Date Memorial Penny</v>
      </c>
      <c r="AJ9" s="339" t="str">
        <f>IFERROR(MATCH(AI9,CoinCollection!O:O,0),"")</f>
        <v/>
      </c>
      <c r="AK9" s="330" t="str">
        <f t="shared" si="14"/>
        <v>1996 Memorial Penny</v>
      </c>
      <c r="AL9" s="339">
        <f>IFERROR(MATCH(AK9,CoinCollection!O:O,0),"")</f>
        <v>852</v>
      </c>
      <c r="AM9" s="330" t="str">
        <f t="shared" si="15"/>
        <v>2009 Memorial Penny</v>
      </c>
      <c r="AN9" s="339">
        <f>IFERROR(MATCH(AM9,CoinCollection!O:O,0),"")</f>
        <v>975</v>
      </c>
      <c r="AO9" s="342" t="str">
        <f t="shared" si="16"/>
        <v>2018-D Shield Penny</v>
      </c>
      <c r="AP9" s="339">
        <f>IFERROR(MATCH(AO9,CoinCollection!O:O,0),"")</f>
        <v>1076</v>
      </c>
    </row>
    <row r="10" spans="1:42">
      <c r="A10" s="350" t="b">
        <f t="shared" si="4"/>
        <v>1</v>
      </c>
      <c r="B10" s="339" t="s">
        <v>4709</v>
      </c>
      <c r="C10" s="351" t="b">
        <f t="shared" si="5"/>
        <v>1</v>
      </c>
      <c r="D10" s="362">
        <v>1926</v>
      </c>
      <c r="E10" s="341" t="b">
        <f t="shared" si="6"/>
        <v>1</v>
      </c>
      <c r="F10" s="337" t="s">
        <v>837</v>
      </c>
      <c r="G10" s="341" t="b">
        <f t="shared" si="7"/>
        <v>1</v>
      </c>
      <c r="H10" s="362">
        <v>1954</v>
      </c>
      <c r="I10" s="336" t="b">
        <f t="shared" si="8"/>
        <v>1</v>
      </c>
      <c r="J10" s="342" t="s">
        <v>886</v>
      </c>
      <c r="K10" s="336" t="b">
        <f t="shared" si="9"/>
        <v>1</v>
      </c>
      <c r="L10" s="447" t="s">
        <v>5218</v>
      </c>
      <c r="M10" s="336" t="b">
        <f t="shared" si="10"/>
        <v>1</v>
      </c>
      <c r="N10" s="342" t="s">
        <v>928</v>
      </c>
      <c r="O10" s="336" t="b">
        <f t="shared" si="11"/>
        <v>1</v>
      </c>
      <c r="P10" s="342" t="s">
        <v>958</v>
      </c>
      <c r="Q10" s="341" t="b">
        <f t="shared" si="12"/>
        <v>1</v>
      </c>
      <c r="R10" s="446" t="s">
        <v>5253</v>
      </c>
      <c r="U10" s="339" t="s">
        <v>4682</v>
      </c>
      <c r="W10" s="339" t="str">
        <v>1923-S</v>
      </c>
      <c r="Y10" s="339" t="str">
        <f t="shared" si="0"/>
        <v>1911-D Wheat Penny</v>
      </c>
      <c r="Z10" s="339">
        <f>IFERROR(MATCH(Y10,CoinCollection!O:O,0),"")</f>
        <v>47</v>
      </c>
      <c r="AA10" s="330" t="str">
        <f t="shared" si="1"/>
        <v>1926 Wheat Penny</v>
      </c>
      <c r="AB10" s="339">
        <f>IFERROR(MATCH(AA10,CoinCollection!O:O,0),"")</f>
        <v>106</v>
      </c>
      <c r="AC10" s="342" t="str">
        <f t="shared" si="2"/>
        <v>1940-S Wheat Penny</v>
      </c>
      <c r="AD10" s="339">
        <f>IFERROR(MATCH(AC10,CoinCollection!O:O,0),"")</f>
        <v>201</v>
      </c>
      <c r="AE10" s="342" t="str">
        <f t="shared" si="3"/>
        <v>1954 Wheat Penny</v>
      </c>
      <c r="AF10" s="339">
        <f>IFERROR(MATCH(AC10,CoinCollection!O:O,0),"")</f>
        <v>201</v>
      </c>
      <c r="AG10" s="330" t="str">
        <f>J10&amp;" "&amp;$J$1</f>
        <v>1971-D Memorial Penny</v>
      </c>
      <c r="AH10" s="339">
        <f>IFERROR(MATCH(AG10,CoinCollection!O:O,0),"")</f>
        <v>588</v>
      </c>
      <c r="AI10" s="330" t="str">
        <f>L10</f>
        <v>1982-S Memorial Penny Proof</v>
      </c>
      <c r="AJ10" s="339">
        <f>IFERROR(MATCH(AI10,CoinCollection!O:O,0),"")</f>
        <v>723</v>
      </c>
      <c r="AK10" s="330" t="str">
        <f t="shared" si="14"/>
        <v>1996-D Memorial Penny</v>
      </c>
      <c r="AL10" s="339">
        <f>IFERROR(MATCH(AK10,CoinCollection!O:O,0),"")</f>
        <v>856</v>
      </c>
      <c r="AM10" s="330" t="str">
        <f t="shared" si="15"/>
        <v>2009-D Memorial Penny</v>
      </c>
      <c r="AN10" s="339">
        <f>IFERROR(MATCH(AM10,CoinCollection!O:O,0),"")</f>
        <v>977</v>
      </c>
      <c r="AO10" s="342" t="str">
        <f>R10</f>
        <v>2018-S Shield Penny Proof</v>
      </c>
      <c r="AP10" s="339">
        <f>IFERROR(MATCH(AO10,CoinCollection!O:O,0),"")</f>
        <v>1086</v>
      </c>
    </row>
    <row r="11" spans="1:42">
      <c r="A11" s="350" t="b">
        <f t="shared" si="4"/>
        <v>1</v>
      </c>
      <c r="B11" s="339" t="s">
        <v>4714</v>
      </c>
      <c r="C11" s="351" t="b">
        <f t="shared" si="5"/>
        <v>1</v>
      </c>
      <c r="D11" s="390" t="s">
        <v>2446</v>
      </c>
      <c r="E11" s="341" t="b">
        <f t="shared" si="6"/>
        <v>1</v>
      </c>
      <c r="F11" s="342" t="s">
        <v>2474</v>
      </c>
      <c r="G11" s="341" t="b">
        <f t="shared" si="7"/>
        <v>1</v>
      </c>
      <c r="H11" s="390" t="s">
        <v>868</v>
      </c>
      <c r="I11" s="336" t="b">
        <f t="shared" si="8"/>
        <v>1</v>
      </c>
      <c r="J11" t="s">
        <v>5209</v>
      </c>
      <c r="K11" s="336" t="b">
        <f t="shared" si="9"/>
        <v>1</v>
      </c>
      <c r="L11" s="337" t="s">
        <v>4189</v>
      </c>
      <c r="M11" s="336" t="b">
        <f t="shared" si="10"/>
        <v>1</v>
      </c>
      <c r="N11" s="446" t="s">
        <v>5232</v>
      </c>
      <c r="O11" s="336" t="b">
        <f t="shared" si="11"/>
        <v>1</v>
      </c>
      <c r="P11" s="446" t="s">
        <v>5245</v>
      </c>
      <c r="Q11" s="341" t="b">
        <f t="shared" si="12"/>
        <v>1</v>
      </c>
      <c r="R11" s="342" t="s">
        <v>4225</v>
      </c>
      <c r="U11" s="339" t="s">
        <v>4689</v>
      </c>
      <c r="W11" s="339" t="str">
        <v>1924-D</v>
      </c>
      <c r="Y11" s="339" t="str">
        <f t="shared" si="0"/>
        <v>1911-S Wheat Penny</v>
      </c>
      <c r="Z11" s="339">
        <f>IFERROR(MATCH(Y11,CoinCollection!O:O,0),"")</f>
        <v>49</v>
      </c>
      <c r="AA11" s="330" t="str">
        <f t="shared" si="1"/>
        <v>1926-D Wheat Penny</v>
      </c>
      <c r="AB11" s="339">
        <f>IFERROR(MATCH(AA11,CoinCollection!O:O,0),"")</f>
        <v>111</v>
      </c>
      <c r="AC11" s="342" t="str">
        <f t="shared" si="2"/>
        <v>1941 Wheat Penny</v>
      </c>
      <c r="AD11" s="339">
        <f>IFERROR(MATCH(AC11,CoinCollection!O:O,0),"")</f>
        <v>202</v>
      </c>
      <c r="AE11" s="342" t="str">
        <f t="shared" si="3"/>
        <v>1954-D Wheat Penny</v>
      </c>
      <c r="AF11" s="339">
        <f>IFERROR(MATCH(AC11,CoinCollection!O:O,0),"")</f>
        <v>202</v>
      </c>
      <c r="AG11" s="330" t="str">
        <f>J11</f>
        <v>1971-S  Memorial Penny Proof</v>
      </c>
      <c r="AH11" s="339">
        <f>IFERROR(MATCH(AG11,CoinCollection!O:O,0),"")</f>
        <v>592</v>
      </c>
      <c r="AI11" s="330" t="str">
        <f t="shared" si="13"/>
        <v>1983 Memorial Penny</v>
      </c>
      <c r="AJ11" s="339">
        <f>IFERROR(MATCH(AI11,CoinCollection!O:O,0),"")</f>
        <v>726</v>
      </c>
      <c r="AK11" s="330" t="str">
        <f>N11</f>
        <v>1996-S Memorial Penny Proof</v>
      </c>
      <c r="AL11" s="339">
        <f>IFERROR(MATCH(AK11,CoinCollection!O:O,0),"")</f>
        <v>857</v>
      </c>
      <c r="AM11" s="330" t="str">
        <f>P11</f>
        <v>2009-S Memorial Penny Proof</v>
      </c>
      <c r="AN11" s="339">
        <f>IFERROR(MATCH(AM11,CoinCollection!O:O,0),"")</f>
        <v>982</v>
      </c>
      <c r="AO11" s="342" t="str">
        <f t="shared" si="16"/>
        <v>2019 Shield Penny</v>
      </c>
      <c r="AP11" s="339">
        <f>IFERROR(MATCH(AO11,CoinCollection!O:O,0),"")</f>
        <v>1092</v>
      </c>
    </row>
    <row r="12" spans="1:42">
      <c r="A12" s="350" t="b">
        <f t="shared" si="4"/>
        <v>1</v>
      </c>
      <c r="B12" s="339">
        <v>1912</v>
      </c>
      <c r="C12" s="351" t="b">
        <f t="shared" si="5"/>
        <v>1</v>
      </c>
      <c r="D12" s="391" t="s">
        <v>2447</v>
      </c>
      <c r="E12" s="341" t="b">
        <f t="shared" si="6"/>
        <v>1</v>
      </c>
      <c r="F12" s="337" t="s">
        <v>838</v>
      </c>
      <c r="G12" s="341" t="b">
        <f t="shared" si="7"/>
        <v>1</v>
      </c>
      <c r="H12" s="391" t="s">
        <v>869</v>
      </c>
      <c r="I12" s="336" t="b">
        <f t="shared" si="8"/>
        <v>1</v>
      </c>
      <c r="J12" s="342" t="s">
        <v>2500</v>
      </c>
      <c r="K12" s="336" t="b">
        <f t="shared" si="9"/>
        <v>1</v>
      </c>
      <c r="L12" s="342" t="s">
        <v>902</v>
      </c>
      <c r="M12" s="336" t="b">
        <f t="shared" si="10"/>
        <v>1</v>
      </c>
      <c r="N12" s="342" t="s">
        <v>4203</v>
      </c>
      <c r="O12" s="447" t="s">
        <v>53</v>
      </c>
      <c r="P12" s="445" t="s">
        <v>26</v>
      </c>
      <c r="Q12" s="341" t="b">
        <f t="shared" si="12"/>
        <v>1</v>
      </c>
      <c r="R12" s="337" t="s">
        <v>978</v>
      </c>
      <c r="U12" s="339" t="s">
        <v>4722</v>
      </c>
      <c r="W12" s="339" t="str">
        <v>1931-S</v>
      </c>
      <c r="Y12" s="339" t="str">
        <f t="shared" si="0"/>
        <v>1912 Wheat Penny</v>
      </c>
      <c r="Z12" s="339">
        <f>IFERROR(MATCH(Y12,CoinCollection!O:O,0),"")</f>
        <v>50</v>
      </c>
      <c r="AA12" s="330" t="str">
        <f t="shared" si="1"/>
        <v>1926-S Wheat Penny</v>
      </c>
      <c r="AB12" s="339">
        <f>IFERROR(MATCH(AA12,CoinCollection!O:O,0),"")</f>
        <v>110</v>
      </c>
      <c r="AC12" s="342" t="str">
        <f t="shared" si="2"/>
        <v>1941-D Wheat Penny</v>
      </c>
      <c r="AD12" s="339">
        <f>IFERROR(MATCH(AC12,CoinCollection!O:O,0),"")</f>
        <v>221</v>
      </c>
      <c r="AE12" s="342" t="str">
        <f t="shared" si="3"/>
        <v>1954-S Wheat Penny</v>
      </c>
      <c r="AF12" s="339">
        <f>IFERROR(MATCH(AC12,CoinCollection!O:O,0),"")</f>
        <v>221</v>
      </c>
      <c r="AG12" s="330" t="str">
        <f>J12&amp;" "&amp;$J$1</f>
        <v>1972 Memorial Penny</v>
      </c>
      <c r="AH12" s="339">
        <f>IFERROR(MATCH(AG12,CoinCollection!O:O,0),"")</f>
        <v>595</v>
      </c>
      <c r="AI12" s="330" t="str">
        <f t="shared" si="13"/>
        <v>1983-D Memorial Penny</v>
      </c>
      <c r="AJ12" s="339">
        <f>IFERROR(MATCH(AI12,CoinCollection!O:O,0),"")</f>
        <v>740</v>
      </c>
      <c r="AK12" s="330" t="str">
        <f t="shared" si="14"/>
        <v>1997 Memorial Penny</v>
      </c>
      <c r="AL12" s="339">
        <f>IFERROR(MATCH(AK12,CoinCollection!O:O,0),"")</f>
        <v>861</v>
      </c>
      <c r="AM12" s="348" t="str">
        <f t="shared" si="15"/>
        <v>Formative Years Memorial Penny</v>
      </c>
      <c r="AN12" s="448" t="str">
        <f>IFERROR(MATCH(AM12,CoinCollection!O:O,0),"")</f>
        <v/>
      </c>
      <c r="AO12" s="342" t="str">
        <f t="shared" si="16"/>
        <v>2019-D Shield Penny</v>
      </c>
      <c r="AP12" s="339">
        <f>IFERROR(MATCH(AO12,CoinCollection!O:O,0),"")</f>
        <v>1102</v>
      </c>
    </row>
    <row r="13" spans="1:42">
      <c r="A13" s="350" t="b">
        <f t="shared" si="4"/>
        <v>1</v>
      </c>
      <c r="B13" s="339" t="s">
        <v>2408</v>
      </c>
      <c r="C13" s="351" t="b">
        <f t="shared" si="5"/>
        <v>1</v>
      </c>
      <c r="D13" s="364">
        <v>1927</v>
      </c>
      <c r="E13" s="341" t="b">
        <f t="shared" si="6"/>
        <v>1</v>
      </c>
      <c r="F13" s="342" t="s">
        <v>839</v>
      </c>
      <c r="G13" s="341" t="b">
        <f t="shared" si="7"/>
        <v>1</v>
      </c>
      <c r="H13" s="364">
        <v>1955</v>
      </c>
      <c r="I13" s="336" t="b">
        <f t="shared" si="8"/>
        <v>1</v>
      </c>
      <c r="J13" s="337" t="s">
        <v>887</v>
      </c>
      <c r="K13" s="336" t="b">
        <f t="shared" si="9"/>
        <v>1</v>
      </c>
      <c r="L13" s="446" t="s">
        <v>5219</v>
      </c>
      <c r="M13" s="336" t="b">
        <f t="shared" si="10"/>
        <v>1</v>
      </c>
      <c r="N13" s="337" t="s">
        <v>930</v>
      </c>
      <c r="O13" s="336" t="b">
        <f t="shared" si="11"/>
        <v>1</v>
      </c>
      <c r="P13" s="353" t="s">
        <v>4215</v>
      </c>
      <c r="Q13" s="341" t="b">
        <f t="shared" si="12"/>
        <v>1</v>
      </c>
      <c r="R13" s="447" t="s">
        <v>5254</v>
      </c>
      <c r="U13" s="339" t="s">
        <v>4730</v>
      </c>
      <c r="W13" s="339" t="str">
        <v>1935-D</v>
      </c>
      <c r="Y13" s="339" t="str">
        <f t="shared" si="0"/>
        <v>1912-D Wheat Penny</v>
      </c>
      <c r="Z13" s="339">
        <f>IFERROR(MATCH(Y13,CoinCollection!O:O,0),"")</f>
        <v>51</v>
      </c>
      <c r="AA13" s="330" t="str">
        <f t="shared" si="1"/>
        <v>1927 Wheat Penny</v>
      </c>
      <c r="AB13" s="339">
        <f>IFERROR(MATCH(AA13,CoinCollection!O:O,0),"")</f>
        <v>112</v>
      </c>
      <c r="AC13" s="342" t="str">
        <f t="shared" si="2"/>
        <v>1941-S Wheat Penny</v>
      </c>
      <c r="AD13" s="339">
        <f>IFERROR(MATCH(AC13,CoinCollection!O:O,0),"")</f>
        <v>215</v>
      </c>
      <c r="AE13" s="342" t="str">
        <f t="shared" si="3"/>
        <v>1955 Wheat Penny</v>
      </c>
      <c r="AF13" s="339">
        <f>IFERROR(MATCH(AC13,CoinCollection!O:O,0),"")</f>
        <v>215</v>
      </c>
      <c r="AG13" s="330" t="str">
        <f>J13&amp;" "&amp;$J$1</f>
        <v>1972-D Memorial Penny</v>
      </c>
      <c r="AH13" s="339">
        <f>IFERROR(MATCH(AG13,CoinCollection!O:O,0),"")</f>
        <v>597</v>
      </c>
      <c r="AI13" s="330" t="str">
        <f>L13</f>
        <v>1983-S Memorial Penny Proof</v>
      </c>
      <c r="AJ13" s="339">
        <f>IFERROR(MATCH(AI13,CoinCollection!O:O,0),"")</f>
        <v>737</v>
      </c>
      <c r="AK13" s="330" t="str">
        <f t="shared" si="14"/>
        <v>1997-D Memorial Penny</v>
      </c>
      <c r="AL13" s="339">
        <f>IFERROR(MATCH(AK13,CoinCollection!O:O,0),"")</f>
        <v>865</v>
      </c>
      <c r="AM13" s="330" t="str">
        <f t="shared" si="15"/>
        <v>2009 Memorial Penny</v>
      </c>
      <c r="AN13" s="339">
        <f>IFERROR(MATCH(AM13,CoinCollection!O:O,0),"")</f>
        <v>975</v>
      </c>
      <c r="AO13" s="342" t="str">
        <f>R13</f>
        <v>2019-S Shield Penny Proof</v>
      </c>
      <c r="AP13" s="339">
        <f>IFERROR(MATCH(AO13,CoinCollection!O:O,0),"")</f>
        <v>1090</v>
      </c>
    </row>
    <row r="14" spans="1:42">
      <c r="A14" s="350" t="b">
        <f t="shared" si="4"/>
        <v>0</v>
      </c>
      <c r="B14" s="339" t="s">
        <v>4695</v>
      </c>
      <c r="C14" s="351" t="b">
        <f t="shared" si="5"/>
        <v>1</v>
      </c>
      <c r="D14" s="391" t="s">
        <v>2449</v>
      </c>
      <c r="E14" s="341" t="b">
        <f t="shared" si="6"/>
        <v>1</v>
      </c>
      <c r="F14" s="337" t="s">
        <v>2475</v>
      </c>
      <c r="G14" s="341" t="b">
        <f t="shared" si="7"/>
        <v>1</v>
      </c>
      <c r="H14" s="391" t="s">
        <v>870</v>
      </c>
      <c r="I14" s="336" t="b">
        <f t="shared" si="8"/>
        <v>1</v>
      </c>
      <c r="J14" s="447" t="s">
        <v>5210</v>
      </c>
      <c r="K14" s="336" t="b">
        <f t="shared" si="9"/>
        <v>1</v>
      </c>
      <c r="L14" s="342" t="s">
        <v>4190</v>
      </c>
      <c r="M14" s="336" t="b">
        <f t="shared" si="10"/>
        <v>1</v>
      </c>
      <c r="N14" s="447" t="s">
        <v>5233</v>
      </c>
      <c r="O14" s="336" t="b">
        <f t="shared" si="11"/>
        <v>1</v>
      </c>
      <c r="P14" s="355" t="s">
        <v>958</v>
      </c>
      <c r="Q14" s="341" t="b">
        <f t="shared" si="12"/>
        <v>0</v>
      </c>
      <c r="R14" s="337" t="s">
        <v>4943</v>
      </c>
      <c r="U14" s="449" t="s">
        <v>4736</v>
      </c>
      <c r="W14" s="449" t="str">
        <v>1970-S Memorial Penny Proof</v>
      </c>
      <c r="Y14" s="339" t="str">
        <f t="shared" si="0"/>
        <v>1912-S Wheat Penny</v>
      </c>
      <c r="Z14" s="339" t="str">
        <f>IFERROR(MATCH(Y14,CoinCollection!O:O,0),"")</f>
        <v/>
      </c>
      <c r="AA14" s="330" t="str">
        <f t="shared" si="1"/>
        <v>1927-D Wheat Penny</v>
      </c>
      <c r="AB14" s="339">
        <f>IFERROR(MATCH(AA14,CoinCollection!O:O,0),"")</f>
        <v>116</v>
      </c>
      <c r="AC14" s="342" t="str">
        <f t="shared" si="2"/>
        <v>1942 Wheat Penny</v>
      </c>
      <c r="AD14" s="339">
        <f>IFERROR(MATCH(AC14,CoinCollection!O:O,0),"")</f>
        <v>222</v>
      </c>
      <c r="AE14" s="342" t="str">
        <f t="shared" si="3"/>
        <v>1955-D Wheat Penny</v>
      </c>
      <c r="AF14" s="339">
        <f>IFERROR(MATCH(AC14,CoinCollection!O:O,0),"")</f>
        <v>222</v>
      </c>
      <c r="AG14" s="330" t="str">
        <f>J14</f>
        <v>1972-S Memorial Penny Proof</v>
      </c>
      <c r="AH14" s="339">
        <f>IFERROR(MATCH(AG14,CoinCollection!O:O,0),"")</f>
        <v>604</v>
      </c>
      <c r="AI14" s="330" t="str">
        <f t="shared" si="13"/>
        <v>1984 Memorial Penny</v>
      </c>
      <c r="AJ14" s="339">
        <f>IFERROR(MATCH(AI14,CoinCollection!O:O,0),"")</f>
        <v>741</v>
      </c>
      <c r="AK14" s="330" t="str">
        <f>N14</f>
        <v>1997-S Memorial Penny Proof</v>
      </c>
      <c r="AL14" s="339">
        <f>IFERROR(MATCH(AK14,CoinCollection!O:O,0),"")</f>
        <v>867</v>
      </c>
      <c r="AM14" s="330" t="str">
        <f t="shared" si="15"/>
        <v>2009-D Memorial Penny</v>
      </c>
      <c r="AN14" s="339">
        <f>IFERROR(MATCH(AM14,CoinCollection!O:O,0),"")</f>
        <v>977</v>
      </c>
      <c r="AO14" s="342" t="str">
        <f t="shared" si="16"/>
        <v>2019-W* Shield Penny</v>
      </c>
      <c r="AP14" s="339" t="str">
        <f>IFERROR(MATCH(AO14,CoinCollection!O:O,0),"")</f>
        <v/>
      </c>
    </row>
    <row r="15" spans="1:42">
      <c r="A15" s="350" t="b">
        <f t="shared" si="4"/>
        <v>1</v>
      </c>
      <c r="B15" s="339">
        <v>1913</v>
      </c>
      <c r="C15" s="351" t="b">
        <f t="shared" si="5"/>
        <v>1</v>
      </c>
      <c r="D15" s="390" t="s">
        <v>2450</v>
      </c>
      <c r="E15" s="341" t="b">
        <f t="shared" si="6"/>
        <v>1</v>
      </c>
      <c r="F15" s="342" t="s">
        <v>840</v>
      </c>
      <c r="G15" s="341" t="b">
        <f t="shared" si="7"/>
        <v>1</v>
      </c>
      <c r="H15" s="390" t="s">
        <v>4915</v>
      </c>
      <c r="I15" s="336" t="b">
        <f t="shared" si="8"/>
        <v>1</v>
      </c>
      <c r="J15" s="337" t="s">
        <v>2502</v>
      </c>
      <c r="K15" s="336" t="b">
        <f t="shared" si="9"/>
        <v>1</v>
      </c>
      <c r="L15" s="337" t="s">
        <v>904</v>
      </c>
      <c r="M15" s="336" t="b">
        <f t="shared" si="10"/>
        <v>1</v>
      </c>
      <c r="N15" s="337" t="s">
        <v>4204</v>
      </c>
      <c r="O15" s="336" t="b">
        <f t="shared" si="11"/>
        <v>1</v>
      </c>
      <c r="P15" s="353" t="s">
        <v>5245</v>
      </c>
      <c r="Q15" s="341" t="b">
        <f t="shared" si="12"/>
        <v>0</v>
      </c>
      <c r="R15" s="435" t="s">
        <v>4944</v>
      </c>
      <c r="U15" s="449" t="s">
        <v>4740</v>
      </c>
      <c r="W15" s="449" t="str">
        <v>1970-S SM Date</v>
      </c>
      <c r="Y15" s="339" t="str">
        <f t="shared" si="0"/>
        <v>1913 Wheat Penny</v>
      </c>
      <c r="Z15" s="339">
        <f>IFERROR(MATCH(Y15,CoinCollection!O:O,0),"")</f>
        <v>52</v>
      </c>
      <c r="AA15" s="330" t="str">
        <f t="shared" si="1"/>
        <v>1927-S Wheat Penny</v>
      </c>
      <c r="AB15" s="339">
        <f>IFERROR(MATCH(AA15,CoinCollection!O:O,0),"")</f>
        <v>117</v>
      </c>
      <c r="AC15" s="342" t="str">
        <f t="shared" si="2"/>
        <v>1942-D Wheat Penny</v>
      </c>
      <c r="AD15" s="339">
        <f>IFERROR(MATCH(AC15,CoinCollection!O:O,0),"")</f>
        <v>232</v>
      </c>
      <c r="AE15" s="342" t="str">
        <f t="shared" si="3"/>
        <v>1955-S Wheat Penny</v>
      </c>
      <c r="AF15" s="339">
        <f>IFERROR(MATCH(AC15,CoinCollection!O:O,0),"")</f>
        <v>232</v>
      </c>
      <c r="AG15" s="330" t="str">
        <f>J15&amp;" "&amp;$J$1</f>
        <v>1973 Memorial Penny</v>
      </c>
      <c r="AH15" s="339">
        <f>IFERROR(MATCH(AG15,CoinCollection!O:O,0),"")</f>
        <v>606</v>
      </c>
      <c r="AI15" s="330" t="str">
        <f t="shared" si="13"/>
        <v>1984-D Memorial Penny</v>
      </c>
      <c r="AJ15" s="339">
        <f>IFERROR(MATCH(AI15,CoinCollection!O:O,0),"")</f>
        <v>748</v>
      </c>
      <c r="AK15" s="330" t="str">
        <f t="shared" si="14"/>
        <v>1998 Memorial Penny</v>
      </c>
      <c r="AL15" s="339">
        <f>IFERROR(MATCH(AK15,CoinCollection!O:O,0),"")</f>
        <v>869</v>
      </c>
      <c r="AM15" s="330" t="str">
        <f>P15</f>
        <v>2009-S Memorial Penny Proof</v>
      </c>
      <c r="AN15" s="339">
        <f>IFERROR(MATCH(AM15,CoinCollection!O:O,0),"")</f>
        <v>982</v>
      </c>
      <c r="AO15" s="342" t="str">
        <f t="shared" si="16"/>
        <v>2019-W Proof** Shield Penny</v>
      </c>
      <c r="AP15" s="339" t="str">
        <f>IFERROR(MATCH(AO15,CoinCollection!O:O,0),"")</f>
        <v/>
      </c>
    </row>
    <row r="16" spans="1:42">
      <c r="A16" s="350" t="b">
        <f t="shared" si="4"/>
        <v>1</v>
      </c>
      <c r="B16" s="339" t="s">
        <v>2410</v>
      </c>
      <c r="C16" s="351" t="b">
        <f t="shared" si="5"/>
        <v>1</v>
      </c>
      <c r="D16" s="362">
        <v>1928</v>
      </c>
      <c r="E16" s="341" t="b">
        <f t="shared" si="6"/>
        <v>1</v>
      </c>
      <c r="F16" s="337" t="s">
        <v>843</v>
      </c>
      <c r="G16" s="341" t="b">
        <f t="shared" si="7"/>
        <v>1</v>
      </c>
      <c r="H16" s="362">
        <v>1956</v>
      </c>
      <c r="I16" s="336" t="b">
        <f t="shared" si="8"/>
        <v>1</v>
      </c>
      <c r="J16" s="342" t="s">
        <v>888</v>
      </c>
      <c r="K16" s="336" t="b">
        <f t="shared" si="9"/>
        <v>1</v>
      </c>
      <c r="L16" s="447" t="s">
        <v>5220</v>
      </c>
      <c r="M16" s="336" t="b">
        <f t="shared" si="10"/>
        <v>1</v>
      </c>
      <c r="N16" s="342" t="s">
        <v>932</v>
      </c>
      <c r="O16" s="446" t="s">
        <v>53</v>
      </c>
      <c r="P16" s="445" t="s">
        <v>3813</v>
      </c>
      <c r="Q16" s="341" t="b">
        <f t="shared" si="12"/>
        <v>0</v>
      </c>
      <c r="R16" s="436" t="s">
        <v>4945</v>
      </c>
      <c r="U16" s="449" t="s">
        <v>4697</v>
      </c>
      <c r="W16" s="449" t="str">
        <v>1970-S LG Date</v>
      </c>
      <c r="Y16" s="339" t="str">
        <f t="shared" si="0"/>
        <v>1913-D Wheat Penny</v>
      </c>
      <c r="Z16" s="339">
        <f>IFERROR(MATCH(Y16,CoinCollection!O:O,0),"")</f>
        <v>53</v>
      </c>
      <c r="AA16" s="330" t="str">
        <f t="shared" si="1"/>
        <v>1928 Wheat Penny</v>
      </c>
      <c r="AB16" s="339">
        <f>IFERROR(MATCH(AA16,CoinCollection!O:O,0),"")</f>
        <v>123</v>
      </c>
      <c r="AC16" s="342" t="str">
        <f t="shared" si="2"/>
        <v>1942-S Wheat Penny</v>
      </c>
      <c r="AD16" s="339">
        <f>IFERROR(MATCH(AC16,CoinCollection!O:O,0),"")</f>
        <v>230</v>
      </c>
      <c r="AE16" s="342" t="str">
        <f t="shared" si="3"/>
        <v>1956 Wheat Penny</v>
      </c>
      <c r="AF16" s="339">
        <f>IFERROR(MATCH(AC16,CoinCollection!O:O,0),"")</f>
        <v>230</v>
      </c>
      <c r="AG16" s="330" t="str">
        <f>J16&amp;" "&amp;$J$1</f>
        <v>1973-D Memorial Penny</v>
      </c>
      <c r="AH16" s="339">
        <f>IFERROR(MATCH(AG16,CoinCollection!O:O,0),"")</f>
        <v>610</v>
      </c>
      <c r="AI16" s="330" t="str">
        <f>L16</f>
        <v>1984-S Memorial Penny Proof</v>
      </c>
      <c r="AJ16" s="339">
        <f>IFERROR(MATCH(AI16,CoinCollection!O:O,0),"")</f>
        <v>749</v>
      </c>
      <c r="AK16" s="330" t="str">
        <f t="shared" si="14"/>
        <v>1998-D Memorial Penny</v>
      </c>
      <c r="AL16" s="339">
        <f>IFERROR(MATCH(AK16,CoinCollection!O:O,0),"")</f>
        <v>874</v>
      </c>
      <c r="AM16" s="348" t="str">
        <f t="shared" si="15"/>
        <v>Professional Life Memorial Penny</v>
      </c>
      <c r="AN16" s="448" t="str">
        <f>IFERROR(MATCH(AM16,CoinCollection!O:O,0),"")</f>
        <v/>
      </c>
      <c r="AO16" s="342" t="str">
        <f t="shared" si="16"/>
        <v>2019-W Rev Proof** Shield Penny</v>
      </c>
      <c r="AP16" s="339" t="str">
        <f>IFERROR(MATCH(AO16,CoinCollection!O:O,0),"")</f>
        <v/>
      </c>
    </row>
    <row r="17" spans="1:42">
      <c r="A17" s="350" t="b">
        <f t="shared" si="4"/>
        <v>1</v>
      </c>
      <c r="B17" s="339" t="s">
        <v>2411</v>
      </c>
      <c r="C17" s="351" t="b">
        <f t="shared" si="5"/>
        <v>1</v>
      </c>
      <c r="D17" s="390" t="s">
        <v>2452</v>
      </c>
      <c r="E17" s="341" t="b">
        <f t="shared" si="6"/>
        <v>1</v>
      </c>
      <c r="F17" s="443" t="s">
        <v>4926</v>
      </c>
      <c r="G17" s="341" t="b">
        <f t="shared" si="7"/>
        <v>1</v>
      </c>
      <c r="H17" s="390" t="s">
        <v>871</v>
      </c>
      <c r="I17" s="336" t="b">
        <f t="shared" si="8"/>
        <v>0</v>
      </c>
      <c r="J17" s="446" t="s">
        <v>5211</v>
      </c>
      <c r="K17" s="336" t="b">
        <f t="shared" si="9"/>
        <v>1</v>
      </c>
      <c r="L17" s="337" t="s">
        <v>4191</v>
      </c>
      <c r="M17" s="336" t="b">
        <f t="shared" si="10"/>
        <v>1</v>
      </c>
      <c r="N17" s="446" t="s">
        <v>5234</v>
      </c>
      <c r="O17" s="336" t="b">
        <f t="shared" si="11"/>
        <v>1</v>
      </c>
      <c r="P17" s="353" t="s">
        <v>4215</v>
      </c>
      <c r="Q17" s="341" t="b">
        <f t="shared" si="12"/>
        <v>1</v>
      </c>
      <c r="R17" s="342" t="s">
        <v>4226</v>
      </c>
      <c r="U17" s="449" t="s">
        <v>4703</v>
      </c>
      <c r="W17" s="449" t="str">
        <v>1973-S Memorial Penny Proof</v>
      </c>
      <c r="Y17" s="339" t="str">
        <f t="shared" si="0"/>
        <v>1913-S Wheat Penny</v>
      </c>
      <c r="Z17" s="339">
        <f>IFERROR(MATCH(Y17,CoinCollection!O:O,0),"")</f>
        <v>54</v>
      </c>
      <c r="AA17" s="330" t="str">
        <f t="shared" si="1"/>
        <v>1928-D Wheat Penny</v>
      </c>
      <c r="AB17" s="339">
        <f>IFERROR(MATCH(AA17,CoinCollection!O:O,0),"")</f>
        <v>121</v>
      </c>
      <c r="AC17" s="342" t="str">
        <f>F17</f>
        <v>1943 Steel Penny</v>
      </c>
      <c r="AD17" s="339">
        <f>IFERROR(MATCH(AC17,CoinCollection!O:O,0),"")</f>
        <v>234</v>
      </c>
      <c r="AE17" s="342" t="str">
        <f t="shared" si="3"/>
        <v>1956-D Wheat Penny</v>
      </c>
      <c r="AF17" s="339">
        <f>IFERROR(MATCH(AC17,CoinCollection!O:O,0),"")</f>
        <v>234</v>
      </c>
      <c r="AG17" s="330" t="str">
        <f>J17</f>
        <v>1973-S Memorial Penny Proof</v>
      </c>
      <c r="AH17" s="339" t="str">
        <f>IFERROR(MATCH(AG17,CoinCollection!O:O,0),"")</f>
        <v/>
      </c>
      <c r="AI17" s="330" t="str">
        <f t="shared" si="13"/>
        <v>1985 Memorial Penny</v>
      </c>
      <c r="AJ17" s="339">
        <f>IFERROR(MATCH(AI17,CoinCollection!O:O,0),"")</f>
        <v>754</v>
      </c>
      <c r="AK17" s="330" t="str">
        <f>N17</f>
        <v>1998-S Memorial Penny Proof</v>
      </c>
      <c r="AL17" s="339">
        <f>IFERROR(MATCH(AK17,CoinCollection!O:O,0),"")</f>
        <v>876</v>
      </c>
      <c r="AM17" s="330" t="str">
        <f t="shared" si="15"/>
        <v>2009 Memorial Penny</v>
      </c>
      <c r="AN17" s="339">
        <f>IFERROR(MATCH(AM17,CoinCollection!O:O,0),"")</f>
        <v>975</v>
      </c>
      <c r="AO17" s="342" t="str">
        <f t="shared" si="16"/>
        <v>2020 Shield Penny</v>
      </c>
      <c r="AP17" s="339">
        <f>IFERROR(MATCH(AO17,CoinCollection!O:O,0),"")</f>
        <v>1104</v>
      </c>
    </row>
    <row r="18" spans="1:42">
      <c r="A18" s="350" t="b">
        <f t="shared" si="4"/>
        <v>1</v>
      </c>
      <c r="B18" s="339">
        <v>1914</v>
      </c>
      <c r="C18" s="351" t="b">
        <f t="shared" si="5"/>
        <v>1</v>
      </c>
      <c r="D18" s="391" t="s">
        <v>2453</v>
      </c>
      <c r="E18" s="341" t="b">
        <f t="shared" si="6"/>
        <v>1</v>
      </c>
      <c r="F18" s="444" t="s">
        <v>4927</v>
      </c>
      <c r="G18" s="341" t="b">
        <f t="shared" si="7"/>
        <v>1</v>
      </c>
      <c r="H18" s="362">
        <v>1957</v>
      </c>
      <c r="I18" s="336" t="b">
        <f t="shared" si="8"/>
        <v>1</v>
      </c>
      <c r="J18" s="342" t="s">
        <v>2504</v>
      </c>
      <c r="K18" s="336" t="b">
        <f t="shared" si="9"/>
        <v>1</v>
      </c>
      <c r="L18" s="342" t="s">
        <v>906</v>
      </c>
      <c r="M18" s="336" t="b">
        <f t="shared" si="10"/>
        <v>1</v>
      </c>
      <c r="N18" s="342" t="s">
        <v>4205</v>
      </c>
      <c r="O18" s="336" t="b">
        <f t="shared" si="11"/>
        <v>1</v>
      </c>
      <c r="P18" s="355" t="s">
        <v>958</v>
      </c>
      <c r="Q18" s="341" t="b">
        <f t="shared" si="12"/>
        <v>1</v>
      </c>
      <c r="R18" s="337" t="s">
        <v>980</v>
      </c>
      <c r="U18" s="449" t="s">
        <v>4747</v>
      </c>
      <c r="W18" s="449" t="str">
        <v>1974-S Memorial Penny Proof</v>
      </c>
      <c r="Y18" s="339" t="str">
        <f t="shared" si="0"/>
        <v>1914 Wheat Penny</v>
      </c>
      <c r="Z18" s="339">
        <f>IFERROR(MATCH(Y18,CoinCollection!O:O,0),"")</f>
        <v>56</v>
      </c>
      <c r="AA18" s="330" t="str">
        <f t="shared" si="1"/>
        <v>1928-S Wheat Penny</v>
      </c>
      <c r="AB18" s="339">
        <f>IFERROR(MATCH(AA18,CoinCollection!O:O,0),"")</f>
        <v>119</v>
      </c>
      <c r="AC18" s="342" t="str">
        <f>F18</f>
        <v>1943-D Steel Penny</v>
      </c>
      <c r="AD18" s="339">
        <f>IFERROR(MATCH(AC18,CoinCollection!O:O,0),"")</f>
        <v>241</v>
      </c>
      <c r="AE18" s="342" t="str">
        <f t="shared" si="3"/>
        <v>1957 Wheat Penny</v>
      </c>
      <c r="AF18" s="339">
        <f>IFERROR(MATCH(AC18,CoinCollection!O:O,0),"")</f>
        <v>241</v>
      </c>
      <c r="AG18" s="330" t="str">
        <f>J18&amp;" "&amp;$J$1</f>
        <v>1974 Memorial Penny</v>
      </c>
      <c r="AH18" s="339">
        <f>IFERROR(MATCH(AG18,CoinCollection!O:O,0),"")</f>
        <v>621</v>
      </c>
      <c r="AI18" s="330" t="str">
        <f t="shared" si="13"/>
        <v>1985-D Memorial Penny</v>
      </c>
      <c r="AJ18" s="339">
        <f>IFERROR(MATCH(AI18,CoinCollection!O:O,0),"")</f>
        <v>756</v>
      </c>
      <c r="AK18" s="330" t="str">
        <f t="shared" si="14"/>
        <v>1999 Memorial Penny</v>
      </c>
      <c r="AL18" s="339">
        <f>IFERROR(MATCH(AK18,CoinCollection!O:O,0),"")</f>
        <v>880</v>
      </c>
      <c r="AM18" s="330" t="str">
        <f t="shared" si="15"/>
        <v>2009-D Memorial Penny</v>
      </c>
      <c r="AN18" s="339">
        <f>IFERROR(MATCH(AM18,CoinCollection!O:O,0),"")</f>
        <v>977</v>
      </c>
      <c r="AO18" s="342" t="str">
        <f t="shared" si="16"/>
        <v>2020-D Shield Penny</v>
      </c>
      <c r="AP18" s="339">
        <f>IFERROR(MATCH(AO18,CoinCollection!O:O,0),"")</f>
        <v>1106</v>
      </c>
    </row>
    <row r="19" spans="1:42">
      <c r="A19" s="350" t="b">
        <f t="shared" si="4"/>
        <v>0</v>
      </c>
      <c r="B19" s="339" t="s">
        <v>2413</v>
      </c>
      <c r="C19" s="351" t="b">
        <f t="shared" si="5"/>
        <v>1</v>
      </c>
      <c r="D19" s="364">
        <v>1929</v>
      </c>
      <c r="E19" s="341" t="b">
        <f t="shared" si="6"/>
        <v>1</v>
      </c>
      <c r="F19" s="443" t="s">
        <v>4928</v>
      </c>
      <c r="G19" s="341" t="b">
        <f t="shared" si="7"/>
        <v>1</v>
      </c>
      <c r="H19" s="390" t="s">
        <v>872</v>
      </c>
      <c r="I19" s="336" t="b">
        <f t="shared" si="8"/>
        <v>1</v>
      </c>
      <c r="J19" s="337" t="s">
        <v>889</v>
      </c>
      <c r="K19" s="336" t="b">
        <f t="shared" si="9"/>
        <v>1</v>
      </c>
      <c r="L19" s="446" t="s">
        <v>5221</v>
      </c>
      <c r="M19" s="336" t="b">
        <f t="shared" si="10"/>
        <v>1</v>
      </c>
      <c r="N19" s="337" t="s">
        <v>934</v>
      </c>
      <c r="O19" s="336" t="b">
        <f t="shared" si="11"/>
        <v>1</v>
      </c>
      <c r="P19" s="353" t="s">
        <v>5245</v>
      </c>
      <c r="Q19" s="341" t="b">
        <f t="shared" si="12"/>
        <v>1</v>
      </c>
      <c r="R19" s="447" t="s">
        <v>5255</v>
      </c>
      <c r="U19" s="449" t="s">
        <v>4750</v>
      </c>
      <c r="W19" s="449" t="str">
        <v>1979-S Proof Filled S</v>
      </c>
      <c r="Y19" s="339" t="str">
        <f t="shared" si="0"/>
        <v>1914-D Wheat Penny</v>
      </c>
      <c r="Z19" s="339" t="str">
        <f>IFERROR(MATCH(Y19,CoinCollection!O:O,0),"")</f>
        <v/>
      </c>
      <c r="AA19" s="330" t="str">
        <f t="shared" si="1"/>
        <v>1929 Wheat Penny</v>
      </c>
      <c r="AB19" s="339">
        <f>IFERROR(MATCH(AA19,CoinCollection!O:O,0),"")</f>
        <v>125</v>
      </c>
      <c r="AC19" s="342" t="str">
        <f>F19</f>
        <v>1943-S Steel Penny</v>
      </c>
      <c r="AD19" s="339">
        <f>IFERROR(MATCH(AC19,CoinCollection!O:O,0),"")</f>
        <v>243</v>
      </c>
      <c r="AE19" s="342" t="str">
        <f t="shared" si="3"/>
        <v>1957-D Wheat Penny</v>
      </c>
      <c r="AF19" s="339">
        <f>IFERROR(MATCH(AC19,CoinCollection!O:O,0),"")</f>
        <v>243</v>
      </c>
      <c r="AG19" s="330" t="str">
        <f>J19&amp;" "&amp;$J$1</f>
        <v>1974-D Memorial Penny</v>
      </c>
      <c r="AH19" s="339">
        <f>IFERROR(MATCH(AG19,CoinCollection!O:O,0),"")</f>
        <v>622</v>
      </c>
      <c r="AI19" s="330" t="str">
        <f>L19</f>
        <v>1985-S Memorial Penny Proof</v>
      </c>
      <c r="AJ19" s="339">
        <f>IFERROR(MATCH(AI19,CoinCollection!O:O,0),"")</f>
        <v>757</v>
      </c>
      <c r="AK19" s="330" t="str">
        <f t="shared" si="14"/>
        <v>1999-D Memorial Penny</v>
      </c>
      <c r="AL19" s="339">
        <f>IFERROR(MATCH(AK19,CoinCollection!O:O,0),"")</f>
        <v>887</v>
      </c>
      <c r="AM19" s="330" t="str">
        <f>P19</f>
        <v>2009-S Memorial Penny Proof</v>
      </c>
      <c r="AN19" s="339">
        <f>IFERROR(MATCH(AM19,CoinCollection!O:O,0),"")</f>
        <v>982</v>
      </c>
      <c r="AO19" s="342" t="str">
        <f>R19</f>
        <v>2020-S Shield Penny Proof</v>
      </c>
      <c r="AP19" s="339">
        <f>IFERROR(MATCH(AO19,CoinCollection!O:O,0),"")</f>
        <v>1108</v>
      </c>
    </row>
    <row r="20" spans="1:42">
      <c r="A20" s="350" t="b">
        <f t="shared" si="4"/>
        <v>1</v>
      </c>
      <c r="B20" s="339" t="s">
        <v>2414</v>
      </c>
      <c r="C20" s="351" t="b">
        <f t="shared" si="5"/>
        <v>1</v>
      </c>
      <c r="D20" s="391" t="s">
        <v>2455</v>
      </c>
      <c r="E20" s="341" t="b">
        <f t="shared" si="6"/>
        <v>1</v>
      </c>
      <c r="F20" s="337" t="s">
        <v>4182</v>
      </c>
      <c r="G20" s="341" t="b">
        <f t="shared" si="7"/>
        <v>1</v>
      </c>
      <c r="H20" s="362">
        <v>1958</v>
      </c>
      <c r="I20" s="336" t="b">
        <f t="shared" si="8"/>
        <v>0</v>
      </c>
      <c r="J20" s="447" t="s">
        <v>5212</v>
      </c>
      <c r="K20" s="336" t="b">
        <f t="shared" si="9"/>
        <v>1</v>
      </c>
      <c r="L20" s="342" t="s">
        <v>4192</v>
      </c>
      <c r="M20" s="336" t="b">
        <f t="shared" si="10"/>
        <v>1</v>
      </c>
      <c r="N20" s="447" t="s">
        <v>5235</v>
      </c>
      <c r="O20" s="446" t="s">
        <v>53</v>
      </c>
      <c r="P20" s="445" t="s">
        <v>4746</v>
      </c>
      <c r="Q20" s="341" t="b">
        <f t="shared" si="12"/>
        <v>1</v>
      </c>
      <c r="R20" s="337" t="s">
        <v>4227</v>
      </c>
      <c r="U20" s="449" t="s">
        <v>4684</v>
      </c>
      <c r="W20" s="449" t="str">
        <v>1979-S Proof Clear S</v>
      </c>
      <c r="Y20" s="339" t="str">
        <f t="shared" si="0"/>
        <v>1914-S Wheat Penny</v>
      </c>
      <c r="Z20" s="339">
        <f>IFERROR(MATCH(Y20,CoinCollection!O:O,0),"")</f>
        <v>58</v>
      </c>
      <c r="AA20" s="330" t="str">
        <f t="shared" si="1"/>
        <v>1929-D Wheat Penny</v>
      </c>
      <c r="AB20" s="339">
        <f>IFERROR(MATCH(AA20,CoinCollection!O:O,0),"")</f>
        <v>129</v>
      </c>
      <c r="AC20" s="342" t="str">
        <f t="shared" ref="AC20:AC43" si="17">F20&amp;" "&amp;$D$1</f>
        <v>1944 Wheat Penny</v>
      </c>
      <c r="AD20" s="339">
        <f>IFERROR(MATCH(AC20,CoinCollection!O:O,0),"")</f>
        <v>250</v>
      </c>
      <c r="AE20" s="342" t="str">
        <f t="shared" si="3"/>
        <v>1958 Wheat Penny</v>
      </c>
      <c r="AF20" s="339">
        <f>IFERROR(MATCH(AC20,CoinCollection!O:O,0),"")</f>
        <v>250</v>
      </c>
      <c r="AG20" s="330" t="str">
        <f>J20</f>
        <v>1974-S Memorial Penny Proof</v>
      </c>
      <c r="AH20" s="339" t="str">
        <f>IFERROR(MATCH(AG20,CoinCollection!O:O,0),"")</f>
        <v/>
      </c>
      <c r="AI20" s="330" t="str">
        <f t="shared" si="13"/>
        <v>1986 Memorial Penny</v>
      </c>
      <c r="AJ20" s="339">
        <f>IFERROR(MATCH(AI20,CoinCollection!O:O,0),"")</f>
        <v>762</v>
      </c>
      <c r="AK20" s="330" t="str">
        <f>N20</f>
        <v>1999-S Memorial Penny Proof</v>
      </c>
      <c r="AL20" s="339">
        <f>IFERROR(MATCH(AK20,CoinCollection!O:O,0),"")</f>
        <v>895</v>
      </c>
      <c r="AM20" s="330" t="str">
        <f t="shared" si="15"/>
        <v>Presidency Memorial Penny</v>
      </c>
      <c r="AN20" s="448" t="str">
        <f>IFERROR(MATCH(AM20,CoinCollection!O:O,0),"")</f>
        <v/>
      </c>
      <c r="AO20" s="342" t="str">
        <f t="shared" si="16"/>
        <v>2021 Shield Penny</v>
      </c>
      <c r="AP20" s="339">
        <f>IFERROR(MATCH(AO20,CoinCollection!O:O,0),"")</f>
        <v>1111</v>
      </c>
    </row>
    <row r="21" spans="1:42">
      <c r="A21" s="350" t="b">
        <f t="shared" si="4"/>
        <v>1</v>
      </c>
      <c r="B21" s="339">
        <v>1915</v>
      </c>
      <c r="C21" s="351" t="b">
        <f t="shared" si="5"/>
        <v>1</v>
      </c>
      <c r="D21" s="390" t="s">
        <v>2456</v>
      </c>
      <c r="E21" s="341" t="b">
        <f t="shared" si="6"/>
        <v>1</v>
      </c>
      <c r="F21" s="342" t="s">
        <v>848</v>
      </c>
      <c r="G21" s="341" t="b">
        <f t="shared" si="7"/>
        <v>1</v>
      </c>
      <c r="H21" s="390" t="s">
        <v>873</v>
      </c>
      <c r="I21" s="336" t="b">
        <f t="shared" si="8"/>
        <v>1</v>
      </c>
      <c r="J21" s="337" t="s">
        <v>2506</v>
      </c>
      <c r="K21" s="336" t="b">
        <f t="shared" si="9"/>
        <v>1</v>
      </c>
      <c r="L21" s="337" t="s">
        <v>908</v>
      </c>
      <c r="M21" s="336" t="b">
        <f t="shared" si="10"/>
        <v>1</v>
      </c>
      <c r="N21" s="337" t="s">
        <v>4206</v>
      </c>
      <c r="O21" s="336" t="b">
        <f t="shared" si="11"/>
        <v>1</v>
      </c>
      <c r="P21" s="353" t="s">
        <v>4215</v>
      </c>
      <c r="Q21" s="341" t="b">
        <f t="shared" si="12"/>
        <v>1</v>
      </c>
      <c r="R21" s="342" t="s">
        <v>2565</v>
      </c>
      <c r="U21" s="449" t="s">
        <v>4686</v>
      </c>
      <c r="W21" s="449" t="str">
        <v>1980-S Memorial Penny Proof</v>
      </c>
      <c r="Y21" s="339" t="str">
        <f t="shared" si="0"/>
        <v>1915 Wheat Penny</v>
      </c>
      <c r="Z21" s="339">
        <f>IFERROR(MATCH(Y21,CoinCollection!O:O,0),"")</f>
        <v>61</v>
      </c>
      <c r="AA21" s="330" t="str">
        <f t="shared" si="1"/>
        <v>1929-S Wheat Penny</v>
      </c>
      <c r="AB21" s="339">
        <f>IFERROR(MATCH(AA21,CoinCollection!O:O,0),"")</f>
        <v>126</v>
      </c>
      <c r="AC21" s="342" t="str">
        <f t="shared" si="17"/>
        <v>1944-D Wheat Penny</v>
      </c>
      <c r="AD21" s="339">
        <f>IFERROR(MATCH(AC21,CoinCollection!O:O,0),"")</f>
        <v>271</v>
      </c>
      <c r="AE21" s="342" t="str">
        <f t="shared" si="3"/>
        <v>1958-D Wheat Penny</v>
      </c>
      <c r="AF21" s="339">
        <f>IFERROR(MATCH(AC21,CoinCollection!O:O,0),"")</f>
        <v>271</v>
      </c>
      <c r="AG21" s="330" t="str">
        <f>J21&amp;" "&amp;$J$1</f>
        <v>1975 Memorial Penny</v>
      </c>
      <c r="AH21" s="339">
        <f>IFERROR(MATCH(AG21,CoinCollection!O:O,0),"")</f>
        <v>636</v>
      </c>
      <c r="AI21" s="330" t="str">
        <f t="shared" si="13"/>
        <v>1986-D Memorial Penny</v>
      </c>
      <c r="AJ21" s="339">
        <f>IFERROR(MATCH(AI21,CoinCollection!O:O,0),"")</f>
        <v>764</v>
      </c>
      <c r="AK21" s="330" t="str">
        <f t="shared" si="14"/>
        <v>2000 Memorial Penny</v>
      </c>
      <c r="AL21" s="339">
        <f>IFERROR(MATCH(AK21,CoinCollection!O:O,0),"")</f>
        <v>898</v>
      </c>
      <c r="AM21" s="330" t="str">
        <f t="shared" si="15"/>
        <v>2009 Memorial Penny</v>
      </c>
      <c r="AN21" s="339">
        <f>IFERROR(MATCH(AM21,CoinCollection!O:O,0),"")</f>
        <v>975</v>
      </c>
      <c r="AO21" s="342" t="str">
        <f t="shared" si="16"/>
        <v>2021-D Shield Penny</v>
      </c>
      <c r="AP21" s="339">
        <f>IFERROR(MATCH(AO21,CoinCollection!O:O,0),"")</f>
        <v>1115</v>
      </c>
    </row>
    <row r="22" spans="1:42">
      <c r="A22" s="350" t="b">
        <f t="shared" si="4"/>
        <v>1</v>
      </c>
      <c r="B22" s="339" t="s">
        <v>2416</v>
      </c>
      <c r="C22" s="351" t="b">
        <f t="shared" si="5"/>
        <v>1</v>
      </c>
      <c r="D22" s="362">
        <v>1930</v>
      </c>
      <c r="E22" s="341" t="b">
        <f t="shared" si="6"/>
        <v>1</v>
      </c>
      <c r="F22" s="337" t="s">
        <v>849</v>
      </c>
      <c r="G22" s="341" t="b">
        <f t="shared" si="7"/>
        <v>1</v>
      </c>
      <c r="H22" s="392">
        <v>1959</v>
      </c>
      <c r="I22" s="336" t="b">
        <f t="shared" si="8"/>
        <v>1</v>
      </c>
      <c r="J22" s="342" t="s">
        <v>890</v>
      </c>
      <c r="K22" s="336" t="b">
        <f t="shared" si="9"/>
        <v>1</v>
      </c>
      <c r="L22" s="447" t="s">
        <v>5222</v>
      </c>
      <c r="M22" s="336" t="b">
        <f t="shared" si="10"/>
        <v>1</v>
      </c>
      <c r="N22" s="342" t="s">
        <v>936</v>
      </c>
      <c r="O22" s="336" t="b">
        <f t="shared" si="11"/>
        <v>1</v>
      </c>
      <c r="P22" s="355" t="s">
        <v>958</v>
      </c>
      <c r="Q22" s="341" t="b">
        <f t="shared" si="12"/>
        <v>1</v>
      </c>
      <c r="R22" s="446" t="s">
        <v>5256</v>
      </c>
      <c r="U22" s="449" t="s">
        <v>4691</v>
      </c>
      <c r="W22" s="449" t="str">
        <v>1981-S Proof Filled S</v>
      </c>
      <c r="Y22" s="339" t="str">
        <f t="shared" si="0"/>
        <v>1915-D Wheat Penny</v>
      </c>
      <c r="Z22" s="339">
        <f>IFERROR(MATCH(Y22,CoinCollection!O:O,0),"")</f>
        <v>59</v>
      </c>
      <c r="AA22" s="330" t="str">
        <f t="shared" si="1"/>
        <v>1930 Wheat Penny</v>
      </c>
      <c r="AB22" s="339">
        <f>IFERROR(MATCH(AA22,CoinCollection!O:O,0),"")</f>
        <v>132</v>
      </c>
      <c r="AC22" s="342" t="str">
        <f t="shared" si="17"/>
        <v>1944-S Wheat Penny</v>
      </c>
      <c r="AD22" s="339">
        <f>IFERROR(MATCH(AC22,CoinCollection!O:O,0),"")</f>
        <v>255</v>
      </c>
      <c r="AE22" s="342" t="str">
        <f>H22&amp;" "&amp;$J$1</f>
        <v>1959 Memorial Penny</v>
      </c>
      <c r="AF22" s="339">
        <f>IFERROR(MATCH(AC22,CoinCollection!O:O,0),"")</f>
        <v>255</v>
      </c>
      <c r="AG22" s="330" t="str">
        <f>J22&amp;" "&amp;$J$1</f>
        <v>1975-D Memorial Penny</v>
      </c>
      <c r="AH22" s="339">
        <f>IFERROR(MATCH(AG22,CoinCollection!O:O,0),"")</f>
        <v>641</v>
      </c>
      <c r="AI22" s="330" t="str">
        <f>L22</f>
        <v>1986-S Memorial Penny Proof</v>
      </c>
      <c r="AJ22" s="339">
        <f>IFERROR(MATCH(AI22,CoinCollection!O:O,0),"")</f>
        <v>765</v>
      </c>
      <c r="AK22" s="330" t="str">
        <f t="shared" si="14"/>
        <v>2000-D Memorial Penny</v>
      </c>
      <c r="AL22" s="339">
        <f>IFERROR(MATCH(AK22,CoinCollection!O:O,0),"")</f>
        <v>900</v>
      </c>
      <c r="AM22" s="330" t="str">
        <f t="shared" si="15"/>
        <v>2009-D Memorial Penny</v>
      </c>
      <c r="AN22" s="339">
        <f>IFERROR(MATCH(AM22,CoinCollection!O:O,0),"")</f>
        <v>977</v>
      </c>
      <c r="AO22" s="342" t="str">
        <f>R22</f>
        <v>2021-S Shield Penny Proof</v>
      </c>
      <c r="AP22" s="339">
        <f>IFERROR(MATCH(AO22,CoinCollection!O:O,0),"")</f>
        <v>1117</v>
      </c>
    </row>
    <row r="23" spans="1:42">
      <c r="A23" s="350" t="b">
        <f t="shared" si="4"/>
        <v>1</v>
      </c>
      <c r="B23" s="339" t="s">
        <v>2417</v>
      </c>
      <c r="C23" s="351" t="b">
        <f t="shared" si="5"/>
        <v>1</v>
      </c>
      <c r="D23" s="390" t="s">
        <v>4922</v>
      </c>
      <c r="E23" s="341" t="b">
        <f t="shared" si="6"/>
        <v>1</v>
      </c>
      <c r="F23" s="342" t="s">
        <v>4183</v>
      </c>
      <c r="G23" s="341" t="b">
        <f t="shared" si="7"/>
        <v>1</v>
      </c>
      <c r="H23" s="441" t="s">
        <v>4916</v>
      </c>
      <c r="I23" s="336" t="b">
        <f t="shared" si="8"/>
        <v>1</v>
      </c>
      <c r="J23" s="446" t="s">
        <v>5213</v>
      </c>
      <c r="K23" s="336" t="b">
        <f t="shared" si="9"/>
        <v>1</v>
      </c>
      <c r="L23" s="337" t="s">
        <v>4193</v>
      </c>
      <c r="M23" s="336" t="b">
        <f t="shared" si="10"/>
        <v>1</v>
      </c>
      <c r="N23" s="446" t="s">
        <v>5236</v>
      </c>
      <c r="O23" s="336" t="b">
        <f t="shared" si="11"/>
        <v>1</v>
      </c>
      <c r="P23" s="353" t="s">
        <v>5245</v>
      </c>
      <c r="Q23" s="341" t="b">
        <f t="shared" si="12"/>
        <v>1</v>
      </c>
      <c r="R23" s="342" t="s">
        <v>4229</v>
      </c>
      <c r="U23" s="449" t="s">
        <v>4694</v>
      </c>
      <c r="W23" s="449" t="str">
        <v>1981-S Proof Clear S</v>
      </c>
      <c r="Y23" s="339" t="str">
        <f t="shared" si="0"/>
        <v>1915-S Wheat Penny</v>
      </c>
      <c r="Z23" s="339">
        <f>IFERROR(MATCH(Y23,CoinCollection!O:O,0),"")</f>
        <v>60</v>
      </c>
      <c r="AA23" s="330" t="str">
        <f t="shared" si="1"/>
        <v>1930-D Wheat Penny</v>
      </c>
      <c r="AB23" s="339">
        <f>IFERROR(MATCH(AA23,CoinCollection!O:O,0),"")</f>
        <v>133</v>
      </c>
      <c r="AC23" s="342" t="str">
        <f t="shared" si="17"/>
        <v>1945 Wheat Penny</v>
      </c>
      <c r="AD23" s="339">
        <f>IFERROR(MATCH(AC23,CoinCollection!O:O,0),"")</f>
        <v>273</v>
      </c>
      <c r="AE23" s="342" t="str">
        <f t="shared" ref="AE23:AE42" si="18">H23&amp;" "&amp;$J$1</f>
        <v>1960 SM Date Memorial Penny</v>
      </c>
      <c r="AF23" s="339">
        <f>IFERROR(MATCH(AC23,CoinCollection!O:O,0),"")</f>
        <v>273</v>
      </c>
      <c r="AG23" s="330" t="str">
        <f>J23</f>
        <v>1975-S Memorial Penny Proof</v>
      </c>
      <c r="AH23" s="339">
        <f>IFERROR(MATCH(AG23,CoinCollection!O:O,0),"")</f>
        <v>646</v>
      </c>
      <c r="AI23" s="330" t="str">
        <f t="shared" si="13"/>
        <v>1987 Memorial Penny</v>
      </c>
      <c r="AJ23" s="339">
        <f>IFERROR(MATCH(AI23,CoinCollection!O:O,0),"")</f>
        <v>768</v>
      </c>
      <c r="AK23" s="330" t="str">
        <f>N23</f>
        <v>2000-S Memorial Penny Proof</v>
      </c>
      <c r="AL23" s="339">
        <f>IFERROR(MATCH(AK23,CoinCollection!O:O,0),"")</f>
        <v>905</v>
      </c>
      <c r="AM23" s="330" t="str">
        <f>P23</f>
        <v>2009-S Memorial Penny Proof</v>
      </c>
      <c r="AN23" s="339">
        <f>IFERROR(MATCH(AM23,CoinCollection!O:O,0),"")</f>
        <v>982</v>
      </c>
      <c r="AO23" s="342" t="str">
        <f t="shared" si="16"/>
        <v>2022 Shield Penny</v>
      </c>
      <c r="AP23" s="339">
        <f>IFERROR(MATCH(AO23,CoinCollection!O:O,0),"")</f>
        <v>1124</v>
      </c>
    </row>
    <row r="24" spans="1:42">
      <c r="A24" s="350" t="b">
        <f t="shared" si="4"/>
        <v>1</v>
      </c>
      <c r="B24" s="339">
        <v>1916</v>
      </c>
      <c r="C24" s="351" t="b">
        <f t="shared" si="5"/>
        <v>1</v>
      </c>
      <c r="D24" s="391" t="s">
        <v>2458</v>
      </c>
      <c r="E24" s="341" t="b">
        <f t="shared" si="6"/>
        <v>1</v>
      </c>
      <c r="F24" s="337" t="s">
        <v>851</v>
      </c>
      <c r="G24" s="341" t="b">
        <f t="shared" si="7"/>
        <v>1</v>
      </c>
      <c r="H24" s="442" t="s">
        <v>4917</v>
      </c>
      <c r="I24" s="336" t="b">
        <f t="shared" si="8"/>
        <v>1</v>
      </c>
      <c r="J24" s="342" t="s">
        <v>2508</v>
      </c>
      <c r="K24" s="336" t="b">
        <f t="shared" si="9"/>
        <v>1</v>
      </c>
      <c r="L24" s="342" t="s">
        <v>910</v>
      </c>
      <c r="M24" s="336" t="b">
        <f t="shared" si="10"/>
        <v>1</v>
      </c>
      <c r="N24" s="342" t="s">
        <v>4207</v>
      </c>
      <c r="O24" s="446" t="s">
        <v>53</v>
      </c>
      <c r="P24" s="445" t="s">
        <v>4755</v>
      </c>
      <c r="Q24" s="341" t="b">
        <f t="shared" si="12"/>
        <v>1</v>
      </c>
      <c r="R24" s="337" t="s">
        <v>2566</v>
      </c>
      <c r="U24" s="449" t="s">
        <v>4698</v>
      </c>
      <c r="W24" s="449" t="str">
        <v>1982 Copper LG Date</v>
      </c>
      <c r="Y24" s="339" t="str">
        <f t="shared" si="0"/>
        <v>1916 Wheat Penny</v>
      </c>
      <c r="Z24" s="339">
        <f>IFERROR(MATCH(Y24,CoinCollection!O:O,0),"")</f>
        <v>63</v>
      </c>
      <c r="AA24" s="330" t="str">
        <f t="shared" si="1"/>
        <v>1930-S Wheat Penny</v>
      </c>
      <c r="AB24" s="339">
        <f>IFERROR(MATCH(AA24,CoinCollection!O:O,0),"")</f>
        <v>134</v>
      </c>
      <c r="AC24" s="342" t="str">
        <f t="shared" si="17"/>
        <v>1945-D Wheat Penny</v>
      </c>
      <c r="AD24" s="339">
        <f>IFERROR(MATCH(AC24,CoinCollection!O:O,0),"")</f>
        <v>281</v>
      </c>
      <c r="AE24" s="342" t="str">
        <f t="shared" si="18"/>
        <v>1960 LG Date Memorial Penny</v>
      </c>
      <c r="AF24" s="339">
        <f>IFERROR(MATCH(AC24,CoinCollection!O:O,0),"")</f>
        <v>281</v>
      </c>
      <c r="AG24" s="330" t="str">
        <f>J24&amp;" "&amp;$J$1</f>
        <v>1976 Memorial Penny</v>
      </c>
      <c r="AH24" s="339">
        <f>IFERROR(MATCH(AG24,CoinCollection!O:O,0),"")</f>
        <v>648</v>
      </c>
      <c r="AI24" s="330" t="str">
        <f t="shared" si="13"/>
        <v>1987-D Memorial Penny</v>
      </c>
      <c r="AJ24" s="339">
        <f>IFERROR(MATCH(AI24,CoinCollection!O:O,0),"")</f>
        <v>771</v>
      </c>
      <c r="AK24" s="330" t="str">
        <f t="shared" si="14"/>
        <v>2001 Memorial Penny</v>
      </c>
      <c r="AL24" s="339">
        <f>IFERROR(MATCH(AK24,CoinCollection!O:O,0),"")</f>
        <v>907</v>
      </c>
      <c r="AM24" s="348" t="str">
        <f t="shared" si="15"/>
        <v>Shield Memorial Penny</v>
      </c>
      <c r="AN24" s="448" t="str">
        <f>IFERROR(MATCH(AM24,CoinCollection!O:O,0),"")</f>
        <v/>
      </c>
      <c r="AO24" s="342" t="str">
        <f t="shared" si="16"/>
        <v>2022-D Shield Penny</v>
      </c>
      <c r="AP24" s="339">
        <f>IFERROR(MATCH(AO24,CoinCollection!O:O,0),"")</f>
        <v>1126</v>
      </c>
    </row>
    <row r="25" spans="1:42">
      <c r="A25" s="350" t="b">
        <f t="shared" si="4"/>
        <v>1</v>
      </c>
      <c r="B25" s="339" t="s">
        <v>2419</v>
      </c>
      <c r="C25" s="351" t="b">
        <f t="shared" si="5"/>
        <v>1</v>
      </c>
      <c r="D25" s="364">
        <v>1931</v>
      </c>
      <c r="E25" s="341" t="b">
        <f t="shared" si="6"/>
        <v>1</v>
      </c>
      <c r="F25" s="342" t="s">
        <v>852</v>
      </c>
      <c r="G25" s="341" t="b">
        <f t="shared" si="7"/>
        <v>1</v>
      </c>
      <c r="H25" s="441" t="s">
        <v>4918</v>
      </c>
      <c r="I25" s="336" t="b">
        <f t="shared" si="8"/>
        <v>1</v>
      </c>
      <c r="J25" s="337" t="s">
        <v>891</v>
      </c>
      <c r="K25" s="336" t="b">
        <f t="shared" si="9"/>
        <v>1</v>
      </c>
      <c r="L25" s="446" t="s">
        <v>5223</v>
      </c>
      <c r="M25" s="336" t="b">
        <f t="shared" si="10"/>
        <v>1</v>
      </c>
      <c r="N25" s="337" t="s">
        <v>938</v>
      </c>
      <c r="O25" s="336" t="b">
        <f t="shared" si="11"/>
        <v>1</v>
      </c>
      <c r="P25" s="356" t="s">
        <v>4216</v>
      </c>
      <c r="Q25" s="341" t="b">
        <f t="shared" si="12"/>
        <v>1</v>
      </c>
      <c r="R25" s="447" t="s">
        <v>5257</v>
      </c>
      <c r="U25" s="449" t="s">
        <v>4704</v>
      </c>
      <c r="W25" s="449" t="str">
        <v>1982 Copper SM Date</v>
      </c>
      <c r="Y25" s="339" t="str">
        <f t="shared" si="0"/>
        <v>1916-D Wheat Penny</v>
      </c>
      <c r="Z25" s="339">
        <f>IFERROR(MATCH(Y25,CoinCollection!O:O,0),"")</f>
        <v>67</v>
      </c>
      <c r="AA25" s="330" t="str">
        <f t="shared" si="1"/>
        <v>1931 Wheat Penny</v>
      </c>
      <c r="AB25" s="339">
        <f>IFERROR(MATCH(AA25,CoinCollection!O:O,0),"")</f>
        <v>136</v>
      </c>
      <c r="AC25" s="342" t="str">
        <f t="shared" si="17"/>
        <v>1945-S Wheat Penny</v>
      </c>
      <c r="AD25" s="339">
        <f>IFERROR(MATCH(AC25,CoinCollection!O:O,0),"")</f>
        <v>282</v>
      </c>
      <c r="AE25" s="342" t="str">
        <f t="shared" si="18"/>
        <v>1960-D SM Date Memorial Penny</v>
      </c>
      <c r="AF25" s="339">
        <f>IFERROR(MATCH(AC25,CoinCollection!O:O,0),"")</f>
        <v>282</v>
      </c>
      <c r="AG25" s="330" t="str">
        <f>J25&amp;" "&amp;$J$1</f>
        <v>1976-D Memorial Penny</v>
      </c>
      <c r="AH25" s="339">
        <f>IFERROR(MATCH(AG25,CoinCollection!O:O,0),"")</f>
        <v>652</v>
      </c>
      <c r="AI25" s="330" t="str">
        <f>L25</f>
        <v>1987-S Memorial Penny Proof</v>
      </c>
      <c r="AJ25" s="339">
        <f>IFERROR(MATCH(AI25,CoinCollection!O:O,0),"")</f>
        <v>775</v>
      </c>
      <c r="AK25" s="330" t="str">
        <f t="shared" si="14"/>
        <v>2001-D Memorial Penny</v>
      </c>
      <c r="AL25" s="339">
        <f>IFERROR(MATCH(AK25,CoinCollection!O:O,0),"")</f>
        <v>909</v>
      </c>
      <c r="AM25" s="330" t="str">
        <f>P25&amp;" "&amp;$L$1</f>
        <v>2010 Shield Penny</v>
      </c>
      <c r="AN25" s="339">
        <f>IFERROR(MATCH(AM25,CoinCollection!O:O,0),"")</f>
        <v>994</v>
      </c>
      <c r="AO25" s="342" t="str">
        <f>R25</f>
        <v>2022-S Shield Penny Proof</v>
      </c>
      <c r="AP25" s="339">
        <f>IFERROR(MATCH(AO25,CoinCollection!O:O,0),"")</f>
        <v>1121</v>
      </c>
    </row>
    <row r="26" spans="1:42">
      <c r="A26" s="350" t="b">
        <f t="shared" si="4"/>
        <v>1</v>
      </c>
      <c r="B26" s="339" t="s">
        <v>2420</v>
      </c>
      <c r="C26" s="351" t="b">
        <f t="shared" si="5"/>
        <v>1</v>
      </c>
      <c r="D26" s="391" t="s">
        <v>4923</v>
      </c>
      <c r="E26" s="341" t="b">
        <f t="shared" si="6"/>
        <v>1</v>
      </c>
      <c r="F26" s="337" t="s">
        <v>992</v>
      </c>
      <c r="G26" s="341" t="b">
        <f t="shared" si="7"/>
        <v>1</v>
      </c>
      <c r="H26" s="442" t="s">
        <v>4919</v>
      </c>
      <c r="I26" s="336" t="b">
        <f t="shared" si="8"/>
        <v>1</v>
      </c>
      <c r="J26" s="447" t="s">
        <v>5214</v>
      </c>
      <c r="K26" s="336" t="b">
        <f t="shared" si="9"/>
        <v>1</v>
      </c>
      <c r="L26" s="342" t="s">
        <v>4194</v>
      </c>
      <c r="M26" s="336" t="b">
        <f t="shared" si="10"/>
        <v>1</v>
      </c>
      <c r="N26" s="447" t="s">
        <v>5237</v>
      </c>
      <c r="O26" s="336" t="b">
        <f t="shared" si="11"/>
        <v>1</v>
      </c>
      <c r="P26" s="342" t="s">
        <v>960</v>
      </c>
      <c r="Q26" s="341" t="b">
        <f t="shared" si="12"/>
        <v>1</v>
      </c>
      <c r="R26" s="337" t="s">
        <v>4230</v>
      </c>
      <c r="U26" s="449" t="s">
        <v>4708</v>
      </c>
      <c r="W26" s="449" t="str">
        <v>1982-D Copper LG Date</v>
      </c>
      <c r="Y26" s="339" t="str">
        <f t="shared" si="0"/>
        <v>1916-S Wheat Penny</v>
      </c>
      <c r="Z26" s="339">
        <f>IFERROR(MATCH(Y26,CoinCollection!O:O,0),"")</f>
        <v>65</v>
      </c>
      <c r="AA26" s="330" t="str">
        <f t="shared" si="1"/>
        <v>1931-D Wheat Penny</v>
      </c>
      <c r="AB26" s="339">
        <f>IFERROR(MATCH(AA26,CoinCollection!O:O,0),"")</f>
        <v>135</v>
      </c>
      <c r="AC26" s="342" t="str">
        <f t="shared" si="17"/>
        <v>1946 Wheat Penny</v>
      </c>
      <c r="AD26" s="339">
        <f>IFERROR(MATCH(AC26,CoinCollection!O:O,0),"")</f>
        <v>289</v>
      </c>
      <c r="AE26" s="342" t="str">
        <f t="shared" si="18"/>
        <v>1960-D LG Date Memorial Penny</v>
      </c>
      <c r="AF26" s="339">
        <f>IFERROR(MATCH(AC26,CoinCollection!O:O,0),"")</f>
        <v>289</v>
      </c>
      <c r="AG26" s="330" t="str">
        <f>J26</f>
        <v>1976-S Memorial Penny Proof</v>
      </c>
      <c r="AH26" s="339">
        <f>IFERROR(MATCH(AG26,CoinCollection!O:O,0),"")</f>
        <v>656</v>
      </c>
      <c r="AI26" s="330" t="str">
        <f t="shared" si="13"/>
        <v>1988 Memorial Penny</v>
      </c>
      <c r="AJ26" s="339">
        <f>IFERROR(MATCH(AI26,CoinCollection!O:O,0),"")</f>
        <v>777</v>
      </c>
      <c r="AK26" s="330" t="str">
        <f>N26</f>
        <v>2001-S Memorial Penny Proof</v>
      </c>
      <c r="AL26" s="339">
        <f>IFERROR(MATCH(AK26,CoinCollection!O:O,0),"")</f>
        <v>912</v>
      </c>
      <c r="AM26" s="330" t="str">
        <f>P26&amp;" "&amp;$L$1</f>
        <v>2010-D Shield Penny</v>
      </c>
      <c r="AN26" s="339">
        <f>IFERROR(MATCH(AM26,CoinCollection!O:O,0),"")</f>
        <v>996</v>
      </c>
      <c r="AO26" s="342" t="str">
        <f t="shared" si="16"/>
        <v>2023 Shield Penny</v>
      </c>
      <c r="AP26" s="339">
        <f>IFERROR(MATCH(AO26,CoinCollection!O:O,0),"")</f>
        <v>1129</v>
      </c>
    </row>
    <row r="27" spans="1:42">
      <c r="A27" s="350" t="b">
        <f t="shared" si="4"/>
        <v>1</v>
      </c>
      <c r="B27" s="339">
        <v>1917</v>
      </c>
      <c r="C27" s="351" t="b">
        <f t="shared" si="5"/>
        <v>0</v>
      </c>
      <c r="D27" s="390" t="s">
        <v>2459</v>
      </c>
      <c r="E27" s="341" t="b">
        <f t="shared" si="6"/>
        <v>1</v>
      </c>
      <c r="F27" s="342" t="s">
        <v>853</v>
      </c>
      <c r="G27" s="341" t="b">
        <f t="shared" si="7"/>
        <v>1</v>
      </c>
      <c r="H27" s="364" t="s">
        <v>2491</v>
      </c>
      <c r="I27" s="336" t="b">
        <f t="shared" si="8"/>
        <v>1</v>
      </c>
      <c r="J27" s="337" t="s">
        <v>2510</v>
      </c>
      <c r="K27" s="336" t="b">
        <f t="shared" si="9"/>
        <v>1</v>
      </c>
      <c r="L27" s="337" t="s">
        <v>912</v>
      </c>
      <c r="M27" s="336" t="b">
        <f t="shared" si="10"/>
        <v>1</v>
      </c>
      <c r="N27" s="337" t="s">
        <v>4208</v>
      </c>
      <c r="O27" s="336" t="b">
        <f t="shared" si="11"/>
        <v>1</v>
      </c>
      <c r="P27" s="446" t="s">
        <v>5248</v>
      </c>
      <c r="Q27" s="341" t="b">
        <f t="shared" si="12"/>
        <v>1</v>
      </c>
      <c r="R27" s="342" t="s">
        <v>2569</v>
      </c>
      <c r="U27" s="339" t="s">
        <v>4692</v>
      </c>
      <c r="W27" s="449" t="str">
        <v>1982 Zinc LG Date</v>
      </c>
      <c r="Y27" s="339" t="str">
        <f t="shared" si="0"/>
        <v>1917 Wheat Penny</v>
      </c>
      <c r="Z27" s="339">
        <f>IFERROR(MATCH(Y27,CoinCollection!O:O,0),"")</f>
        <v>68</v>
      </c>
      <c r="AA27" s="330" t="str">
        <f t="shared" si="1"/>
        <v>1931-S Wheat Penny</v>
      </c>
      <c r="AB27" s="339" t="str">
        <f>IFERROR(MATCH(AA27,CoinCollection!O:O,0),"")</f>
        <v/>
      </c>
      <c r="AC27" s="342" t="str">
        <f t="shared" si="17"/>
        <v>1946-D Wheat Penny</v>
      </c>
      <c r="AD27" s="339">
        <f>IFERROR(MATCH(AC27,CoinCollection!O:O,0),"")</f>
        <v>295</v>
      </c>
      <c r="AE27" s="342" t="str">
        <f t="shared" si="18"/>
        <v>1961 Memorial Penny</v>
      </c>
      <c r="AF27" s="339">
        <f>IFERROR(MATCH(AC27,CoinCollection!O:O,0),"")</f>
        <v>295</v>
      </c>
      <c r="AG27" s="330" t="str">
        <f>J27&amp;" "&amp;$J$1</f>
        <v>1977 Memorial Penny</v>
      </c>
      <c r="AH27" s="339">
        <f>IFERROR(MATCH(AG27,CoinCollection!O:O,0),"")</f>
        <v>659</v>
      </c>
      <c r="AI27" s="330" t="str">
        <f t="shared" si="13"/>
        <v>1988-D Memorial Penny</v>
      </c>
      <c r="AJ27" s="339">
        <f>IFERROR(MATCH(AI27,CoinCollection!O:O,0),"")</f>
        <v>781</v>
      </c>
      <c r="AK27" s="330" t="str">
        <f t="shared" si="14"/>
        <v>2002 Memorial Penny</v>
      </c>
      <c r="AL27" s="339">
        <f>IFERROR(MATCH(AK27,CoinCollection!O:O,0),"")</f>
        <v>914</v>
      </c>
      <c r="AM27" s="330" t="str">
        <f>P27</f>
        <v>2010-S Shield Penny Proof</v>
      </c>
      <c r="AN27" s="339">
        <f>IFERROR(MATCH(AM27,CoinCollection!O:O,0),"")</f>
        <v>998</v>
      </c>
      <c r="AO27" s="342" t="str">
        <f t="shared" si="16"/>
        <v>2023-D Shield Penny</v>
      </c>
      <c r="AP27" s="339">
        <f>IFERROR(MATCH(AO27,CoinCollection!O:O,0),"")</f>
        <v>1131</v>
      </c>
    </row>
    <row r="28" spans="1:42">
      <c r="A28" s="350" t="b">
        <f t="shared" si="4"/>
        <v>1</v>
      </c>
      <c r="B28" s="339" t="s">
        <v>2422</v>
      </c>
      <c r="C28" s="351" t="b">
        <f t="shared" si="5"/>
        <v>1</v>
      </c>
      <c r="D28" s="362">
        <v>1932</v>
      </c>
      <c r="E28" s="341" t="b">
        <f t="shared" si="6"/>
        <v>1</v>
      </c>
      <c r="F28" s="337" t="s">
        <v>854</v>
      </c>
      <c r="G28" s="341" t="b">
        <f t="shared" si="7"/>
        <v>1</v>
      </c>
      <c r="H28" s="362" t="s">
        <v>876</v>
      </c>
      <c r="I28" s="336" t="b">
        <f t="shared" si="8"/>
        <v>1</v>
      </c>
      <c r="J28" s="342" t="s">
        <v>892</v>
      </c>
      <c r="K28" s="336" t="b">
        <f t="shared" si="9"/>
        <v>1</v>
      </c>
      <c r="L28" s="447" t="s">
        <v>5224</v>
      </c>
      <c r="M28" s="336" t="b">
        <f t="shared" si="10"/>
        <v>1</v>
      </c>
      <c r="N28" s="342" t="s">
        <v>940</v>
      </c>
      <c r="O28" s="336" t="b">
        <f t="shared" si="11"/>
        <v>1</v>
      </c>
      <c r="P28" s="342" t="s">
        <v>4217</v>
      </c>
      <c r="Q28" s="341" t="b">
        <f t="shared" si="12"/>
        <v>0</v>
      </c>
      <c r="R28" s="446" t="s">
        <v>5258</v>
      </c>
      <c r="U28" s="330" t="s">
        <v>4725</v>
      </c>
      <c r="W28" s="449" t="str">
        <v>1982 Zinc SM Date</v>
      </c>
      <c r="Y28" s="339" t="str">
        <f t="shared" si="0"/>
        <v>1917-D Wheat Penny</v>
      </c>
      <c r="Z28" s="339">
        <f>IFERROR(MATCH(Y28,CoinCollection!O:O,0),"")</f>
        <v>74</v>
      </c>
      <c r="AA28" s="330" t="str">
        <f t="shared" si="1"/>
        <v>1932 Wheat Penny</v>
      </c>
      <c r="AB28" s="339">
        <f>IFERROR(MATCH(AA28,CoinCollection!O:O,0),"")</f>
        <v>138</v>
      </c>
      <c r="AC28" s="342" t="str">
        <f t="shared" si="17"/>
        <v>1946-S Wheat Penny</v>
      </c>
      <c r="AD28" s="339">
        <f>IFERROR(MATCH(AC28,CoinCollection!O:O,0),"")</f>
        <v>297</v>
      </c>
      <c r="AE28" s="342" t="str">
        <f t="shared" si="18"/>
        <v>1961-D Memorial Penny</v>
      </c>
      <c r="AF28" s="339">
        <f>IFERROR(MATCH(AC28,CoinCollection!O:O,0),"")</f>
        <v>297</v>
      </c>
      <c r="AG28" s="330" t="str">
        <f>J28&amp;" "&amp;$J$1</f>
        <v>1977-D Memorial Penny</v>
      </c>
      <c r="AH28" s="339">
        <f>IFERROR(MATCH(AG28,CoinCollection!O:O,0),"")</f>
        <v>663</v>
      </c>
      <c r="AI28" s="330" t="str">
        <f>L28</f>
        <v>1988-S Memorial Penny Proof</v>
      </c>
      <c r="AJ28" s="339">
        <f>IFERROR(MATCH(AI28,CoinCollection!O:O,0),"")</f>
        <v>782</v>
      </c>
      <c r="AK28" s="330" t="str">
        <f t="shared" si="14"/>
        <v>2002-D Memorial Penny</v>
      </c>
      <c r="AL28" s="339">
        <f>IFERROR(MATCH(AK28,CoinCollection!O:O,0),"")</f>
        <v>915</v>
      </c>
      <c r="AM28" s="330" t="str">
        <f>P28&amp;" "&amp;$L$1</f>
        <v>2011 Shield Penny</v>
      </c>
      <c r="AN28" s="339">
        <f>IFERROR(MATCH(AM28,CoinCollection!O:O,0),"")</f>
        <v>1000</v>
      </c>
      <c r="AO28" s="342" t="str">
        <f>R28</f>
        <v>2023-S Shield Penny Proof</v>
      </c>
      <c r="AP28" s="339" t="str">
        <f>IFERROR(MATCH(AO28,CoinCollection!O:O,0),"")</f>
        <v/>
      </c>
    </row>
    <row r="29" spans="1:42">
      <c r="A29" s="350" t="b">
        <f t="shared" si="4"/>
        <v>1</v>
      </c>
      <c r="B29" s="339" t="s">
        <v>2423</v>
      </c>
      <c r="C29" s="351" t="b">
        <f t="shared" si="5"/>
        <v>1</v>
      </c>
      <c r="D29" s="390" t="s">
        <v>4924</v>
      </c>
      <c r="E29" s="341" t="b">
        <f t="shared" si="6"/>
        <v>1</v>
      </c>
      <c r="F29" s="342" t="s">
        <v>2477</v>
      </c>
      <c r="G29" s="341" t="b">
        <f t="shared" si="7"/>
        <v>1</v>
      </c>
      <c r="H29" s="364" t="s">
        <v>2492</v>
      </c>
      <c r="I29" s="336" t="b">
        <f t="shared" si="8"/>
        <v>1</v>
      </c>
      <c r="J29" s="446" t="s">
        <v>5215</v>
      </c>
      <c r="K29" s="336" t="b">
        <f t="shared" si="9"/>
        <v>1</v>
      </c>
      <c r="L29" s="337" t="s">
        <v>4195</v>
      </c>
      <c r="M29" s="336" t="b">
        <f t="shared" si="10"/>
        <v>1</v>
      </c>
      <c r="N29" s="446" t="s">
        <v>5238</v>
      </c>
      <c r="O29" s="336" t="b">
        <f t="shared" si="11"/>
        <v>1</v>
      </c>
      <c r="P29" s="337" t="s">
        <v>962</v>
      </c>
      <c r="Q29" s="341" t="b">
        <f t="shared" si="12"/>
        <v>1</v>
      </c>
      <c r="R29" s="342" t="s">
        <v>4228</v>
      </c>
      <c r="U29" s="330" t="s">
        <v>4729</v>
      </c>
      <c r="W29" s="449" t="str">
        <v>1982-D Zinc LG Date</v>
      </c>
      <c r="Y29" s="339" t="str">
        <f t="shared" si="0"/>
        <v>1917-S Wheat Penny</v>
      </c>
      <c r="Z29" s="339">
        <f>IFERROR(MATCH(Y29,CoinCollection!O:O,0),"")</f>
        <v>72</v>
      </c>
      <c r="AA29" s="330" t="str">
        <f t="shared" si="1"/>
        <v>1932-D Wheat Penny</v>
      </c>
      <c r="AB29" s="339">
        <f>IFERROR(MATCH(AA29,CoinCollection!O:O,0),"")</f>
        <v>139</v>
      </c>
      <c r="AC29" s="342" t="str">
        <f t="shared" si="17"/>
        <v>1947 Wheat Penny</v>
      </c>
      <c r="AD29" s="339">
        <f>IFERROR(MATCH(AC29,CoinCollection!O:O,0),"")</f>
        <v>310</v>
      </c>
      <c r="AE29" s="342" t="str">
        <f t="shared" si="18"/>
        <v>1962 Memorial Penny</v>
      </c>
      <c r="AF29" s="339">
        <f>IFERROR(MATCH(AC29,CoinCollection!O:O,0),"")</f>
        <v>310</v>
      </c>
      <c r="AG29" s="330" t="str">
        <f>J29</f>
        <v>1977-S Memorial Penny Proof</v>
      </c>
      <c r="AH29" s="339">
        <f>IFERROR(MATCH(AG29,CoinCollection!O:O,0),"")</f>
        <v>664</v>
      </c>
      <c r="AI29" s="330" t="str">
        <f t="shared" si="13"/>
        <v>1989 Memorial Penny</v>
      </c>
      <c r="AJ29" s="339">
        <f>IFERROR(MATCH(AI29,CoinCollection!O:O,0),"")</f>
        <v>786</v>
      </c>
      <c r="AK29" s="330" t="str">
        <f>N29</f>
        <v>2002-S Memorial Penny Proof</v>
      </c>
      <c r="AL29" s="339">
        <f>IFERROR(MATCH(AK29,CoinCollection!O:O,0),"")</f>
        <v>918</v>
      </c>
      <c r="AM29" s="330" t="str">
        <f>P29&amp;" "&amp;$L$1</f>
        <v>2011-D Shield Penny</v>
      </c>
      <c r="AN29" s="339">
        <f>IFERROR(MATCH(AM29,CoinCollection!O:O,0),"")</f>
        <v>1002</v>
      </c>
      <c r="AO29" s="342" t="str">
        <f t="shared" si="16"/>
        <v>2024 Shield Penny</v>
      </c>
      <c r="AP29" s="339">
        <f>IFERROR(MATCH(AO29,CoinCollection!O:O,0),"")</f>
        <v>1133</v>
      </c>
    </row>
    <row r="30" spans="1:42">
      <c r="A30" s="350" t="b">
        <f t="shared" si="4"/>
        <v>1</v>
      </c>
      <c r="B30" s="339">
        <v>1918</v>
      </c>
      <c r="C30" s="351" t="b">
        <f t="shared" si="5"/>
        <v>1</v>
      </c>
      <c r="D30" s="362">
        <v>1933</v>
      </c>
      <c r="E30" s="341" t="b">
        <f t="shared" si="6"/>
        <v>1</v>
      </c>
      <c r="F30" s="337" t="s">
        <v>855</v>
      </c>
      <c r="G30" s="341" t="b">
        <f t="shared" si="7"/>
        <v>1</v>
      </c>
      <c r="H30" s="362" t="s">
        <v>877</v>
      </c>
      <c r="I30" s="336" t="b">
        <f t="shared" si="8"/>
        <v>1</v>
      </c>
      <c r="J30" s="342" t="s">
        <v>2512</v>
      </c>
      <c r="K30" s="336" t="b">
        <f t="shared" si="9"/>
        <v>1</v>
      </c>
      <c r="L30" s="342" t="s">
        <v>914</v>
      </c>
      <c r="M30" s="336" t="b">
        <f t="shared" si="10"/>
        <v>1</v>
      </c>
      <c r="N30" s="342" t="s">
        <v>4209</v>
      </c>
      <c r="O30" s="336" t="b">
        <f t="shared" si="11"/>
        <v>1</v>
      </c>
      <c r="P30" s="447" t="s">
        <v>5249</v>
      </c>
      <c r="Q30" s="341" t="b">
        <f t="shared" si="12"/>
        <v>0</v>
      </c>
      <c r="R30" s="337" t="s">
        <v>2572</v>
      </c>
      <c r="U30" s="330" t="s">
        <v>4735</v>
      </c>
      <c r="W30" s="449" t="str">
        <v>1982-D Zinc SM Date</v>
      </c>
      <c r="Y30" s="339" t="str">
        <f t="shared" si="0"/>
        <v>1918 Wheat Penny</v>
      </c>
      <c r="Z30" s="339">
        <f>IFERROR(MATCH(Y30,CoinCollection!O:O,0),"")</f>
        <v>75</v>
      </c>
      <c r="AA30" s="330" t="str">
        <f t="shared" si="1"/>
        <v>1933 Wheat Penny</v>
      </c>
      <c r="AB30" s="339">
        <f>IFERROR(MATCH(AA30,CoinCollection!O:O,0),"")</f>
        <v>140</v>
      </c>
      <c r="AC30" s="342" t="str">
        <f t="shared" si="17"/>
        <v>1947-D Wheat Penny</v>
      </c>
      <c r="AD30" s="339">
        <f>IFERROR(MATCH(AC30,CoinCollection!O:O,0),"")</f>
        <v>312</v>
      </c>
      <c r="AE30" s="342" t="str">
        <f t="shared" si="18"/>
        <v>1962-D Memorial Penny</v>
      </c>
      <c r="AF30" s="339">
        <f>IFERROR(MATCH(AC30,CoinCollection!O:O,0),"")</f>
        <v>312</v>
      </c>
      <c r="AG30" s="330" t="str">
        <f>J30&amp;" "&amp;$J$1</f>
        <v>1978 Memorial Penny</v>
      </c>
      <c r="AH30" s="339">
        <f>IFERROR(MATCH(AG30,CoinCollection!O:O,0),"")</f>
        <v>668</v>
      </c>
      <c r="AI30" s="330" t="str">
        <f t="shared" si="13"/>
        <v>1989-D Memorial Penny</v>
      </c>
      <c r="AJ30" s="339">
        <f>IFERROR(MATCH(AI30,CoinCollection!O:O,0),"")</f>
        <v>790</v>
      </c>
      <c r="AK30" s="330" t="str">
        <f t="shared" si="14"/>
        <v>2003 Memorial Penny</v>
      </c>
      <c r="AL30" s="339">
        <f>IFERROR(MATCH(AK30,CoinCollection!O:O,0),"")</f>
        <v>923</v>
      </c>
      <c r="AM30" s="330" t="str">
        <f>P30</f>
        <v>2011-S Shield Penny Proof</v>
      </c>
      <c r="AN30" s="339">
        <f>IFERROR(MATCH(AM30,CoinCollection!O:O,0),"")</f>
        <v>1004</v>
      </c>
      <c r="AO30" s="342" t="str">
        <f t="shared" si="16"/>
        <v>2024-D Shield Penny</v>
      </c>
      <c r="AP30" s="339" t="str">
        <f>IFERROR(MATCH(AO30,CoinCollection!O:O,0),"")</f>
        <v/>
      </c>
    </row>
    <row r="31" spans="1:42">
      <c r="A31" s="350" t="b">
        <f t="shared" si="4"/>
        <v>1</v>
      </c>
      <c r="B31" s="339" t="s">
        <v>2425</v>
      </c>
      <c r="C31" s="351" t="b">
        <f t="shared" si="5"/>
        <v>1</v>
      </c>
      <c r="D31" s="390" t="s">
        <v>4925</v>
      </c>
      <c r="E31" s="341" t="b">
        <f t="shared" si="6"/>
        <v>1</v>
      </c>
      <c r="F31" s="342" t="s">
        <v>856</v>
      </c>
      <c r="G31" s="341" t="b">
        <f t="shared" si="7"/>
        <v>1</v>
      </c>
      <c r="H31" s="364" t="s">
        <v>2493</v>
      </c>
      <c r="I31" s="336" t="b">
        <f t="shared" si="8"/>
        <v>1</v>
      </c>
      <c r="J31" s="337" t="s">
        <v>893</v>
      </c>
      <c r="K31" s="336" t="b">
        <f t="shared" si="9"/>
        <v>1</v>
      </c>
      <c r="L31" s="446" t="s">
        <v>5225</v>
      </c>
      <c r="M31" s="336" t="b">
        <f t="shared" si="10"/>
        <v>1</v>
      </c>
      <c r="N31" s="337" t="s">
        <v>942</v>
      </c>
      <c r="O31" s="336" t="b">
        <f t="shared" si="11"/>
        <v>1</v>
      </c>
      <c r="P31" s="337" t="s">
        <v>4218</v>
      </c>
      <c r="Q31" s="341" t="b">
        <f t="shared" si="12"/>
        <v>1</v>
      </c>
      <c r="R31" s="447" t="s">
        <v>5259</v>
      </c>
      <c r="U31" s="330" t="s">
        <v>4775</v>
      </c>
      <c r="W31" s="339" t="str">
        <v>2014-S Shield Penny Proof</v>
      </c>
      <c r="Y31" s="339" t="str">
        <f t="shared" si="0"/>
        <v>1918-D Wheat Penny</v>
      </c>
      <c r="Z31" s="339">
        <f>IFERROR(MATCH(Y31,CoinCollection!O:O,0),"")</f>
        <v>80</v>
      </c>
      <c r="AA31" s="330" t="str">
        <f t="shared" si="1"/>
        <v>1933-D Wheat Penny</v>
      </c>
      <c r="AB31" s="339">
        <f>IFERROR(MATCH(AA31,CoinCollection!O:O,0),"")</f>
        <v>141</v>
      </c>
      <c r="AC31" s="342" t="str">
        <f t="shared" si="17"/>
        <v>1947-S Wheat Penny</v>
      </c>
      <c r="AD31" s="339">
        <f>IFERROR(MATCH(AC31,CoinCollection!O:O,0),"")</f>
        <v>314</v>
      </c>
      <c r="AE31" s="342" t="str">
        <f t="shared" si="18"/>
        <v>1963 Memorial Penny</v>
      </c>
      <c r="AF31" s="339">
        <f>IFERROR(MATCH(AC31,CoinCollection!O:O,0),"")</f>
        <v>314</v>
      </c>
      <c r="AG31" s="330" t="str">
        <f>J31&amp;" "&amp;$J$1</f>
        <v>1978-D Memorial Penny</v>
      </c>
      <c r="AH31" s="339">
        <f>IFERROR(MATCH(AG31,CoinCollection!O:O,0),"")</f>
        <v>673</v>
      </c>
      <c r="AI31" s="330" t="str">
        <f>L31</f>
        <v>1989-S Memorial Penny Proof</v>
      </c>
      <c r="AJ31" s="339">
        <f>IFERROR(MATCH(AI31,CoinCollection!O:O,0),"")</f>
        <v>791</v>
      </c>
      <c r="AK31" s="330" t="str">
        <f t="shared" si="14"/>
        <v>2003-D Memorial Penny</v>
      </c>
      <c r="AL31" s="339">
        <f>IFERROR(MATCH(AK31,CoinCollection!O:O,0),"")</f>
        <v>927</v>
      </c>
      <c r="AM31" s="330" t="str">
        <f>P31&amp;" "&amp;$L$1</f>
        <v>2012 Shield Penny</v>
      </c>
      <c r="AN31" s="339">
        <f>IFERROR(MATCH(AM31,CoinCollection!O:O,0),"")</f>
        <v>1006</v>
      </c>
      <c r="AO31" s="342" t="str">
        <f>R31</f>
        <v>2024-S Shield Penny Proof</v>
      </c>
      <c r="AP31" s="339">
        <f>IFERROR(MATCH(AO31,CoinCollection!O:O,0),"")</f>
        <v>1135</v>
      </c>
    </row>
    <row r="32" spans="1:42">
      <c r="A32" s="350" t="b">
        <f t="shared" si="4"/>
        <v>0</v>
      </c>
      <c r="B32" s="339" t="s">
        <v>2428</v>
      </c>
      <c r="C32" s="351" t="b">
        <f t="shared" si="5"/>
        <v>1</v>
      </c>
      <c r="D32" s="362">
        <v>1934</v>
      </c>
      <c r="E32" s="341" t="b">
        <f t="shared" si="6"/>
        <v>1</v>
      </c>
      <c r="F32" s="337" t="s">
        <v>2478</v>
      </c>
      <c r="G32" s="341" t="b">
        <f t="shared" si="7"/>
        <v>1</v>
      </c>
      <c r="H32" s="362" t="s">
        <v>878</v>
      </c>
      <c r="I32" s="336" t="b">
        <f t="shared" si="8"/>
        <v>1</v>
      </c>
      <c r="J32" s="447" t="s">
        <v>5216</v>
      </c>
      <c r="K32" s="336" t="b">
        <f t="shared" si="9"/>
        <v>1</v>
      </c>
      <c r="L32" s="342" t="s">
        <v>4196</v>
      </c>
      <c r="M32" s="336" t="b">
        <f t="shared" si="10"/>
        <v>1</v>
      </c>
      <c r="N32" s="447" t="s">
        <v>5239</v>
      </c>
      <c r="O32" s="336" t="b">
        <f t="shared" si="11"/>
        <v>1</v>
      </c>
      <c r="P32" s="342" t="s">
        <v>964</v>
      </c>
      <c r="Q32" s="341" t="b">
        <f t="shared" si="12"/>
        <v>0</v>
      </c>
      <c r="R32" s="497" t="s">
        <v>3981</v>
      </c>
      <c r="U32" s="330" t="s">
        <v>4779</v>
      </c>
      <c r="W32" s="339" t="str">
        <v>2019-W*</v>
      </c>
      <c r="Y32" s="339" t="str">
        <f t="shared" si="0"/>
        <v>1918-S Wheat Penny</v>
      </c>
      <c r="Z32" s="339" t="str">
        <f>IFERROR(MATCH(Y32,CoinCollection!O:O,0),"")</f>
        <v/>
      </c>
      <c r="AA32" s="330" t="str">
        <f t="shared" si="1"/>
        <v>1934 Wheat Penny</v>
      </c>
      <c r="AB32" s="339">
        <f>IFERROR(MATCH(AA32,CoinCollection!O:O,0),"")</f>
        <v>143</v>
      </c>
      <c r="AC32" s="342" t="str">
        <f t="shared" si="17"/>
        <v>1948 Wheat Penny</v>
      </c>
      <c r="AD32" s="339">
        <f>IFERROR(MATCH(AC32,CoinCollection!O:O,0),"")</f>
        <v>318</v>
      </c>
      <c r="AE32" s="342" t="str">
        <f t="shared" si="18"/>
        <v>1963-D Memorial Penny</v>
      </c>
      <c r="AF32" s="339">
        <f>IFERROR(MATCH(AC32,CoinCollection!O:O,0),"")</f>
        <v>318</v>
      </c>
      <c r="AG32" s="330" t="str">
        <f>J32</f>
        <v>1978-S Memorial Penny Proof</v>
      </c>
      <c r="AH32" s="339">
        <f>IFERROR(MATCH(AG32,CoinCollection!O:O,0),"")</f>
        <v>675</v>
      </c>
      <c r="AI32" s="330" t="str">
        <f t="shared" si="13"/>
        <v>1990 Memorial Penny</v>
      </c>
      <c r="AJ32" s="339">
        <f>IFERROR(MATCH(AI32,CoinCollection!O:O,0),"")</f>
        <v>796</v>
      </c>
      <c r="AK32" s="330" t="str">
        <f>N32</f>
        <v>2003-S Memorial Penny Proof</v>
      </c>
      <c r="AL32" s="339">
        <f>IFERROR(MATCH(AK32,CoinCollection!O:O,0),"")</f>
        <v>928</v>
      </c>
      <c r="AM32" s="330" t="str">
        <f>P32&amp;" "&amp;$L$1</f>
        <v>2012-D Shield Penny</v>
      </c>
      <c r="AN32" s="339">
        <f>IFERROR(MATCH(AM32,CoinCollection!O:O,0),"")</f>
        <v>1010</v>
      </c>
      <c r="AO32" s="342" t="str">
        <f t="shared" si="16"/>
        <v>2025-P Shield Penny</v>
      </c>
      <c r="AP32" s="339" t="str">
        <f>IFERROR(MATCH(AO32,CoinCollection!O:O,0),"")</f>
        <v/>
      </c>
    </row>
    <row r="33" spans="1:42">
      <c r="A33" s="350" t="b">
        <f t="shared" si="4"/>
        <v>1</v>
      </c>
      <c r="B33" s="339">
        <v>1919</v>
      </c>
      <c r="C33" s="351" t="b">
        <f t="shared" si="5"/>
        <v>1</v>
      </c>
      <c r="D33" s="390" t="s">
        <v>2461</v>
      </c>
      <c r="E33" s="341" t="b">
        <f t="shared" si="6"/>
        <v>1</v>
      </c>
      <c r="F33" s="342" t="s">
        <v>857</v>
      </c>
      <c r="G33" s="341" t="b">
        <f t="shared" si="7"/>
        <v>1</v>
      </c>
      <c r="H33" s="364" t="s">
        <v>2494</v>
      </c>
      <c r="I33" s="336" t="b">
        <f t="shared" si="8"/>
        <v>1</v>
      </c>
      <c r="J33" s="337" t="s">
        <v>1627</v>
      </c>
      <c r="K33" s="336" t="b">
        <f t="shared" si="9"/>
        <v>1</v>
      </c>
      <c r="L33" s="337" t="s">
        <v>916</v>
      </c>
      <c r="M33" s="336" t="b">
        <f t="shared" si="10"/>
        <v>1</v>
      </c>
      <c r="N33" s="337" t="s">
        <v>4210</v>
      </c>
      <c r="O33" s="336" t="b">
        <f t="shared" si="11"/>
        <v>1</v>
      </c>
      <c r="P33" s="446" t="s">
        <v>5250</v>
      </c>
      <c r="Q33" s="341" t="b">
        <f t="shared" si="12"/>
        <v>0</v>
      </c>
      <c r="R33" s="342" t="s">
        <v>3982</v>
      </c>
      <c r="U33" s="330" t="s">
        <v>4783</v>
      </c>
      <c r="W33" s="339" t="str">
        <v>2019-W Proof**</v>
      </c>
      <c r="Y33" s="339" t="str">
        <f t="shared" si="0"/>
        <v>1919 Wheat Penny</v>
      </c>
      <c r="Z33" s="339">
        <f>IFERROR(MATCH(Y33,CoinCollection!O:O,0),"")</f>
        <v>81</v>
      </c>
      <c r="AA33" s="330" t="str">
        <f t="shared" si="1"/>
        <v>1934-D Wheat Penny</v>
      </c>
      <c r="AB33" s="339">
        <f>IFERROR(MATCH(AA33,CoinCollection!O:O,0),"")</f>
        <v>144</v>
      </c>
      <c r="AC33" s="342" t="str">
        <f t="shared" si="17"/>
        <v>1948-D Wheat Penny</v>
      </c>
      <c r="AD33" s="339">
        <f>IFERROR(MATCH(AC33,CoinCollection!O:O,0),"")</f>
        <v>327</v>
      </c>
      <c r="AE33" s="342" t="str">
        <f t="shared" si="18"/>
        <v>1964 Memorial Penny</v>
      </c>
      <c r="AF33" s="339">
        <f>IFERROR(MATCH(AC33,CoinCollection!O:O,0),"")</f>
        <v>327</v>
      </c>
      <c r="AG33" s="330" t="str">
        <f t="shared" ref="AG33:AG38" si="19">J33&amp;" "&amp;$J$1</f>
        <v>1979 Memorial Penny</v>
      </c>
      <c r="AH33" s="339">
        <f>IFERROR(MATCH(AG33,CoinCollection!O:O,0),"")</f>
        <v>678</v>
      </c>
      <c r="AI33" s="330" t="str">
        <f t="shared" si="13"/>
        <v>1990-D Memorial Penny</v>
      </c>
      <c r="AJ33" s="339">
        <f>IFERROR(MATCH(AI33,CoinCollection!O:O,0),"")</f>
        <v>802</v>
      </c>
      <c r="AK33" s="330" t="str">
        <f t="shared" si="14"/>
        <v>2004 Memorial Penny</v>
      </c>
      <c r="AL33" s="339">
        <f>IFERROR(MATCH(AK33,CoinCollection!O:O,0),"")</f>
        <v>933</v>
      </c>
      <c r="AM33" s="330" t="str">
        <f>P33</f>
        <v>2012-S Shield Penny Proof</v>
      </c>
      <c r="AN33" s="339">
        <f>IFERROR(MATCH(AM33,CoinCollection!O:O,0),"")</f>
        <v>1011</v>
      </c>
      <c r="AO33" s="342" t="str">
        <f t="shared" si="16"/>
        <v>2025-D Shield Penny</v>
      </c>
      <c r="AP33" s="339" t="str">
        <f>IFERROR(MATCH(AO33,CoinCollection!O:O,0),"")</f>
        <v/>
      </c>
    </row>
    <row r="34" spans="1:42">
      <c r="A34" s="350" t="b">
        <f t="shared" si="4"/>
        <v>0</v>
      </c>
      <c r="B34" s="339" t="s">
        <v>2430</v>
      </c>
      <c r="C34" s="351" t="b">
        <f t="shared" si="5"/>
        <v>1</v>
      </c>
      <c r="D34" s="362">
        <v>1935</v>
      </c>
      <c r="E34" s="341" t="b">
        <f t="shared" si="6"/>
        <v>1</v>
      </c>
      <c r="F34" s="337" t="s">
        <v>858</v>
      </c>
      <c r="G34" s="341" t="b">
        <f t="shared" si="7"/>
        <v>1</v>
      </c>
      <c r="H34" s="362" t="s">
        <v>879</v>
      </c>
      <c r="I34" s="336" t="b">
        <f t="shared" si="8"/>
        <v>1</v>
      </c>
      <c r="J34" s="342" t="s">
        <v>894</v>
      </c>
      <c r="K34" s="336" t="b">
        <f t="shared" si="9"/>
        <v>1</v>
      </c>
      <c r="L34" s="447" t="s">
        <v>5226</v>
      </c>
      <c r="M34" s="336" t="b">
        <f t="shared" si="10"/>
        <v>1</v>
      </c>
      <c r="N34" s="342" t="s">
        <v>945</v>
      </c>
      <c r="O34" s="336" t="b">
        <f t="shared" si="11"/>
        <v>1</v>
      </c>
      <c r="P34" s="342" t="s">
        <v>4219</v>
      </c>
      <c r="Q34" s="341" t="b">
        <f t="shared" si="12"/>
        <v>0</v>
      </c>
      <c r="R34" s="446" t="s">
        <v>5260</v>
      </c>
      <c r="W34" s="339" t="str">
        <v>2019-W Rev Proof**</v>
      </c>
      <c r="Y34" s="339" t="str">
        <f t="shared" si="0"/>
        <v>1919-D Wheat Penny</v>
      </c>
      <c r="Z34" s="339" t="str">
        <f>IFERROR(MATCH(Y34,CoinCollection!O:O,0),"")</f>
        <v/>
      </c>
      <c r="AA34" s="330" t="str">
        <f t="shared" si="1"/>
        <v>1935 Wheat Penny</v>
      </c>
      <c r="AB34" s="339">
        <f>IFERROR(MATCH(AA34,CoinCollection!O:O,0),"")</f>
        <v>147</v>
      </c>
      <c r="AC34" s="342" t="str">
        <f t="shared" si="17"/>
        <v>1948-S Wheat Penny</v>
      </c>
      <c r="AD34" s="339">
        <f>IFERROR(MATCH(AC34,CoinCollection!O:O,0),"")</f>
        <v>328</v>
      </c>
      <c r="AE34" s="342" t="str">
        <f t="shared" si="18"/>
        <v>1964-D Memorial Penny</v>
      </c>
      <c r="AF34" s="339">
        <f>IFERROR(MATCH(AC34,CoinCollection!O:O,0),"")</f>
        <v>328</v>
      </c>
      <c r="AG34" s="330" t="str">
        <f t="shared" si="19"/>
        <v>1979-D Memorial Penny</v>
      </c>
      <c r="AH34" s="339">
        <f>IFERROR(MATCH(AG34,CoinCollection!O:O,0),"")</f>
        <v>682</v>
      </c>
      <c r="AI34" s="330" t="str">
        <f>L34</f>
        <v>1990-S Memorial Penny Proof</v>
      </c>
      <c r="AJ34" s="339">
        <f>IFERROR(MATCH(AI34,CoinCollection!O:O,0),"")</f>
        <v>801</v>
      </c>
      <c r="AK34" s="330" t="str">
        <f t="shared" si="14"/>
        <v>2004-D Memorial Penny</v>
      </c>
      <c r="AL34" s="339">
        <f>IFERROR(MATCH(AK34,CoinCollection!O:O,0),"")</f>
        <v>939</v>
      </c>
      <c r="AM34" s="330" t="str">
        <f>P34&amp;" "&amp;$L$1</f>
        <v>2013 Shield Penny</v>
      </c>
      <c r="AN34" s="339">
        <f>IFERROR(MATCH(AM34,CoinCollection!O:O,0),"")</f>
        <v>1014</v>
      </c>
      <c r="AO34" s="342" t="str">
        <f>R34</f>
        <v>2025-S Shield Penny Proof</v>
      </c>
      <c r="AP34" s="339" t="str">
        <f>IFERROR(MATCH(AO34,CoinCollection!O:O,0),"")</f>
        <v/>
      </c>
    </row>
    <row r="35" spans="1:42">
      <c r="A35" s="350" t="b">
        <f t="shared" si="4"/>
        <v>1</v>
      </c>
      <c r="B35" s="339" t="s">
        <v>2431</v>
      </c>
      <c r="C35" s="351" t="b">
        <f t="shared" si="5"/>
        <v>0</v>
      </c>
      <c r="D35" s="390" t="s">
        <v>2463</v>
      </c>
      <c r="E35" s="341" t="b">
        <f t="shared" si="6"/>
        <v>1</v>
      </c>
      <c r="F35" s="342" t="s">
        <v>2479</v>
      </c>
      <c r="G35" s="341" t="b">
        <f t="shared" si="7"/>
        <v>1</v>
      </c>
      <c r="H35" s="364" t="s">
        <v>2495</v>
      </c>
      <c r="I35" s="336" t="b">
        <f t="shared" si="8"/>
        <v>0</v>
      </c>
      <c r="J35" s="408" t="s">
        <v>4932</v>
      </c>
      <c r="K35" s="336" t="b">
        <f t="shared" si="9"/>
        <v>1</v>
      </c>
      <c r="L35" s="337" t="s">
        <v>4197</v>
      </c>
      <c r="M35" s="336" t="b">
        <f t="shared" si="10"/>
        <v>1</v>
      </c>
      <c r="N35" s="446" t="s">
        <v>5240</v>
      </c>
      <c r="O35" s="336" t="b">
        <f t="shared" si="11"/>
        <v>1</v>
      </c>
      <c r="P35" s="337" t="s">
        <v>966</v>
      </c>
      <c r="Q35" s="352" t="s">
        <v>4667</v>
      </c>
      <c r="R35" s="357" t="s">
        <v>4667</v>
      </c>
      <c r="U35" s="330">
        <f>COUNTA(U3:U33)</f>
        <v>31</v>
      </c>
      <c r="W35" s="339" t="str">
        <v>2023-S Shield Penny Proof</v>
      </c>
      <c r="Y35" s="339" t="str">
        <f t="shared" si="0"/>
        <v>1919-S Wheat Penny</v>
      </c>
      <c r="Z35" s="339">
        <f>IFERROR(MATCH(Y35,CoinCollection!O:O,0),"")</f>
        <v>85</v>
      </c>
      <c r="AA35" s="330" t="str">
        <f t="shared" si="1"/>
        <v>1935-D Wheat Penny</v>
      </c>
      <c r="AB35" s="339" t="str">
        <f>IFERROR(MATCH(AA35,CoinCollection!O:O,0),"")</f>
        <v/>
      </c>
      <c r="AC35" s="342" t="str">
        <f t="shared" si="17"/>
        <v>1949 Wheat Penny</v>
      </c>
      <c r="AD35" s="339">
        <f>IFERROR(MATCH(AC35,CoinCollection!O:O,0),"")</f>
        <v>331</v>
      </c>
      <c r="AE35" s="342" t="str">
        <f t="shared" si="18"/>
        <v>1965 Memorial Penny</v>
      </c>
      <c r="AF35" s="339">
        <f>IFERROR(MATCH(AC35,CoinCollection!O:O,0),"")</f>
        <v>331</v>
      </c>
      <c r="AG35" s="330" t="str">
        <f t="shared" si="19"/>
        <v>1979-S Proof Filled S Memorial Penny</v>
      </c>
      <c r="AH35" s="339" t="str">
        <f>IFERROR(MATCH(AG35,CoinCollection!O:O,0),"")</f>
        <v/>
      </c>
      <c r="AI35" s="330" t="str">
        <f t="shared" si="13"/>
        <v>1991 Memorial Penny</v>
      </c>
      <c r="AJ35" s="339">
        <f>IFERROR(MATCH(AI35,CoinCollection!O:O,0),"")</f>
        <v>805</v>
      </c>
      <c r="AK35" s="330" t="str">
        <f>N35</f>
        <v>2004-S Memorial Penny Proof</v>
      </c>
      <c r="AL35" s="339">
        <f>IFERROR(MATCH(AK35,CoinCollection!O:O,0),"")</f>
        <v>941</v>
      </c>
      <c r="AM35" s="330" t="str">
        <f>P35&amp;" "&amp;$L$1</f>
        <v>2013-D Shield Penny</v>
      </c>
      <c r="AN35" s="339">
        <f>IFERROR(MATCH(AM35,CoinCollection!O:O,0),"")</f>
        <v>1019</v>
      </c>
      <c r="AP35" s="339" t="str">
        <f>IFERROR(MATCH(AO35,CoinCollection!O:O,0),"")</f>
        <v/>
      </c>
    </row>
    <row r="36" spans="1:42">
      <c r="A36" s="350" t="b">
        <f t="shared" si="4"/>
        <v>1</v>
      </c>
      <c r="B36" s="339">
        <v>1920</v>
      </c>
      <c r="C36" s="351" t="b">
        <f t="shared" si="5"/>
        <v>1</v>
      </c>
      <c r="D36" s="391" t="s">
        <v>2464</v>
      </c>
      <c r="E36" s="341" t="b">
        <f t="shared" si="6"/>
        <v>1</v>
      </c>
      <c r="F36" s="337" t="s">
        <v>859</v>
      </c>
      <c r="G36" s="341" t="b">
        <f t="shared" si="7"/>
        <v>1</v>
      </c>
      <c r="H36" s="362" t="s">
        <v>2496</v>
      </c>
      <c r="I36" s="336" t="b">
        <f t="shared" si="8"/>
        <v>0</v>
      </c>
      <c r="J36" s="409" t="s">
        <v>4933</v>
      </c>
      <c r="K36" s="336" t="b">
        <f t="shared" si="9"/>
        <v>1</v>
      </c>
      <c r="L36" s="342" t="s">
        <v>918</v>
      </c>
      <c r="M36" s="336" t="b">
        <f t="shared" si="10"/>
        <v>1</v>
      </c>
      <c r="N36" s="342" t="s">
        <v>4211</v>
      </c>
      <c r="O36" s="336" t="b">
        <f t="shared" si="11"/>
        <v>1</v>
      </c>
      <c r="P36" s="447" t="s">
        <v>5261</v>
      </c>
      <c r="Q36" s="352" t="s">
        <v>4667</v>
      </c>
      <c r="R36" s="357" t="s">
        <v>4667</v>
      </c>
      <c r="W36" s="339" t="str">
        <v>2024-D</v>
      </c>
      <c r="Y36" s="339" t="str">
        <f t="shared" si="0"/>
        <v>1920 Wheat Penny</v>
      </c>
      <c r="Z36" s="339">
        <f>IFERROR(MATCH(Y36,CoinCollection!O:O,0),"")</f>
        <v>87</v>
      </c>
      <c r="AA36" s="330" t="str">
        <f t="shared" si="1"/>
        <v>1935-S Wheat Penny</v>
      </c>
      <c r="AB36" s="339">
        <f>IFERROR(MATCH(AA36,CoinCollection!O:O,0),"")</f>
        <v>149</v>
      </c>
      <c r="AC36" s="342" t="str">
        <f t="shared" si="17"/>
        <v>1949-D Wheat Penny</v>
      </c>
      <c r="AD36" s="339">
        <f>IFERROR(MATCH(AC36,CoinCollection!O:O,0),"")</f>
        <v>334</v>
      </c>
      <c r="AE36" s="342" t="str">
        <f t="shared" si="18"/>
        <v>1966 Memorial Penny</v>
      </c>
      <c r="AF36" s="339">
        <f>IFERROR(MATCH(AC36,CoinCollection!O:O,0),"")</f>
        <v>334</v>
      </c>
      <c r="AG36" s="330" t="str">
        <f t="shared" si="19"/>
        <v>1979-S Proof Clear S Memorial Penny</v>
      </c>
      <c r="AH36" s="339" t="str">
        <f>IFERROR(MATCH(AG36,CoinCollection!O:O,0),"")</f>
        <v/>
      </c>
      <c r="AI36" s="330" t="str">
        <f t="shared" si="13"/>
        <v>1991-D Memorial Penny</v>
      </c>
      <c r="AJ36" s="339">
        <f>IFERROR(MATCH(AI36,CoinCollection!O:O,0),"")</f>
        <v>807</v>
      </c>
      <c r="AK36" s="330" t="str">
        <f t="shared" si="14"/>
        <v>2005 Memorial Penny</v>
      </c>
      <c r="AL36" s="339">
        <f>IFERROR(MATCH(AK36,CoinCollection!O:O,0),"")</f>
        <v>944</v>
      </c>
      <c r="AM36" s="330" t="str">
        <f>P36</f>
        <v>2013-S Shield Penny Proof</v>
      </c>
      <c r="AN36" s="339">
        <f>IFERROR(MATCH(AM36,CoinCollection!O:O,0),"")</f>
        <v>1023</v>
      </c>
      <c r="AP36" s="339" t="str">
        <f>IFERROR(MATCH(AO36,CoinCollection!O:O,0),"")</f>
        <v/>
      </c>
    </row>
    <row r="37" spans="1:42">
      <c r="A37" s="350" t="b">
        <f t="shared" si="4"/>
        <v>1</v>
      </c>
      <c r="B37" s="339" t="s">
        <v>2433</v>
      </c>
      <c r="C37" s="351" t="b">
        <f t="shared" si="5"/>
        <v>1</v>
      </c>
      <c r="D37" s="364">
        <v>1936</v>
      </c>
      <c r="E37" s="341" t="b">
        <f t="shared" si="6"/>
        <v>1</v>
      </c>
      <c r="F37" s="342" t="s">
        <v>860</v>
      </c>
      <c r="G37" s="341" t="b">
        <f t="shared" si="7"/>
        <v>1</v>
      </c>
      <c r="H37" s="364" t="s">
        <v>2497</v>
      </c>
      <c r="I37" s="336" t="b">
        <f t="shared" si="8"/>
        <v>1</v>
      </c>
      <c r="J37" s="337" t="s">
        <v>1649</v>
      </c>
      <c r="K37" s="336" t="b">
        <f t="shared" si="9"/>
        <v>1</v>
      </c>
      <c r="L37" s="446" t="s">
        <v>5227</v>
      </c>
      <c r="M37" s="336" t="b">
        <f t="shared" si="10"/>
        <v>1</v>
      </c>
      <c r="N37" s="337" t="s">
        <v>949</v>
      </c>
      <c r="O37" s="336" t="b">
        <f t="shared" si="11"/>
        <v>1</v>
      </c>
      <c r="P37" s="337" t="s">
        <v>4220</v>
      </c>
      <c r="Q37" s="352" t="s">
        <v>4667</v>
      </c>
      <c r="R37" s="357" t="s">
        <v>4667</v>
      </c>
      <c r="W37" s="339" t="str">
        <v>2025-P</v>
      </c>
      <c r="Y37" s="339" t="str">
        <f t="shared" si="0"/>
        <v>1920-D Wheat Penny</v>
      </c>
      <c r="Z37" s="339">
        <f>IFERROR(MATCH(Y37,CoinCollection!O:O,0),"")</f>
        <v>89</v>
      </c>
      <c r="AA37" s="330" t="str">
        <f t="shared" si="1"/>
        <v>1936 Wheat Penny</v>
      </c>
      <c r="AB37" s="339">
        <f>IFERROR(MATCH(AA37,CoinCollection!O:O,0),"")</f>
        <v>151</v>
      </c>
      <c r="AC37" s="342" t="str">
        <f t="shared" si="17"/>
        <v>1949-S Wheat Penny</v>
      </c>
      <c r="AD37" s="339">
        <f>IFERROR(MATCH(AC37,CoinCollection!O:O,0),"")</f>
        <v>335</v>
      </c>
      <c r="AE37" s="342" t="str">
        <f t="shared" si="18"/>
        <v>1967 Memorial Penny</v>
      </c>
      <c r="AF37" s="339">
        <f>IFERROR(MATCH(AC37,CoinCollection!O:O,0),"")</f>
        <v>335</v>
      </c>
      <c r="AG37" s="330" t="str">
        <f t="shared" si="19"/>
        <v>1980 Memorial Penny</v>
      </c>
      <c r="AH37" s="339">
        <f>IFERROR(MATCH(AG37,CoinCollection!O:O,0),"")</f>
        <v>690</v>
      </c>
      <c r="AI37" s="330" t="str">
        <f>L37</f>
        <v>1991-S Memorial Penny Proof</v>
      </c>
      <c r="AJ37" s="339">
        <f>IFERROR(MATCH(AI37,CoinCollection!O:O,0),"")</f>
        <v>808</v>
      </c>
      <c r="AK37" s="330" t="str">
        <f t="shared" si="14"/>
        <v>2005-D Memorial Penny</v>
      </c>
      <c r="AL37" s="339">
        <f>IFERROR(MATCH(AK37,CoinCollection!O:O,0),"")</f>
        <v>945</v>
      </c>
      <c r="AM37" s="330" t="str">
        <f>P37&amp;" "&amp;$L$1</f>
        <v>2014 Shield Penny</v>
      </c>
      <c r="AN37" s="339">
        <f>IFERROR(MATCH(AM37,CoinCollection!O:O,0),"")</f>
        <v>1025</v>
      </c>
      <c r="AP37" s="339" t="str">
        <f>IFERROR(MATCH(AO37,CoinCollection!O:O,0),"")</f>
        <v/>
      </c>
    </row>
    <row r="38" spans="1:42">
      <c r="A38" s="350" t="b">
        <f t="shared" si="4"/>
        <v>1</v>
      </c>
      <c r="B38" s="339" t="s">
        <v>2434</v>
      </c>
      <c r="C38" s="351" t="b">
        <f t="shared" si="5"/>
        <v>1</v>
      </c>
      <c r="D38" s="391" t="s">
        <v>2466</v>
      </c>
      <c r="E38" s="341" t="b">
        <f t="shared" si="6"/>
        <v>1</v>
      </c>
      <c r="F38" s="337" t="s">
        <v>2480</v>
      </c>
      <c r="G38" s="341" t="b">
        <f t="shared" si="7"/>
        <v>1</v>
      </c>
      <c r="H38" s="362" t="s">
        <v>4184</v>
      </c>
      <c r="I38" s="336" t="b">
        <f t="shared" si="8"/>
        <v>1</v>
      </c>
      <c r="J38" s="342" t="s">
        <v>896</v>
      </c>
      <c r="K38" s="336" t="b">
        <f t="shared" si="9"/>
        <v>1</v>
      </c>
      <c r="L38" s="342" t="s">
        <v>4198</v>
      </c>
      <c r="M38" s="336" t="b">
        <f t="shared" si="10"/>
        <v>1</v>
      </c>
      <c r="N38" s="447" t="s">
        <v>5241</v>
      </c>
      <c r="O38" s="336" t="b">
        <f t="shared" si="11"/>
        <v>1</v>
      </c>
      <c r="P38" s="342" t="s">
        <v>968</v>
      </c>
      <c r="Q38" s="352" t="s">
        <v>4667</v>
      </c>
      <c r="R38" s="357" t="s">
        <v>4667</v>
      </c>
      <c r="V38" s="330">
        <f>COUNTA(_xlfn.ANCHORARRAY(W3))</f>
        <v>37</v>
      </c>
      <c r="W38" s="339" t="str">
        <v>2025-D</v>
      </c>
      <c r="Y38" s="339" t="str">
        <f t="shared" si="0"/>
        <v>1920-S Wheat Penny</v>
      </c>
      <c r="Z38" s="339">
        <f>IFERROR(MATCH(Y38,CoinCollection!O:O,0),"")</f>
        <v>91</v>
      </c>
      <c r="AA38" s="330" t="str">
        <f t="shared" si="1"/>
        <v>1936-D Wheat Penny</v>
      </c>
      <c r="AB38" s="339">
        <f>IFERROR(MATCH(AA38,CoinCollection!O:O,0),"")</f>
        <v>160</v>
      </c>
      <c r="AC38" s="342" t="str">
        <f t="shared" si="17"/>
        <v>1950 Wheat Penny</v>
      </c>
      <c r="AD38" s="339">
        <f>IFERROR(MATCH(AC38,CoinCollection!O:O,0),"")</f>
        <v>336</v>
      </c>
      <c r="AE38" s="342" t="str">
        <f t="shared" si="18"/>
        <v>1968 Memorial Penny</v>
      </c>
      <c r="AF38" s="339">
        <f>IFERROR(MATCH(AC38,CoinCollection!O:O,0),"")</f>
        <v>336</v>
      </c>
      <c r="AG38" s="330" t="str">
        <f t="shared" si="19"/>
        <v>1980-D Memorial Penny</v>
      </c>
      <c r="AH38" s="339">
        <f>IFERROR(MATCH(AG38,CoinCollection!O:O,0),"")</f>
        <v>687</v>
      </c>
      <c r="AI38" s="330" t="str">
        <f t="shared" si="13"/>
        <v>1992 Memorial Penny</v>
      </c>
      <c r="AJ38" s="339">
        <f>IFERROR(MATCH(AI38,CoinCollection!O:O,0),"")</f>
        <v>811</v>
      </c>
      <c r="AK38" s="330" t="str">
        <f>N38</f>
        <v>2005-S Memorial Penny Proof</v>
      </c>
      <c r="AL38" s="339">
        <f>IFERROR(MATCH(AK38,CoinCollection!O:O,0),"")</f>
        <v>949</v>
      </c>
      <c r="AM38" s="330" t="str">
        <f>P38&amp;" "&amp;$L$1</f>
        <v>2014-D Shield Penny</v>
      </c>
      <c r="AN38" s="339">
        <f>IFERROR(MATCH(AM38,CoinCollection!O:O,0),"")</f>
        <v>1030</v>
      </c>
      <c r="AP38" s="339" t="str">
        <f>IFERROR(MATCH(AO38,CoinCollection!O:O,0),"")</f>
        <v/>
      </c>
    </row>
    <row r="39" spans="1:42">
      <c r="A39" s="350" t="b">
        <f t="shared" si="4"/>
        <v>1</v>
      </c>
      <c r="B39" s="339">
        <v>1921</v>
      </c>
      <c r="C39" s="351" t="b">
        <f t="shared" si="5"/>
        <v>1</v>
      </c>
      <c r="D39" s="390" t="s">
        <v>2467</v>
      </c>
      <c r="E39" s="341" t="b">
        <f t="shared" si="6"/>
        <v>1</v>
      </c>
      <c r="F39" s="342" t="s">
        <v>861</v>
      </c>
      <c r="G39" s="341" t="b">
        <f t="shared" si="7"/>
        <v>1</v>
      </c>
      <c r="H39" s="364" t="s">
        <v>880</v>
      </c>
      <c r="I39" s="336" t="b">
        <f t="shared" si="8"/>
        <v>0</v>
      </c>
      <c r="J39" s="446" t="s">
        <v>5217</v>
      </c>
      <c r="K39" s="336" t="b">
        <f t="shared" si="9"/>
        <v>1</v>
      </c>
      <c r="L39" s="337" t="s">
        <v>920</v>
      </c>
      <c r="M39" s="336" t="b">
        <f t="shared" si="10"/>
        <v>1</v>
      </c>
      <c r="N39" s="337" t="s">
        <v>4212</v>
      </c>
      <c r="O39" s="336" t="b">
        <f t="shared" si="11"/>
        <v>0</v>
      </c>
      <c r="P39" s="446" t="s">
        <v>5262</v>
      </c>
      <c r="Q39" s="352" t="s">
        <v>4667</v>
      </c>
      <c r="R39" s="357" t="s">
        <v>4667</v>
      </c>
      <c r="W39" s="339" t="str">
        <v>2025-S Shield Penny Proof</v>
      </c>
      <c r="Y39" s="339" t="str">
        <f t="shared" si="0"/>
        <v>1921 Wheat Penny</v>
      </c>
      <c r="Z39" s="339">
        <f>IFERROR(MATCH(Y39,CoinCollection!O:O,0),"")</f>
        <v>93</v>
      </c>
      <c r="AA39" s="330" t="str">
        <f t="shared" si="1"/>
        <v>1936-S Wheat Penny</v>
      </c>
      <c r="AB39" s="339">
        <f>IFERROR(MATCH(AA39,CoinCollection!O:O,0),"")</f>
        <v>161</v>
      </c>
      <c r="AC39" s="342" t="str">
        <f t="shared" si="17"/>
        <v>1950-D Wheat Penny</v>
      </c>
      <c r="AD39" s="339">
        <f>IFERROR(MATCH(AC39,CoinCollection!O:O,0),"")</f>
        <v>338</v>
      </c>
      <c r="AE39" s="342" t="str">
        <f t="shared" si="18"/>
        <v>1968-D Memorial Penny</v>
      </c>
      <c r="AF39" s="339">
        <f>IFERROR(MATCH(AC39,CoinCollection!O:O,0),"")</f>
        <v>338</v>
      </c>
      <c r="AG39" s="330" t="str">
        <f>J39</f>
        <v>1980-S Memorial Penny Proof</v>
      </c>
      <c r="AH39" s="339" t="str">
        <f>IFERROR(MATCH(AG39,CoinCollection!O:O,0),"")</f>
        <v/>
      </c>
      <c r="AI39" s="330" t="str">
        <f t="shared" si="13"/>
        <v>1992-D Memorial Penny</v>
      </c>
      <c r="AJ39" s="339">
        <f>IFERROR(MATCH(AI39,CoinCollection!O:O,0),"")</f>
        <v>812</v>
      </c>
      <c r="AK39" s="330" t="str">
        <f t="shared" si="14"/>
        <v>2006 Memorial Penny</v>
      </c>
      <c r="AL39" s="339">
        <f>IFERROR(MATCH(AK39,CoinCollection!O:O,0),"")</f>
        <v>952</v>
      </c>
      <c r="AM39" s="330" t="str">
        <f>P39</f>
        <v>2014-S Shield Penny Proof</v>
      </c>
      <c r="AN39" s="339" t="str">
        <f>IFERROR(MATCH(AM39,CoinCollection!O:O,0),"")</f>
        <v/>
      </c>
      <c r="AP39" s="339" t="str">
        <f>IFERROR(MATCH(AO39,CoinCollection!O:O,0),"")</f>
        <v/>
      </c>
    </row>
    <row r="40" spans="1:42">
      <c r="A40" s="350" t="b">
        <f t="shared" si="4"/>
        <v>1</v>
      </c>
      <c r="B40" s="339" t="s">
        <v>2436</v>
      </c>
      <c r="C40" s="351" t="b">
        <f t="shared" si="5"/>
        <v>1</v>
      </c>
      <c r="D40" s="362">
        <v>1937</v>
      </c>
      <c r="E40" s="341" t="b">
        <f t="shared" si="6"/>
        <v>1</v>
      </c>
      <c r="F40" s="337" t="s">
        <v>4929</v>
      </c>
      <c r="G40" s="341" t="b">
        <f t="shared" si="7"/>
        <v>1</v>
      </c>
      <c r="H40" s="362" t="s">
        <v>4877</v>
      </c>
      <c r="I40" s="336" t="b">
        <f t="shared" si="8"/>
        <v>1</v>
      </c>
      <c r="J40" s="342" t="s">
        <v>4187</v>
      </c>
      <c r="K40" s="336" t="b">
        <f t="shared" si="9"/>
        <v>1</v>
      </c>
      <c r="L40" s="447" t="s">
        <v>5228</v>
      </c>
      <c r="M40" s="336" t="b">
        <f t="shared" si="10"/>
        <v>1</v>
      </c>
      <c r="N40" s="342" t="s">
        <v>952</v>
      </c>
      <c r="O40" s="336" t="b">
        <f t="shared" si="11"/>
        <v>1</v>
      </c>
      <c r="P40" s="342" t="s">
        <v>4221</v>
      </c>
      <c r="Q40" s="352" t="s">
        <v>4667</v>
      </c>
      <c r="R40" s="357" t="s">
        <v>4667</v>
      </c>
      <c r="W40" s="339"/>
      <c r="Y40" s="339" t="str">
        <f t="shared" si="0"/>
        <v>1921-S Wheat Penny</v>
      </c>
      <c r="Z40" s="339">
        <f>IFERROR(MATCH(Y40,CoinCollection!O:O,0),"")</f>
        <v>92</v>
      </c>
      <c r="AA40" s="330" t="str">
        <f t="shared" si="1"/>
        <v>1937 Wheat Penny</v>
      </c>
      <c r="AB40" s="339">
        <f>IFERROR(MATCH(AA40,CoinCollection!O:O,0),"")</f>
        <v>163</v>
      </c>
      <c r="AC40" s="342" t="str">
        <f t="shared" si="17"/>
        <v>1950-S Wheat Penny</v>
      </c>
      <c r="AD40" s="339">
        <f>IFERROR(MATCH(AC40,CoinCollection!O:O,0),"")</f>
        <v>339</v>
      </c>
      <c r="AE40" s="342" t="str">
        <f t="shared" si="18"/>
        <v>1968-S Proof Memorial Penny</v>
      </c>
      <c r="AF40" s="339">
        <f>IFERROR(MATCH(AC40,CoinCollection!O:O,0),"")</f>
        <v>339</v>
      </c>
      <c r="AG40" s="330" t="str">
        <f>J40&amp;" "&amp;$J$1</f>
        <v>1981 Memorial Penny</v>
      </c>
      <c r="AH40" s="339">
        <f>IFERROR(MATCH(AG40,CoinCollection!O:O,0),"")</f>
        <v>699</v>
      </c>
      <c r="AI40" s="330" t="str">
        <f>L40</f>
        <v>1992-S Memorial Penny Proof</v>
      </c>
      <c r="AJ40" s="339">
        <f>IFERROR(MATCH(AI40,CoinCollection!O:O,0),"")</f>
        <v>813</v>
      </c>
      <c r="AK40" s="330" t="str">
        <f t="shared" si="14"/>
        <v>2006-D Memorial Penny</v>
      </c>
      <c r="AL40" s="339">
        <f>IFERROR(MATCH(AK40,CoinCollection!O:O,0),"")</f>
        <v>956</v>
      </c>
      <c r="AM40" s="330" t="str">
        <f>P40&amp;" "&amp;$L$1</f>
        <v>2015 Shield Penny</v>
      </c>
      <c r="AN40" s="339">
        <f>IFERROR(MATCH(AM40,CoinCollection!O:O,0),"")</f>
        <v>1034</v>
      </c>
      <c r="AP40" s="339" t="str">
        <f>IFERROR(MATCH(AO40,CoinCollection!O:O,0),"")</f>
        <v/>
      </c>
    </row>
    <row r="41" spans="1:42">
      <c r="A41" s="350" t="b">
        <f t="shared" si="4"/>
        <v>1</v>
      </c>
      <c r="B41" s="339" t="s">
        <v>4795</v>
      </c>
      <c r="C41" s="351" t="b">
        <f t="shared" si="5"/>
        <v>1</v>
      </c>
      <c r="D41" s="390" t="s">
        <v>2469</v>
      </c>
      <c r="E41" s="341" t="b">
        <f t="shared" si="6"/>
        <v>1</v>
      </c>
      <c r="F41" s="342" t="s">
        <v>2481</v>
      </c>
      <c r="G41" s="341" t="b">
        <f t="shared" si="7"/>
        <v>1</v>
      </c>
      <c r="H41" s="390">
        <v>1969</v>
      </c>
      <c r="I41" s="336" t="b">
        <f t="shared" si="8"/>
        <v>1</v>
      </c>
      <c r="J41" s="337" t="s">
        <v>898</v>
      </c>
      <c r="K41" s="336" t="b">
        <f t="shared" si="9"/>
        <v>1</v>
      </c>
      <c r="L41" s="337" t="s">
        <v>4199</v>
      </c>
      <c r="M41" s="336" t="b">
        <f t="shared" si="10"/>
        <v>1</v>
      </c>
      <c r="N41" s="446" t="s">
        <v>5242</v>
      </c>
      <c r="O41" s="336" t="b">
        <f t="shared" si="11"/>
        <v>1</v>
      </c>
      <c r="P41" s="337" t="s">
        <v>970</v>
      </c>
      <c r="Q41" s="352" t="s">
        <v>4667</v>
      </c>
      <c r="R41" s="357" t="s">
        <v>4667</v>
      </c>
      <c r="W41" s="339"/>
      <c r="Y41" s="339" t="str">
        <f t="shared" si="0"/>
        <v>1922-D Wheat Penny</v>
      </c>
      <c r="Z41" s="339">
        <f>IFERROR(MATCH(Y41,CoinCollection!O:O,0),"")</f>
        <v>94</v>
      </c>
      <c r="AA41" s="330" t="str">
        <f t="shared" si="1"/>
        <v>1937-D Wheat Penny</v>
      </c>
      <c r="AB41" s="339">
        <f>IFERROR(MATCH(AA41,CoinCollection!O:O,0),"")</f>
        <v>170</v>
      </c>
      <c r="AC41" s="342" t="str">
        <f t="shared" si="17"/>
        <v>1951 Wheat Penny</v>
      </c>
      <c r="AD41" s="339">
        <f>IFERROR(MATCH(AC41,CoinCollection!O:O,0),"")</f>
        <v>345</v>
      </c>
      <c r="AE41" s="342" t="str">
        <f t="shared" si="18"/>
        <v>1969 Memorial Penny</v>
      </c>
      <c r="AF41" s="339">
        <f>IFERROR(MATCH(AC41,CoinCollection!O:O,0),"")</f>
        <v>345</v>
      </c>
      <c r="AG41" s="330" t="str">
        <f>J41&amp;" "&amp;$J$1</f>
        <v>1981-D Memorial Penny</v>
      </c>
      <c r="AH41" s="339">
        <f>IFERROR(MATCH(AG41,CoinCollection!O:O,0),"")</f>
        <v>705</v>
      </c>
      <c r="AI41" s="330" t="str">
        <f t="shared" si="13"/>
        <v>1993 Memorial Penny</v>
      </c>
      <c r="AJ41" s="339">
        <f>IFERROR(MATCH(AI41,CoinCollection!O:O,0),"")</f>
        <v>819</v>
      </c>
      <c r="AK41" s="330" t="str">
        <f>N41</f>
        <v>2006-S Memorial Penny Proof</v>
      </c>
      <c r="AL41" s="339">
        <f>IFERROR(MATCH(AK41,CoinCollection!O:O,0),"")</f>
        <v>954</v>
      </c>
      <c r="AM41" s="330" t="str">
        <f>P41&amp;" "&amp;$L$1</f>
        <v>2015-D Shield Penny</v>
      </c>
      <c r="AN41" s="339">
        <f>IFERROR(MATCH(AM41,CoinCollection!O:O,0),"")</f>
        <v>1040</v>
      </c>
      <c r="AP41" s="339" t="str">
        <f>IFERROR(MATCH(AO41,CoinCollection!O:O,0),"")</f>
        <v/>
      </c>
    </row>
    <row r="42" spans="1:42">
      <c r="A42" s="350" t="b">
        <f t="shared" si="4"/>
        <v>0</v>
      </c>
      <c r="B42" s="339" t="s">
        <v>4713</v>
      </c>
      <c r="C42" s="351" t="b">
        <f t="shared" si="5"/>
        <v>1</v>
      </c>
      <c r="D42" s="391" t="s">
        <v>2470</v>
      </c>
      <c r="E42" s="341" t="b">
        <f t="shared" si="6"/>
        <v>1</v>
      </c>
      <c r="F42" s="337" t="s">
        <v>862</v>
      </c>
      <c r="G42" s="341" t="b">
        <f t="shared" si="7"/>
        <v>1</v>
      </c>
      <c r="H42" s="362" t="s">
        <v>882</v>
      </c>
      <c r="I42" s="336" t="b">
        <f t="shared" si="8"/>
        <v>0</v>
      </c>
      <c r="J42" s="408" t="s">
        <v>4934</v>
      </c>
      <c r="K42" s="336" t="b">
        <f t="shared" si="9"/>
        <v>1</v>
      </c>
      <c r="L42" s="337" t="s">
        <v>922</v>
      </c>
      <c r="M42" s="336" t="b">
        <f t="shared" si="10"/>
        <v>1</v>
      </c>
      <c r="N42" s="337" t="s">
        <v>4213</v>
      </c>
      <c r="O42" s="336" t="b">
        <f t="shared" si="11"/>
        <v>1</v>
      </c>
      <c r="P42" s="447" t="s">
        <v>5263</v>
      </c>
      <c r="Q42" s="352" t="s">
        <v>4667</v>
      </c>
      <c r="R42" s="357" t="s">
        <v>4667</v>
      </c>
      <c r="W42" s="339"/>
      <c r="Y42" s="339" t="str">
        <f t="shared" si="0"/>
        <v>1922-P Wheat Penny</v>
      </c>
      <c r="Z42" s="339" t="str">
        <f>IFERROR(MATCH(Y42,CoinCollection!O:O,0),"")</f>
        <v/>
      </c>
      <c r="AA42" s="330" t="str">
        <f t="shared" si="1"/>
        <v>1937-S Wheat Penny</v>
      </c>
      <c r="AB42" s="339">
        <f>IFERROR(MATCH(AA42,CoinCollection!O:O,0),"")</f>
        <v>171</v>
      </c>
      <c r="AC42" s="342" t="str">
        <f t="shared" si="17"/>
        <v>1951-D Wheat Penny</v>
      </c>
      <c r="AD42" s="339">
        <f>IFERROR(MATCH(AC42,CoinCollection!O:O,0),"")</f>
        <v>349</v>
      </c>
      <c r="AE42" s="342" t="str">
        <f t="shared" si="18"/>
        <v>1969-D Memorial Penny</v>
      </c>
      <c r="AF42" s="339">
        <f>IFERROR(MATCH(AC42,CoinCollection!O:O,0),"")</f>
        <v>349</v>
      </c>
      <c r="AG42" s="330" t="str">
        <f>J42&amp;" "&amp;$J$1</f>
        <v>1981-S Proof Filled S Memorial Penny</v>
      </c>
      <c r="AH42" s="339" t="str">
        <f>IFERROR(MATCH(AG42,CoinCollection!O:O,0),"")</f>
        <v/>
      </c>
      <c r="AI42" s="330" t="str">
        <f t="shared" si="13"/>
        <v>1993-D Memorial Penny</v>
      </c>
      <c r="AJ42" s="339">
        <f>IFERROR(MATCH(AI42,CoinCollection!O:O,0),"")</f>
        <v>818</v>
      </c>
      <c r="AK42" s="330" t="str">
        <f t="shared" si="14"/>
        <v>2007 Memorial Penny</v>
      </c>
      <c r="AL42" s="339">
        <f>IFERROR(MATCH(AK42,CoinCollection!O:O,0),"")</f>
        <v>958</v>
      </c>
      <c r="AM42" s="330" t="str">
        <f>P42</f>
        <v>2015-S Shield Penny Proof</v>
      </c>
      <c r="AN42" s="339">
        <f>IFERROR(MATCH(AM42,CoinCollection!O:O,0),"")</f>
        <v>1043</v>
      </c>
      <c r="AP42" s="339" t="str">
        <f>IFERROR(MATCH(AO42,CoinCollection!O:O,0),"")</f>
        <v/>
      </c>
    </row>
    <row r="43" spans="1:42">
      <c r="A43" s="350" t="b">
        <f t="shared" si="4"/>
        <v>1</v>
      </c>
      <c r="B43" s="362">
        <v>1923</v>
      </c>
      <c r="C43" s="351" t="b">
        <f t="shared" si="5"/>
        <v>1</v>
      </c>
      <c r="D43" s="362">
        <v>1938</v>
      </c>
      <c r="E43" s="341" t="b">
        <f t="shared" si="6"/>
        <v>1</v>
      </c>
      <c r="F43" s="337" t="s">
        <v>863</v>
      </c>
      <c r="G43" s="337"/>
      <c r="H43" s="362"/>
      <c r="I43" s="336" t="b">
        <f t="shared" si="8"/>
        <v>0</v>
      </c>
      <c r="J43" s="409" t="s">
        <v>4935</v>
      </c>
      <c r="K43" s="336" t="b">
        <f t="shared" si="9"/>
        <v>1</v>
      </c>
      <c r="L43" s="447" t="s">
        <v>5229</v>
      </c>
      <c r="M43" s="336" t="b">
        <f t="shared" si="10"/>
        <v>1</v>
      </c>
      <c r="N43" s="342" t="s">
        <v>954</v>
      </c>
      <c r="O43" s="336" t="b">
        <f t="shared" si="11"/>
        <v>1</v>
      </c>
      <c r="P43" s="337" t="s">
        <v>4222</v>
      </c>
      <c r="Q43" s="352" t="s">
        <v>4667</v>
      </c>
      <c r="R43" s="357" t="s">
        <v>4667</v>
      </c>
      <c r="W43" s="339"/>
      <c r="Y43" s="339" t="str">
        <f t="shared" si="0"/>
        <v>1923 Wheat Penny</v>
      </c>
      <c r="Z43" s="339">
        <f>IFERROR(MATCH(Y43,CoinCollection!O:O,0),"")</f>
        <v>95</v>
      </c>
      <c r="AA43" s="330" t="str">
        <f t="shared" si="1"/>
        <v>1938 Wheat Penny</v>
      </c>
      <c r="AB43" s="339">
        <f>IFERROR(MATCH(AA43,CoinCollection!O:O,0),"")</f>
        <v>172</v>
      </c>
      <c r="AC43" s="342" t="str">
        <f t="shared" si="17"/>
        <v>1951-S Wheat Penny</v>
      </c>
      <c r="AD43" s="339">
        <f>IFERROR(MATCH(AC43,CoinCollection!O:O,0),"")</f>
        <v>352</v>
      </c>
      <c r="AE43" s="342"/>
      <c r="AF43" s="339">
        <f>IFERROR(MATCH(AC43,CoinCollection!O:O,0),"")</f>
        <v>352</v>
      </c>
      <c r="AG43" s="330" t="str">
        <f>J43&amp;" "&amp;$J$1</f>
        <v>1981-S Proof Clear S Memorial Penny</v>
      </c>
      <c r="AH43" s="339" t="str">
        <f>IFERROR(MATCH(AG43,CoinCollection!O:O,0),"")</f>
        <v/>
      </c>
      <c r="AI43" s="330" t="str">
        <f>L43</f>
        <v>1993-S Memorial Penny Proof</v>
      </c>
      <c r="AJ43" s="339">
        <f>IFERROR(MATCH(AI43,CoinCollection!O:O,0),"")</f>
        <v>824</v>
      </c>
      <c r="AK43" s="330" t="str">
        <f t="shared" si="14"/>
        <v>2007-D Memorial Penny</v>
      </c>
      <c r="AL43" s="339">
        <f>IFERROR(MATCH(AK43,CoinCollection!O:O,0),"")</f>
        <v>959</v>
      </c>
      <c r="AM43" s="330" t="str">
        <f>P43&amp;" "&amp;$L$1</f>
        <v>2016 Shield Penny</v>
      </c>
      <c r="AN43" s="339">
        <f>IFERROR(MATCH(AM43,CoinCollection!O:O,0),"")</f>
        <v>1045</v>
      </c>
      <c r="AP43" s="339" t="str">
        <f>IFERROR(MATCH(AO43,CoinCollection!O:O,0),"")</f>
        <v/>
      </c>
    </row>
    <row r="44" spans="1:42">
      <c r="C44" s="358"/>
      <c r="E44" s="359"/>
      <c r="F44" s="359"/>
      <c r="G44" s="359"/>
      <c r="H44" s="359"/>
      <c r="I44" s="359"/>
      <c r="J44" s="359"/>
      <c r="K44" s="359"/>
      <c r="L44" s="359"/>
      <c r="M44" s="359"/>
      <c r="N44" s="359"/>
      <c r="O44" s="359"/>
      <c r="P44" s="359"/>
      <c r="Q44" s="359"/>
      <c r="R44" s="359"/>
      <c r="W44" s="339"/>
    </row>
    <row r="45" spans="1:42">
      <c r="H45" s="438" t="s">
        <v>4916</v>
      </c>
      <c r="I45" s="439"/>
      <c r="W45" s="339"/>
    </row>
    <row r="46" spans="1:42">
      <c r="H46" s="440" t="s">
        <v>5206</v>
      </c>
      <c r="I46" s="439"/>
      <c r="W46" s="339"/>
    </row>
    <row r="47" spans="1:42">
      <c r="B47" s="348" t="s">
        <v>4668</v>
      </c>
      <c r="C47" s="330">
        <f>COUNTIF(A3:R43,"=False")</f>
        <v>37</v>
      </c>
      <c r="E47" s="322" t="s">
        <v>5204</v>
      </c>
      <c r="F47" s="428"/>
      <c r="H47" s="440" t="s">
        <v>4918</v>
      </c>
      <c r="I47" s="439"/>
      <c r="W47" s="339"/>
    </row>
    <row r="48" spans="1:42">
      <c r="B48" s="348" t="s">
        <v>4669</v>
      </c>
      <c r="C48" s="330">
        <f>COUNTIF(A3:R43,"=true")</f>
        <v>316</v>
      </c>
      <c r="E48" s="428" t="s">
        <v>5205</v>
      </c>
      <c r="F48" s="428"/>
      <c r="H48" s="440" t="s">
        <v>4919</v>
      </c>
      <c r="I48" s="439"/>
      <c r="W48" s="339"/>
    </row>
    <row r="49" spans="22:23">
      <c r="W49" s="339"/>
    </row>
    <row r="50" spans="22:23">
      <c r="V50" s="379"/>
    </row>
    <row r="51" spans="22:23">
      <c r="W51" s="339"/>
    </row>
    <row r="52" spans="22:23">
      <c r="W52" s="339"/>
    </row>
    <row r="53" spans="22:23">
      <c r="W53" s="339"/>
    </row>
    <row r="54" spans="22:23">
      <c r="W54" s="339"/>
    </row>
    <row r="55" spans="22:23">
      <c r="W55" s="339"/>
    </row>
    <row r="56" spans="22:23">
      <c r="W56" s="339"/>
    </row>
    <row r="57" spans="22:23">
      <c r="W57" s="339"/>
    </row>
    <row r="58" spans="22:23">
      <c r="W58" s="339"/>
    </row>
    <row r="59" spans="22:23">
      <c r="W59" s="339"/>
    </row>
    <row r="60" spans="22:23">
      <c r="W60" s="339"/>
    </row>
    <row r="61" spans="22:23">
      <c r="W61" s="339"/>
    </row>
    <row r="62" spans="22:23">
      <c r="W62" s="339"/>
    </row>
    <row r="63" spans="22:23">
      <c r="W63" s="339"/>
    </row>
    <row r="64" spans="22:23">
      <c r="W64" s="339"/>
    </row>
    <row r="65" spans="23:23">
      <c r="W65" s="339"/>
    </row>
    <row r="66" spans="23:23">
      <c r="W66" s="339"/>
    </row>
    <row r="67" spans="23:23">
      <c r="W67" s="339"/>
    </row>
    <row r="68" spans="23:23">
      <c r="W68" s="339"/>
    </row>
    <row r="69" spans="23:23">
      <c r="W69" s="339"/>
    </row>
    <row r="70" spans="23:23">
      <c r="W70" s="339"/>
    </row>
  </sheetData>
  <pageMargins left="0.2" right="0.2" top="0.75" bottom="0" header="0.25" footer="0"/>
  <pageSetup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10F7E-2AFF-49BF-9034-F950C6702ADF}">
  <sheetPr codeName="Sheet29">
    <pageSetUpPr fitToPage="1"/>
  </sheetPr>
  <dimension ref="A1:Q35"/>
  <sheetViews>
    <sheetView workbookViewId="0">
      <selection activeCell="C17" sqref="C17"/>
    </sheetView>
  </sheetViews>
  <sheetFormatPr defaultRowHeight="15"/>
  <cols>
    <col min="1" max="1" width="9.140625" style="330"/>
    <col min="2" max="2" width="13.42578125" style="330" bestFit="1" customWidth="1"/>
    <col min="3" max="3" width="11.42578125" style="330" customWidth="1"/>
    <col min="4" max="4" width="11.42578125" style="330" bestFit="1" customWidth="1"/>
    <col min="5" max="5" width="11.42578125" style="330" customWidth="1"/>
    <col min="6" max="6" width="11.42578125" style="330" bestFit="1" customWidth="1"/>
    <col min="7" max="7" width="9.140625" style="330"/>
    <col min="8" max="8" width="18.85546875" style="330" bestFit="1" customWidth="1"/>
    <col min="9" max="11" width="9.140625" style="330"/>
    <col min="12" max="12" width="29.85546875" style="330" hidden="1" customWidth="1"/>
    <col min="13" max="13" width="0" style="330" hidden="1" customWidth="1"/>
    <col min="14" max="14" width="21.140625" style="330" hidden="1" customWidth="1"/>
    <col min="15" max="15" width="0" style="330" hidden="1" customWidth="1"/>
    <col min="16" max="16" width="24" style="330" hidden="1" customWidth="1"/>
    <col min="17" max="17" width="0" style="330" hidden="1" customWidth="1"/>
    <col min="18" max="16384" width="9.140625" style="330"/>
  </cols>
  <sheetData>
    <row r="1" spans="1:17">
      <c r="A1" s="422" t="s">
        <v>2600</v>
      </c>
    </row>
    <row r="2" spans="1:17">
      <c r="A2" s="384" t="s">
        <v>4899</v>
      </c>
      <c r="B2" s="385" t="s">
        <v>1767</v>
      </c>
      <c r="C2" s="384" t="s">
        <v>4900</v>
      </c>
      <c r="D2" s="384" t="s">
        <v>4901</v>
      </c>
      <c r="E2" s="384" t="s">
        <v>4902</v>
      </c>
      <c r="F2" s="386" t="s">
        <v>4903</v>
      </c>
      <c r="H2" s="360" t="s">
        <v>4805</v>
      </c>
    </row>
    <row r="3" spans="1:17">
      <c r="A3" s="334" t="b">
        <f>IF(O3&lt;&gt;"",TRUE,FALSE)</f>
        <v>1</v>
      </c>
      <c r="B3" s="361" t="s">
        <v>4806</v>
      </c>
      <c r="C3" s="336" t="b">
        <f>IF(O3&lt;&gt;"",TRUE,FALSE)</f>
        <v>1</v>
      </c>
      <c r="D3" s="362">
        <v>1893</v>
      </c>
      <c r="E3" s="336" t="b">
        <f>IF(Q3&lt;&gt;"",TRUE,FALSE)</f>
        <v>1</v>
      </c>
      <c r="F3" s="338">
        <v>1904</v>
      </c>
      <c r="H3" s="339" t="str" cm="1">
        <f t="array" ref="H3:H9">_xlfn._xlws.FILTER(B3:B13,A3:A13=FALSE)</f>
        <v>1884</v>
      </c>
      <c r="I3" s="339" t="str" cm="1">
        <f t="array" ref="I3:I16">_xlfn.LET(_xlpm.stacked_data,_xlfn.VSTACK(A3:B13,C3:D13,E3:F13),
_xlfn._xlws.FILTER(_xlfn.CHOOSECOLS(_xlpm.stacked_data,2),_xlfn.CHOOSECOLS(_xlpm.stacked_data,1)=FALSE)
)</f>
        <v>1884</v>
      </c>
      <c r="L3" s="330" t="str">
        <f>B3&amp;" "&amp;$A$1</f>
        <v xml:space="preserve">1883 No Cents Liberty   V   Nickel </v>
      </c>
      <c r="M3" s="330" t="str">
        <f>IFERROR(MATCH(L3,CoinCollection!O:O,0),"")</f>
        <v/>
      </c>
      <c r="N3" s="330" t="str">
        <f>D3&amp;" "&amp;$A$1</f>
        <v xml:space="preserve">1893 Liberty   V   Nickel </v>
      </c>
      <c r="O3" s="330">
        <f>IFERROR(MATCH(N3,CoinCollection!O:O,0),"")</f>
        <v>1145</v>
      </c>
      <c r="P3" s="330" t="str">
        <f>F3&amp;" "&amp;$A$1</f>
        <v xml:space="preserve">1904 Liberty   V   Nickel </v>
      </c>
      <c r="Q3" s="330">
        <f>IFERROR(MATCH(P3,CoinCollection!O:O,0),"")</f>
        <v>1153</v>
      </c>
    </row>
    <row r="4" spans="1:17">
      <c r="A4" s="334" t="b">
        <f t="shared" ref="A4:A13" si="0">IF(M4&lt;&gt;"",TRUE,FALSE)</f>
        <v>1</v>
      </c>
      <c r="B4" s="363" t="s">
        <v>2244</v>
      </c>
      <c r="C4" s="336" t="b">
        <f t="shared" ref="C4:C13" si="1">IF(O4&lt;&gt;"",TRUE,FALSE)</f>
        <v>0</v>
      </c>
      <c r="D4" s="364">
        <v>1894</v>
      </c>
      <c r="E4" s="336" t="b">
        <f t="shared" ref="E4:E13" si="2">IF(Q4&lt;&gt;"",TRUE,FALSE)</f>
        <v>1</v>
      </c>
      <c r="F4" s="344" t="s">
        <v>2400</v>
      </c>
      <c r="H4" s="430">
        <v>1885</v>
      </c>
      <c r="I4" s="430">
        <v>1885</v>
      </c>
      <c r="L4" s="330" t="str">
        <f>LEFT(B4,4)&amp;" "&amp;$A$1</f>
        <v xml:space="preserve">1883 Liberty   V   Nickel </v>
      </c>
      <c r="M4" s="330">
        <f>IFERROR(MATCH(L4,CoinCollection!O:O,0),"")</f>
        <v>1142</v>
      </c>
      <c r="N4" s="330" t="str">
        <f t="shared" ref="N4:N13" si="3">D4&amp;" "&amp;$A$1</f>
        <v xml:space="preserve">1894 Liberty   V   Nickel </v>
      </c>
      <c r="O4" s="330" t="str">
        <f>IFERROR(MATCH(N4,CoinCollection!O:O,0),"")</f>
        <v/>
      </c>
      <c r="P4" s="330" t="str">
        <f t="shared" ref="P4:P13" si="4">F4&amp;" "&amp;$A$1</f>
        <v xml:space="preserve">1905 Liberty   V   Nickel </v>
      </c>
      <c r="Q4" s="330">
        <f>IFERROR(MATCH(P4,CoinCollection!O:O,0),"")</f>
        <v>1154</v>
      </c>
    </row>
    <row r="5" spans="1:17">
      <c r="A5" s="334" t="b">
        <f t="shared" si="0"/>
        <v>0</v>
      </c>
      <c r="B5" s="361" t="s">
        <v>2393</v>
      </c>
      <c r="C5" s="336" t="b">
        <f t="shared" si="1"/>
        <v>0</v>
      </c>
      <c r="D5" s="362">
        <v>1895</v>
      </c>
      <c r="E5" s="336" t="b">
        <f t="shared" si="2"/>
        <v>1</v>
      </c>
      <c r="F5" s="345" t="s">
        <v>2401</v>
      </c>
      <c r="H5" s="430">
        <v>1886</v>
      </c>
      <c r="I5" s="430">
        <v>1886</v>
      </c>
      <c r="L5" s="330" t="str">
        <f t="shared" ref="L5:L13" si="5">B5&amp;" "&amp;$A$1</f>
        <v xml:space="preserve">1884 Liberty   V   Nickel </v>
      </c>
      <c r="M5" s="330" t="str">
        <f>IFERROR(MATCH(L5,CoinCollection!O:O,0),"")</f>
        <v/>
      </c>
      <c r="N5" s="330" t="str">
        <f t="shared" si="3"/>
        <v xml:space="preserve">1895 Liberty   V   Nickel </v>
      </c>
      <c r="O5" s="330" t="str">
        <f>IFERROR(MATCH(N5,CoinCollection!O:O,0),"")</f>
        <v/>
      </c>
      <c r="P5" s="330" t="str">
        <f t="shared" si="4"/>
        <v xml:space="preserve">1906 Liberty   V   Nickel </v>
      </c>
      <c r="Q5" s="330">
        <f>IFERROR(MATCH(P5,CoinCollection!O:O,0),"")</f>
        <v>1156</v>
      </c>
    </row>
    <row r="6" spans="1:17">
      <c r="A6" s="334" t="b">
        <f t="shared" si="0"/>
        <v>0</v>
      </c>
      <c r="B6" s="431">
        <v>1885</v>
      </c>
      <c r="C6" s="336" t="b">
        <f t="shared" si="1"/>
        <v>1</v>
      </c>
      <c r="D6" s="364">
        <v>1896</v>
      </c>
      <c r="E6" s="336" t="b">
        <f t="shared" si="2"/>
        <v>1</v>
      </c>
      <c r="F6" s="344" t="s">
        <v>2402</v>
      </c>
      <c r="H6" s="339" t="str">
        <v>1887</v>
      </c>
      <c r="I6" s="339" t="str">
        <v>1887</v>
      </c>
      <c r="L6" s="330" t="str">
        <f>LEFT(B6,4)&amp;" "&amp;$A$1</f>
        <v xml:space="preserve">1885 Liberty   V   Nickel </v>
      </c>
      <c r="M6" s="330" t="str">
        <f>IFERROR(MATCH(L6,CoinCollection!O:O,0),"")</f>
        <v/>
      </c>
      <c r="N6" s="330" t="str">
        <f t="shared" si="3"/>
        <v xml:space="preserve">1896 Liberty   V   Nickel </v>
      </c>
      <c r="O6" s="330">
        <f>IFERROR(MATCH(N6,CoinCollection!O:O,0),"")</f>
        <v>1146</v>
      </c>
      <c r="P6" s="330" t="str">
        <f t="shared" si="4"/>
        <v xml:space="preserve">1907 Liberty   V   Nickel </v>
      </c>
      <c r="Q6" s="330">
        <f>IFERROR(MATCH(P6,CoinCollection!O:O,0),"")</f>
        <v>1157</v>
      </c>
    </row>
    <row r="7" spans="1:17">
      <c r="A7" s="334" t="b">
        <f t="shared" si="0"/>
        <v>0</v>
      </c>
      <c r="B7" s="432">
        <v>1886</v>
      </c>
      <c r="C7" s="336" t="b">
        <f t="shared" si="1"/>
        <v>1</v>
      </c>
      <c r="D7" s="362">
        <v>1897</v>
      </c>
      <c r="E7" s="336" t="b">
        <f t="shared" si="2"/>
        <v>1</v>
      </c>
      <c r="F7" s="345" t="s">
        <v>2403</v>
      </c>
      <c r="H7" s="339" t="str">
        <v>1888</v>
      </c>
      <c r="I7" s="339" t="str">
        <v>1888</v>
      </c>
      <c r="L7" s="330" t="str">
        <f>LEFT(B7,4)&amp;" "&amp;$A$1</f>
        <v xml:space="preserve">1886 Liberty   V   Nickel </v>
      </c>
      <c r="M7" s="330" t="str">
        <f>IFERROR(MATCH(L7,CoinCollection!O:O,0),"")</f>
        <v/>
      </c>
      <c r="N7" s="330" t="str">
        <f t="shared" si="3"/>
        <v xml:space="preserve">1897 Liberty   V   Nickel </v>
      </c>
      <c r="O7" s="330">
        <f>IFERROR(MATCH(N7,CoinCollection!O:O,0),"")</f>
        <v>1147</v>
      </c>
      <c r="P7" s="330" t="str">
        <f t="shared" si="4"/>
        <v xml:space="preserve">1908 Liberty   V   Nickel </v>
      </c>
      <c r="Q7" s="330">
        <f>IFERROR(MATCH(P7,CoinCollection!O:O,0),"")</f>
        <v>1159</v>
      </c>
    </row>
    <row r="8" spans="1:17">
      <c r="A8" s="334" t="b">
        <f t="shared" si="0"/>
        <v>0</v>
      </c>
      <c r="B8" s="363" t="s">
        <v>2394</v>
      </c>
      <c r="C8" s="336" t="b">
        <f t="shared" si="1"/>
        <v>0</v>
      </c>
      <c r="D8" s="364">
        <v>1898</v>
      </c>
      <c r="E8" s="336" t="b">
        <f t="shared" si="2"/>
        <v>1</v>
      </c>
      <c r="F8" s="344" t="s">
        <v>2404</v>
      </c>
      <c r="H8" s="339" t="str">
        <v>1891</v>
      </c>
      <c r="I8" s="339" t="str">
        <v>1891</v>
      </c>
      <c r="L8" s="330" t="str">
        <f t="shared" si="5"/>
        <v xml:space="preserve">1887 Liberty   V   Nickel </v>
      </c>
      <c r="M8" s="330" t="str">
        <f>IFERROR(MATCH(L8,CoinCollection!O:O,0),"")</f>
        <v/>
      </c>
      <c r="N8" s="330" t="str">
        <f t="shared" si="3"/>
        <v xml:space="preserve">1898 Liberty   V   Nickel </v>
      </c>
      <c r="O8" s="330" t="str">
        <f>IFERROR(MATCH(N8,CoinCollection!O:O,0),"")</f>
        <v/>
      </c>
      <c r="P8" s="330" t="str">
        <f t="shared" si="4"/>
        <v xml:space="preserve">1909 Liberty   V   Nickel </v>
      </c>
      <c r="Q8" s="330">
        <f>IFERROR(MATCH(P8,CoinCollection!O:O,0),"")</f>
        <v>1161</v>
      </c>
    </row>
    <row r="9" spans="1:17">
      <c r="A9" s="334" t="b">
        <f t="shared" si="0"/>
        <v>0</v>
      </c>
      <c r="B9" s="361" t="s">
        <v>2395</v>
      </c>
      <c r="C9" s="336" t="b">
        <f t="shared" si="1"/>
        <v>0</v>
      </c>
      <c r="D9" s="362">
        <v>1899</v>
      </c>
      <c r="E9" s="336" t="b">
        <f t="shared" si="2"/>
        <v>1</v>
      </c>
      <c r="F9" s="345" t="s">
        <v>2405</v>
      </c>
      <c r="H9" s="339">
        <v>1892</v>
      </c>
      <c r="I9" s="339">
        <v>1892</v>
      </c>
      <c r="L9" s="330" t="str">
        <f t="shared" si="5"/>
        <v xml:space="preserve">1888 Liberty   V   Nickel </v>
      </c>
      <c r="M9" s="330" t="str">
        <f>IFERROR(MATCH(L9,CoinCollection!O:O,0),"")</f>
        <v/>
      </c>
      <c r="N9" s="330" t="str">
        <f t="shared" si="3"/>
        <v xml:space="preserve">1899 Liberty   V   Nickel </v>
      </c>
      <c r="O9" s="330" t="str">
        <f>IFERROR(MATCH(N9,CoinCollection!O:O,0),"")</f>
        <v/>
      </c>
      <c r="P9" s="330" t="str">
        <f t="shared" si="4"/>
        <v xml:space="preserve">1910 Liberty   V   Nickel </v>
      </c>
      <c r="Q9" s="330">
        <f>IFERROR(MATCH(P9,CoinCollection!O:O,0),"")</f>
        <v>1163</v>
      </c>
    </row>
    <row r="10" spans="1:17">
      <c r="A10" s="334" t="b">
        <f t="shared" si="0"/>
        <v>1</v>
      </c>
      <c r="B10" s="363" t="s">
        <v>2396</v>
      </c>
      <c r="C10" s="336" t="b">
        <f t="shared" si="1"/>
        <v>0</v>
      </c>
      <c r="D10" s="364">
        <v>1900</v>
      </c>
      <c r="E10" s="336" t="b">
        <f t="shared" si="2"/>
        <v>1</v>
      </c>
      <c r="F10" s="344" t="s">
        <v>2406</v>
      </c>
      <c r="H10" s="339" cm="1">
        <f t="array" ref="H10:H14">_xlfn._xlws.FILTER(D3:D13,C3:C13=FALSE)</f>
        <v>1894</v>
      </c>
      <c r="I10" s="339">
        <v>1894</v>
      </c>
      <c r="L10" s="330" t="str">
        <f t="shared" si="5"/>
        <v xml:space="preserve">1889 Liberty   V   Nickel </v>
      </c>
      <c r="M10" s="330">
        <f>IFERROR(MATCH(L10,CoinCollection!O:O,0),"")</f>
        <v>1143</v>
      </c>
      <c r="N10" s="330" t="str">
        <f t="shared" si="3"/>
        <v xml:space="preserve">1900 Liberty   V   Nickel </v>
      </c>
      <c r="O10" s="330" t="str">
        <f>IFERROR(MATCH(N10,CoinCollection!O:O,0),"")</f>
        <v/>
      </c>
      <c r="P10" s="330" t="str">
        <f t="shared" si="4"/>
        <v xml:space="preserve">1911 Liberty   V   Nickel </v>
      </c>
      <c r="Q10" s="330">
        <f>IFERROR(MATCH(P10,CoinCollection!O:O,0),"")</f>
        <v>1166</v>
      </c>
    </row>
    <row r="11" spans="1:17">
      <c r="A11" s="334" t="b">
        <f t="shared" si="0"/>
        <v>1</v>
      </c>
      <c r="B11" s="361" t="s">
        <v>2397</v>
      </c>
      <c r="C11" s="336" t="b">
        <f t="shared" si="1"/>
        <v>1</v>
      </c>
      <c r="D11" s="362">
        <v>1901</v>
      </c>
      <c r="E11" s="336" t="b">
        <f t="shared" si="2"/>
        <v>1</v>
      </c>
      <c r="F11" s="345" t="s">
        <v>2407</v>
      </c>
      <c r="H11" s="339">
        <v>1895</v>
      </c>
      <c r="I11" s="339">
        <v>1895</v>
      </c>
      <c r="L11" s="330" t="str">
        <f t="shared" si="5"/>
        <v xml:space="preserve">1890 Liberty   V   Nickel </v>
      </c>
      <c r="M11" s="330">
        <f>IFERROR(MATCH(L11,CoinCollection!O:O,0),"")</f>
        <v>1144</v>
      </c>
      <c r="N11" s="330" t="str">
        <f t="shared" si="3"/>
        <v xml:space="preserve">1901 Liberty   V   Nickel </v>
      </c>
      <c r="O11" s="330">
        <f>IFERROR(MATCH(N11,CoinCollection!O:O,0),"")</f>
        <v>1148</v>
      </c>
      <c r="P11" s="330" t="str">
        <f t="shared" si="4"/>
        <v xml:space="preserve">1912 Liberty   V   Nickel </v>
      </c>
      <c r="Q11" s="330">
        <f>IFERROR(MATCH(P11,CoinCollection!O:O,0),"")</f>
        <v>1167</v>
      </c>
    </row>
    <row r="12" spans="1:17">
      <c r="A12" s="334" t="b">
        <f t="shared" si="0"/>
        <v>0</v>
      </c>
      <c r="B12" s="363" t="s">
        <v>2398</v>
      </c>
      <c r="C12" s="336" t="b">
        <f t="shared" si="1"/>
        <v>1</v>
      </c>
      <c r="D12" s="364">
        <v>1902</v>
      </c>
      <c r="E12" s="336" t="b">
        <f t="shared" si="2"/>
        <v>0</v>
      </c>
      <c r="F12" s="344" t="s">
        <v>2408</v>
      </c>
      <c r="H12" s="339">
        <v>1898</v>
      </c>
      <c r="I12" s="339">
        <v>1898</v>
      </c>
      <c r="L12" s="330" t="str">
        <f t="shared" si="5"/>
        <v xml:space="preserve">1891 Liberty   V   Nickel </v>
      </c>
      <c r="M12" s="330" t="str">
        <f>IFERROR(MATCH(L12,CoinCollection!O:O,0),"")</f>
        <v/>
      </c>
      <c r="N12" s="330" t="str">
        <f t="shared" si="3"/>
        <v xml:space="preserve">1902 Liberty   V   Nickel </v>
      </c>
      <c r="O12" s="330">
        <f>IFERROR(MATCH(N12,CoinCollection!O:O,0),"")</f>
        <v>1149</v>
      </c>
      <c r="P12" s="330" t="str">
        <f t="shared" si="4"/>
        <v xml:space="preserve">1912-D Liberty   V   Nickel </v>
      </c>
      <c r="Q12" s="330" t="str">
        <f>IFERROR(MATCH(P12,CoinCollection!O:O,0),"")</f>
        <v/>
      </c>
    </row>
    <row r="13" spans="1:17">
      <c r="A13" s="334" t="b">
        <f t="shared" si="0"/>
        <v>0</v>
      </c>
      <c r="B13" s="365">
        <v>1892</v>
      </c>
      <c r="C13" s="336" t="b">
        <f t="shared" si="1"/>
        <v>1</v>
      </c>
      <c r="D13" s="362">
        <v>1903</v>
      </c>
      <c r="E13" s="336" t="b">
        <f t="shared" si="2"/>
        <v>0</v>
      </c>
      <c r="F13" s="429" t="s">
        <v>4695</v>
      </c>
      <c r="H13" s="339">
        <v>1899</v>
      </c>
      <c r="I13" s="339">
        <v>1899</v>
      </c>
      <c r="L13" s="330" t="str">
        <f t="shared" si="5"/>
        <v xml:space="preserve">1892 Liberty   V   Nickel </v>
      </c>
      <c r="M13" s="330" t="str">
        <f>IFERROR(MATCH(L13,CoinCollection!O:O,0),"")</f>
        <v/>
      </c>
      <c r="N13" s="330" t="str">
        <f t="shared" si="3"/>
        <v xml:space="preserve">1903 Liberty   V   Nickel </v>
      </c>
      <c r="O13" s="330">
        <f>IFERROR(MATCH(N13,CoinCollection!O:O,0),"")</f>
        <v>1151</v>
      </c>
      <c r="P13" s="330" t="str">
        <f t="shared" si="4"/>
        <v xml:space="preserve">1912-S Liberty   V   Nickel </v>
      </c>
      <c r="Q13" s="330" t="str">
        <f>IFERROR(MATCH(P13,CoinCollection!O:O,0),"")</f>
        <v/>
      </c>
    </row>
    <row r="14" spans="1:17">
      <c r="B14" s="358"/>
      <c r="C14" s="359"/>
      <c r="D14" s="359"/>
      <c r="E14" s="359"/>
      <c r="F14" s="366"/>
      <c r="H14" s="339">
        <v>1900</v>
      </c>
      <c r="I14" s="339">
        <v>1900</v>
      </c>
    </row>
    <row r="15" spans="1:17">
      <c r="H15" s="339" t="str" cm="1">
        <f t="array" ref="H15:H16">_xlfn._xlws.FILTER(F3:F13,E3:E13=FALSE)</f>
        <v>1912-D</v>
      </c>
      <c r="I15" s="339" t="str">
        <v>1912-D</v>
      </c>
    </row>
    <row r="16" spans="1:17">
      <c r="B16"/>
      <c r="C16"/>
      <c r="D16"/>
      <c r="E16"/>
      <c r="F16"/>
      <c r="H16" s="339" t="str">
        <v>1912-S</v>
      </c>
      <c r="I16" s="430" t="str">
        <v>1912-S</v>
      </c>
    </row>
    <row r="17" spans="1:9">
      <c r="B17" s="348" t="s">
        <v>4668</v>
      </c>
      <c r="C17" s="330">
        <f>COUNTIF(A3:F13,"=False")</f>
        <v>14</v>
      </c>
    </row>
    <row r="18" spans="1:9">
      <c r="B18" s="348" t="s">
        <v>4669</v>
      </c>
      <c r="C18" s="330">
        <f>COUNTIF(A3:F13,"=true")</f>
        <v>19</v>
      </c>
      <c r="I18" s="378">
        <f>COUNTA(_xlfn.ANCHORARRAY(I3))</f>
        <v>14</v>
      </c>
    </row>
    <row r="20" spans="1:9">
      <c r="A20" s="427" t="s">
        <v>5200</v>
      </c>
      <c r="B20" s="428"/>
      <c r="C20" s="428"/>
      <c r="D20" s="428"/>
      <c r="E20" s="428"/>
      <c r="F20" s="428"/>
      <c r="G20" s="428"/>
      <c r="H20" s="428"/>
      <c r="I20" s="428"/>
    </row>
    <row r="22" spans="1:9">
      <c r="A22" s="248"/>
    </row>
    <row r="23" spans="1:9">
      <c r="A23" s="248"/>
      <c r="B23" s="248"/>
      <c r="C23" s="248"/>
      <c r="D23" s="248"/>
      <c r="E23" s="248"/>
      <c r="F23" s="248"/>
    </row>
    <row r="24" spans="1:9">
      <c r="A24" s="248"/>
      <c r="B24" s="248"/>
      <c r="C24" s="248"/>
      <c r="D24" s="248"/>
      <c r="E24" s="248"/>
      <c r="F24" s="248"/>
    </row>
    <row r="25" spans="1:9">
      <c r="A25" s="248"/>
      <c r="B25" s="248"/>
      <c r="C25" s="248"/>
      <c r="D25" s="248"/>
      <c r="E25" s="248"/>
      <c r="F25" s="248"/>
    </row>
    <row r="26" spans="1:9">
      <c r="A26" s="248"/>
      <c r="B26" s="248"/>
      <c r="C26" s="248"/>
      <c r="D26" s="248"/>
      <c r="E26" s="248"/>
      <c r="F26" s="248"/>
    </row>
    <row r="27" spans="1:9">
      <c r="A27" s="248"/>
      <c r="B27" s="248"/>
      <c r="C27" s="248"/>
      <c r="D27" s="248"/>
      <c r="E27" s="248"/>
      <c r="F27" s="248"/>
    </row>
    <row r="28" spans="1:9">
      <c r="A28" s="248"/>
      <c r="B28" s="248"/>
      <c r="C28" s="248"/>
      <c r="D28" s="248"/>
      <c r="E28" s="248"/>
      <c r="F28" s="248"/>
    </row>
    <row r="29" spans="1:9">
      <c r="A29" s="248"/>
      <c r="B29" s="248"/>
      <c r="C29" s="248"/>
      <c r="D29" s="248"/>
      <c r="E29" s="248"/>
      <c r="F29" s="248"/>
    </row>
    <row r="30" spans="1:9">
      <c r="A30" s="248"/>
      <c r="B30" s="248"/>
      <c r="C30" s="248"/>
      <c r="D30" s="248"/>
      <c r="E30" s="248"/>
      <c r="F30" s="248"/>
    </row>
    <row r="31" spans="1:9">
      <c r="A31" s="248"/>
      <c r="B31" s="248"/>
      <c r="C31" s="248"/>
      <c r="D31" s="248"/>
      <c r="E31" s="248"/>
      <c r="F31" s="248"/>
    </row>
    <row r="32" spans="1:9">
      <c r="A32" s="248"/>
      <c r="B32" s="248"/>
      <c r="C32" s="248"/>
      <c r="D32" s="248"/>
      <c r="E32" s="248"/>
      <c r="F32" s="248"/>
    </row>
    <row r="33" spans="1:6">
      <c r="A33" s="248"/>
      <c r="B33" s="248"/>
      <c r="C33" s="248"/>
      <c r="D33" s="248"/>
      <c r="E33" s="248"/>
      <c r="F33" s="248"/>
    </row>
    <row r="34" spans="1:6">
      <c r="A34" s="248"/>
      <c r="B34" s="248"/>
      <c r="C34" s="248"/>
      <c r="D34" s="248"/>
      <c r="E34" s="248"/>
      <c r="F34" s="248"/>
    </row>
    <row r="35" spans="1:6">
      <c r="A35" s="248"/>
      <c r="B35" s="248"/>
      <c r="C35" s="248"/>
      <c r="D35" s="248"/>
      <c r="E35" s="248"/>
      <c r="F35" s="248"/>
    </row>
  </sheetData>
  <pageMargins left="0.7" right="0.7" top="0.75" bottom="0.75" header="0.3" footer="0.3"/>
  <pageSetup scale="80"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2CE33-11F9-41BA-B031-81667FF1B7D2}">
  <sheetPr codeName="Sheet30"/>
  <dimension ref="A1:Z43"/>
  <sheetViews>
    <sheetView workbookViewId="0">
      <selection activeCell="C21" sqref="C21"/>
    </sheetView>
  </sheetViews>
  <sheetFormatPr defaultRowHeight="15"/>
  <cols>
    <col min="1" max="1" width="5.5703125" style="330" bestFit="1" customWidth="1"/>
    <col min="2" max="2" width="15.7109375" style="330" bestFit="1" customWidth="1"/>
    <col min="3" max="3" width="12.42578125" style="330" bestFit="1" customWidth="1"/>
    <col min="4" max="4" width="11.42578125" style="330" bestFit="1" customWidth="1"/>
    <col min="5" max="5" width="12.42578125" style="330" bestFit="1" customWidth="1"/>
    <col min="6" max="6" width="11.42578125" style="330" bestFit="1" customWidth="1"/>
    <col min="7" max="7" width="12.42578125" style="330" bestFit="1" customWidth="1"/>
    <col min="8" max="8" width="11.42578125" style="330" bestFit="1" customWidth="1"/>
    <col min="9" max="9" width="12.42578125" style="330" bestFit="1" customWidth="1"/>
    <col min="10" max="10" width="9.140625" style="330" bestFit="1" customWidth="1"/>
    <col min="11" max="11" width="13.5703125" style="330" bestFit="1" customWidth="1"/>
    <col min="12" max="12" width="19" hidden="1" customWidth="1"/>
    <col min="13" max="13" width="0" hidden="1" customWidth="1"/>
    <col min="14" max="14" width="19.7109375" hidden="1" customWidth="1"/>
    <col min="15" max="15" width="0" style="330" hidden="1" customWidth="1"/>
    <col min="16" max="16" width="20" style="330" hidden="1" customWidth="1"/>
    <col min="17" max="17" width="0" style="330" hidden="1" customWidth="1"/>
    <col min="18" max="18" width="20" style="330" hidden="1" customWidth="1"/>
    <col min="19" max="19" width="0" style="330" hidden="1" customWidth="1"/>
    <col min="20" max="20" width="29.42578125" style="330" hidden="1" customWidth="1"/>
    <col min="21" max="21" width="0" style="330" hidden="1" customWidth="1"/>
    <col min="22" max="22" width="3" style="330" customWidth="1"/>
    <col min="23" max="23" width="3.140625" style="330" customWidth="1"/>
    <col min="24" max="16384" width="9.140625" style="330"/>
  </cols>
  <sheetData>
    <row r="1" spans="1:26">
      <c r="A1" s="348" t="s">
        <v>4952</v>
      </c>
    </row>
    <row r="2" spans="1:26">
      <c r="B2" s="331" t="s">
        <v>3</v>
      </c>
      <c r="C2" s="332" t="s">
        <v>1958</v>
      </c>
      <c r="D2" s="332" t="s">
        <v>4802</v>
      </c>
      <c r="E2" s="332" t="s">
        <v>4803</v>
      </c>
      <c r="F2" s="332" t="s">
        <v>4804</v>
      </c>
      <c r="G2" s="332" t="s">
        <v>4807</v>
      </c>
      <c r="H2" s="332" t="s">
        <v>4808</v>
      </c>
      <c r="I2" s="332" t="s">
        <v>4809</v>
      </c>
      <c r="J2" s="332" t="s">
        <v>4810</v>
      </c>
    </row>
    <row r="3" spans="1:26">
      <c r="A3" s="397" t="b">
        <f>IF(M3&lt;&gt;"",TRUE,FALSE)</f>
        <v>1</v>
      </c>
      <c r="B3" s="398" t="s">
        <v>4813</v>
      </c>
      <c r="C3" s="402" t="b">
        <f>IF(O3&lt;&gt;"",TRUE,FALSE)</f>
        <v>1</v>
      </c>
      <c r="D3" s="403" t="s">
        <v>2421</v>
      </c>
      <c r="E3" s="336" t="b">
        <f>IF(Q3&lt;&gt;"",TRUE,FALSE)</f>
        <v>0</v>
      </c>
      <c r="F3" s="337" t="s">
        <v>2436</v>
      </c>
      <c r="G3" s="407" t="b">
        <f>IF(S3&lt;&gt;"",TRUE,FALSE)</f>
        <v>1</v>
      </c>
      <c r="H3" s="408" t="s">
        <v>2451</v>
      </c>
      <c r="I3" s="411" t="b">
        <f>IF(U3&lt;&gt;"",TRUE,FALSE)</f>
        <v>1</v>
      </c>
      <c r="J3" s="412" t="s">
        <v>2466</v>
      </c>
      <c r="L3" t="str">
        <f>LEFT(B3,4)&amp;" "&amp;$A$1</f>
        <v>1913 Buffalo Nickel</v>
      </c>
      <c r="M3">
        <f>IFERROR(MATCH(L3,CoinCollection!O:O,0),"")</f>
        <v>1170</v>
      </c>
      <c r="N3" t="str">
        <f>D3&amp;" "&amp;$A$1</f>
        <v>1917 Buffalo Nickel</v>
      </c>
      <c r="O3" s="330">
        <f>IFERROR(MATCH(N3,CoinCollection!O:O,0),"")</f>
        <v>1172</v>
      </c>
      <c r="P3" s="330" t="str">
        <f>F3&amp;" "&amp;$A$1</f>
        <v>1921-S Buffalo Nickel</v>
      </c>
      <c r="Q3" s="330" t="str">
        <f>IFERROR(MATCH(P3,CoinCollection!O:O,0),"")</f>
        <v/>
      </c>
      <c r="R3" s="330" t="str">
        <f>H3&amp;" "&amp;$A$1</f>
        <v>1928 Buffalo Nickel</v>
      </c>
      <c r="S3" s="330">
        <f>IFERROR(MATCH(R3,CoinCollection!O:O,0),"")</f>
        <v>1185</v>
      </c>
      <c r="T3" s="330" t="str">
        <f>J3&amp;" "&amp;$A$1</f>
        <v>1936-D Buffalo Nickel</v>
      </c>
      <c r="U3" s="330">
        <f>IFERROR(MATCH(T3,CoinCollection!O:O,0),"")</f>
        <v>1212</v>
      </c>
      <c r="X3" s="339" cm="1">
        <f t="array" ref="X3:X10">_xlfn._xlws.FILTER('Buffalo Nickels'!$B$3:$B$17,A3:A17=FALSE)</f>
        <v>1914</v>
      </c>
      <c r="Y3" s="339"/>
      <c r="Z3" s="339" cm="1">
        <f t="array" ref="Z3:Z41">_xlfn.LET(_xlpm.stacked_data,_xlfn.VSTACK(A3:B17,C3:D17,E3:F17,G3:H17,I3:J9),
_xlfn._xlws.FILTER(_xlfn.CHOOSECOLS(_xlpm.stacked_data,2),_xlfn.CHOOSECOLS(_xlpm.stacked_data,1)=FALSE)
)</f>
        <v>1914</v>
      </c>
    </row>
    <row r="4" spans="1:26">
      <c r="A4" s="397" t="b">
        <f t="shared" ref="A4:A17" si="0">IF(M4&lt;&gt;"",TRUE,FALSE)</f>
        <v>1</v>
      </c>
      <c r="B4" s="399" t="s">
        <v>4814</v>
      </c>
      <c r="C4" s="402" t="b">
        <f t="shared" ref="C4:C8" si="1">IF(O4&lt;&gt;"",TRUE,FALSE)</f>
        <v>0</v>
      </c>
      <c r="D4" s="404" t="s">
        <v>2422</v>
      </c>
      <c r="E4" s="336" t="b">
        <f t="shared" ref="E4:E17" si="2">IF(Q4&lt;&gt;"",TRUE,FALSE)</f>
        <v>1</v>
      </c>
      <c r="F4" s="406" t="s">
        <v>2437</v>
      </c>
      <c r="G4" s="407" t="b">
        <f t="shared" ref="G4:G17" si="3">IF(Q4&lt;&gt;"",TRUE,FALSE)</f>
        <v>1</v>
      </c>
      <c r="H4" s="409" t="s">
        <v>2452</v>
      </c>
      <c r="I4" s="411" t="b">
        <f t="shared" ref="I4:I9" si="4">IF(U4&lt;&gt;"",TRUE,FALSE)</f>
        <v>1</v>
      </c>
      <c r="J4" s="413" t="s">
        <v>2467</v>
      </c>
      <c r="L4" t="str">
        <f t="shared" ref="L4:L8" si="5">LEFT(B4,4)&amp;" "&amp;$A$1</f>
        <v>1913 Buffalo Nickel</v>
      </c>
      <c r="M4">
        <f>IFERROR(MATCH(L4,CoinCollection!O:O,0),"")</f>
        <v>1170</v>
      </c>
      <c r="N4" t="str">
        <f t="shared" ref="N4:N8" si="6">D4&amp;" "&amp;$A$1</f>
        <v>1917-D Buffalo Nickel</v>
      </c>
      <c r="O4" s="330" t="str">
        <f>IFERROR(MATCH(N4,CoinCollection!O:O,0),"")</f>
        <v/>
      </c>
      <c r="P4" s="330" t="str">
        <f t="shared" ref="P4:P17" si="7">F4&amp;" "&amp;$A$1</f>
        <v>1923 Buffalo Nickel</v>
      </c>
      <c r="Q4" s="330">
        <f>IFERROR(MATCH(P4,CoinCollection!O:O,0),"")</f>
        <v>1176</v>
      </c>
      <c r="R4" s="330" t="str">
        <f t="shared" ref="R4:R17" si="8">H4&amp;" "&amp;$A$1</f>
        <v>1928-D Buffalo Nickel</v>
      </c>
      <c r="S4" s="330">
        <f>IFERROR(MATCH(R4,CoinCollection!O:O,0),"")</f>
        <v>1188</v>
      </c>
      <c r="T4" s="330" t="str">
        <f t="shared" ref="T4:T8" si="9">J4&amp;" "&amp;$A$1</f>
        <v>1936-S Buffalo Nickel</v>
      </c>
      <c r="U4" s="330">
        <f>IFERROR(MATCH(T4,CoinCollection!O:O,0),"")</f>
        <v>1211</v>
      </c>
      <c r="X4" s="330" t="str">
        <v>1914-D</v>
      </c>
      <c r="Z4" s="330" t="str">
        <v>1914-D</v>
      </c>
    </row>
    <row r="5" spans="1:26">
      <c r="A5" s="397" t="b">
        <f t="shared" si="0"/>
        <v>1</v>
      </c>
      <c r="B5" s="398" t="s">
        <v>4815</v>
      </c>
      <c r="C5" s="402" t="b">
        <f t="shared" si="1"/>
        <v>0</v>
      </c>
      <c r="D5" s="403" t="s">
        <v>2423</v>
      </c>
      <c r="E5" s="336" t="b">
        <f t="shared" si="2"/>
        <v>0</v>
      </c>
      <c r="F5" s="337" t="s">
        <v>2438</v>
      </c>
      <c r="G5" s="407" t="b">
        <f t="shared" si="3"/>
        <v>0</v>
      </c>
      <c r="H5" s="408" t="s">
        <v>2453</v>
      </c>
      <c r="I5" s="411" t="b">
        <f t="shared" si="4"/>
        <v>1</v>
      </c>
      <c r="J5" s="414" t="s">
        <v>2468</v>
      </c>
      <c r="L5" t="str">
        <f t="shared" si="5"/>
        <v>1913 Buffalo Nickel</v>
      </c>
      <c r="M5">
        <f>IFERROR(MATCH(L5,CoinCollection!O:O,0),"")</f>
        <v>1170</v>
      </c>
      <c r="N5" t="str">
        <f t="shared" si="6"/>
        <v>1917-S Buffalo Nickel</v>
      </c>
      <c r="O5" s="330" t="str">
        <f>IFERROR(MATCH(N5,CoinCollection!O:O,0),"")</f>
        <v/>
      </c>
      <c r="P5" s="330" t="str">
        <f t="shared" si="7"/>
        <v>1923-S Buffalo Nickel</v>
      </c>
      <c r="Q5" s="330" t="str">
        <f>IFERROR(MATCH(P5,CoinCollection!O:O,0),"")</f>
        <v/>
      </c>
      <c r="R5" s="330" t="str">
        <f t="shared" si="8"/>
        <v>1928-S Buffalo Nickel</v>
      </c>
      <c r="S5" s="330">
        <f>IFERROR(MATCH(R5,CoinCollection!O:O,0),"")</f>
        <v>1186</v>
      </c>
      <c r="T5" s="330" t="str">
        <f t="shared" si="9"/>
        <v>1937 Buffalo Nickel</v>
      </c>
      <c r="U5" s="330">
        <f>IFERROR(MATCH(T5,CoinCollection!O:O,0),"")</f>
        <v>1213</v>
      </c>
      <c r="X5" s="330" t="str">
        <v>1914-S</v>
      </c>
      <c r="Z5" s="330" t="str">
        <v>1914-S</v>
      </c>
    </row>
    <row r="6" spans="1:26">
      <c r="A6" s="397" t="b">
        <f t="shared" si="0"/>
        <v>1</v>
      </c>
      <c r="B6" s="400" t="s">
        <v>4816</v>
      </c>
      <c r="C6" s="402" t="b">
        <f t="shared" si="1"/>
        <v>0</v>
      </c>
      <c r="D6" s="404" t="s">
        <v>2424</v>
      </c>
      <c r="E6" s="336" t="b">
        <f t="shared" si="2"/>
        <v>1</v>
      </c>
      <c r="F6" s="406" t="s">
        <v>2439</v>
      </c>
      <c r="G6" s="407" t="b">
        <f t="shared" si="3"/>
        <v>1</v>
      </c>
      <c r="H6" s="409" t="s">
        <v>2454</v>
      </c>
      <c r="I6" s="411" t="b">
        <f t="shared" si="4"/>
        <v>1</v>
      </c>
      <c r="J6" s="413" t="s">
        <v>2469</v>
      </c>
      <c r="L6" t="str">
        <f t="shared" si="5"/>
        <v>1913 Buffalo Nickel</v>
      </c>
      <c r="M6">
        <f>IFERROR(MATCH(L6,CoinCollection!O:O,0),"")</f>
        <v>1170</v>
      </c>
      <c r="N6" t="str">
        <f t="shared" si="6"/>
        <v>1918 Buffalo Nickel</v>
      </c>
      <c r="O6" s="330" t="str">
        <f>IFERROR(MATCH(N6,CoinCollection!O:O,0),"")</f>
        <v/>
      </c>
      <c r="P6" s="330" t="str">
        <f t="shared" si="7"/>
        <v>1924 Buffalo Nickel</v>
      </c>
      <c r="Q6" s="330">
        <f>IFERROR(MATCH(P6,CoinCollection!O:O,0),"")</f>
        <v>1178</v>
      </c>
      <c r="R6" s="330" t="str">
        <f t="shared" si="8"/>
        <v>1929 Buffalo Nickel</v>
      </c>
      <c r="S6" s="330">
        <f>IFERROR(MATCH(R6,CoinCollection!O:O,0),"")</f>
        <v>1190</v>
      </c>
      <c r="T6" s="330" t="str">
        <f t="shared" si="9"/>
        <v>1937-D Buffalo Nickel</v>
      </c>
      <c r="U6" s="330">
        <f>IFERROR(MATCH(T6,CoinCollection!O:O,0),"")</f>
        <v>1215</v>
      </c>
      <c r="X6" s="330" t="str">
        <v>1915</v>
      </c>
      <c r="Z6" s="330" t="str">
        <v>1915</v>
      </c>
    </row>
    <row r="7" spans="1:26">
      <c r="A7" s="397" t="b">
        <f t="shared" si="0"/>
        <v>1</v>
      </c>
      <c r="B7" s="398" t="s">
        <v>4817</v>
      </c>
      <c r="C7" s="402" t="b">
        <f t="shared" si="1"/>
        <v>0</v>
      </c>
      <c r="D7" s="403" t="s">
        <v>2425</v>
      </c>
      <c r="E7" s="336" t="b">
        <f t="shared" si="2"/>
        <v>0</v>
      </c>
      <c r="F7" s="337" t="s">
        <v>2440</v>
      </c>
      <c r="G7" s="407" t="b">
        <f t="shared" si="3"/>
        <v>0</v>
      </c>
      <c r="H7" s="408" t="s">
        <v>2455</v>
      </c>
      <c r="I7" s="411" t="b">
        <f t="shared" si="4"/>
        <v>1</v>
      </c>
      <c r="J7" s="433" t="s">
        <v>2469</v>
      </c>
      <c r="K7" s="434" t="s">
        <v>5201</v>
      </c>
      <c r="L7" t="str">
        <f t="shared" si="5"/>
        <v>1913 Buffalo Nickel</v>
      </c>
      <c r="M7">
        <f>IFERROR(MATCH(L7,CoinCollection!O:O,0),"")</f>
        <v>1170</v>
      </c>
      <c r="N7" t="str">
        <f t="shared" si="6"/>
        <v>1918-D Buffalo Nickel</v>
      </c>
      <c r="O7" s="330" t="str">
        <f>IFERROR(MATCH(N7,CoinCollection!O:O,0),"")</f>
        <v/>
      </c>
      <c r="P7" s="330" t="str">
        <f t="shared" si="7"/>
        <v>1924-D Buffalo Nickel</v>
      </c>
      <c r="Q7" s="330" t="str">
        <f>IFERROR(MATCH(P7,CoinCollection!O:O,0),"")</f>
        <v/>
      </c>
      <c r="R7" s="330" t="str">
        <f t="shared" si="8"/>
        <v>1929-D Buffalo Nickel</v>
      </c>
      <c r="S7" s="330" t="str">
        <f>IFERROR(MATCH(R7,CoinCollection!O:O,0),"")</f>
        <v/>
      </c>
      <c r="T7" s="330" t="str">
        <f t="shared" si="9"/>
        <v>1937-D Buffalo Nickel</v>
      </c>
      <c r="U7" s="330">
        <f>IFERROR(MATCH(T7,CoinCollection!O:O,0),"")</f>
        <v>1215</v>
      </c>
      <c r="X7" s="330" t="str">
        <v>1915-D</v>
      </c>
      <c r="Z7" s="330" t="str">
        <v>1915-D</v>
      </c>
    </row>
    <row r="8" spans="1:26">
      <c r="A8" s="397" t="b">
        <f t="shared" si="0"/>
        <v>1</v>
      </c>
      <c r="B8" s="399" t="s">
        <v>4818</v>
      </c>
      <c r="C8" s="402" t="b">
        <f t="shared" si="1"/>
        <v>0</v>
      </c>
      <c r="D8" s="404" t="s">
        <v>2426</v>
      </c>
      <c r="E8" s="336" t="b">
        <f t="shared" si="2"/>
        <v>0</v>
      </c>
      <c r="F8" s="406" t="s">
        <v>2441</v>
      </c>
      <c r="G8" s="407" t="b">
        <f t="shared" si="3"/>
        <v>0</v>
      </c>
      <c r="H8" s="409" t="s">
        <v>2456</v>
      </c>
      <c r="I8" s="411" t="b">
        <f t="shared" si="4"/>
        <v>0</v>
      </c>
      <c r="J8" s="413" t="s">
        <v>2470</v>
      </c>
      <c r="L8" t="str">
        <f t="shared" si="5"/>
        <v>1913 Buffalo Nickel</v>
      </c>
      <c r="M8">
        <f>IFERROR(MATCH(L8,CoinCollection!O:O,0),"")</f>
        <v>1170</v>
      </c>
      <c r="N8" t="str">
        <f t="shared" si="6"/>
        <v>1918-D* Buffalo Nickel</v>
      </c>
      <c r="O8" s="330" t="str">
        <f>IFERROR(MATCH(N8,CoinCollection!O:O,0),"")</f>
        <v/>
      </c>
      <c r="P8" s="330" t="str">
        <f t="shared" si="7"/>
        <v>1924-S Buffalo Nickel</v>
      </c>
      <c r="Q8" s="330" t="str">
        <f>IFERROR(MATCH(P8,CoinCollection!O:O,0),"")</f>
        <v/>
      </c>
      <c r="R8" s="330" t="str">
        <f t="shared" si="8"/>
        <v>1929-S Buffalo Nickel</v>
      </c>
      <c r="S8" s="330">
        <f>IFERROR(MATCH(R8,CoinCollection!O:O,0),"")</f>
        <v>1189</v>
      </c>
      <c r="T8" s="330" t="str">
        <f t="shared" si="9"/>
        <v>1937-S Buffalo Nickel</v>
      </c>
      <c r="U8" s="330" t="str">
        <f>IFERROR(MATCH(T8,CoinCollection!O:O,0),"")</f>
        <v/>
      </c>
      <c r="X8" s="330" t="str">
        <v>1915-S</v>
      </c>
      <c r="Z8" s="330" t="str">
        <v>1915-S</v>
      </c>
    </row>
    <row r="9" spans="1:26">
      <c r="A9" s="397" t="b">
        <f t="shared" si="0"/>
        <v>0</v>
      </c>
      <c r="B9" s="398">
        <v>1914</v>
      </c>
      <c r="C9" s="454" t="s">
        <v>53</v>
      </c>
      <c r="D9" s="403" t="s">
        <v>2427</v>
      </c>
      <c r="E9" s="336" t="b">
        <f t="shared" si="2"/>
        <v>1</v>
      </c>
      <c r="F9" s="337" t="s">
        <v>2442</v>
      </c>
      <c r="G9" s="407" t="b">
        <f t="shared" si="3"/>
        <v>1</v>
      </c>
      <c r="H9" s="408" t="s">
        <v>2457</v>
      </c>
      <c r="I9" s="411" t="b">
        <f t="shared" si="4"/>
        <v>1</v>
      </c>
      <c r="J9" s="414" t="s">
        <v>832</v>
      </c>
      <c r="L9" t="str">
        <f>B9&amp;" "&amp;$A$1</f>
        <v>1914 Buffalo Nickel</v>
      </c>
      <c r="M9" t="str">
        <f>IFERROR(MATCH(L9,CoinCollection!O:O,0),"")</f>
        <v/>
      </c>
      <c r="N9" t="str">
        <f t="shared" ref="N9:N16" si="10">D10&amp;" "&amp;$A$1</f>
        <v>1918-S Buffalo Nickel</v>
      </c>
      <c r="O9" s="330" t="str">
        <f>IFERROR(MATCH(N9,CoinCollection!O:O,0),"")</f>
        <v/>
      </c>
      <c r="P9" s="330" t="str">
        <f t="shared" si="7"/>
        <v>1925 Buffalo Nickel</v>
      </c>
      <c r="Q9" s="330">
        <f>IFERROR(MATCH(P9,CoinCollection!O:O,0),"")</f>
        <v>1180</v>
      </c>
      <c r="R9" s="330" t="str">
        <f t="shared" si="8"/>
        <v>1930 Buffalo Nickel</v>
      </c>
      <c r="S9" s="330">
        <f>IFERROR(MATCH(R9,CoinCollection!O:O,0),"")</f>
        <v>1193</v>
      </c>
      <c r="T9" s="330" t="str">
        <f>J9&amp;" "&amp;$A$1</f>
        <v>1938-D Buffalo Nickel</v>
      </c>
      <c r="U9" s="330">
        <f>IFERROR(MATCH(T9,CoinCollection!O:O,0),"")</f>
        <v>1216</v>
      </c>
      <c r="X9" s="330" t="str">
        <v>1916-D</v>
      </c>
      <c r="Z9" s="330" t="str">
        <v>1916-D</v>
      </c>
    </row>
    <row r="10" spans="1:26">
      <c r="A10" s="397" t="b">
        <f t="shared" si="0"/>
        <v>0</v>
      </c>
      <c r="B10" s="399" t="s">
        <v>2413</v>
      </c>
      <c r="C10" s="402" t="b">
        <f t="shared" ref="C10:C17" si="11">IF(O9&lt;&gt;"",TRUE,FALSE)</f>
        <v>0</v>
      </c>
      <c r="D10" s="404" t="s">
        <v>2428</v>
      </c>
      <c r="E10" s="336" t="b">
        <f t="shared" si="2"/>
        <v>0</v>
      </c>
      <c r="F10" s="406" t="s">
        <v>2443</v>
      </c>
      <c r="G10" s="407" t="b">
        <f t="shared" si="3"/>
        <v>0</v>
      </c>
      <c r="H10" s="409" t="s">
        <v>2458</v>
      </c>
      <c r="I10" s="414"/>
      <c r="J10" s="413"/>
      <c r="L10" t="str">
        <f t="shared" ref="L10:L17" si="12">B10&amp;" "&amp;$A$1</f>
        <v>1914-D Buffalo Nickel</v>
      </c>
      <c r="M10" t="str">
        <f>IFERROR(MATCH(L10,CoinCollection!O:O,0),"")</f>
        <v/>
      </c>
      <c r="N10" t="str">
        <f t="shared" si="10"/>
        <v>1919 Buffalo Nickel</v>
      </c>
      <c r="O10" s="330" t="str">
        <f>IFERROR(MATCH(N10,CoinCollection!O:O,0),"")</f>
        <v/>
      </c>
      <c r="P10" s="330" t="str">
        <f t="shared" si="7"/>
        <v>1925-D Buffalo Nickel</v>
      </c>
      <c r="Q10" s="330" t="str">
        <f>IFERROR(MATCH(P10,CoinCollection!O:O,0),"")</f>
        <v/>
      </c>
      <c r="R10" s="330" t="str">
        <f t="shared" si="8"/>
        <v>1930-S Buffalo Nickel</v>
      </c>
      <c r="S10" s="330">
        <f>IFERROR(MATCH(R10,CoinCollection!O:O,0),"")</f>
        <v>1194</v>
      </c>
      <c r="X10" s="330" t="str">
        <v>1916-S</v>
      </c>
      <c r="Z10" s="330" t="str">
        <v>1916-S</v>
      </c>
    </row>
    <row r="11" spans="1:26">
      <c r="A11" s="397" t="b">
        <f t="shared" si="0"/>
        <v>0</v>
      </c>
      <c r="B11" s="398" t="s">
        <v>2414</v>
      </c>
      <c r="C11" s="402" t="b">
        <f t="shared" si="11"/>
        <v>0</v>
      </c>
      <c r="D11" s="403" t="s">
        <v>2429</v>
      </c>
      <c r="E11" s="336" t="b">
        <f t="shared" si="2"/>
        <v>0</v>
      </c>
      <c r="F11" s="337" t="s">
        <v>2444</v>
      </c>
      <c r="G11" s="407" t="b">
        <f t="shared" si="3"/>
        <v>0</v>
      </c>
      <c r="H11" s="408" t="s">
        <v>2459</v>
      </c>
      <c r="I11" s="414"/>
      <c r="J11" s="414"/>
      <c r="L11" t="str">
        <f t="shared" si="12"/>
        <v>1914-S Buffalo Nickel</v>
      </c>
      <c r="M11" t="str">
        <f>IFERROR(MATCH(L11,CoinCollection!O:O,0),"")</f>
        <v/>
      </c>
      <c r="N11" t="str">
        <f t="shared" si="10"/>
        <v>1919-D Buffalo Nickel</v>
      </c>
      <c r="O11" s="330" t="str">
        <f>IFERROR(MATCH(N11,CoinCollection!O:O,0),"")</f>
        <v/>
      </c>
      <c r="P11" s="330" t="str">
        <f t="shared" si="7"/>
        <v>1925-S Buffalo Nickel</v>
      </c>
      <c r="Q11" s="330" t="str">
        <f>IFERROR(MATCH(P11,CoinCollection!O:O,0),"")</f>
        <v/>
      </c>
      <c r="R11" s="330" t="str">
        <f t="shared" si="8"/>
        <v>1931-S Buffalo Nickel</v>
      </c>
      <c r="S11" s="330">
        <f>IFERROR(MATCH(R11,CoinCollection!O:O,0),"")</f>
        <v>1195</v>
      </c>
      <c r="X11" s="330" t="str" cm="1">
        <f t="array" ref="X11:X21">_xlfn._xlws.FILTER('Buffalo Nickels'!$D$3:$D$17,'Buffalo Nickels'!$C$3:$C$17=FALSE)</f>
        <v>1917-D</v>
      </c>
      <c r="Z11" s="330" t="str">
        <v>1917-D</v>
      </c>
    </row>
    <row r="12" spans="1:26">
      <c r="A12" s="397" t="b">
        <f t="shared" si="0"/>
        <v>0</v>
      </c>
      <c r="B12" s="399" t="s">
        <v>2415</v>
      </c>
      <c r="C12" s="402" t="b">
        <f t="shared" si="11"/>
        <v>0</v>
      </c>
      <c r="D12" s="404" t="s">
        <v>2430</v>
      </c>
      <c r="E12" s="336" t="b">
        <f t="shared" si="2"/>
        <v>1</v>
      </c>
      <c r="F12" s="406" t="s">
        <v>2445</v>
      </c>
      <c r="G12" s="407" t="b">
        <f t="shared" si="3"/>
        <v>1</v>
      </c>
      <c r="H12" s="409" t="s">
        <v>2460</v>
      </c>
      <c r="I12" s="414"/>
      <c r="J12" s="413"/>
      <c r="L12" t="str">
        <f t="shared" si="12"/>
        <v>1915 Buffalo Nickel</v>
      </c>
      <c r="M12" t="str">
        <f>IFERROR(MATCH(L12,CoinCollection!O:O,0),"")</f>
        <v/>
      </c>
      <c r="N12" t="str">
        <f t="shared" si="10"/>
        <v>1919-S Buffalo Nickel</v>
      </c>
      <c r="O12" s="330" t="str">
        <f>IFERROR(MATCH(N12,CoinCollection!O:O,0),"")</f>
        <v/>
      </c>
      <c r="P12" s="330" t="str">
        <f t="shared" si="7"/>
        <v>1926 Buffalo Nickel</v>
      </c>
      <c r="Q12" s="330">
        <f>IFERROR(MATCH(P12,CoinCollection!O:O,0),"")</f>
        <v>1181</v>
      </c>
      <c r="R12" s="330" t="str">
        <f t="shared" si="8"/>
        <v>1934 Buffalo Nickel</v>
      </c>
      <c r="S12" s="330">
        <f>IFERROR(MATCH(R12,CoinCollection!O:O,0),"")</f>
        <v>1196</v>
      </c>
      <c r="X12" s="330" t="str">
        <v>1917-S</v>
      </c>
      <c r="Z12" s="330" t="str">
        <v>1917-S</v>
      </c>
    </row>
    <row r="13" spans="1:26">
      <c r="A13" s="397" t="b">
        <f t="shared" si="0"/>
        <v>0</v>
      </c>
      <c r="B13" s="398" t="s">
        <v>2416</v>
      </c>
      <c r="C13" s="402" t="b">
        <f t="shared" si="11"/>
        <v>0</v>
      </c>
      <c r="D13" s="403" t="s">
        <v>2431</v>
      </c>
      <c r="E13" s="336" t="b">
        <f t="shared" si="2"/>
        <v>0</v>
      </c>
      <c r="F13" s="337" t="s">
        <v>2446</v>
      </c>
      <c r="G13" s="407" t="b">
        <f t="shared" si="3"/>
        <v>0</v>
      </c>
      <c r="H13" s="408" t="s">
        <v>2461</v>
      </c>
      <c r="I13" s="414"/>
      <c r="J13" s="414"/>
      <c r="L13" t="str">
        <f t="shared" si="12"/>
        <v>1915-D Buffalo Nickel</v>
      </c>
      <c r="M13" t="str">
        <f>IFERROR(MATCH(L13,CoinCollection!O:O,0),"")</f>
        <v/>
      </c>
      <c r="N13" t="str">
        <f t="shared" si="10"/>
        <v>1920 Buffalo Nickel</v>
      </c>
      <c r="O13" s="330">
        <f>IFERROR(MATCH(N13,CoinCollection!O:O,0),"")</f>
        <v>1173</v>
      </c>
      <c r="P13" s="330" t="str">
        <f t="shared" si="7"/>
        <v>1926-D Buffalo Nickel</v>
      </c>
      <c r="Q13" s="330" t="str">
        <f>IFERROR(MATCH(P13,CoinCollection!O:O,0),"")</f>
        <v/>
      </c>
      <c r="R13" s="330" t="str">
        <f t="shared" si="8"/>
        <v>1934-D Buffalo Nickel</v>
      </c>
      <c r="S13" s="330">
        <f>IFERROR(MATCH(R13,CoinCollection!O:O,0),"")</f>
        <v>1198</v>
      </c>
      <c r="X13" s="330" t="str">
        <v>1918</v>
      </c>
      <c r="Z13" s="330" t="str">
        <v>1918</v>
      </c>
    </row>
    <row r="14" spans="1:26">
      <c r="A14" s="397" t="b">
        <f t="shared" si="0"/>
        <v>0</v>
      </c>
      <c r="B14" s="399" t="s">
        <v>2417</v>
      </c>
      <c r="C14" s="402" t="b">
        <f t="shared" si="11"/>
        <v>1</v>
      </c>
      <c r="D14" s="404" t="s">
        <v>2432</v>
      </c>
      <c r="E14" s="336" t="b">
        <f t="shared" si="2"/>
        <v>0</v>
      </c>
      <c r="F14" s="406" t="s">
        <v>2447</v>
      </c>
      <c r="G14" s="407" t="b">
        <f t="shared" si="3"/>
        <v>0</v>
      </c>
      <c r="H14" s="409" t="s">
        <v>2462</v>
      </c>
      <c r="I14" s="414"/>
      <c r="J14" s="413"/>
      <c r="L14" t="str">
        <f t="shared" si="12"/>
        <v>1915-S Buffalo Nickel</v>
      </c>
      <c r="M14" t="str">
        <f>IFERROR(MATCH(L14,CoinCollection!O:O,0),"")</f>
        <v/>
      </c>
      <c r="N14" t="str">
        <f t="shared" si="10"/>
        <v>1920-D Buffalo Nickel</v>
      </c>
      <c r="O14" s="330" t="str">
        <f>IFERROR(MATCH(N14,CoinCollection!O:O,0),"")</f>
        <v/>
      </c>
      <c r="P14" s="330" t="str">
        <f t="shared" si="7"/>
        <v>1926-S Buffalo Nickel</v>
      </c>
      <c r="Q14" s="330" t="str">
        <f>IFERROR(MATCH(P14,CoinCollection!O:O,0),"")</f>
        <v/>
      </c>
      <c r="R14" s="330" t="str">
        <f t="shared" si="8"/>
        <v>1935 Buffalo Nickel</v>
      </c>
      <c r="S14" s="330">
        <f>IFERROR(MATCH(R14,CoinCollection!O:O,0),"")</f>
        <v>1200</v>
      </c>
      <c r="X14" s="330" t="str">
        <v>1918-D</v>
      </c>
      <c r="Z14" s="330" t="str">
        <v>1918-D</v>
      </c>
    </row>
    <row r="15" spans="1:26">
      <c r="A15" s="397" t="b">
        <f t="shared" si="0"/>
        <v>1</v>
      </c>
      <c r="B15" s="398" t="s">
        <v>2418</v>
      </c>
      <c r="C15" s="402" t="b">
        <f t="shared" si="11"/>
        <v>0</v>
      </c>
      <c r="D15" s="403" t="s">
        <v>2433</v>
      </c>
      <c r="E15" s="336" t="b">
        <f t="shared" si="2"/>
        <v>1</v>
      </c>
      <c r="F15" s="337" t="s">
        <v>2448</v>
      </c>
      <c r="G15" s="407" t="b">
        <f t="shared" si="3"/>
        <v>1</v>
      </c>
      <c r="H15" s="408" t="s">
        <v>2463</v>
      </c>
      <c r="I15" s="414"/>
      <c r="J15" s="414"/>
      <c r="L15" t="str">
        <f t="shared" si="12"/>
        <v>1916 Buffalo Nickel</v>
      </c>
      <c r="M15">
        <f>IFERROR(MATCH(L15,CoinCollection!O:O,0),"")</f>
        <v>1171</v>
      </c>
      <c r="N15" t="str">
        <f t="shared" si="10"/>
        <v>1920-S Buffalo Nickel</v>
      </c>
      <c r="O15" s="330" t="str">
        <f>IFERROR(MATCH(N15,CoinCollection!O:O,0),"")</f>
        <v/>
      </c>
      <c r="P15" s="330" t="str">
        <f t="shared" si="7"/>
        <v>1927 Buffalo Nickel</v>
      </c>
      <c r="Q15" s="330">
        <f>IFERROR(MATCH(P15,CoinCollection!O:O,0),"")</f>
        <v>1183</v>
      </c>
      <c r="R15" s="330" t="str">
        <f t="shared" si="8"/>
        <v>1935-D Buffalo Nickel</v>
      </c>
      <c r="S15" s="330">
        <f>IFERROR(MATCH(R15,CoinCollection!O:O,0),"")</f>
        <v>1199</v>
      </c>
      <c r="X15" s="330" t="str">
        <v>1918-D*</v>
      </c>
      <c r="Z15" s="330" t="str">
        <v>1918-D*</v>
      </c>
    </row>
    <row r="16" spans="1:26">
      <c r="A16" s="397" t="b">
        <f t="shared" si="0"/>
        <v>0</v>
      </c>
      <c r="B16" s="399" t="s">
        <v>2419</v>
      </c>
      <c r="C16" s="402" t="b">
        <f t="shared" si="11"/>
        <v>0</v>
      </c>
      <c r="D16" s="404" t="s">
        <v>2434</v>
      </c>
      <c r="E16" s="336" t="b">
        <f t="shared" si="2"/>
        <v>0</v>
      </c>
      <c r="F16" s="406" t="s">
        <v>2449</v>
      </c>
      <c r="G16" s="407" t="b">
        <f t="shared" si="3"/>
        <v>0</v>
      </c>
      <c r="H16" s="409" t="s">
        <v>2464</v>
      </c>
      <c r="I16" s="414"/>
      <c r="J16" s="413"/>
      <c r="L16" t="str">
        <f t="shared" si="12"/>
        <v>1916-D Buffalo Nickel</v>
      </c>
      <c r="M16" t="str">
        <f>IFERROR(MATCH(L16,CoinCollection!O:O,0),"")</f>
        <v/>
      </c>
      <c r="N16" t="str">
        <f t="shared" si="10"/>
        <v>1921 Buffalo Nickel</v>
      </c>
      <c r="O16" s="330">
        <f>IFERROR(MATCH(N16,CoinCollection!O:O,0),"")</f>
        <v>1175</v>
      </c>
      <c r="P16" s="330" t="str">
        <f t="shared" si="7"/>
        <v>1927-D Buffalo Nickel</v>
      </c>
      <c r="Q16" s="330" t="str">
        <f>IFERROR(MATCH(P16,CoinCollection!O:O,0),"")</f>
        <v/>
      </c>
      <c r="R16" s="330" t="str">
        <f t="shared" si="8"/>
        <v>1935-S Buffalo Nickel</v>
      </c>
      <c r="S16" s="330">
        <f>IFERROR(MATCH(R16,CoinCollection!O:O,0),"")</f>
        <v>1202</v>
      </c>
      <c r="X16" s="330" t="str">
        <v>1918-S</v>
      </c>
      <c r="Z16" s="330" t="str">
        <v>1918-S</v>
      </c>
    </row>
    <row r="17" spans="1:26">
      <c r="A17" s="397" t="b">
        <f t="shared" si="0"/>
        <v>0</v>
      </c>
      <c r="B17" s="401" t="s">
        <v>2420</v>
      </c>
      <c r="C17" s="402" t="b">
        <f t="shared" si="11"/>
        <v>1</v>
      </c>
      <c r="D17" s="405" t="s">
        <v>2435</v>
      </c>
      <c r="E17" s="336" t="b">
        <f t="shared" si="2"/>
        <v>0</v>
      </c>
      <c r="F17" s="347" t="s">
        <v>2450</v>
      </c>
      <c r="G17" s="407" t="b">
        <f t="shared" si="3"/>
        <v>0</v>
      </c>
      <c r="H17" s="410" t="s">
        <v>2465</v>
      </c>
      <c r="I17" s="414"/>
      <c r="J17" s="415"/>
      <c r="L17" t="str">
        <f t="shared" si="12"/>
        <v>1916-S Buffalo Nickel</v>
      </c>
      <c r="M17" t="str">
        <f>IFERROR(MATCH(L17,CoinCollection!O:O,0),"")</f>
        <v/>
      </c>
      <c r="P17" s="330" t="str">
        <f t="shared" si="7"/>
        <v>1927-S Buffalo Nickel</v>
      </c>
      <c r="Q17" s="330" t="str">
        <f>IFERROR(MATCH(P17,CoinCollection!O:O,0),"")</f>
        <v/>
      </c>
      <c r="R17" s="330" t="str">
        <f t="shared" si="8"/>
        <v>1936 Buffalo Nickel</v>
      </c>
      <c r="S17" s="330">
        <f>IFERROR(MATCH(R17,CoinCollection!O:O,0),"")</f>
        <v>1204</v>
      </c>
      <c r="X17" s="330" t="str">
        <v>1919</v>
      </c>
      <c r="Z17" s="330" t="str">
        <v>1919</v>
      </c>
    </row>
    <row r="18" spans="1:26">
      <c r="X18" s="330" t="str">
        <v>1919-D</v>
      </c>
      <c r="Z18" s="330" t="str">
        <v>1919-D</v>
      </c>
    </row>
    <row r="19" spans="1:26">
      <c r="X19" s="330" t="str">
        <v>1919-S</v>
      </c>
      <c r="Z19" s="330" t="str">
        <v>1919-S</v>
      </c>
    </row>
    <row r="20" spans="1:26">
      <c r="X20" s="330" t="str">
        <v>1920-D</v>
      </c>
      <c r="Z20" s="330" t="str">
        <v>1920-D</v>
      </c>
    </row>
    <row r="21" spans="1:26">
      <c r="B21" s="348" t="s">
        <v>4668</v>
      </c>
      <c r="C21" s="330">
        <f>COUNTIF(A3:J17,"=False")</f>
        <v>39</v>
      </c>
      <c r="X21" s="330" t="str">
        <v>1920-S</v>
      </c>
      <c r="Z21" s="330" t="str">
        <v>1920-S</v>
      </c>
    </row>
    <row r="22" spans="1:26">
      <c r="B22" s="348" t="s">
        <v>4669</v>
      </c>
      <c r="C22" s="330">
        <f>COUNTIF(A3:J17,"=true")</f>
        <v>27</v>
      </c>
      <c r="X22" s="330" t="str" cm="1">
        <f t="array" ref="X22:X31">_xlfn._xlws.FILTER('Buffalo Nickels'!$F$3:$F$17,'Buffalo Nickels'!$E$3:$E$17=FALSE)</f>
        <v>1921-S</v>
      </c>
      <c r="Z22" s="330" t="str">
        <v>1921-S</v>
      </c>
    </row>
    <row r="23" spans="1:26">
      <c r="X23" s="330" t="str">
        <v>1923-S</v>
      </c>
      <c r="Z23" s="330" t="str">
        <v>1923-S</v>
      </c>
    </row>
    <row r="24" spans="1:26">
      <c r="X24" s="330" t="str">
        <v>1924-D</v>
      </c>
      <c r="Z24" s="330" t="str">
        <v>1924-D</v>
      </c>
    </row>
    <row r="25" spans="1:26">
      <c r="X25" s="330" t="str">
        <v>1924-S</v>
      </c>
      <c r="Z25" s="330" t="str">
        <v>1924-S</v>
      </c>
    </row>
    <row r="26" spans="1:26">
      <c r="X26" s="330" t="str">
        <v>1925-D</v>
      </c>
      <c r="Z26" s="330" t="str">
        <v>1925-D</v>
      </c>
    </row>
    <row r="27" spans="1:26">
      <c r="X27" s="330" t="str">
        <v>1925-S</v>
      </c>
      <c r="Z27" s="330" t="str">
        <v>1925-S</v>
      </c>
    </row>
    <row r="28" spans="1:26">
      <c r="X28" s="330" t="str">
        <v>1926-D</v>
      </c>
      <c r="Z28" s="330" t="str">
        <v>1926-D</v>
      </c>
    </row>
    <row r="29" spans="1:26">
      <c r="X29" s="330" t="str">
        <v>1926-S</v>
      </c>
      <c r="Z29" s="330" t="str">
        <v>1926-S</v>
      </c>
    </row>
    <row r="30" spans="1:26">
      <c r="X30" s="330" t="str">
        <v>1927-D</v>
      </c>
      <c r="Z30" s="330" t="str">
        <v>1927-D</v>
      </c>
    </row>
    <row r="31" spans="1:26">
      <c r="X31" s="330" t="str">
        <v>1927-S</v>
      </c>
      <c r="Z31" s="330" t="str">
        <v>1927-S</v>
      </c>
    </row>
    <row r="32" spans="1:26">
      <c r="X32" s="330" t="str" cm="1">
        <f t="array" ref="X32:X40">_xlfn._xlws.FILTER('Buffalo Nickels'!$H$3:$H$17,'Buffalo Nickels'!$G$3:$G$17=FALSE)</f>
        <v>1928-S</v>
      </c>
      <c r="Z32" s="330" t="str">
        <v>1928-S</v>
      </c>
    </row>
    <row r="33" spans="24:26">
      <c r="X33" s="330" t="str">
        <v>1929-D</v>
      </c>
      <c r="Z33" s="330" t="str">
        <v>1929-D</v>
      </c>
    </row>
    <row r="34" spans="24:26">
      <c r="X34" s="330" t="str">
        <v>1929-S</v>
      </c>
      <c r="Z34" s="330" t="str">
        <v>1929-S</v>
      </c>
    </row>
    <row r="35" spans="24:26">
      <c r="X35" s="330" t="str">
        <v>1930-S</v>
      </c>
      <c r="Z35" s="330" t="str">
        <v>1930-S</v>
      </c>
    </row>
    <row r="36" spans="24:26">
      <c r="X36" s="330" t="str">
        <v>1931-S</v>
      </c>
      <c r="Z36" s="330" t="str">
        <v>1931-S</v>
      </c>
    </row>
    <row r="37" spans="24:26">
      <c r="X37" s="330" t="str">
        <v>1934-D</v>
      </c>
      <c r="Z37" s="330" t="str">
        <v>1934-D</v>
      </c>
    </row>
    <row r="38" spans="24:26">
      <c r="X38" s="330" t="str">
        <v>1935</v>
      </c>
      <c r="Z38" s="330" t="str">
        <v>1935</v>
      </c>
    </row>
    <row r="39" spans="24:26">
      <c r="X39" s="330" t="str">
        <v>1935-S</v>
      </c>
      <c r="Z39" s="330" t="str">
        <v>1935-S</v>
      </c>
    </row>
    <row r="40" spans="24:26">
      <c r="X40" s="330" t="str">
        <v>1936</v>
      </c>
      <c r="Z40" s="330" t="str">
        <v>1936</v>
      </c>
    </row>
    <row r="41" spans="24:26">
      <c r="X41" s="330" t="str" cm="1">
        <f t="array" ref="X41">_xlfn._xlws.FILTER(J3:J9,I3:I9=FALSE)</f>
        <v>1937-S</v>
      </c>
      <c r="Z41" s="330" t="str">
        <v>1937-S</v>
      </c>
    </row>
    <row r="43" spans="24:26">
      <c r="Z43" s="378">
        <f>COUNTA(_xlfn.ANCHORARRAY(Z3))</f>
        <v>39</v>
      </c>
    </row>
  </sheetData>
  <pageMargins left="0.7" right="0.7" top="0.75" bottom="0.75" header="0.3" footer="0.3"/>
  <pageSetup orientation="portrait" verticalDpi="0" r:id="rId1"/>
  <ignoredErrors>
    <ignoredError sqref="J5"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5C10-1755-4890-90CE-4F20A70E08DD}">
  <sheetPr codeName="Sheet31"/>
  <dimension ref="A1:AI196"/>
  <sheetViews>
    <sheetView workbookViewId="0">
      <selection activeCell="B24" sqref="B24"/>
    </sheetView>
  </sheetViews>
  <sheetFormatPr defaultRowHeight="15"/>
  <cols>
    <col min="1" max="1" width="5.5703125" style="330" bestFit="1" customWidth="1"/>
    <col min="2" max="2" width="15.5703125" style="330" bestFit="1" customWidth="1"/>
    <col min="3" max="3" width="5.5703125" style="330" bestFit="1" customWidth="1"/>
    <col min="4" max="4" width="26.7109375" style="330" bestFit="1" customWidth="1"/>
    <col min="5" max="5" width="5.5703125" style="330" bestFit="1" customWidth="1"/>
    <col min="6" max="6" width="26.7109375" style="330" bestFit="1" customWidth="1"/>
    <col min="7" max="7" width="5.5703125" style="330" bestFit="1" customWidth="1"/>
    <col min="8" max="8" width="26.7109375" style="330" bestFit="1" customWidth="1"/>
    <col min="9" max="9" width="5.5703125" style="330" bestFit="1" customWidth="1"/>
    <col min="10" max="10" width="26.7109375" style="330" bestFit="1" customWidth="1"/>
    <col min="11" max="11" width="18.85546875" style="330" bestFit="1" customWidth="1"/>
    <col min="12" max="12" width="5.5703125" style="330" bestFit="1" customWidth="1"/>
    <col min="13" max="13" width="26.7109375" style="330" bestFit="1" customWidth="1"/>
    <col min="14" max="14" width="9.140625" style="330"/>
    <col min="15" max="15" width="28.5703125" hidden="1" customWidth="1"/>
    <col min="16" max="16" width="7" style="330" hidden="1" customWidth="1"/>
    <col min="17" max="17" width="26.7109375" style="330" hidden="1" customWidth="1"/>
    <col min="18" max="18" width="9.140625" hidden="1" customWidth="1"/>
    <col min="19" max="19" width="41.42578125" style="330" hidden="1" customWidth="1"/>
    <col min="20" max="20" width="9.140625" style="330" hidden="1" customWidth="1"/>
    <col min="21" max="21" width="26.7109375" style="330" hidden="1" customWidth="1"/>
    <col min="22" max="22" width="9.140625" style="330" hidden="1" customWidth="1"/>
    <col min="23" max="23" width="51.7109375" hidden="1" customWidth="1"/>
    <col min="24" max="24" width="9.140625" hidden="1" customWidth="1"/>
    <col min="25" max="25" width="35.85546875" hidden="1" customWidth="1"/>
    <col min="26" max="26" width="9.140625" style="339" hidden="1" customWidth="1"/>
    <col min="27" max="28" width="26.7109375" style="330" bestFit="1" customWidth="1"/>
    <col min="29" max="29" width="9.140625" style="330"/>
    <col min="30" max="30" width="9.140625" style="339"/>
    <col min="31" max="31" width="9.140625" style="330"/>
    <col min="33" max="33" width="9.140625" style="330"/>
    <col min="34" max="34" width="15.42578125" style="330" bestFit="1" customWidth="1"/>
    <col min="36" max="16384" width="9.140625" style="330"/>
  </cols>
  <sheetData>
    <row r="1" spans="1:32">
      <c r="A1" s="348" t="s">
        <v>4272</v>
      </c>
      <c r="B1" s="348"/>
    </row>
    <row r="2" spans="1:32">
      <c r="A2" s="384" t="s">
        <v>4899</v>
      </c>
      <c r="B2" s="384" t="s">
        <v>1767</v>
      </c>
      <c r="C2" s="384" t="s">
        <v>4900</v>
      </c>
      <c r="D2" s="384" t="s">
        <v>4901</v>
      </c>
      <c r="E2" s="384" t="s">
        <v>4902</v>
      </c>
      <c r="F2" s="384" t="s">
        <v>4903</v>
      </c>
      <c r="G2" s="384" t="s">
        <v>4904</v>
      </c>
      <c r="H2" s="384" t="s">
        <v>4905</v>
      </c>
      <c r="I2" s="384" t="s">
        <v>4906</v>
      </c>
      <c r="J2" s="384" t="s">
        <v>4907</v>
      </c>
      <c r="K2" s="384" t="s">
        <v>4908</v>
      </c>
      <c r="L2" s="384" t="s">
        <v>4909</v>
      </c>
      <c r="M2" s="384" t="s">
        <v>4910</v>
      </c>
      <c r="AA2" s="360" t="s">
        <v>4819</v>
      </c>
      <c r="AD2" s="491" t="s">
        <v>5569</v>
      </c>
      <c r="AE2" s="360"/>
      <c r="AF2" s="360" t="s">
        <v>5570</v>
      </c>
    </row>
    <row r="3" spans="1:32">
      <c r="A3" s="334" t="b">
        <f>IF(P3&lt;&gt;"",TRUE,FALSE)</f>
        <v>1</v>
      </c>
      <c r="B3" s="361" t="s">
        <v>2471</v>
      </c>
      <c r="C3" s="336" t="b">
        <f>IF(R3&lt;&gt;"",TRUE,FALSE)</f>
        <v>1</v>
      </c>
      <c r="D3" s="337" t="s">
        <v>2485</v>
      </c>
      <c r="E3" s="336" t="b">
        <f>IF(T3&lt;&gt;"",TRUE,FALSE)</f>
        <v>0</v>
      </c>
      <c r="F3" s="396" t="s">
        <v>5163</v>
      </c>
      <c r="G3" s="336" t="b">
        <f>IF(V3&lt;&gt;"",TRUE,FALSE)</f>
        <v>1</v>
      </c>
      <c r="H3" s="337" t="s">
        <v>916</v>
      </c>
      <c r="I3" s="336" t="b">
        <f>IF(X3&lt;&gt;"",TRUE,FALSE)</f>
        <v>1</v>
      </c>
      <c r="J3" s="408" t="s">
        <v>943</v>
      </c>
      <c r="K3" s="501" t="s">
        <v>2527</v>
      </c>
      <c r="L3" s="336" t="b">
        <f>IF(Z3&lt;&gt;"",TRUE,FALSE)</f>
        <v>1</v>
      </c>
      <c r="M3" s="337" t="s">
        <v>973</v>
      </c>
      <c r="O3" t="s">
        <v>5688</v>
      </c>
      <c r="P3">
        <f>IFERROR(MATCH(O3,CoinCollection!O:O,0),"")</f>
        <v>1217</v>
      </c>
      <c r="Q3" s="330" t="s">
        <v>5738</v>
      </c>
      <c r="R3">
        <f>IFERROR(MATCH(Q3,CoinCollection!O:O,0),"")</f>
        <v>1294</v>
      </c>
      <c r="S3" s="500" t="s">
        <v>5163</v>
      </c>
      <c r="T3" s="330" t="str">
        <f>IFERROR(MATCH(S3,CoinCollection!O:O,0),"")</f>
        <v/>
      </c>
      <c r="U3" s="330" t="s">
        <v>5808</v>
      </c>
      <c r="V3" s="330">
        <f>IFERROR(MATCH(U3,CoinCollection!O:O,0),"")</f>
        <v>1491</v>
      </c>
      <c r="W3" t="s">
        <v>5836</v>
      </c>
      <c r="X3">
        <f>IFERROR(MATCH(W3,CoinCollection!O:O,0),"")</f>
        <v>1556</v>
      </c>
      <c r="Y3" t="s">
        <v>5864</v>
      </c>
      <c r="Z3" s="339">
        <f>IFERROR(MATCH(Y3,CoinCollection!O:O,0),"")</f>
        <v>1621</v>
      </c>
      <c r="AA3" s="330" t="s">
        <v>5163</v>
      </c>
      <c r="AB3" s="330" t="str" cm="1">
        <f t="array" ref="AB3:AB18">_xlfn.LET(_xlpm.stacked_data,_xlfn.VSTACK(A3:B54,C3:D51,E3:F43,G3:H43,I3:K50,L3:M32),
_xlfn._xlws.FILTER(_xlfn.CHOOSECOLS(_xlpm.stacked_data,2),_xlfn.CHOOSECOLS(_xlpm.stacked_data,1)=FALSE)
)</f>
        <v>Wartime Variety</v>
      </c>
      <c r="AD3" s="339" t="s">
        <v>2475</v>
      </c>
      <c r="AF3" s="3" t="s">
        <v>5163</v>
      </c>
    </row>
    <row r="4" spans="1:32">
      <c r="A4" s="334" t="b">
        <f t="shared" ref="A4:A16" si="0">IF(P4&lt;&gt;"",TRUE,FALSE)</f>
        <v>1</v>
      </c>
      <c r="B4" s="363" t="s">
        <v>832</v>
      </c>
      <c r="C4" s="336" t="b">
        <f t="shared" ref="C4:C51" si="1">IF(R4&lt;&gt;"",TRUE,FALSE)</f>
        <v>1</v>
      </c>
      <c r="D4" s="342" t="s">
        <v>870</v>
      </c>
      <c r="E4" s="336" t="b">
        <f t="shared" ref="E4:E43" si="2">IF(T4&lt;&gt;"",TRUE,FALSE)</f>
        <v>1</v>
      </c>
      <c r="F4" s="342" t="s">
        <v>2512</v>
      </c>
      <c r="G4" s="336" t="b">
        <f t="shared" ref="G4:G43" si="3">IF(V4&lt;&gt;"",TRUE,FALSE)</f>
        <v>1</v>
      </c>
      <c r="H4" s="423" t="s">
        <v>5189</v>
      </c>
      <c r="I4" s="336" t="b">
        <f t="shared" ref="I4:I23" si="4">IF(X4&lt;&gt;"",TRUE,FALSE)</f>
        <v>0</v>
      </c>
      <c r="J4" s="409" t="s">
        <v>945</v>
      </c>
      <c r="K4" s="502" t="s">
        <v>2527</v>
      </c>
      <c r="L4" s="336" t="b">
        <f t="shared" ref="L4:L32" si="5">IF(Z4&lt;&gt;"",TRUE,FALSE)</f>
        <v>1</v>
      </c>
      <c r="M4" s="342" t="s">
        <v>974</v>
      </c>
      <c r="O4" t="s">
        <v>5689</v>
      </c>
      <c r="P4" s="330">
        <f>IFERROR(MATCH(O4,CoinCollection!O:O,0),"")</f>
        <v>1218</v>
      </c>
      <c r="Q4" s="330" t="s">
        <v>5739</v>
      </c>
      <c r="R4">
        <f>IFERROR(MATCH(Q4,CoinCollection!O:O,0),"")</f>
        <v>1292</v>
      </c>
      <c r="S4" s="330" t="s">
        <v>5781</v>
      </c>
      <c r="T4" s="330">
        <f>IFERROR(MATCH(S4,CoinCollection!O:O,0),"")</f>
        <v>1420</v>
      </c>
      <c r="U4" s="330" t="s">
        <v>5189</v>
      </c>
      <c r="V4" s="330">
        <f>IFERROR(MATCH(U4,CoinCollection!O:O,0),"")</f>
        <v>1493</v>
      </c>
      <c r="W4" s="499" t="s">
        <v>5891</v>
      </c>
      <c r="X4" t="str">
        <f>IFERROR(MATCH(W4,CoinCollection!O:O,0),"")</f>
        <v/>
      </c>
      <c r="Y4" t="s">
        <v>5865</v>
      </c>
      <c r="Z4" s="339">
        <f>IFERROR(MATCH(Y4,CoinCollection!O:O,0),"")</f>
        <v>1623</v>
      </c>
      <c r="AA4" s="330" t="s">
        <v>945</v>
      </c>
      <c r="AB4" s="490" t="str">
        <v>1977-S Jefferson Nickel Proof</v>
      </c>
      <c r="AD4" s="339" t="s">
        <v>107</v>
      </c>
      <c r="AF4" s="3" t="s">
        <v>945</v>
      </c>
    </row>
    <row r="5" spans="1:32">
      <c r="A5" s="334" t="b">
        <f t="shared" si="0"/>
        <v>1</v>
      </c>
      <c r="B5" s="361" t="s">
        <v>833</v>
      </c>
      <c r="C5" s="336" t="b">
        <f t="shared" si="1"/>
        <v>1</v>
      </c>
      <c r="D5" s="337" t="s">
        <v>2486</v>
      </c>
      <c r="E5" s="336" t="b">
        <f t="shared" si="2"/>
        <v>1</v>
      </c>
      <c r="F5" s="337" t="s">
        <v>893</v>
      </c>
      <c r="G5" s="336" t="b">
        <f t="shared" si="3"/>
        <v>1</v>
      </c>
      <c r="H5" s="337" t="s">
        <v>917</v>
      </c>
      <c r="I5" s="336" t="b">
        <f t="shared" si="4"/>
        <v>0</v>
      </c>
      <c r="J5" s="503" t="s">
        <v>5160</v>
      </c>
      <c r="K5" s="408" t="s">
        <v>2527</v>
      </c>
      <c r="L5" s="336" t="b">
        <f t="shared" si="5"/>
        <v>1</v>
      </c>
      <c r="M5" s="396" t="s">
        <v>5152</v>
      </c>
      <c r="O5" t="s">
        <v>5690</v>
      </c>
      <c r="P5" s="330">
        <f>IFERROR(MATCH(O5,CoinCollection!O:O,0),"")</f>
        <v>1219</v>
      </c>
      <c r="Q5" s="330" t="s">
        <v>5740</v>
      </c>
      <c r="R5">
        <f>IFERROR(MATCH(Q5,CoinCollection!O:O,0),"")</f>
        <v>1296</v>
      </c>
      <c r="S5" s="330" t="s">
        <v>5782</v>
      </c>
      <c r="T5" s="330">
        <f>IFERROR(MATCH(S5,CoinCollection!O:O,0),"")</f>
        <v>1426</v>
      </c>
      <c r="U5" s="330" t="s">
        <v>5809</v>
      </c>
      <c r="V5" s="330">
        <f>IFERROR(MATCH(U5,CoinCollection!O:O,0),"")</f>
        <v>1494</v>
      </c>
      <c r="W5" s="499" t="s">
        <v>5892</v>
      </c>
      <c r="X5" t="str">
        <f>IFERROR(MATCH(W5,CoinCollection!O:O,0),"")</f>
        <v/>
      </c>
      <c r="Y5" t="s">
        <v>5152</v>
      </c>
      <c r="Z5" s="339">
        <f>IFERROR(MATCH(Y5,CoinCollection!O:O,0),"")</f>
        <v>1624</v>
      </c>
      <c r="AA5" s="330" t="s">
        <v>5160</v>
      </c>
      <c r="AB5" s="330" t="str">
        <v>Filled “S”</v>
      </c>
      <c r="AD5" s="339" t="s">
        <v>157</v>
      </c>
      <c r="AF5" s="3" t="s">
        <v>5160</v>
      </c>
    </row>
    <row r="6" spans="1:32">
      <c r="A6" s="334" t="b">
        <f t="shared" si="0"/>
        <v>1</v>
      </c>
      <c r="B6" s="363" t="s">
        <v>2472</v>
      </c>
      <c r="C6" s="336" t="b">
        <f t="shared" si="1"/>
        <v>1</v>
      </c>
      <c r="D6" s="342" t="s">
        <v>871</v>
      </c>
      <c r="E6" s="336" t="b">
        <f t="shared" si="2"/>
        <v>1</v>
      </c>
      <c r="F6" s="423" t="s">
        <v>5164</v>
      </c>
      <c r="G6" s="336" t="b">
        <f t="shared" si="3"/>
        <v>1</v>
      </c>
      <c r="H6" s="342" t="s">
        <v>918</v>
      </c>
      <c r="I6" s="336" t="b">
        <f t="shared" si="4"/>
        <v>1</v>
      </c>
      <c r="J6" s="409" t="s">
        <v>943</v>
      </c>
      <c r="K6" s="409" t="s">
        <v>2529</v>
      </c>
      <c r="L6" s="336" t="b">
        <f t="shared" si="5"/>
        <v>1</v>
      </c>
      <c r="M6" s="342" t="s">
        <v>975</v>
      </c>
      <c r="O6" t="s">
        <v>5691</v>
      </c>
      <c r="P6" s="330">
        <f>IFERROR(MATCH(O6,CoinCollection!O:O,0),"")</f>
        <v>1220</v>
      </c>
      <c r="Q6" s="330" t="s">
        <v>5741</v>
      </c>
      <c r="R6">
        <f>IFERROR(MATCH(Q6,CoinCollection!O:O,0),"")</f>
        <v>1295</v>
      </c>
      <c r="S6" s="330" t="s">
        <v>5164</v>
      </c>
      <c r="T6" s="330">
        <f>IFERROR(MATCH(S6,CoinCollection!O:O,0),"")</f>
        <v>1425</v>
      </c>
      <c r="U6" s="330" t="s">
        <v>5810</v>
      </c>
      <c r="V6" s="330">
        <f>IFERROR(MATCH(U6,CoinCollection!O:O,0),"")</f>
        <v>1495</v>
      </c>
      <c r="W6" t="s">
        <v>5836</v>
      </c>
      <c r="X6">
        <f>IFERROR(MATCH(W6,CoinCollection!O:O,0),"")</f>
        <v>1556</v>
      </c>
      <c r="Y6" t="s">
        <v>5866</v>
      </c>
      <c r="Z6" s="339">
        <f>IFERROR(MATCH(Y6,CoinCollection!O:O,0),"")</f>
        <v>1627</v>
      </c>
      <c r="AA6" s="330" t="s">
        <v>5159</v>
      </c>
      <c r="AB6" s="330" t="str">
        <v>2004-D</v>
      </c>
      <c r="AD6" s="339" t="s">
        <v>2482</v>
      </c>
      <c r="AF6" s="3" t="s">
        <v>5159</v>
      </c>
    </row>
    <row r="7" spans="1:32">
      <c r="A7" s="334" t="b">
        <f t="shared" si="0"/>
        <v>1</v>
      </c>
      <c r="B7" s="361" t="s">
        <v>834</v>
      </c>
      <c r="C7" s="336" t="b">
        <f t="shared" si="1"/>
        <v>1</v>
      </c>
      <c r="D7" s="337" t="s">
        <v>2487</v>
      </c>
      <c r="E7" s="336" t="b">
        <f t="shared" si="2"/>
        <v>1</v>
      </c>
      <c r="F7" s="337" t="s">
        <v>1627</v>
      </c>
      <c r="G7" s="336" t="b">
        <f t="shared" si="3"/>
        <v>1</v>
      </c>
      <c r="H7" s="396" t="s">
        <v>5188</v>
      </c>
      <c r="I7" s="336" t="b">
        <f t="shared" si="4"/>
        <v>1</v>
      </c>
      <c r="J7" s="408" t="s">
        <v>945</v>
      </c>
      <c r="K7" s="408" t="s">
        <v>2529</v>
      </c>
      <c r="L7" s="336" t="b">
        <f t="shared" si="5"/>
        <v>1</v>
      </c>
      <c r="M7" s="337" t="s">
        <v>976</v>
      </c>
      <c r="O7" t="s">
        <v>5692</v>
      </c>
      <c r="P7" s="330">
        <f>IFERROR(MATCH(O7,CoinCollection!O:O,0),"")</f>
        <v>1222</v>
      </c>
      <c r="Q7" s="330" t="s">
        <v>5742</v>
      </c>
      <c r="R7">
        <f>IFERROR(MATCH(Q7,CoinCollection!O:O,0),"")</f>
        <v>1297</v>
      </c>
      <c r="S7" s="330" t="s">
        <v>5783</v>
      </c>
      <c r="T7" s="330">
        <f>IFERROR(MATCH(S7,CoinCollection!O:O,0),"")</f>
        <v>1427</v>
      </c>
      <c r="U7" s="330" t="s">
        <v>5188</v>
      </c>
      <c r="V7" s="330">
        <f>IFERROR(MATCH(U7,CoinCollection!O:O,0),"")</f>
        <v>1496</v>
      </c>
      <c r="W7" t="s">
        <v>5837</v>
      </c>
      <c r="X7">
        <f>IFERROR(MATCH(W7,CoinCollection!O:O,0),"")</f>
        <v>1557</v>
      </c>
      <c r="Y7" t="s">
        <v>5867</v>
      </c>
      <c r="Z7" s="339">
        <f>IFERROR(MATCH(Y7,CoinCollection!O:O,0),"")</f>
        <v>1630</v>
      </c>
      <c r="AA7" s="330" t="s">
        <v>951</v>
      </c>
      <c r="AB7" s="330" t="str">
        <v>2004-S Jefferson Nickel Proof</v>
      </c>
      <c r="AD7" s="339" t="s">
        <v>64</v>
      </c>
      <c r="AF7" s="3" t="s">
        <v>951</v>
      </c>
    </row>
    <row r="8" spans="1:32">
      <c r="A8" s="334" t="b">
        <f t="shared" si="0"/>
        <v>1</v>
      </c>
      <c r="B8" s="363" t="s">
        <v>835</v>
      </c>
      <c r="C8" s="336" t="b">
        <f t="shared" si="1"/>
        <v>1</v>
      </c>
      <c r="D8" s="342" t="s">
        <v>872</v>
      </c>
      <c r="E8" s="336" t="b">
        <f t="shared" si="2"/>
        <v>1</v>
      </c>
      <c r="F8" s="342" t="s">
        <v>894</v>
      </c>
      <c r="G8" s="336" t="b">
        <f t="shared" si="3"/>
        <v>1</v>
      </c>
      <c r="H8" s="342" t="s">
        <v>919</v>
      </c>
      <c r="I8" s="336" t="b">
        <f t="shared" si="4"/>
        <v>1</v>
      </c>
      <c r="J8" s="502" t="s">
        <v>5678</v>
      </c>
      <c r="K8" s="409" t="s">
        <v>2529</v>
      </c>
      <c r="L8" s="336" t="b">
        <f t="shared" si="5"/>
        <v>1</v>
      </c>
      <c r="M8" s="423" t="s">
        <v>5151</v>
      </c>
      <c r="O8" t="s">
        <v>5693</v>
      </c>
      <c r="P8" s="330">
        <f>IFERROR(MATCH(O8,CoinCollection!O:O,0),"")</f>
        <v>1223</v>
      </c>
      <c r="Q8" s="330" t="s">
        <v>5743</v>
      </c>
      <c r="R8">
        <f>IFERROR(MATCH(Q8,CoinCollection!O:O,0),"")</f>
        <v>1298</v>
      </c>
      <c r="S8" s="330" t="s">
        <v>5784</v>
      </c>
      <c r="T8" s="330">
        <f>IFERROR(MATCH(S8,CoinCollection!O:O,0),"")</f>
        <v>1429</v>
      </c>
      <c r="U8" s="330" t="s">
        <v>5811</v>
      </c>
      <c r="V8" s="330">
        <f>IFERROR(MATCH(U8,CoinCollection!O:O,0),"")</f>
        <v>1497</v>
      </c>
      <c r="W8" t="s">
        <v>5838</v>
      </c>
      <c r="X8">
        <f>IFERROR(MATCH(W8,CoinCollection!O:O,0),"")</f>
        <v>1558</v>
      </c>
      <c r="Y8" t="s">
        <v>5151</v>
      </c>
      <c r="Z8" s="339">
        <f>IFERROR(MATCH(Y8,CoinCollection!O:O,0),"")</f>
        <v>1631</v>
      </c>
      <c r="AA8" s="330" t="s">
        <v>952</v>
      </c>
      <c r="AB8" s="330" t="str">
        <v>2005-S Jefferson Nickel Proof</v>
      </c>
      <c r="AD8" s="339" t="s">
        <v>2485</v>
      </c>
      <c r="AF8" s="3" t="s">
        <v>952</v>
      </c>
    </row>
    <row r="9" spans="1:32">
      <c r="A9" s="334" t="b">
        <f t="shared" si="0"/>
        <v>1</v>
      </c>
      <c r="B9" s="361" t="s">
        <v>2473</v>
      </c>
      <c r="C9" s="336" t="b">
        <f t="shared" si="1"/>
        <v>1</v>
      </c>
      <c r="D9" s="337" t="s">
        <v>2488</v>
      </c>
      <c r="E9" s="336" t="b">
        <f t="shared" si="2"/>
        <v>1</v>
      </c>
      <c r="F9" s="396" t="s">
        <v>5165</v>
      </c>
      <c r="G9" s="336" t="b">
        <f t="shared" si="3"/>
        <v>1</v>
      </c>
      <c r="H9" s="337" t="s">
        <v>920</v>
      </c>
      <c r="I9" s="336" t="b">
        <f t="shared" si="4"/>
        <v>1</v>
      </c>
      <c r="J9" s="408" t="s">
        <v>943</v>
      </c>
      <c r="K9" s="408" t="s">
        <v>2531</v>
      </c>
      <c r="L9" s="336" t="b">
        <f t="shared" si="5"/>
        <v>1</v>
      </c>
      <c r="M9" s="337" t="s">
        <v>977</v>
      </c>
      <c r="O9" t="s">
        <v>5694</v>
      </c>
      <c r="P9" s="330">
        <f>IFERROR(MATCH(O9,CoinCollection!O:O,0),"")</f>
        <v>1224</v>
      </c>
      <c r="Q9" s="330" t="s">
        <v>5744</v>
      </c>
      <c r="R9">
        <f>IFERROR(MATCH(Q9,CoinCollection!O:O,0),"")</f>
        <v>1305</v>
      </c>
      <c r="S9" s="330" t="s">
        <v>5165</v>
      </c>
      <c r="T9" s="330">
        <f>IFERROR(MATCH(S9,CoinCollection!O:O,0),"")</f>
        <v>1430</v>
      </c>
      <c r="U9" s="330" t="s">
        <v>5812</v>
      </c>
      <c r="V9" s="330">
        <f>IFERROR(MATCH(U9,CoinCollection!O:O,0),"")</f>
        <v>1499</v>
      </c>
      <c r="W9" t="s">
        <v>5836</v>
      </c>
      <c r="X9">
        <f>IFERROR(MATCH(W9,CoinCollection!O:O,0),"")</f>
        <v>1556</v>
      </c>
      <c r="Y9" t="s">
        <v>5868</v>
      </c>
      <c r="Z9" s="339">
        <f>IFERROR(MATCH(Y9,CoinCollection!O:O,0),"")</f>
        <v>1634</v>
      </c>
      <c r="AA9" s="330" t="s">
        <v>5158</v>
      </c>
      <c r="AB9" s="330" t="str">
        <v>2006-P</v>
      </c>
      <c r="AD9" s="339" t="s">
        <v>2486</v>
      </c>
      <c r="AF9" s="3" t="s">
        <v>5158</v>
      </c>
    </row>
    <row r="10" spans="1:32">
      <c r="A10" s="334" t="b">
        <f t="shared" si="0"/>
        <v>1</v>
      </c>
      <c r="B10" s="363" t="s">
        <v>836</v>
      </c>
      <c r="C10" s="336" t="b">
        <f t="shared" si="1"/>
        <v>1</v>
      </c>
      <c r="D10" s="342" t="s">
        <v>873</v>
      </c>
      <c r="E10" s="336" t="b">
        <f t="shared" si="2"/>
        <v>0</v>
      </c>
      <c r="F10" s="342" t="s">
        <v>2515</v>
      </c>
      <c r="G10" s="336" t="b">
        <f t="shared" si="3"/>
        <v>1</v>
      </c>
      <c r="H10" s="423" t="s">
        <v>5187</v>
      </c>
      <c r="I10" s="336" t="b">
        <f t="shared" si="4"/>
        <v>1</v>
      </c>
      <c r="J10" s="502" t="s">
        <v>5683</v>
      </c>
      <c r="K10" s="409" t="s">
        <v>2531</v>
      </c>
      <c r="L10" s="336" t="b">
        <f t="shared" si="5"/>
        <v>1</v>
      </c>
      <c r="M10" s="342" t="s">
        <v>978</v>
      </c>
      <c r="O10" t="s">
        <v>5695</v>
      </c>
      <c r="P10" s="330">
        <f>IFERROR(MATCH(O10,CoinCollection!O:O,0),"")</f>
        <v>1230</v>
      </c>
      <c r="Q10" s="330" t="s">
        <v>5745</v>
      </c>
      <c r="R10">
        <f>IFERROR(MATCH(Q10,CoinCollection!O:O,0),"")</f>
        <v>1301</v>
      </c>
      <c r="S10" s="428" t="s">
        <v>5785</v>
      </c>
      <c r="T10" s="330" t="str">
        <f>IFERROR(MATCH(S10,CoinCollection!O:O,0),"")</f>
        <v/>
      </c>
      <c r="U10" s="330" t="s">
        <v>5187</v>
      </c>
      <c r="V10" s="330">
        <f>IFERROR(MATCH(U10,CoinCollection!O:O,0),"")</f>
        <v>1501</v>
      </c>
      <c r="W10" t="s">
        <v>5839</v>
      </c>
      <c r="X10">
        <f>IFERROR(MATCH(W10,CoinCollection!O:O,0),"")</f>
        <v>1559</v>
      </c>
      <c r="Y10" t="s">
        <v>5869</v>
      </c>
      <c r="Z10" s="339">
        <f>IFERROR(MATCH(Y10,CoinCollection!O:O,0),"")</f>
        <v>1637</v>
      </c>
      <c r="AA10" s="330" t="s">
        <v>2555</v>
      </c>
      <c r="AB10" s="330" t="str">
        <v>2006-D</v>
      </c>
      <c r="AD10" s="339" t="s">
        <v>236</v>
      </c>
      <c r="AF10" s="3" t="s">
        <v>5835</v>
      </c>
    </row>
    <row r="11" spans="1:32">
      <c r="A11" s="334" t="b">
        <f t="shared" si="0"/>
        <v>1</v>
      </c>
      <c r="B11" s="361" t="s">
        <v>837</v>
      </c>
      <c r="C11" s="336" t="b">
        <f t="shared" si="1"/>
        <v>1</v>
      </c>
      <c r="D11" s="337" t="s">
        <v>2489</v>
      </c>
      <c r="E11" s="336" t="b">
        <f t="shared" si="2"/>
        <v>1</v>
      </c>
      <c r="F11" s="396" t="s">
        <v>5165</v>
      </c>
      <c r="G11" s="336" t="b">
        <f t="shared" si="3"/>
        <v>1</v>
      </c>
      <c r="H11" s="337" t="s">
        <v>921</v>
      </c>
      <c r="I11" s="336" t="b">
        <f t="shared" si="4"/>
        <v>1</v>
      </c>
      <c r="J11" s="501" t="s">
        <v>5678</v>
      </c>
      <c r="K11" s="408" t="s">
        <v>2531</v>
      </c>
      <c r="L11" s="336" t="b">
        <f t="shared" si="5"/>
        <v>1</v>
      </c>
      <c r="M11" s="396" t="s">
        <v>5150</v>
      </c>
      <c r="O11" t="s">
        <v>5696</v>
      </c>
      <c r="P11" s="330">
        <f>IFERROR(MATCH(O11,CoinCollection!O:O,0),"")</f>
        <v>1232</v>
      </c>
      <c r="Q11" s="330" t="s">
        <v>5746</v>
      </c>
      <c r="R11">
        <f>IFERROR(MATCH(Q11,CoinCollection!O:O,0),"")</f>
        <v>1309</v>
      </c>
      <c r="S11" s="330" t="s">
        <v>5165</v>
      </c>
      <c r="T11" s="330">
        <f>IFERROR(MATCH(S11,CoinCollection!O:O,0),"")</f>
        <v>1430</v>
      </c>
      <c r="U11" s="330" t="s">
        <v>5813</v>
      </c>
      <c r="V11" s="330">
        <f>IFERROR(MATCH(U11,CoinCollection!O:O,0),"")</f>
        <v>1504</v>
      </c>
      <c r="W11" t="s">
        <v>5840</v>
      </c>
      <c r="X11">
        <f>IFERROR(MATCH(W11,CoinCollection!O:O,0),"")</f>
        <v>1560</v>
      </c>
      <c r="Y11" t="s">
        <v>5150</v>
      </c>
      <c r="Z11" s="339">
        <f>IFERROR(MATCH(Y11,CoinCollection!O:O,0),"")</f>
        <v>1636</v>
      </c>
      <c r="AA11" s="330" t="s">
        <v>2556</v>
      </c>
      <c r="AB11" s="330" t="str">
        <v>2006-S Jefferson Nickel Proof</v>
      </c>
      <c r="AD11" s="339" t="s">
        <v>2488</v>
      </c>
      <c r="AF11" s="3" t="s">
        <v>2555</v>
      </c>
    </row>
    <row r="12" spans="1:32">
      <c r="A12" s="334" t="b">
        <f t="shared" si="0"/>
        <v>1</v>
      </c>
      <c r="B12" s="363" t="s">
        <v>2474</v>
      </c>
      <c r="C12" s="336" t="b">
        <f t="shared" si="1"/>
        <v>1</v>
      </c>
      <c r="D12" s="342" t="s">
        <v>874</v>
      </c>
      <c r="E12" s="493" t="s">
        <v>53</v>
      </c>
      <c r="F12" s="342" t="s">
        <v>2516</v>
      </c>
      <c r="G12" s="336" t="b">
        <f t="shared" si="3"/>
        <v>1</v>
      </c>
      <c r="H12" s="342" t="s">
        <v>922</v>
      </c>
      <c r="I12" s="336" t="b">
        <f t="shared" si="4"/>
        <v>1</v>
      </c>
      <c r="J12" s="409" t="s">
        <v>947</v>
      </c>
      <c r="K12" s="409" t="s">
        <v>2535</v>
      </c>
      <c r="L12" s="336" t="b">
        <f t="shared" si="5"/>
        <v>1</v>
      </c>
      <c r="M12" s="342" t="s">
        <v>979</v>
      </c>
      <c r="O12" t="s">
        <v>5697</v>
      </c>
      <c r="P12" s="330">
        <f>IFERROR(MATCH(O12,CoinCollection!O:O,0),"")</f>
        <v>1233</v>
      </c>
      <c r="Q12" s="330" t="s">
        <v>5747</v>
      </c>
      <c r="R12">
        <f>IFERROR(MATCH(Q12,CoinCollection!O:O,0),"")</f>
        <v>1306</v>
      </c>
      <c r="S12" s="428" t="s">
        <v>5786</v>
      </c>
      <c r="T12" s="330" t="str">
        <f>IFERROR(MATCH(S12,CoinCollection!O:O,0),"")</f>
        <v/>
      </c>
      <c r="U12" s="330" t="s">
        <v>5814</v>
      </c>
      <c r="V12" s="330">
        <f>IFERROR(MATCH(U12,CoinCollection!O:O,0),"")</f>
        <v>1502</v>
      </c>
      <c r="W12" t="s">
        <v>5841</v>
      </c>
      <c r="X12">
        <f>IFERROR(MATCH(W12,CoinCollection!O:O,0),"")</f>
        <v>1563</v>
      </c>
      <c r="Y12" t="s">
        <v>5870</v>
      </c>
      <c r="Z12" s="339">
        <f>IFERROR(MATCH(Y12,CoinCollection!O:O,0),"")</f>
        <v>1640</v>
      </c>
      <c r="AA12" s="330" t="s">
        <v>2572</v>
      </c>
      <c r="AB12" s="330" t="str">
        <v>2012-S Jefferson Nickel Proof</v>
      </c>
      <c r="AD12" s="339" t="s">
        <v>2489</v>
      </c>
      <c r="AF12" s="3" t="s">
        <v>2556</v>
      </c>
    </row>
    <row r="13" spans="1:32">
      <c r="A13" s="334" t="b">
        <f t="shared" si="0"/>
        <v>1</v>
      </c>
      <c r="B13" s="361" t="s">
        <v>838</v>
      </c>
      <c r="C13" s="336" t="b">
        <f t="shared" si="1"/>
        <v>1</v>
      </c>
      <c r="D13" s="337" t="s">
        <v>2490</v>
      </c>
      <c r="E13" s="336" t="b">
        <f t="shared" si="2"/>
        <v>1</v>
      </c>
      <c r="F13" s="337" t="s">
        <v>895</v>
      </c>
      <c r="G13" s="336" t="b">
        <f t="shared" si="3"/>
        <v>1</v>
      </c>
      <c r="H13" s="396" t="s">
        <v>5186</v>
      </c>
      <c r="I13" s="336" t="b">
        <f t="shared" si="4"/>
        <v>1</v>
      </c>
      <c r="J13" s="408" t="s">
        <v>949</v>
      </c>
      <c r="K13" s="408" t="s">
        <v>2535</v>
      </c>
      <c r="L13" s="336" t="b">
        <f t="shared" si="5"/>
        <v>1</v>
      </c>
      <c r="M13" s="337" t="s">
        <v>980</v>
      </c>
      <c r="O13" t="s">
        <v>5698</v>
      </c>
      <c r="P13" s="330">
        <f>IFERROR(MATCH(O13,CoinCollection!O:O,0),"")</f>
        <v>1237</v>
      </c>
      <c r="Q13" s="330" t="s">
        <v>5748</v>
      </c>
      <c r="R13">
        <f>IFERROR(MATCH(Q13,CoinCollection!O:O,0),"")</f>
        <v>1313</v>
      </c>
      <c r="S13" s="330" t="s">
        <v>5787</v>
      </c>
      <c r="T13" s="330">
        <f>IFERROR(MATCH(S13,CoinCollection!O:O,0),"")</f>
        <v>1431</v>
      </c>
      <c r="U13" s="330" t="s">
        <v>5186</v>
      </c>
      <c r="V13" s="330">
        <f>IFERROR(MATCH(U13,CoinCollection!O:O,0),"")</f>
        <v>1505</v>
      </c>
      <c r="W13" t="s">
        <v>5842</v>
      </c>
      <c r="X13">
        <f>IFERROR(MATCH(W13,CoinCollection!O:O,0),"")</f>
        <v>1561</v>
      </c>
      <c r="Y13" t="s">
        <v>5871</v>
      </c>
      <c r="Z13" s="339">
        <f>IFERROR(MATCH(Y13,CoinCollection!O:O,0),"")</f>
        <v>1642</v>
      </c>
      <c r="AA13" s="330" t="s">
        <v>3981</v>
      </c>
      <c r="AB13" s="330" t="str">
        <v>2013-S Jefferson Nickel Proof</v>
      </c>
      <c r="AD13" s="339" t="s">
        <v>2490</v>
      </c>
      <c r="AF13" s="3" t="s">
        <v>2557</v>
      </c>
    </row>
    <row r="14" spans="1:32">
      <c r="A14" s="334" t="b">
        <f t="shared" si="0"/>
        <v>1</v>
      </c>
      <c r="B14" s="363" t="s">
        <v>839</v>
      </c>
      <c r="C14" s="336" t="b">
        <f t="shared" si="1"/>
        <v>1</v>
      </c>
      <c r="D14" s="342" t="s">
        <v>875</v>
      </c>
      <c r="E14" s="336" t="b">
        <f t="shared" si="2"/>
        <v>1</v>
      </c>
      <c r="F14" s="342" t="s">
        <v>896</v>
      </c>
      <c r="G14" s="336" t="b">
        <f t="shared" si="3"/>
        <v>1</v>
      </c>
      <c r="H14" s="342" t="s">
        <v>923</v>
      </c>
      <c r="I14" s="336" t="b">
        <f t="shared" si="4"/>
        <v>1</v>
      </c>
      <c r="J14" s="502" t="s">
        <v>5686</v>
      </c>
      <c r="K14" s="409" t="s">
        <v>2535</v>
      </c>
      <c r="L14" s="336" t="b">
        <f t="shared" si="5"/>
        <v>1</v>
      </c>
      <c r="M14" s="423" t="s">
        <v>5149</v>
      </c>
      <c r="O14" t="s">
        <v>5699</v>
      </c>
      <c r="P14" s="330">
        <f>IFERROR(MATCH(O14,CoinCollection!O:O,0),"")</f>
        <v>1239</v>
      </c>
      <c r="Q14" s="330" t="s">
        <v>5749</v>
      </c>
      <c r="R14">
        <f>IFERROR(MATCH(Q14,CoinCollection!O:O,0),"")</f>
        <v>1310</v>
      </c>
      <c r="S14" s="330" t="s">
        <v>5788</v>
      </c>
      <c r="T14" s="330">
        <f>IFERROR(MATCH(S14,CoinCollection!O:O,0),"")</f>
        <v>1436</v>
      </c>
      <c r="U14" s="330" t="s">
        <v>5815</v>
      </c>
      <c r="V14" s="330">
        <f>IFERROR(MATCH(U14,CoinCollection!O:O,0),"")</f>
        <v>1506</v>
      </c>
      <c r="W14" t="s">
        <v>5687</v>
      </c>
      <c r="X14">
        <f>IFERROR(MATCH(W14,CoinCollection!O:O,0),"")</f>
        <v>1565</v>
      </c>
      <c r="Y14" t="s">
        <v>5149</v>
      </c>
      <c r="Z14" s="339">
        <f>IFERROR(MATCH(Y14,CoinCollection!O:O,0),"")</f>
        <v>1641</v>
      </c>
      <c r="AA14" s="330" t="s">
        <v>3982</v>
      </c>
      <c r="AB14" s="330" t="str">
        <v>2024-D</v>
      </c>
      <c r="AD14" s="339" t="s">
        <v>93</v>
      </c>
      <c r="AF14" s="3" t="s">
        <v>2558</v>
      </c>
    </row>
    <row r="15" spans="1:32">
      <c r="A15" s="334" t="b">
        <f t="shared" si="0"/>
        <v>1</v>
      </c>
      <c r="B15" s="361" t="s">
        <v>2475</v>
      </c>
      <c r="C15" s="336" t="b">
        <f t="shared" si="1"/>
        <v>1</v>
      </c>
      <c r="D15" s="337" t="s">
        <v>2491</v>
      </c>
      <c r="E15" s="336" t="b">
        <f t="shared" si="2"/>
        <v>1</v>
      </c>
      <c r="F15" s="396" t="s">
        <v>5166</v>
      </c>
      <c r="G15" s="336" t="b">
        <f t="shared" si="3"/>
        <v>1</v>
      </c>
      <c r="H15" s="337" t="s">
        <v>924</v>
      </c>
      <c r="I15" s="336" t="b">
        <f t="shared" si="4"/>
        <v>1</v>
      </c>
      <c r="J15" s="408" t="s">
        <v>947</v>
      </c>
      <c r="K15" s="408" t="s">
        <v>2536</v>
      </c>
      <c r="L15" s="336" t="b">
        <f t="shared" si="5"/>
        <v>1</v>
      </c>
      <c r="M15" s="337" t="s">
        <v>2564</v>
      </c>
      <c r="O15" t="s">
        <v>5700</v>
      </c>
      <c r="P15" s="330">
        <f>IFERROR(MATCH(O15,CoinCollection!O:O,0),"")</f>
        <v>1240</v>
      </c>
      <c r="Q15" s="330" t="s">
        <v>5750</v>
      </c>
      <c r="R15">
        <f>IFERROR(MATCH(Q15,CoinCollection!O:O,0),"")</f>
        <v>1314</v>
      </c>
      <c r="S15" s="330" t="s">
        <v>5166</v>
      </c>
      <c r="T15" s="330">
        <f>IFERROR(MATCH(S15,CoinCollection!O:O,0),"")</f>
        <v>1437</v>
      </c>
      <c r="U15" s="330" t="s">
        <v>5816</v>
      </c>
      <c r="V15" s="330">
        <f>IFERROR(MATCH(U15,CoinCollection!O:O,0),"")</f>
        <v>1510</v>
      </c>
      <c r="W15" t="s">
        <v>5841</v>
      </c>
      <c r="X15">
        <f>IFERROR(MATCH(W15,CoinCollection!O:O,0),"")</f>
        <v>1563</v>
      </c>
      <c r="Y15" t="s">
        <v>5872</v>
      </c>
      <c r="Z15" s="339">
        <f>IFERROR(MATCH(Y15,CoinCollection!O:O,0),"")</f>
        <v>1646</v>
      </c>
      <c r="AA15" s="330" t="s">
        <v>3983</v>
      </c>
      <c r="AB15" s="330" t="str">
        <v>2025-P</v>
      </c>
      <c r="AD15" s="339" t="s">
        <v>98</v>
      </c>
      <c r="AF15" s="3" t="s">
        <v>2559</v>
      </c>
    </row>
    <row r="16" spans="1:32">
      <c r="A16" s="334" t="b">
        <f t="shared" si="0"/>
        <v>1</v>
      </c>
      <c r="B16" s="363" t="s">
        <v>840</v>
      </c>
      <c r="C16" s="336" t="b">
        <f t="shared" si="1"/>
        <v>1</v>
      </c>
      <c r="D16" s="342" t="s">
        <v>876</v>
      </c>
      <c r="E16" s="336" t="b">
        <f t="shared" si="2"/>
        <v>1</v>
      </c>
      <c r="F16" s="342" t="s">
        <v>897</v>
      </c>
      <c r="G16" s="336" t="b">
        <f t="shared" si="3"/>
        <v>1</v>
      </c>
      <c r="H16" s="423" t="s">
        <v>5185</v>
      </c>
      <c r="I16" s="336" t="b">
        <f t="shared" si="4"/>
        <v>1</v>
      </c>
      <c r="J16" s="409" t="s">
        <v>949</v>
      </c>
      <c r="K16" s="409" t="s">
        <v>2536</v>
      </c>
      <c r="L16" s="336" t="b">
        <f t="shared" si="5"/>
        <v>1</v>
      </c>
      <c r="M16" s="342" t="s">
        <v>2565</v>
      </c>
      <c r="O16" t="s">
        <v>5701</v>
      </c>
      <c r="P16" s="330">
        <f>IFERROR(MATCH(O16,CoinCollection!O:O,0),"")</f>
        <v>1241</v>
      </c>
      <c r="Q16" s="330" t="s">
        <v>5751</v>
      </c>
      <c r="R16">
        <f>IFERROR(MATCH(Q16,CoinCollection!O:O,0),"")</f>
        <v>1315</v>
      </c>
      <c r="S16" s="330" t="s">
        <v>5789</v>
      </c>
      <c r="T16" s="330">
        <f>IFERROR(MATCH(S16,CoinCollection!O:O,0),"")</f>
        <v>1438</v>
      </c>
      <c r="U16" s="330" t="s">
        <v>5185</v>
      </c>
      <c r="V16" s="330">
        <f>IFERROR(MATCH(U16,CoinCollection!O:O,0),"")</f>
        <v>1511</v>
      </c>
      <c r="W16" t="s">
        <v>5842</v>
      </c>
      <c r="X16">
        <f>IFERROR(MATCH(W16,CoinCollection!O:O,0),"")</f>
        <v>1561</v>
      </c>
      <c r="Y16" t="s">
        <v>5873</v>
      </c>
      <c r="Z16" s="339">
        <f>IFERROR(MATCH(Y16,CoinCollection!O:O,0),"")</f>
        <v>1647</v>
      </c>
      <c r="AA16" s="330" t="s">
        <v>4822</v>
      </c>
      <c r="AB16" s="330" t="str">
        <v>2025-D</v>
      </c>
      <c r="AD16" s="339" t="s">
        <v>101</v>
      </c>
      <c r="AF16" s="3" t="s">
        <v>2572</v>
      </c>
    </row>
    <row r="17" spans="1:32">
      <c r="B17" s="369" t="s">
        <v>2476</v>
      </c>
      <c r="C17" s="336" t="b">
        <f t="shared" si="1"/>
        <v>1</v>
      </c>
      <c r="D17" s="337" t="s">
        <v>2492</v>
      </c>
      <c r="E17" s="336" t="b">
        <f t="shared" si="2"/>
        <v>1</v>
      </c>
      <c r="F17" s="337" t="s">
        <v>898</v>
      </c>
      <c r="G17" s="336" t="b">
        <f t="shared" si="3"/>
        <v>1</v>
      </c>
      <c r="H17" s="337" t="s">
        <v>925</v>
      </c>
      <c r="I17" s="336" t="b">
        <f t="shared" si="4"/>
        <v>0</v>
      </c>
      <c r="J17" s="503" t="s">
        <v>5159</v>
      </c>
      <c r="K17" s="501" t="s">
        <v>2536</v>
      </c>
      <c r="L17" s="336" t="b">
        <f t="shared" si="5"/>
        <v>1</v>
      </c>
      <c r="M17" s="396" t="s">
        <v>5148</v>
      </c>
      <c r="O17" t="s">
        <v>5700</v>
      </c>
      <c r="P17" s="330">
        <f>IFERROR(MATCH(O17,CoinCollection!O:O,0),"")</f>
        <v>1240</v>
      </c>
      <c r="Q17" s="330" t="s">
        <v>5752</v>
      </c>
      <c r="R17">
        <f>IFERROR(MATCH(Q17,CoinCollection!O:O,0),"")</f>
        <v>1321</v>
      </c>
      <c r="S17" s="330" t="s">
        <v>5790</v>
      </c>
      <c r="T17" s="330">
        <f>IFERROR(MATCH(S17,CoinCollection!O:O,0),"")</f>
        <v>1447</v>
      </c>
      <c r="U17" s="330" t="s">
        <v>5817</v>
      </c>
      <c r="V17" s="330">
        <f>IFERROR(MATCH(U17,CoinCollection!O:O,0),"")</f>
        <v>1512</v>
      </c>
      <c r="W17" s="499" t="s">
        <v>5887</v>
      </c>
      <c r="X17" t="str">
        <f>IFERROR(MATCH(W17,CoinCollection!O:O,0),"")</f>
        <v/>
      </c>
      <c r="Y17" t="s">
        <v>5148</v>
      </c>
      <c r="Z17" s="339">
        <f>IFERROR(MATCH(Y17,CoinCollection!O:O,0),"")</f>
        <v>1648</v>
      </c>
      <c r="AB17" s="330" t="str">
        <v>2025-S Jefferson Nickel</v>
      </c>
      <c r="AD17" s="339">
        <v>1971</v>
      </c>
      <c r="AF17" s="3" t="s">
        <v>3981</v>
      </c>
    </row>
    <row r="18" spans="1:32">
      <c r="A18" s="334" t="b">
        <f>IF(P17&lt;&gt;"",TRUE,FALSE)</f>
        <v>1</v>
      </c>
      <c r="B18" s="394">
        <v>1942</v>
      </c>
      <c r="C18" s="336" t="b">
        <f t="shared" si="1"/>
        <v>1</v>
      </c>
      <c r="D18" s="342" t="s">
        <v>877</v>
      </c>
      <c r="E18" s="336" t="b">
        <f t="shared" si="2"/>
        <v>1</v>
      </c>
      <c r="F18" s="423" t="s">
        <v>5167</v>
      </c>
      <c r="G18" s="336" t="b">
        <f t="shared" si="3"/>
        <v>1</v>
      </c>
      <c r="H18" s="342" t="s">
        <v>926</v>
      </c>
      <c r="I18" s="336" t="b">
        <f t="shared" si="4"/>
        <v>0</v>
      </c>
      <c r="J18" s="409" t="s">
        <v>951</v>
      </c>
      <c r="K18" s="502" t="s">
        <v>2539</v>
      </c>
      <c r="L18" s="336" t="b">
        <f t="shared" si="5"/>
        <v>1</v>
      </c>
      <c r="M18" s="342" t="s">
        <v>2567</v>
      </c>
      <c r="O18" t="s">
        <v>5702</v>
      </c>
      <c r="P18" s="330">
        <f>IFERROR(MATCH(O18,CoinCollection!O:O,0),"")</f>
        <v>1242</v>
      </c>
      <c r="Q18" s="330" t="s">
        <v>5753</v>
      </c>
      <c r="R18">
        <f>IFERROR(MATCH(Q18,CoinCollection!O:O,0),"")</f>
        <v>1323</v>
      </c>
      <c r="S18" s="330" t="s">
        <v>5167</v>
      </c>
      <c r="T18" s="330">
        <f>IFERROR(MATCH(S18,CoinCollection!O:O,0),"")</f>
        <v>1448</v>
      </c>
      <c r="U18" s="330" t="s">
        <v>5818</v>
      </c>
      <c r="V18" s="330">
        <f>IFERROR(MATCH(U18,CoinCollection!O:O,0),"")</f>
        <v>1516</v>
      </c>
      <c r="W18" s="499" t="s">
        <v>5888</v>
      </c>
      <c r="X18" t="str">
        <f>IFERROR(MATCH(W18,CoinCollection!O:O,0),"")</f>
        <v/>
      </c>
      <c r="Y18" t="s">
        <v>5874</v>
      </c>
      <c r="Z18" s="339">
        <f>IFERROR(MATCH(Y18,CoinCollection!O:O,0),"")</f>
        <v>1653</v>
      </c>
      <c r="AB18" s="330" t="str">
        <v>2026-S Jefferson Nickel</v>
      </c>
      <c r="AD18" s="492" t="s">
        <v>114</v>
      </c>
      <c r="AF18" s="3" t="s">
        <v>3982</v>
      </c>
    </row>
    <row r="19" spans="1:32">
      <c r="A19" s="334" t="b">
        <f t="shared" ref="A19:A54" si="6">IF(P18&lt;&gt;"",TRUE,FALSE)</f>
        <v>1</v>
      </c>
      <c r="B19" s="361" t="s">
        <v>843</v>
      </c>
      <c r="C19" s="336" t="b">
        <f t="shared" si="1"/>
        <v>1</v>
      </c>
      <c r="D19" s="337" t="s">
        <v>2493</v>
      </c>
      <c r="E19" s="336" t="b">
        <f t="shared" si="2"/>
        <v>1</v>
      </c>
      <c r="F19" s="337" t="s">
        <v>899</v>
      </c>
      <c r="G19" s="336" t="b">
        <f t="shared" si="3"/>
        <v>1</v>
      </c>
      <c r="H19" s="396" t="s">
        <v>5184</v>
      </c>
      <c r="I19" s="336" t="b">
        <f t="shared" si="4"/>
        <v>0</v>
      </c>
      <c r="J19" s="408" t="s">
        <v>952</v>
      </c>
      <c r="K19" s="408" t="s">
        <v>2539</v>
      </c>
      <c r="L19" s="336" t="b">
        <f t="shared" si="5"/>
        <v>1</v>
      </c>
      <c r="M19" s="337" t="s">
        <v>2566</v>
      </c>
      <c r="O19" t="s">
        <v>5703</v>
      </c>
      <c r="P19" s="330">
        <f>IFERROR(MATCH(O19,CoinCollection!O:O,0),"")</f>
        <v>1243</v>
      </c>
      <c r="Q19" s="330" t="s">
        <v>5754</v>
      </c>
      <c r="R19">
        <f>IFERROR(MATCH(Q19,CoinCollection!O:O,0),"")</f>
        <v>1325</v>
      </c>
      <c r="S19" s="330" t="s">
        <v>5791</v>
      </c>
      <c r="T19" s="330">
        <f>IFERROR(MATCH(S19,CoinCollection!O:O,0),"")</f>
        <v>1450</v>
      </c>
      <c r="U19" s="330" t="s">
        <v>5184</v>
      </c>
      <c r="V19" s="330">
        <f>IFERROR(MATCH(U19,CoinCollection!O:O,0),"")</f>
        <v>1518</v>
      </c>
      <c r="W19" s="499" t="s">
        <v>5889</v>
      </c>
      <c r="X19" t="str">
        <f>IFERROR(MATCH(W19,CoinCollection!O:O,0),"")</f>
        <v/>
      </c>
      <c r="Y19" t="s">
        <v>5875</v>
      </c>
      <c r="Z19" s="339">
        <f>IFERROR(MATCH(Y19,CoinCollection!O:O,0),"")</f>
        <v>1654</v>
      </c>
      <c r="AD19" s="492" t="s">
        <v>119</v>
      </c>
      <c r="AF19" s="3" t="s">
        <v>3983</v>
      </c>
    </row>
    <row r="20" spans="1:32">
      <c r="A20" s="334" t="b">
        <f t="shared" si="6"/>
        <v>1</v>
      </c>
      <c r="B20" s="363" t="s">
        <v>844</v>
      </c>
      <c r="C20" s="336" t="b">
        <f t="shared" si="1"/>
        <v>1</v>
      </c>
      <c r="D20" s="342" t="s">
        <v>878</v>
      </c>
      <c r="E20" s="336" t="b">
        <f t="shared" si="2"/>
        <v>1</v>
      </c>
      <c r="F20" s="342" t="s">
        <v>900</v>
      </c>
      <c r="G20" s="336" t="b">
        <f t="shared" si="3"/>
        <v>1</v>
      </c>
      <c r="H20" s="342" t="s">
        <v>927</v>
      </c>
      <c r="I20" s="336" t="b">
        <f t="shared" si="4"/>
        <v>0</v>
      </c>
      <c r="J20" s="504" t="s">
        <v>5158</v>
      </c>
      <c r="K20" s="409" t="s">
        <v>2539</v>
      </c>
      <c r="L20" s="336" t="b">
        <f t="shared" si="5"/>
        <v>1</v>
      </c>
      <c r="M20" s="423" t="s">
        <v>5147</v>
      </c>
      <c r="O20" t="s">
        <v>5704</v>
      </c>
      <c r="P20" s="330">
        <f>IFERROR(MATCH(O20,CoinCollection!O:O,0),"")</f>
        <v>1244</v>
      </c>
      <c r="Q20" s="330" t="s">
        <v>5755</v>
      </c>
      <c r="R20">
        <f>IFERROR(MATCH(Q20,CoinCollection!O:O,0),"")</f>
        <v>1328</v>
      </c>
      <c r="S20" s="330" t="s">
        <v>5792</v>
      </c>
      <c r="T20" s="330">
        <f>IFERROR(MATCH(S20,CoinCollection!O:O,0),"")</f>
        <v>1449</v>
      </c>
      <c r="U20" s="330" t="s">
        <v>5819</v>
      </c>
      <c r="V20" s="330">
        <f>IFERROR(MATCH(U20,CoinCollection!O:O,0),"")</f>
        <v>1519</v>
      </c>
      <c r="W20" s="499" t="s">
        <v>5890</v>
      </c>
      <c r="X20" t="str">
        <f>IFERROR(MATCH(W20,CoinCollection!O:O,0),"")</f>
        <v/>
      </c>
      <c r="Y20" t="s">
        <v>5147</v>
      </c>
      <c r="Z20" s="339">
        <f>IFERROR(MATCH(Y20,CoinCollection!O:O,0),"")</f>
        <v>1655</v>
      </c>
      <c r="AD20" s="339" t="s">
        <v>123</v>
      </c>
      <c r="AF20" s="3" t="s">
        <v>4822</v>
      </c>
    </row>
    <row r="21" spans="1:32">
      <c r="A21" s="334" t="b">
        <f t="shared" si="6"/>
        <v>1</v>
      </c>
      <c r="B21" s="361" t="s">
        <v>845</v>
      </c>
      <c r="C21" s="336" t="b">
        <f t="shared" si="1"/>
        <v>1</v>
      </c>
      <c r="D21" s="337" t="s">
        <v>2494</v>
      </c>
      <c r="E21" s="336" t="b">
        <f t="shared" si="2"/>
        <v>1</v>
      </c>
      <c r="F21" s="396" t="s">
        <v>5168</v>
      </c>
      <c r="G21" s="336" t="b">
        <f t="shared" si="3"/>
        <v>1</v>
      </c>
      <c r="H21" s="337" t="s">
        <v>928</v>
      </c>
      <c r="I21" s="336" t="b">
        <f t="shared" si="4"/>
        <v>1</v>
      </c>
      <c r="J21" s="337" t="s">
        <v>953</v>
      </c>
      <c r="K21" s="337" t="s">
        <v>53</v>
      </c>
      <c r="L21" s="336" t="b">
        <f t="shared" si="5"/>
        <v>1</v>
      </c>
      <c r="M21" s="337" t="s">
        <v>2568</v>
      </c>
      <c r="O21" t="s">
        <v>5705</v>
      </c>
      <c r="P21" s="330">
        <f>IFERROR(MATCH(O21,CoinCollection!O:O,0),"")</f>
        <v>1246</v>
      </c>
      <c r="Q21" s="330" t="s">
        <v>5756</v>
      </c>
      <c r="R21">
        <f>IFERROR(MATCH(Q21,CoinCollection!O:O,0),"")</f>
        <v>1332</v>
      </c>
      <c r="S21" s="330" t="s">
        <v>5168</v>
      </c>
      <c r="T21" s="330">
        <f>IFERROR(MATCH(S21,CoinCollection!O:O,0),"")</f>
        <v>1456</v>
      </c>
      <c r="U21" s="330" t="s">
        <v>5820</v>
      </c>
      <c r="V21" s="330">
        <f>IFERROR(MATCH(U21,CoinCollection!O:O,0),"")</f>
        <v>1523</v>
      </c>
      <c r="W21" t="s">
        <v>5843</v>
      </c>
      <c r="X21">
        <f>IFERROR(MATCH(W21,CoinCollection!O:O,0),"")</f>
        <v>1568</v>
      </c>
      <c r="Y21" t="s">
        <v>5876</v>
      </c>
      <c r="Z21" s="339">
        <f>IFERROR(MATCH(Y21,CoinCollection!O:O,0),"")</f>
        <v>1660</v>
      </c>
      <c r="AD21" s="492" t="s">
        <v>127</v>
      </c>
      <c r="AF21" s="3"/>
    </row>
    <row r="22" spans="1:32" ht="15.75" thickBot="1">
      <c r="A22" s="334" t="b">
        <f>IF(P21&lt;&gt;"",TRUE,FALSE)</f>
        <v>1</v>
      </c>
      <c r="B22" s="363" t="s">
        <v>846</v>
      </c>
      <c r="C22" s="336" t="b">
        <f t="shared" si="1"/>
        <v>1</v>
      </c>
      <c r="D22" s="342" t="s">
        <v>879</v>
      </c>
      <c r="E22" s="336" t="b">
        <f t="shared" si="2"/>
        <v>1</v>
      </c>
      <c r="F22" s="342" t="s">
        <v>901</v>
      </c>
      <c r="G22" s="336" t="b">
        <f t="shared" si="3"/>
        <v>1</v>
      </c>
      <c r="H22" s="423" t="s">
        <v>5183</v>
      </c>
      <c r="I22" s="336" t="b">
        <f t="shared" si="4"/>
        <v>1</v>
      </c>
      <c r="J22" s="342" t="s">
        <v>954</v>
      </c>
      <c r="K22" s="342" t="s">
        <v>53</v>
      </c>
      <c r="L22" s="336" t="b">
        <f t="shared" si="5"/>
        <v>1</v>
      </c>
      <c r="M22" s="342" t="s">
        <v>2569</v>
      </c>
      <c r="O22" t="s">
        <v>5706</v>
      </c>
      <c r="P22" s="330">
        <f>IFERROR(MATCH(O22,CoinCollection!O:O,0),"")</f>
        <v>1247</v>
      </c>
      <c r="Q22" s="330" t="s">
        <v>5757</v>
      </c>
      <c r="R22">
        <f>IFERROR(MATCH(Q22,CoinCollection!O:O,0),"")</f>
        <v>1342</v>
      </c>
      <c r="S22" s="330" t="s">
        <v>5793</v>
      </c>
      <c r="T22" s="330">
        <f>IFERROR(MATCH(S22,CoinCollection!O:O,0),"")</f>
        <v>1457</v>
      </c>
      <c r="U22" s="330" t="s">
        <v>5183</v>
      </c>
      <c r="V22" s="330">
        <f>IFERROR(MATCH(U22,CoinCollection!O:O,0),"")</f>
        <v>1524</v>
      </c>
      <c r="W22" t="s">
        <v>5844</v>
      </c>
      <c r="X22">
        <f>IFERROR(MATCH(W22,CoinCollection!O:O,0),"")</f>
        <v>1566</v>
      </c>
      <c r="Y22" t="s">
        <v>5877</v>
      </c>
      <c r="Z22" s="339">
        <f>IFERROR(MATCH(Y22,CoinCollection!O:O,0),"")</f>
        <v>1664</v>
      </c>
      <c r="AD22" s="492" t="s">
        <v>131</v>
      </c>
      <c r="AF22" s="3"/>
    </row>
    <row r="23" spans="1:32">
      <c r="A23" s="334" t="b">
        <f t="shared" si="6"/>
        <v>1</v>
      </c>
      <c r="B23" s="361" t="s">
        <v>847</v>
      </c>
      <c r="C23" s="336" t="b">
        <f t="shared" si="1"/>
        <v>1</v>
      </c>
      <c r="D23" s="337" t="s">
        <v>2495</v>
      </c>
      <c r="E23" s="336" t="b">
        <f t="shared" si="2"/>
        <v>1</v>
      </c>
      <c r="F23" s="337" t="s">
        <v>902</v>
      </c>
      <c r="G23" s="336" t="b">
        <f t="shared" si="3"/>
        <v>1</v>
      </c>
      <c r="H23" s="337" t="s">
        <v>929</v>
      </c>
      <c r="I23" s="336" t="b">
        <f t="shared" si="4"/>
        <v>1</v>
      </c>
      <c r="J23" s="396" t="s">
        <v>5157</v>
      </c>
      <c r="K23" s="337" t="s">
        <v>53</v>
      </c>
      <c r="L23" s="336" t="b">
        <f t="shared" si="5"/>
        <v>1</v>
      </c>
      <c r="M23" s="396" t="s">
        <v>5146</v>
      </c>
      <c r="O23" t="s">
        <v>5707</v>
      </c>
      <c r="P23" s="330">
        <f>IFERROR(MATCH(O23,CoinCollection!O:O,0),"")</f>
        <v>1248</v>
      </c>
      <c r="Q23" s="330" t="s">
        <v>5758</v>
      </c>
      <c r="R23">
        <f>IFERROR(MATCH(Q23,CoinCollection!O:O,0),"")</f>
        <v>1354</v>
      </c>
      <c r="S23" s="330" t="s">
        <v>5794</v>
      </c>
      <c r="T23" s="330">
        <f>IFERROR(MATCH(S23,CoinCollection!O:O,0),"")</f>
        <v>1459</v>
      </c>
      <c r="U23" s="330" t="s">
        <v>5821</v>
      </c>
      <c r="V23" s="330">
        <f>IFERROR(MATCH(U23,CoinCollection!O:O,0),"")</f>
        <v>1525</v>
      </c>
      <c r="W23" t="s">
        <v>5157</v>
      </c>
      <c r="X23">
        <f>IFERROR(MATCH(W23,CoinCollection!O:O,0),"")</f>
        <v>1569</v>
      </c>
      <c r="Y23" t="s">
        <v>5146</v>
      </c>
      <c r="Z23" s="339">
        <f>IFERROR(MATCH(Y23,CoinCollection!O:O,0),"")</f>
        <v>1661</v>
      </c>
      <c r="AA23" s="505">
        <f>COUNTA(AA3:AA20)</f>
        <v>14</v>
      </c>
      <c r="AB23" s="506" t="s">
        <v>3873</v>
      </c>
      <c r="AD23" s="492" t="s">
        <v>135</v>
      </c>
      <c r="AF23" s="3"/>
    </row>
    <row r="24" spans="1:32">
      <c r="A24" s="334" t="b">
        <f t="shared" si="6"/>
        <v>1</v>
      </c>
      <c r="B24" s="363" t="s">
        <v>848</v>
      </c>
      <c r="C24" s="336" t="b">
        <f t="shared" si="1"/>
        <v>1</v>
      </c>
      <c r="D24" s="342" t="s">
        <v>2496</v>
      </c>
      <c r="E24" s="336" t="b">
        <f t="shared" si="2"/>
        <v>1</v>
      </c>
      <c r="F24" s="423" t="s">
        <v>5169</v>
      </c>
      <c r="G24" s="336" t="b">
        <f t="shared" si="3"/>
        <v>1</v>
      </c>
      <c r="H24" s="342" t="s">
        <v>930</v>
      </c>
      <c r="I24" s="336" t="b">
        <f t="shared" ref="I24:I50" si="7">IF(X25&lt;&gt;"",TRUE,FALSE)</f>
        <v>1</v>
      </c>
      <c r="J24" s="498" t="s">
        <v>5835</v>
      </c>
      <c r="K24" s="342" t="s">
        <v>53</v>
      </c>
      <c r="L24" s="336" t="b">
        <f t="shared" si="5"/>
        <v>1</v>
      </c>
      <c r="M24" s="342" t="s">
        <v>2571</v>
      </c>
      <c r="O24" t="s">
        <v>5708</v>
      </c>
      <c r="P24" s="330">
        <f>IFERROR(MATCH(O24,CoinCollection!O:O,0),"")</f>
        <v>1250</v>
      </c>
      <c r="Q24" s="330" t="s">
        <v>5759</v>
      </c>
      <c r="R24">
        <f>IFERROR(MATCH(Q24,CoinCollection!O:O,0),"")</f>
        <v>1355</v>
      </c>
      <c r="S24" s="330" t="s">
        <v>5169</v>
      </c>
      <c r="T24" s="330">
        <f>IFERROR(MATCH(S24,CoinCollection!O:O,0),"")</f>
        <v>1463</v>
      </c>
      <c r="U24" s="330" t="s">
        <v>5822</v>
      </c>
      <c r="V24" s="330">
        <f>IFERROR(MATCH(U24,CoinCollection!O:O,0),"")</f>
        <v>1527</v>
      </c>
      <c r="W24" t="s">
        <v>5886</v>
      </c>
      <c r="X24">
        <f>IFERROR(MATCH(W24,CoinCollection!O:O,0),"")</f>
        <v>1571</v>
      </c>
      <c r="Y24" t="s">
        <v>5878</v>
      </c>
      <c r="Z24" s="339">
        <f>IFERROR(MATCH(Y24,CoinCollection!O:O,0),"")</f>
        <v>1665</v>
      </c>
      <c r="AA24" s="507">
        <v>39</v>
      </c>
      <c r="AB24" s="508" t="s">
        <v>3872</v>
      </c>
      <c r="AD24" s="492" t="s">
        <v>143</v>
      </c>
      <c r="AF24" s="3"/>
    </row>
    <row r="25" spans="1:32">
      <c r="A25" s="334" t="b">
        <f t="shared" si="6"/>
        <v>1</v>
      </c>
      <c r="B25" s="361" t="s">
        <v>849</v>
      </c>
      <c r="C25" s="336" t="b">
        <f t="shared" si="1"/>
        <v>1</v>
      </c>
      <c r="D25" s="337" t="s">
        <v>2497</v>
      </c>
      <c r="E25" s="336" t="b">
        <f t="shared" si="2"/>
        <v>1</v>
      </c>
      <c r="F25" s="337" t="s">
        <v>903</v>
      </c>
      <c r="G25" s="336" t="b">
        <f t="shared" si="3"/>
        <v>1</v>
      </c>
      <c r="H25" s="396" t="s">
        <v>5182</v>
      </c>
      <c r="I25" s="336" t="b">
        <f t="shared" si="7"/>
        <v>1</v>
      </c>
      <c r="J25" s="337" t="s">
        <v>956</v>
      </c>
      <c r="K25" s="337" t="s">
        <v>53</v>
      </c>
      <c r="L25" s="336" t="b">
        <f t="shared" si="5"/>
        <v>0</v>
      </c>
      <c r="M25" s="497" t="s">
        <v>2572</v>
      </c>
      <c r="O25" t="s">
        <v>5709</v>
      </c>
      <c r="P25" s="330">
        <f>IFERROR(MATCH(O25,CoinCollection!O:O,0),"")</f>
        <v>1253</v>
      </c>
      <c r="Q25" s="330" t="s">
        <v>5760</v>
      </c>
      <c r="R25">
        <f>IFERROR(MATCH(Q25,CoinCollection!O:O,0),"")</f>
        <v>1357</v>
      </c>
      <c r="S25" s="330" t="s">
        <v>5795</v>
      </c>
      <c r="T25" s="330">
        <f>IFERROR(MATCH(S25,CoinCollection!O:O,0),"")</f>
        <v>1467</v>
      </c>
      <c r="U25" s="330" t="s">
        <v>5182</v>
      </c>
      <c r="V25" s="330">
        <f>IFERROR(MATCH(U25,CoinCollection!O:O,0),"")</f>
        <v>1529</v>
      </c>
      <c r="W25" t="s">
        <v>5886</v>
      </c>
      <c r="X25">
        <f>IFERROR(MATCH(W25,CoinCollection!O:O,0),"")</f>
        <v>1571</v>
      </c>
      <c r="Y25" s="499" t="s">
        <v>5879</v>
      </c>
      <c r="Z25" s="339" t="str">
        <f>IFERROR(MATCH(Y25,CoinCollection!O:O,0),"")</f>
        <v/>
      </c>
      <c r="AA25" s="507">
        <v>14</v>
      </c>
      <c r="AB25" s="508" t="s">
        <v>5896</v>
      </c>
      <c r="AD25" s="339" t="s">
        <v>148</v>
      </c>
      <c r="AF25" s="3"/>
    </row>
    <row r="26" spans="1:32">
      <c r="A26" s="334" t="b">
        <f t="shared" si="6"/>
        <v>1</v>
      </c>
      <c r="B26" s="363" t="s">
        <v>850</v>
      </c>
      <c r="C26" s="336" t="b">
        <f t="shared" si="1"/>
        <v>1</v>
      </c>
      <c r="D26" s="342" t="s">
        <v>880</v>
      </c>
      <c r="E26" s="336" t="b">
        <f t="shared" si="2"/>
        <v>1</v>
      </c>
      <c r="F26" s="342" t="s">
        <v>904</v>
      </c>
      <c r="G26" s="336" t="b">
        <f t="shared" si="3"/>
        <v>1</v>
      </c>
      <c r="H26" s="342" t="s">
        <v>931</v>
      </c>
      <c r="I26" s="336" t="b">
        <f t="shared" si="7"/>
        <v>1</v>
      </c>
      <c r="J26" s="423" t="s">
        <v>5156</v>
      </c>
      <c r="K26" s="342" t="s">
        <v>53</v>
      </c>
      <c r="L26" s="336" t="b">
        <f t="shared" si="5"/>
        <v>1</v>
      </c>
      <c r="M26" s="423" t="s">
        <v>5145</v>
      </c>
      <c r="O26" t="s">
        <v>5710</v>
      </c>
      <c r="P26" s="330">
        <f>IFERROR(MATCH(O26,CoinCollection!O:O,0),"")</f>
        <v>1252</v>
      </c>
      <c r="Q26" s="330" t="s">
        <v>5761</v>
      </c>
      <c r="R26">
        <f>IFERROR(MATCH(Q26,CoinCollection!O:O,0),"")</f>
        <v>1360</v>
      </c>
      <c r="S26" s="330" t="s">
        <v>5796</v>
      </c>
      <c r="T26" s="330">
        <f>IFERROR(MATCH(S26,CoinCollection!O:O,0),"")</f>
        <v>1465</v>
      </c>
      <c r="U26" s="330" t="s">
        <v>5823</v>
      </c>
      <c r="V26" s="330">
        <f>IFERROR(MATCH(U26,CoinCollection!O:O,0),"")</f>
        <v>1530</v>
      </c>
      <c r="W26" t="s">
        <v>5845</v>
      </c>
      <c r="X26">
        <f>IFERROR(MATCH(W26,CoinCollection!O:O,0),"")</f>
        <v>1570</v>
      </c>
      <c r="Y26" t="s">
        <v>5145</v>
      </c>
      <c r="Z26" s="339">
        <f>IFERROR(MATCH(Y26,CoinCollection!O:O,0),"")</f>
        <v>1667</v>
      </c>
      <c r="AA26" s="507"/>
      <c r="AB26" s="509"/>
      <c r="AD26" s="492" t="s">
        <v>153</v>
      </c>
      <c r="AF26" s="3"/>
    </row>
    <row r="27" spans="1:32" ht="15.75" thickBot="1">
      <c r="A27" s="334" t="b">
        <f t="shared" si="6"/>
        <v>1</v>
      </c>
      <c r="B27" s="361" t="s">
        <v>851</v>
      </c>
      <c r="C27" s="336" t="b">
        <f t="shared" si="1"/>
        <v>1</v>
      </c>
      <c r="D27" s="337" t="s">
        <v>881</v>
      </c>
      <c r="E27" s="336" t="b">
        <f t="shared" si="2"/>
        <v>1</v>
      </c>
      <c r="F27" s="396" t="s">
        <v>5170</v>
      </c>
      <c r="G27" s="336" t="b">
        <f t="shared" si="3"/>
        <v>1</v>
      </c>
      <c r="H27" s="337" t="s">
        <v>932</v>
      </c>
      <c r="I27" s="336" t="b">
        <f t="shared" si="7"/>
        <v>1</v>
      </c>
      <c r="J27" s="337" t="s">
        <v>957</v>
      </c>
      <c r="K27" s="337" t="s">
        <v>53</v>
      </c>
      <c r="L27" s="336" t="b">
        <f t="shared" si="5"/>
        <v>0</v>
      </c>
      <c r="M27" s="497" t="s">
        <v>3981</v>
      </c>
      <c r="O27" t="s">
        <v>5711</v>
      </c>
      <c r="P27" s="330">
        <f>IFERROR(MATCH(O27,CoinCollection!O:O,0),"")</f>
        <v>1251</v>
      </c>
      <c r="Q27" s="330" t="s">
        <v>5762</v>
      </c>
      <c r="R27">
        <f>IFERROR(MATCH(Q27,CoinCollection!O:O,0),"")</f>
        <v>1359</v>
      </c>
      <c r="S27" s="330" t="s">
        <v>5170</v>
      </c>
      <c r="T27" s="330">
        <f>IFERROR(MATCH(S27,CoinCollection!O:O,0),"")</f>
        <v>1468</v>
      </c>
      <c r="U27" s="330" t="s">
        <v>5824</v>
      </c>
      <c r="V27" s="330">
        <f>IFERROR(MATCH(U27,CoinCollection!O:O,0),"")</f>
        <v>1533</v>
      </c>
      <c r="W27" t="s">
        <v>5156</v>
      </c>
      <c r="X27">
        <f>IFERROR(MATCH(W27,CoinCollection!O:O,0),"")</f>
        <v>1572</v>
      </c>
      <c r="Y27" s="499" t="s">
        <v>5880</v>
      </c>
      <c r="Z27" s="339" t="str">
        <f>IFERROR(MATCH(Y27,CoinCollection!O:O,0),"")</f>
        <v/>
      </c>
      <c r="AA27" s="510">
        <f>SUM(AA23:AA25)</f>
        <v>67</v>
      </c>
      <c r="AB27" s="511" t="s">
        <v>5897</v>
      </c>
      <c r="AD27" s="339" t="s">
        <v>158</v>
      </c>
      <c r="AF27" s="3"/>
    </row>
    <row r="28" spans="1:32">
      <c r="A28" s="334" t="b">
        <f t="shared" si="6"/>
        <v>1</v>
      </c>
      <c r="B28" s="363" t="s">
        <v>852</v>
      </c>
      <c r="C28" s="336" t="b">
        <f t="shared" si="1"/>
        <v>1</v>
      </c>
      <c r="D28" s="342" t="s">
        <v>882</v>
      </c>
      <c r="E28" s="336" t="b">
        <f t="shared" si="2"/>
        <v>1</v>
      </c>
      <c r="F28" s="342" t="s">
        <v>905</v>
      </c>
      <c r="G28" s="336" t="b">
        <f t="shared" si="3"/>
        <v>1</v>
      </c>
      <c r="H28" s="423" t="s">
        <v>5181</v>
      </c>
      <c r="I28" s="336" t="b">
        <f t="shared" si="7"/>
        <v>1</v>
      </c>
      <c r="J28" s="342" t="s">
        <v>958</v>
      </c>
      <c r="K28" s="342" t="s">
        <v>53</v>
      </c>
      <c r="L28" s="336" t="b">
        <f t="shared" si="5"/>
        <v>0</v>
      </c>
      <c r="M28" s="498" t="s">
        <v>3982</v>
      </c>
      <c r="O28" t="s">
        <v>5712</v>
      </c>
      <c r="P28" s="330">
        <f>IFERROR(MATCH(O28,CoinCollection!O:O,0),"")</f>
        <v>1254</v>
      </c>
      <c r="Q28" s="330" t="s">
        <v>5763</v>
      </c>
      <c r="R28">
        <f>IFERROR(MATCH(Q28,CoinCollection!O:O,0),"")</f>
        <v>1361</v>
      </c>
      <c r="S28" s="330" t="s">
        <v>5797</v>
      </c>
      <c r="T28" s="330">
        <f>IFERROR(MATCH(S28,CoinCollection!O:O,0),"")</f>
        <v>1470</v>
      </c>
      <c r="U28" s="330" t="s">
        <v>5181</v>
      </c>
      <c r="V28" s="330">
        <f>IFERROR(MATCH(U28,CoinCollection!O:O,0),"")</f>
        <v>1535</v>
      </c>
      <c r="W28" t="s">
        <v>5846</v>
      </c>
      <c r="X28">
        <f>IFERROR(MATCH(W28,CoinCollection!O:O,0),"")</f>
        <v>1574</v>
      </c>
      <c r="Y28" s="499" t="s">
        <v>5881</v>
      </c>
      <c r="Z28" s="339" t="str">
        <f>IFERROR(MATCH(Y28,CoinCollection!O:O,0),"")</f>
        <v/>
      </c>
      <c r="AD28" s="492" t="s">
        <v>163</v>
      </c>
      <c r="AF28" s="3"/>
    </row>
    <row r="29" spans="1:32">
      <c r="A29" s="334" t="b">
        <f t="shared" si="6"/>
        <v>1</v>
      </c>
      <c r="B29" s="361" t="s">
        <v>992</v>
      </c>
      <c r="C29" s="336" t="b">
        <f t="shared" si="1"/>
        <v>1</v>
      </c>
      <c r="D29" s="337" t="s">
        <v>883</v>
      </c>
      <c r="E29" s="336" t="b">
        <f t="shared" si="2"/>
        <v>1</v>
      </c>
      <c r="F29" s="337" t="s">
        <v>906</v>
      </c>
      <c r="G29" s="336" t="b">
        <f t="shared" si="3"/>
        <v>1</v>
      </c>
      <c r="H29" s="337" t="s">
        <v>933</v>
      </c>
      <c r="I29" s="336" t="b">
        <f t="shared" si="7"/>
        <v>1</v>
      </c>
      <c r="J29" s="396" t="s">
        <v>5155</v>
      </c>
      <c r="K29" s="337" t="s">
        <v>53</v>
      </c>
      <c r="L29" s="336" t="b">
        <f t="shared" si="5"/>
        <v>0</v>
      </c>
      <c r="M29" s="497" t="s">
        <v>5882</v>
      </c>
      <c r="O29" t="s">
        <v>5713</v>
      </c>
      <c r="P29" s="330">
        <f>IFERROR(MATCH(O29,CoinCollection!O:O,0),"")</f>
        <v>1265</v>
      </c>
      <c r="Q29" s="330" t="s">
        <v>5764</v>
      </c>
      <c r="R29">
        <f>IFERROR(MATCH(Q29,CoinCollection!O:O,0),"")</f>
        <v>1366</v>
      </c>
      <c r="S29" s="330" t="s">
        <v>5798</v>
      </c>
      <c r="T29" s="330">
        <f>IFERROR(MATCH(S29,CoinCollection!O:O,0),"")</f>
        <v>1472</v>
      </c>
      <c r="U29" s="330" t="s">
        <v>5825</v>
      </c>
      <c r="V29" s="330">
        <f>IFERROR(MATCH(U29,CoinCollection!O:O,0),"")</f>
        <v>1536</v>
      </c>
      <c r="W29" t="s">
        <v>5847</v>
      </c>
      <c r="X29">
        <f>IFERROR(MATCH(W29,CoinCollection!O:O,0),"")</f>
        <v>1575</v>
      </c>
      <c r="Y29" s="499" t="s">
        <v>5882</v>
      </c>
      <c r="Z29" s="339" t="str">
        <f>IFERROR(MATCH(Y29,CoinCollection!O:O,0),"")</f>
        <v/>
      </c>
      <c r="AD29" s="339" t="s">
        <v>168</v>
      </c>
      <c r="AF29" s="3"/>
    </row>
    <row r="30" spans="1:32">
      <c r="A30" s="334" t="b">
        <f t="shared" si="6"/>
        <v>1</v>
      </c>
      <c r="B30" s="363" t="s">
        <v>853</v>
      </c>
      <c r="C30" s="336" t="b">
        <f t="shared" si="1"/>
        <v>1</v>
      </c>
      <c r="D30" s="342" t="s">
        <v>884</v>
      </c>
      <c r="E30" s="336" t="b">
        <f t="shared" si="2"/>
        <v>1</v>
      </c>
      <c r="F30" s="423" t="s">
        <v>5171</v>
      </c>
      <c r="G30" s="336" t="b">
        <f t="shared" si="3"/>
        <v>1</v>
      </c>
      <c r="H30" s="342" t="s">
        <v>934</v>
      </c>
      <c r="I30" s="336" t="b">
        <f t="shared" si="7"/>
        <v>1</v>
      </c>
      <c r="J30" s="342" t="s">
        <v>959</v>
      </c>
      <c r="K30" s="342" t="s">
        <v>53</v>
      </c>
      <c r="L30" s="336" t="b">
        <f t="shared" si="5"/>
        <v>1</v>
      </c>
      <c r="M30" s="342" t="s">
        <v>4820</v>
      </c>
      <c r="O30" t="s">
        <v>5714</v>
      </c>
      <c r="P30" s="330">
        <f>IFERROR(MATCH(O30,CoinCollection!O:O,0),"")</f>
        <v>1264</v>
      </c>
      <c r="Q30" s="330" t="s">
        <v>5765</v>
      </c>
      <c r="R30">
        <f>IFERROR(MATCH(Q30,CoinCollection!O:O,0),"")</f>
        <v>1367</v>
      </c>
      <c r="S30" s="330" t="s">
        <v>5171</v>
      </c>
      <c r="T30" s="330">
        <f>IFERROR(MATCH(S30,CoinCollection!O:O,0),"")</f>
        <v>1469</v>
      </c>
      <c r="U30" s="330" t="s">
        <v>5826</v>
      </c>
      <c r="V30" s="330">
        <f>IFERROR(MATCH(U30,CoinCollection!O:O,0),"")</f>
        <v>1539</v>
      </c>
      <c r="W30" t="s">
        <v>5155</v>
      </c>
      <c r="X30">
        <f>IFERROR(MATCH(W30,CoinCollection!O:O,0),"")</f>
        <v>1573</v>
      </c>
      <c r="Y30" t="s">
        <v>5883</v>
      </c>
      <c r="Z30" s="339">
        <f>IFERROR(MATCH(Y30,CoinCollection!O:O,0),"")</f>
        <v>1668</v>
      </c>
      <c r="AD30" s="492" t="s">
        <v>173</v>
      </c>
      <c r="AF30" s="3"/>
    </row>
    <row r="31" spans="1:32">
      <c r="A31" s="334" t="b">
        <f t="shared" si="6"/>
        <v>1</v>
      </c>
      <c r="B31" s="361" t="s">
        <v>854</v>
      </c>
      <c r="C31" s="336" t="b">
        <f t="shared" si="1"/>
        <v>1</v>
      </c>
      <c r="D31" s="337" t="s">
        <v>885</v>
      </c>
      <c r="E31" s="336" t="b">
        <f t="shared" si="2"/>
        <v>1</v>
      </c>
      <c r="F31" s="337" t="s">
        <v>907</v>
      </c>
      <c r="G31" s="336" t="b">
        <f t="shared" si="3"/>
        <v>1</v>
      </c>
      <c r="H31" s="396" t="s">
        <v>5180</v>
      </c>
      <c r="I31" s="336" t="b">
        <f t="shared" si="7"/>
        <v>1</v>
      </c>
      <c r="J31" s="337" t="s">
        <v>960</v>
      </c>
      <c r="K31" s="337" t="s">
        <v>53</v>
      </c>
      <c r="L31" s="336" t="b">
        <f t="shared" si="5"/>
        <v>1</v>
      </c>
      <c r="M31" s="337" t="s">
        <v>4821</v>
      </c>
      <c r="O31" t="s">
        <v>5715</v>
      </c>
      <c r="P31" s="330">
        <f>IFERROR(MATCH(O31,CoinCollection!O:O,0),"")</f>
        <v>1266</v>
      </c>
      <c r="Q31" s="330" t="s">
        <v>5766</v>
      </c>
      <c r="R31">
        <f>IFERROR(MATCH(Q31,CoinCollection!O:O,0),"")</f>
        <v>1373</v>
      </c>
      <c r="S31" s="330" t="s">
        <v>5799</v>
      </c>
      <c r="T31" s="330">
        <f>IFERROR(MATCH(S31,CoinCollection!O:O,0),"")</f>
        <v>1473</v>
      </c>
      <c r="U31" s="330" t="s">
        <v>5180</v>
      </c>
      <c r="V31" s="330">
        <f>IFERROR(MATCH(U31,CoinCollection!O:O,0),"")</f>
        <v>1540</v>
      </c>
      <c r="W31" t="s">
        <v>5848</v>
      </c>
      <c r="X31">
        <f>IFERROR(MATCH(W31,CoinCollection!O:O,0),"")</f>
        <v>1577</v>
      </c>
      <c r="Y31" t="s">
        <v>5884</v>
      </c>
      <c r="Z31" s="339">
        <f>IFERROR(MATCH(Y31,CoinCollection!O:O,0),"")</f>
        <v>1669</v>
      </c>
      <c r="AD31" s="492" t="s">
        <v>173</v>
      </c>
      <c r="AF31" s="3"/>
    </row>
    <row r="32" spans="1:32">
      <c r="A32" s="334" t="b">
        <f t="shared" si="6"/>
        <v>1</v>
      </c>
      <c r="B32" s="363" t="s">
        <v>2477</v>
      </c>
      <c r="C32" s="336" t="b">
        <f t="shared" si="1"/>
        <v>1</v>
      </c>
      <c r="D32" s="498" t="s">
        <v>5635</v>
      </c>
      <c r="E32" s="336" t="b">
        <f t="shared" si="2"/>
        <v>1</v>
      </c>
      <c r="F32" s="342" t="s">
        <v>908</v>
      </c>
      <c r="G32" s="336" t="b">
        <f t="shared" si="3"/>
        <v>1</v>
      </c>
      <c r="H32" s="342" t="s">
        <v>935</v>
      </c>
      <c r="I32" s="336" t="b">
        <f t="shared" si="7"/>
        <v>1</v>
      </c>
      <c r="J32" s="423" t="s">
        <v>5154</v>
      </c>
      <c r="K32" s="342" t="s">
        <v>53</v>
      </c>
      <c r="L32" s="336" t="b">
        <f t="shared" si="5"/>
        <v>0</v>
      </c>
      <c r="M32" s="498" t="s">
        <v>5885</v>
      </c>
      <c r="O32" t="s">
        <v>5716</v>
      </c>
      <c r="P32" s="330">
        <f>IFERROR(MATCH(O32,CoinCollection!O:O,0),"")</f>
        <v>1267</v>
      </c>
      <c r="Q32" s="330" t="s">
        <v>5767</v>
      </c>
      <c r="R32">
        <f>IFERROR(MATCH(Q32,CoinCollection!O:O,0),"")</f>
        <v>1376</v>
      </c>
      <c r="S32" s="330" t="s">
        <v>5800</v>
      </c>
      <c r="T32" s="330">
        <f>IFERROR(MATCH(S32,CoinCollection!O:O,0),"")</f>
        <v>1475</v>
      </c>
      <c r="U32" s="330" t="s">
        <v>5827</v>
      </c>
      <c r="V32" s="330">
        <f>IFERROR(MATCH(U32,CoinCollection!O:O,0),"")</f>
        <v>1542</v>
      </c>
      <c r="W32" t="s">
        <v>5849</v>
      </c>
      <c r="X32">
        <f>IFERROR(MATCH(W32,CoinCollection!O:O,0),"")</f>
        <v>1578</v>
      </c>
      <c r="Y32" s="499" t="s">
        <v>5885</v>
      </c>
      <c r="Z32" s="339" t="str">
        <f>IFERROR(MATCH(Y32,CoinCollection!O:O,0),"")</f>
        <v/>
      </c>
      <c r="AD32" s="339" t="s">
        <v>181</v>
      </c>
      <c r="AF32" s="3"/>
    </row>
    <row r="33" spans="1:32">
      <c r="A33" s="334" t="b">
        <f t="shared" si="6"/>
        <v>1</v>
      </c>
      <c r="B33" s="361" t="s">
        <v>855</v>
      </c>
      <c r="C33" s="336" t="b">
        <f t="shared" si="1"/>
        <v>1</v>
      </c>
      <c r="D33" s="337" t="s">
        <v>886</v>
      </c>
      <c r="E33" s="336" t="b">
        <f t="shared" si="2"/>
        <v>1</v>
      </c>
      <c r="F33" s="396" t="s">
        <v>5172</v>
      </c>
      <c r="G33" s="336" t="b">
        <f t="shared" si="3"/>
        <v>1</v>
      </c>
      <c r="H33" s="337" t="s">
        <v>936</v>
      </c>
      <c r="I33" s="336" t="b">
        <f t="shared" si="7"/>
        <v>1</v>
      </c>
      <c r="J33" s="337" t="s">
        <v>961</v>
      </c>
      <c r="K33" s="337" t="s">
        <v>53</v>
      </c>
      <c r="L33" s="337"/>
      <c r="M33" s="337"/>
      <c r="O33" t="s">
        <v>5717</v>
      </c>
      <c r="P33" s="330">
        <f>IFERROR(MATCH(O33,CoinCollection!O:O,0),"")</f>
        <v>1269</v>
      </c>
      <c r="Q33" s="330" t="s">
        <v>5768</v>
      </c>
      <c r="R33">
        <f>IFERROR(MATCH(Q33,CoinCollection!O:O,0),"")</f>
        <v>1374</v>
      </c>
      <c r="S33" s="330" t="s">
        <v>5172</v>
      </c>
      <c r="T33" s="330">
        <f>IFERROR(MATCH(S33,CoinCollection!O:O,0),"")</f>
        <v>1476</v>
      </c>
      <c r="U33" s="330" t="s">
        <v>5828</v>
      </c>
      <c r="V33" s="330">
        <f>IFERROR(MATCH(U33,CoinCollection!O:O,0),"")</f>
        <v>1541</v>
      </c>
      <c r="W33" t="s">
        <v>5154</v>
      </c>
      <c r="X33">
        <f>IFERROR(MATCH(W33,CoinCollection!O:O,0),"")</f>
        <v>1576</v>
      </c>
      <c r="AD33" s="339" t="s">
        <v>184</v>
      </c>
      <c r="AF33" s="3"/>
    </row>
    <row r="34" spans="1:32">
      <c r="A34" s="334" t="b">
        <f t="shared" si="6"/>
        <v>1</v>
      </c>
      <c r="B34" s="363" t="s">
        <v>856</v>
      </c>
      <c r="C34" s="336" t="b">
        <f t="shared" si="1"/>
        <v>1</v>
      </c>
      <c r="D34" s="423" t="s">
        <v>5161</v>
      </c>
      <c r="E34" s="336" t="b">
        <f t="shared" si="2"/>
        <v>1</v>
      </c>
      <c r="F34" s="342" t="s">
        <v>909</v>
      </c>
      <c r="G34" s="336" t="b">
        <f t="shared" si="3"/>
        <v>1</v>
      </c>
      <c r="H34" s="423" t="s">
        <v>5179</v>
      </c>
      <c r="I34" s="336" t="b">
        <f t="shared" si="7"/>
        <v>1</v>
      </c>
      <c r="J34" s="342" t="s">
        <v>962</v>
      </c>
      <c r="K34" s="342"/>
      <c r="L34" s="342"/>
      <c r="M34" s="342"/>
      <c r="O34" t="s">
        <v>5718</v>
      </c>
      <c r="P34" s="330">
        <f>IFERROR(MATCH(O34,CoinCollection!O:O,0),"")</f>
        <v>1270</v>
      </c>
      <c r="Q34" s="330" t="s">
        <v>5161</v>
      </c>
      <c r="R34">
        <f>IFERROR(MATCH(Q34,CoinCollection!O:O,0),"")</f>
        <v>1377</v>
      </c>
      <c r="S34" s="330" t="s">
        <v>5801</v>
      </c>
      <c r="T34" s="330">
        <f>IFERROR(MATCH(S34,CoinCollection!O:O,0),"")</f>
        <v>1479</v>
      </c>
      <c r="U34" s="330" t="s">
        <v>5179</v>
      </c>
      <c r="V34" s="330">
        <f>IFERROR(MATCH(U34,CoinCollection!O:O,0),"")</f>
        <v>1543</v>
      </c>
      <c r="W34" t="s">
        <v>5850</v>
      </c>
      <c r="X34">
        <f>IFERROR(MATCH(W34,CoinCollection!O:O,0),"")</f>
        <v>1579</v>
      </c>
      <c r="AD34" s="339" t="s">
        <v>189</v>
      </c>
      <c r="AF34" s="3"/>
    </row>
    <row r="35" spans="1:32">
      <c r="A35" s="334" t="b">
        <f t="shared" si="6"/>
        <v>1</v>
      </c>
      <c r="B35" s="361" t="s">
        <v>2478</v>
      </c>
      <c r="C35" s="336" t="b">
        <f t="shared" si="1"/>
        <v>1</v>
      </c>
      <c r="D35" s="337" t="s">
        <v>2500</v>
      </c>
      <c r="E35" s="336" t="b">
        <f t="shared" si="2"/>
        <v>1</v>
      </c>
      <c r="F35" s="337" t="s">
        <v>910</v>
      </c>
      <c r="G35" s="336" t="b">
        <f t="shared" si="3"/>
        <v>1</v>
      </c>
      <c r="H35" s="337" t="s">
        <v>937</v>
      </c>
      <c r="I35" s="336" t="b">
        <f t="shared" si="7"/>
        <v>1</v>
      </c>
      <c r="J35" s="497" t="s">
        <v>5153</v>
      </c>
      <c r="K35" s="337"/>
      <c r="L35" s="337"/>
      <c r="M35" s="337"/>
      <c r="O35" t="s">
        <v>5719</v>
      </c>
      <c r="P35" s="330">
        <f>IFERROR(MATCH(O35,CoinCollection!O:O,0),"")</f>
        <v>1271</v>
      </c>
      <c r="Q35" s="330" t="s">
        <v>5769</v>
      </c>
      <c r="R35">
        <f>IFERROR(MATCH(Q35,CoinCollection!O:O,0),"")</f>
        <v>1381</v>
      </c>
      <c r="S35" s="330" t="s">
        <v>5802</v>
      </c>
      <c r="T35" s="330">
        <f>IFERROR(MATCH(S35,CoinCollection!O:O,0),"")</f>
        <v>1477</v>
      </c>
      <c r="U35" s="330" t="s">
        <v>5829</v>
      </c>
      <c r="V35" s="330">
        <f>IFERROR(MATCH(U35,CoinCollection!O:O,0),"")</f>
        <v>1544</v>
      </c>
      <c r="W35" t="s">
        <v>5851</v>
      </c>
      <c r="X35">
        <f>IFERROR(MATCH(W35,CoinCollection!O:O,0),"")</f>
        <v>1581</v>
      </c>
      <c r="AD35" s="339" t="s">
        <v>192</v>
      </c>
      <c r="AF35" s="3"/>
    </row>
    <row r="36" spans="1:32">
      <c r="A36" s="334" t="b">
        <f t="shared" si="6"/>
        <v>1</v>
      </c>
      <c r="B36" s="363" t="s">
        <v>857</v>
      </c>
      <c r="C36" s="336" t="b">
        <f t="shared" si="1"/>
        <v>1</v>
      </c>
      <c r="D36" s="342" t="s">
        <v>887</v>
      </c>
      <c r="E36" s="336" t="b">
        <f t="shared" si="2"/>
        <v>1</v>
      </c>
      <c r="F36" s="423" t="s">
        <v>5173</v>
      </c>
      <c r="G36" s="336" t="b">
        <f t="shared" si="3"/>
        <v>1</v>
      </c>
      <c r="H36" s="342" t="s">
        <v>938</v>
      </c>
      <c r="I36" s="336" t="b">
        <f t="shared" si="7"/>
        <v>1</v>
      </c>
      <c r="J36" s="342" t="s">
        <v>963</v>
      </c>
      <c r="K36" s="342"/>
      <c r="L36" s="342"/>
      <c r="M36" s="342"/>
      <c r="O36" t="s">
        <v>5720</v>
      </c>
      <c r="P36" s="330">
        <f>IFERROR(MATCH(O36,CoinCollection!O:O,0),"")</f>
        <v>1272</v>
      </c>
      <c r="Q36" s="330" t="s">
        <v>5770</v>
      </c>
      <c r="R36">
        <f>IFERROR(MATCH(Q36,CoinCollection!O:O,0),"")</f>
        <v>1378</v>
      </c>
      <c r="S36" s="330" t="s">
        <v>5173</v>
      </c>
      <c r="T36" s="330">
        <f>IFERROR(MATCH(S36,CoinCollection!O:O,0),"")</f>
        <v>1480</v>
      </c>
      <c r="U36" s="330" t="s">
        <v>5830</v>
      </c>
      <c r="V36" s="330">
        <f>IFERROR(MATCH(U36,CoinCollection!O:O,0),"")</f>
        <v>1546</v>
      </c>
      <c r="W36" t="s">
        <v>5153</v>
      </c>
      <c r="X36">
        <f>IFERROR(MATCH(W36,CoinCollection!O:O,0),"")</f>
        <v>1580</v>
      </c>
      <c r="AD36" s="339" t="s">
        <v>195</v>
      </c>
      <c r="AF36" s="3"/>
    </row>
    <row r="37" spans="1:32">
      <c r="A37" s="334" t="b">
        <f t="shared" si="6"/>
        <v>1</v>
      </c>
      <c r="B37" s="361" t="s">
        <v>858</v>
      </c>
      <c r="C37" s="336" t="b">
        <f t="shared" si="1"/>
        <v>1</v>
      </c>
      <c r="D37" s="497" t="s">
        <v>5162</v>
      </c>
      <c r="E37" s="336" t="b">
        <f t="shared" si="2"/>
        <v>1</v>
      </c>
      <c r="F37" s="337" t="s">
        <v>911</v>
      </c>
      <c r="G37" s="336" t="b">
        <f t="shared" si="3"/>
        <v>1</v>
      </c>
      <c r="H37" s="396" t="s">
        <v>5178</v>
      </c>
      <c r="I37" s="336" t="b">
        <f t="shared" si="7"/>
        <v>1</v>
      </c>
      <c r="J37" s="337" t="s">
        <v>964</v>
      </c>
      <c r="K37" s="337"/>
      <c r="L37" s="337"/>
      <c r="M37" s="337"/>
      <c r="O37" t="s">
        <v>5721</v>
      </c>
      <c r="P37" s="330">
        <f>IFERROR(MATCH(O37,CoinCollection!O:O,0),"")</f>
        <v>1273</v>
      </c>
      <c r="Q37" s="330" t="s">
        <v>5162</v>
      </c>
      <c r="R37">
        <f>IFERROR(MATCH(Q37,CoinCollection!O:O,0),"")</f>
        <v>1382</v>
      </c>
      <c r="S37" s="330" t="s">
        <v>5803</v>
      </c>
      <c r="T37" s="330">
        <f>IFERROR(MATCH(S37,CoinCollection!O:O,0),"")</f>
        <v>1483</v>
      </c>
      <c r="U37" s="330" t="s">
        <v>5178</v>
      </c>
      <c r="V37" s="330">
        <f>IFERROR(MATCH(U37,CoinCollection!O:O,0),"")</f>
        <v>1547</v>
      </c>
      <c r="W37" t="s">
        <v>5852</v>
      </c>
      <c r="X37">
        <f>IFERROR(MATCH(W37,CoinCollection!O:O,0),"")</f>
        <v>1585</v>
      </c>
      <c r="AD37" s="339" t="s">
        <v>198</v>
      </c>
      <c r="AF37" s="3"/>
    </row>
    <row r="38" spans="1:32">
      <c r="A38" s="334" t="b">
        <f t="shared" si="6"/>
        <v>1</v>
      </c>
      <c r="B38" s="363" t="s">
        <v>2479</v>
      </c>
      <c r="C38" s="336" t="b">
        <f t="shared" si="1"/>
        <v>1</v>
      </c>
      <c r="D38" s="342" t="s">
        <v>2502</v>
      </c>
      <c r="E38" s="336" t="b">
        <f t="shared" si="2"/>
        <v>1</v>
      </c>
      <c r="F38" s="342" t="s">
        <v>912</v>
      </c>
      <c r="G38" s="336" t="b">
        <f t="shared" si="3"/>
        <v>1</v>
      </c>
      <c r="H38" s="342" t="s">
        <v>939</v>
      </c>
      <c r="I38" s="336" t="b">
        <f t="shared" si="7"/>
        <v>0</v>
      </c>
      <c r="J38" s="498" t="s">
        <v>5905</v>
      </c>
      <c r="K38" s="342"/>
      <c r="L38" s="342"/>
      <c r="M38" s="342"/>
      <c r="O38" t="s">
        <v>5722</v>
      </c>
      <c r="P38" s="330">
        <f>IFERROR(MATCH(O38,CoinCollection!O:O,0),"")</f>
        <v>1274</v>
      </c>
      <c r="Q38" s="330" t="s">
        <v>5771</v>
      </c>
      <c r="R38">
        <f>IFERROR(MATCH(Q38,CoinCollection!O:O,0),"")</f>
        <v>1383</v>
      </c>
      <c r="S38" s="330" t="s">
        <v>5804</v>
      </c>
      <c r="T38" s="330">
        <f>IFERROR(MATCH(S38,CoinCollection!O:O,0),"")</f>
        <v>1481</v>
      </c>
      <c r="U38" s="330" t="s">
        <v>5831</v>
      </c>
      <c r="V38" s="330">
        <f>IFERROR(MATCH(U38,CoinCollection!O:O,0),"")</f>
        <v>1548</v>
      </c>
      <c r="W38" t="s">
        <v>5853</v>
      </c>
      <c r="X38">
        <f>IFERROR(MATCH(W38,CoinCollection!O:O,0),"")</f>
        <v>1589</v>
      </c>
      <c r="AD38" s="339" t="s">
        <v>201</v>
      </c>
    </row>
    <row r="39" spans="1:32">
      <c r="A39" s="334" t="b">
        <f t="shared" si="6"/>
        <v>1</v>
      </c>
      <c r="B39" s="361" t="s">
        <v>859</v>
      </c>
      <c r="C39" s="336" t="b">
        <f t="shared" si="1"/>
        <v>1</v>
      </c>
      <c r="D39" s="337" t="s">
        <v>888</v>
      </c>
      <c r="E39" s="336" t="b">
        <f t="shared" si="2"/>
        <v>1</v>
      </c>
      <c r="F39" s="396" t="s">
        <v>5174</v>
      </c>
      <c r="G39" s="336" t="b">
        <f t="shared" si="3"/>
        <v>1</v>
      </c>
      <c r="H39" s="337" t="s">
        <v>940</v>
      </c>
      <c r="I39" s="336" t="b">
        <f t="shared" si="7"/>
        <v>1</v>
      </c>
      <c r="J39" s="337" t="s">
        <v>965</v>
      </c>
      <c r="K39" s="337"/>
      <c r="L39" s="337"/>
      <c r="M39" s="337"/>
      <c r="O39" t="s">
        <v>5723</v>
      </c>
      <c r="P39" s="330">
        <f>IFERROR(MATCH(O39,CoinCollection!O:O,0),"")</f>
        <v>1275</v>
      </c>
      <c r="Q39" s="330" t="s">
        <v>5772</v>
      </c>
      <c r="R39">
        <f>IFERROR(MATCH(Q39,CoinCollection!O:O,0),"")</f>
        <v>1390</v>
      </c>
      <c r="S39" s="330" t="s">
        <v>5174</v>
      </c>
      <c r="T39" s="330">
        <f>IFERROR(MATCH(S39,CoinCollection!O:O,0),"")</f>
        <v>1484</v>
      </c>
      <c r="U39" s="330" t="s">
        <v>5832</v>
      </c>
      <c r="V39" s="330">
        <f>IFERROR(MATCH(U39,CoinCollection!O:O,0),"")</f>
        <v>1551</v>
      </c>
      <c r="W39" s="499" t="s">
        <v>5854</v>
      </c>
      <c r="X39" t="str">
        <f>IFERROR(MATCH(W39,CoinCollection!O:O,0),"")</f>
        <v/>
      </c>
      <c r="AD39" s="339" t="s">
        <v>205</v>
      </c>
    </row>
    <row r="40" spans="1:32">
      <c r="A40" s="334" t="b">
        <f t="shared" si="6"/>
        <v>1</v>
      </c>
      <c r="B40" s="363" t="s">
        <v>860</v>
      </c>
      <c r="C40" s="336" t="b">
        <f t="shared" si="1"/>
        <v>1</v>
      </c>
      <c r="D40" s="498" t="s">
        <v>5636</v>
      </c>
      <c r="E40" s="336" t="b">
        <f t="shared" si="2"/>
        <v>1</v>
      </c>
      <c r="F40" s="342" t="s">
        <v>913</v>
      </c>
      <c r="G40" s="336" t="b">
        <f t="shared" si="3"/>
        <v>1</v>
      </c>
      <c r="H40" s="423" t="s">
        <v>5177</v>
      </c>
      <c r="I40" s="336" t="b">
        <f t="shared" si="7"/>
        <v>1</v>
      </c>
      <c r="J40" s="342" t="s">
        <v>966</v>
      </c>
      <c r="K40" s="342"/>
      <c r="L40" s="342"/>
      <c r="M40" s="342"/>
      <c r="O40" t="s">
        <v>5724</v>
      </c>
      <c r="P40" s="330">
        <f>IFERROR(MATCH(O40,CoinCollection!O:O,0),"")</f>
        <v>1276</v>
      </c>
      <c r="Q40" s="330" t="s">
        <v>5636</v>
      </c>
      <c r="R40">
        <f>IFERROR(MATCH(Q40,CoinCollection!O:O,0),"")</f>
        <v>1391</v>
      </c>
      <c r="S40" s="330" t="s">
        <v>5805</v>
      </c>
      <c r="T40" s="330">
        <f>IFERROR(MATCH(S40,CoinCollection!O:O,0),"")</f>
        <v>1487</v>
      </c>
      <c r="U40" s="330" t="s">
        <v>5177</v>
      </c>
      <c r="V40" s="330">
        <f>IFERROR(MATCH(U40,CoinCollection!O:O,0),"")</f>
        <v>1550</v>
      </c>
      <c r="W40" t="s">
        <v>5855</v>
      </c>
      <c r="X40">
        <f>IFERROR(MATCH(W40,CoinCollection!O:O,0),"")</f>
        <v>1593</v>
      </c>
      <c r="AD40" s="339" t="s">
        <v>209</v>
      </c>
    </row>
    <row r="41" spans="1:32">
      <c r="A41" s="334" t="b">
        <f t="shared" si="6"/>
        <v>1</v>
      </c>
      <c r="B41" s="361" t="s">
        <v>2480</v>
      </c>
      <c r="C41" s="336" t="b">
        <f t="shared" si="1"/>
        <v>1</v>
      </c>
      <c r="D41" s="337" t="s">
        <v>2504</v>
      </c>
      <c r="E41" s="336" t="b">
        <f t="shared" si="2"/>
        <v>1</v>
      </c>
      <c r="F41" s="337" t="s">
        <v>914</v>
      </c>
      <c r="G41" s="336" t="b">
        <f t="shared" si="3"/>
        <v>1</v>
      </c>
      <c r="H41" s="337" t="s">
        <v>941</v>
      </c>
      <c r="I41" s="336" t="b">
        <f t="shared" si="7"/>
        <v>0</v>
      </c>
      <c r="J41" s="497" t="s">
        <v>5906</v>
      </c>
      <c r="K41" s="337"/>
      <c r="L41" s="337"/>
      <c r="M41" s="337"/>
      <c r="O41" t="s">
        <v>5725</v>
      </c>
      <c r="P41" s="330">
        <f>IFERROR(MATCH(O41,CoinCollection!O:O,0),"")</f>
        <v>1277</v>
      </c>
      <c r="Q41" s="330" t="s">
        <v>5773</v>
      </c>
      <c r="R41">
        <f>IFERROR(MATCH(Q41,CoinCollection!O:O,0),"")</f>
        <v>1392</v>
      </c>
      <c r="S41" s="330" t="s">
        <v>5806</v>
      </c>
      <c r="T41" s="330">
        <f>IFERROR(MATCH(S41,CoinCollection!O:O,0),"")</f>
        <v>1485</v>
      </c>
      <c r="U41" s="330" t="s">
        <v>5833</v>
      </c>
      <c r="V41" s="330">
        <f>IFERROR(MATCH(U41,CoinCollection!O:O,0),"")</f>
        <v>1552</v>
      </c>
      <c r="W41" t="s">
        <v>5856</v>
      </c>
      <c r="X41">
        <f>IFERROR(MATCH(W41,CoinCollection!O:O,0),"")</f>
        <v>1596</v>
      </c>
      <c r="AD41" s="339" t="s">
        <v>213</v>
      </c>
    </row>
    <row r="42" spans="1:32">
      <c r="A42" s="334" t="b">
        <f t="shared" si="6"/>
        <v>1</v>
      </c>
      <c r="B42" s="363" t="s">
        <v>861</v>
      </c>
      <c r="C42" s="336" t="b">
        <f t="shared" si="1"/>
        <v>1</v>
      </c>
      <c r="D42" s="342" t="s">
        <v>889</v>
      </c>
      <c r="E42" s="336" t="b">
        <f t="shared" si="2"/>
        <v>1</v>
      </c>
      <c r="F42" s="498" t="s">
        <v>5175</v>
      </c>
      <c r="G42" s="336" t="b">
        <f t="shared" si="3"/>
        <v>1</v>
      </c>
      <c r="H42" s="342" t="s">
        <v>942</v>
      </c>
      <c r="I42" s="336" t="b">
        <f t="shared" si="7"/>
        <v>1</v>
      </c>
      <c r="J42" s="342" t="s">
        <v>967</v>
      </c>
      <c r="K42" s="342"/>
      <c r="L42" s="342"/>
      <c r="M42" s="342"/>
      <c r="O42" t="s">
        <v>5726</v>
      </c>
      <c r="P42" s="330">
        <f>IFERROR(MATCH(O42,CoinCollection!O:O,0),"")</f>
        <v>1279</v>
      </c>
      <c r="Q42" s="330" t="s">
        <v>5774</v>
      </c>
      <c r="R42">
        <f>IFERROR(MATCH(Q42,CoinCollection!O:O,0),"")</f>
        <v>1396</v>
      </c>
      <c r="S42" s="330" t="s">
        <v>5175</v>
      </c>
      <c r="T42" s="330">
        <f>IFERROR(MATCH(S42,CoinCollection!O:O,0),"")</f>
        <v>1490</v>
      </c>
      <c r="U42" s="330" t="s">
        <v>5834</v>
      </c>
      <c r="V42" s="330">
        <f>IFERROR(MATCH(U42,CoinCollection!O:O,0),"")</f>
        <v>1554</v>
      </c>
      <c r="W42" s="499" t="s">
        <v>5857</v>
      </c>
      <c r="X42" t="str">
        <f>IFERROR(MATCH(W42,CoinCollection!O:O,0),"")</f>
        <v/>
      </c>
      <c r="AD42" s="339" t="s">
        <v>216</v>
      </c>
    </row>
    <row r="43" spans="1:32">
      <c r="A43" s="334" t="b">
        <f t="shared" si="6"/>
        <v>1</v>
      </c>
      <c r="B43" s="361" t="s">
        <v>2481</v>
      </c>
      <c r="C43" s="336" t="b">
        <f t="shared" si="1"/>
        <v>1</v>
      </c>
      <c r="D43" s="497" t="s">
        <v>5637</v>
      </c>
      <c r="E43" s="336" t="b">
        <f t="shared" si="2"/>
        <v>1</v>
      </c>
      <c r="F43" s="337" t="s">
        <v>915</v>
      </c>
      <c r="G43" s="336" t="b">
        <f t="shared" si="3"/>
        <v>1</v>
      </c>
      <c r="H43" s="396" t="s">
        <v>5176</v>
      </c>
      <c r="I43" s="336" t="b">
        <f t="shared" si="7"/>
        <v>1</v>
      </c>
      <c r="J43" s="337" t="s">
        <v>968</v>
      </c>
      <c r="K43" s="337"/>
      <c r="L43" s="337"/>
      <c r="M43" s="337"/>
      <c r="O43" t="s">
        <v>5727</v>
      </c>
      <c r="P43" s="330">
        <f>IFERROR(MATCH(O43,CoinCollection!O:O,0),"")</f>
        <v>1278</v>
      </c>
      <c r="Q43" s="330" t="s">
        <v>5637</v>
      </c>
      <c r="R43">
        <f>IFERROR(MATCH(Q43,CoinCollection!O:O,0),"")</f>
        <v>1398</v>
      </c>
      <c r="S43" s="330" t="s">
        <v>5807</v>
      </c>
      <c r="T43" s="330">
        <f>IFERROR(MATCH(S43,CoinCollection!O:O,0),"")</f>
        <v>1492</v>
      </c>
      <c r="U43" s="330" t="s">
        <v>5176</v>
      </c>
      <c r="V43" s="330">
        <f>IFERROR(MATCH(U43,CoinCollection!O:O,0),"")</f>
        <v>1553</v>
      </c>
      <c r="W43" t="s">
        <v>5858</v>
      </c>
      <c r="X43">
        <f>IFERROR(MATCH(W43,CoinCollection!O:O,0),"")</f>
        <v>1600</v>
      </c>
      <c r="AD43" s="339" t="s">
        <v>220</v>
      </c>
    </row>
    <row r="44" spans="1:32">
      <c r="A44" s="334" t="b">
        <f t="shared" si="6"/>
        <v>1</v>
      </c>
      <c r="B44" s="363" t="s">
        <v>862</v>
      </c>
      <c r="C44" s="336" t="b">
        <f t="shared" si="1"/>
        <v>1</v>
      </c>
      <c r="D44" s="342" t="s">
        <v>2506</v>
      </c>
      <c r="E44" s="342"/>
      <c r="F44" s="342"/>
      <c r="G44" s="342"/>
      <c r="H44" s="342"/>
      <c r="I44" s="336" t="b">
        <f t="shared" si="7"/>
        <v>1</v>
      </c>
      <c r="J44" s="342" t="s">
        <v>2557</v>
      </c>
      <c r="K44" s="342"/>
      <c r="L44" s="342"/>
      <c r="M44" s="342"/>
      <c r="O44" t="s">
        <v>5728</v>
      </c>
      <c r="P44" s="330">
        <f>IFERROR(MATCH(O44,CoinCollection!O:O,0),"")</f>
        <v>1280</v>
      </c>
      <c r="Q44" s="330" t="s">
        <v>5775</v>
      </c>
      <c r="R44">
        <f>IFERROR(MATCH(Q44,CoinCollection!O:O,0),"")</f>
        <v>1399</v>
      </c>
      <c r="W44" t="s">
        <v>5859</v>
      </c>
      <c r="X44">
        <f>IFERROR(MATCH(W44,CoinCollection!O:O,0),"")</f>
        <v>1602</v>
      </c>
      <c r="AD44" s="339" t="s">
        <v>221</v>
      </c>
    </row>
    <row r="45" spans="1:32">
      <c r="A45" s="334" t="b">
        <f t="shared" si="6"/>
        <v>1</v>
      </c>
      <c r="B45" s="361" t="s">
        <v>863</v>
      </c>
      <c r="C45" s="336" t="b">
        <f t="shared" si="1"/>
        <v>1</v>
      </c>
      <c r="D45" s="337" t="s">
        <v>890</v>
      </c>
      <c r="E45" s="337"/>
      <c r="F45" s="337"/>
      <c r="G45" s="337"/>
      <c r="H45" s="337"/>
      <c r="I45" s="336" t="b">
        <f t="shared" si="7"/>
        <v>1</v>
      </c>
      <c r="J45" s="337" t="s">
        <v>969</v>
      </c>
      <c r="K45" s="337"/>
      <c r="L45" s="337"/>
      <c r="M45" s="337"/>
      <c r="O45" t="s">
        <v>5729</v>
      </c>
      <c r="P45" s="330">
        <f>IFERROR(MATCH(O45,CoinCollection!O:O,0),"")</f>
        <v>1281</v>
      </c>
      <c r="Q45" s="330" t="s">
        <v>5776</v>
      </c>
      <c r="R45">
        <f>IFERROR(MATCH(Q45,CoinCollection!O:O,0),"")</f>
        <v>1401</v>
      </c>
      <c r="W45" t="s">
        <v>5893</v>
      </c>
      <c r="X45">
        <f>IFERROR(MATCH(W45,CoinCollection!O:O,0),"")</f>
        <v>1601</v>
      </c>
      <c r="AD45" s="339" t="s">
        <v>225</v>
      </c>
    </row>
    <row r="46" spans="1:32">
      <c r="A46" s="334" t="b">
        <f t="shared" si="6"/>
        <v>1</v>
      </c>
      <c r="B46" s="363" t="s">
        <v>2482</v>
      </c>
      <c r="C46" s="336" t="b">
        <f t="shared" si="1"/>
        <v>1</v>
      </c>
      <c r="D46" s="498" t="s">
        <v>5638</v>
      </c>
      <c r="E46" s="342"/>
      <c r="F46" s="342"/>
      <c r="G46" s="342"/>
      <c r="H46" s="342"/>
      <c r="I46" s="336" t="b">
        <f t="shared" si="7"/>
        <v>1</v>
      </c>
      <c r="J46" s="342" t="s">
        <v>970</v>
      </c>
      <c r="K46" s="342"/>
      <c r="L46" s="342"/>
      <c r="M46" s="342"/>
      <c r="O46" t="s">
        <v>5730</v>
      </c>
      <c r="P46" s="330">
        <f>IFERROR(MATCH(O46,CoinCollection!O:O,0),"")</f>
        <v>1285</v>
      </c>
      <c r="Q46" s="330" t="s">
        <v>5638</v>
      </c>
      <c r="R46">
        <f>IFERROR(MATCH(Q46,CoinCollection!O:O,0),"")</f>
        <v>1404</v>
      </c>
      <c r="W46" t="s">
        <v>5860</v>
      </c>
      <c r="X46">
        <f>IFERROR(MATCH(W46,CoinCollection!O:O,0),"")</f>
        <v>1606</v>
      </c>
      <c r="AD46" s="339" t="s">
        <v>230</v>
      </c>
    </row>
    <row r="47" spans="1:32">
      <c r="A47" s="334" t="b">
        <f t="shared" si="6"/>
        <v>1</v>
      </c>
      <c r="B47" s="361" t="s">
        <v>864</v>
      </c>
      <c r="C47" s="336" t="b">
        <f t="shared" si="1"/>
        <v>1</v>
      </c>
      <c r="D47" s="337" t="s">
        <v>2508</v>
      </c>
      <c r="E47" s="337"/>
      <c r="F47" s="337"/>
      <c r="G47" s="337"/>
      <c r="H47" s="337"/>
      <c r="I47" s="336" t="b">
        <f t="shared" si="7"/>
        <v>1</v>
      </c>
      <c r="J47" s="337" t="s">
        <v>2558</v>
      </c>
      <c r="K47" s="337"/>
      <c r="L47" s="337"/>
      <c r="M47" s="337"/>
      <c r="O47" t="s">
        <v>5731</v>
      </c>
      <c r="P47" s="330">
        <f>IFERROR(MATCH(O47,CoinCollection!O:O,0),"")</f>
        <v>1284</v>
      </c>
      <c r="Q47" s="330" t="s">
        <v>5777</v>
      </c>
      <c r="R47">
        <f>IFERROR(MATCH(Q47,CoinCollection!O:O,0),"")</f>
        <v>1405</v>
      </c>
      <c r="W47" t="s">
        <v>5861</v>
      </c>
      <c r="X47">
        <f>IFERROR(MATCH(W47,CoinCollection!O:O,0),"")</f>
        <v>1608</v>
      </c>
      <c r="AD47" s="339" t="s">
        <v>87</v>
      </c>
    </row>
    <row r="48" spans="1:32">
      <c r="A48" s="334" t="b">
        <f t="shared" si="6"/>
        <v>1</v>
      </c>
      <c r="B48" s="363" t="s">
        <v>865</v>
      </c>
      <c r="C48" s="336" t="b">
        <f t="shared" si="1"/>
        <v>1</v>
      </c>
      <c r="D48" s="342" t="s">
        <v>891</v>
      </c>
      <c r="E48" s="342"/>
      <c r="F48" s="342"/>
      <c r="G48" s="342"/>
      <c r="H48" s="342"/>
      <c r="I48" s="336" t="b">
        <f t="shared" si="7"/>
        <v>1</v>
      </c>
      <c r="J48" s="342" t="s">
        <v>971</v>
      </c>
      <c r="K48" s="342"/>
      <c r="L48" s="342"/>
      <c r="M48" s="342"/>
      <c r="O48" t="s">
        <v>5732</v>
      </c>
      <c r="P48" s="330">
        <f>IFERROR(MATCH(O48,CoinCollection!O:O,0),"")</f>
        <v>1286</v>
      </c>
      <c r="Q48" s="330" t="s">
        <v>5778</v>
      </c>
      <c r="R48">
        <f>IFERROR(MATCH(Q48,CoinCollection!O:O,0),"")</f>
        <v>1410</v>
      </c>
      <c r="W48" t="s">
        <v>5894</v>
      </c>
      <c r="X48">
        <f>IFERROR(MATCH(W48,CoinCollection!O:O,0),"")</f>
        <v>1610</v>
      </c>
      <c r="AD48" s="339" t="s">
        <v>94</v>
      </c>
    </row>
    <row r="49" spans="1:30">
      <c r="A49" s="334" t="b">
        <f t="shared" si="6"/>
        <v>1</v>
      </c>
      <c r="B49" s="361" t="s">
        <v>2483</v>
      </c>
      <c r="C49" s="336" t="b">
        <f t="shared" si="1"/>
        <v>1</v>
      </c>
      <c r="D49" s="497" t="s">
        <v>5607</v>
      </c>
      <c r="E49" s="337"/>
      <c r="F49" s="337"/>
      <c r="G49" s="337"/>
      <c r="H49" s="337"/>
      <c r="I49" s="336" t="b">
        <f t="shared" si="7"/>
        <v>1</v>
      </c>
      <c r="J49" s="337" t="s">
        <v>972</v>
      </c>
      <c r="K49" s="337"/>
      <c r="L49" s="337"/>
      <c r="M49" s="337"/>
      <c r="O49" t="s">
        <v>5733</v>
      </c>
      <c r="P49" s="330">
        <f>IFERROR(MATCH(O49,CoinCollection!O:O,0),"")</f>
        <v>1287</v>
      </c>
      <c r="Q49" s="330" t="s">
        <v>5607</v>
      </c>
      <c r="R49">
        <f>IFERROR(MATCH(Q49,CoinCollection!O:O,0),"")</f>
        <v>1412</v>
      </c>
      <c r="W49" t="s">
        <v>5862</v>
      </c>
      <c r="X49">
        <f>IFERROR(MATCH(W49,CoinCollection!O:O,0),"")</f>
        <v>1612</v>
      </c>
      <c r="AD49" s="339" t="s">
        <v>99</v>
      </c>
    </row>
    <row r="50" spans="1:30">
      <c r="A50" s="334" t="b">
        <f t="shared" si="6"/>
        <v>1</v>
      </c>
      <c r="B50" s="363" t="s">
        <v>866</v>
      </c>
      <c r="C50" s="336" t="b">
        <f t="shared" si="1"/>
        <v>1</v>
      </c>
      <c r="D50" s="342" t="s">
        <v>2510</v>
      </c>
      <c r="E50" s="342"/>
      <c r="F50" s="342"/>
      <c r="G50" s="342"/>
      <c r="H50" s="342"/>
      <c r="I50" s="336" t="b">
        <f t="shared" si="7"/>
        <v>1</v>
      </c>
      <c r="J50" s="342" t="s">
        <v>2559</v>
      </c>
      <c r="K50" s="342"/>
      <c r="L50" s="342"/>
      <c r="M50" s="342"/>
      <c r="O50" t="s">
        <v>5734</v>
      </c>
      <c r="P50" s="330">
        <f>IFERROR(MATCH(O50,CoinCollection!O:O,0),"")</f>
        <v>1288</v>
      </c>
      <c r="Q50" s="330" t="s">
        <v>5779</v>
      </c>
      <c r="R50">
        <f>IFERROR(MATCH(Q50,CoinCollection!O:O,0),"")</f>
        <v>1414</v>
      </c>
      <c r="W50" t="s">
        <v>5863</v>
      </c>
      <c r="X50">
        <f>IFERROR(MATCH(W50,CoinCollection!O:O,0),"")</f>
        <v>1617</v>
      </c>
      <c r="AD50" s="339" t="s">
        <v>102</v>
      </c>
    </row>
    <row r="51" spans="1:30">
      <c r="A51" s="334" t="b">
        <f t="shared" si="6"/>
        <v>1</v>
      </c>
      <c r="B51" s="361" t="s">
        <v>867</v>
      </c>
      <c r="C51" s="336" t="b">
        <f t="shared" si="1"/>
        <v>1</v>
      </c>
      <c r="D51" s="337" t="s">
        <v>892</v>
      </c>
      <c r="E51" s="337"/>
      <c r="F51" s="337"/>
      <c r="G51" s="337"/>
      <c r="H51" s="337"/>
      <c r="K51" s="337"/>
      <c r="L51" s="337"/>
      <c r="M51" s="337"/>
      <c r="O51" t="s">
        <v>5735</v>
      </c>
      <c r="P51" s="330">
        <f>IFERROR(MATCH(O51,CoinCollection!O:O,0),"")</f>
        <v>1289</v>
      </c>
      <c r="Q51" s="330" t="s">
        <v>5780</v>
      </c>
      <c r="R51">
        <f>IFERROR(MATCH(Q51,CoinCollection!O:O,0),"")</f>
        <v>1419</v>
      </c>
      <c r="W51" t="s">
        <v>5895</v>
      </c>
      <c r="X51">
        <f>IFERROR(MATCH(W51,CoinCollection!O:O,0),"")</f>
        <v>1618</v>
      </c>
      <c r="AD51" s="339" t="s">
        <v>105</v>
      </c>
    </row>
    <row r="52" spans="1:30">
      <c r="A52" s="334" t="b">
        <f t="shared" si="6"/>
        <v>1</v>
      </c>
      <c r="B52" s="363" t="s">
        <v>2484</v>
      </c>
      <c r="C52" s="342"/>
      <c r="D52" s="342"/>
      <c r="E52" s="342"/>
      <c r="F52" s="342"/>
      <c r="G52" s="342"/>
      <c r="H52" s="342"/>
      <c r="I52" s="342"/>
      <c r="J52" s="342"/>
      <c r="K52" s="342"/>
      <c r="L52" s="342"/>
      <c r="M52" s="342"/>
      <c r="O52" t="s">
        <v>5736</v>
      </c>
      <c r="P52" s="330">
        <f>IFERROR(MATCH(O52,CoinCollection!O:O,0),"")</f>
        <v>1290</v>
      </c>
      <c r="AD52" s="339" t="s">
        <v>108</v>
      </c>
    </row>
    <row r="53" spans="1:30">
      <c r="A53" s="334" t="b">
        <f t="shared" si="6"/>
        <v>1</v>
      </c>
      <c r="B53" s="361" t="s">
        <v>868</v>
      </c>
      <c r="C53" s="337"/>
      <c r="D53" s="337"/>
      <c r="E53" s="337"/>
      <c r="F53" s="337"/>
      <c r="G53" s="337"/>
      <c r="H53" s="337"/>
      <c r="I53" s="337"/>
      <c r="J53" s="337"/>
      <c r="K53" s="337"/>
      <c r="L53" s="337"/>
      <c r="M53" s="337"/>
      <c r="O53" t="s">
        <v>5737</v>
      </c>
      <c r="P53" s="330">
        <f>IFERROR(MATCH(O53,CoinCollection!O:O,0),"")</f>
        <v>1291</v>
      </c>
      <c r="AD53" s="339" t="s">
        <v>279</v>
      </c>
    </row>
    <row r="54" spans="1:30">
      <c r="A54" s="334" t="b">
        <f t="shared" si="6"/>
        <v>1</v>
      </c>
      <c r="B54" s="363" t="s">
        <v>869</v>
      </c>
      <c r="C54" s="342"/>
      <c r="D54" s="342"/>
      <c r="E54" s="342"/>
      <c r="F54" s="342"/>
      <c r="G54" s="342"/>
      <c r="H54" s="342"/>
      <c r="I54" s="342"/>
      <c r="J54" s="342"/>
      <c r="K54" s="342"/>
      <c r="L54" s="494">
        <f>COUNTIF(L3:L32,"=False")</f>
        <v>5</v>
      </c>
      <c r="M54" s="342"/>
      <c r="AD54" s="339" t="s">
        <v>111</v>
      </c>
    </row>
    <row r="55" spans="1:30">
      <c r="A55" s="378">
        <f>COUNTIF(A3:A54,"=False")</f>
        <v>0</v>
      </c>
      <c r="C55" s="378">
        <f>COUNTIF(C3:C51,"=False")</f>
        <v>0</v>
      </c>
      <c r="E55" s="378">
        <f>COUNTIF(E3:E43,"=False")</f>
        <v>2</v>
      </c>
      <c r="G55" s="378">
        <f>COUNTIF(G3:G43,"=False")</f>
        <v>0</v>
      </c>
      <c r="I55" s="378">
        <f>COUNTIF(I3:I50,"=False")</f>
        <v>8</v>
      </c>
      <c r="AD55" s="339" t="s">
        <v>115</v>
      </c>
    </row>
    <row r="56" spans="1:30">
      <c r="AD56" s="339" t="s">
        <v>284</v>
      </c>
    </row>
    <row r="57" spans="1:30">
      <c r="B57" s="348" t="s">
        <v>4668</v>
      </c>
      <c r="C57" s="330">
        <f>COUNTIF(A3:M50,"=False")</f>
        <v>15</v>
      </c>
      <c r="AD57" s="339" t="s">
        <v>120</v>
      </c>
    </row>
    <row r="58" spans="1:30">
      <c r="B58" s="348" t="s">
        <v>4669</v>
      </c>
      <c r="C58" s="330">
        <f>COUNTIF(A3:M50,"=true")</f>
        <v>239</v>
      </c>
      <c r="AD58" s="339" t="s">
        <v>124</v>
      </c>
    </row>
    <row r="59" spans="1:30">
      <c r="AD59" s="339" t="s">
        <v>128</v>
      </c>
    </row>
    <row r="60" spans="1:30">
      <c r="AD60" s="339" t="s">
        <v>132</v>
      </c>
    </row>
    <row r="61" spans="1:30">
      <c r="AD61" s="339" t="s">
        <v>136</v>
      </c>
    </row>
    <row r="62" spans="1:30">
      <c r="AD62" s="339" t="s">
        <v>140</v>
      </c>
    </row>
    <row r="63" spans="1:30">
      <c r="AD63" s="339" t="s">
        <v>144</v>
      </c>
    </row>
    <row r="64" spans="1:30">
      <c r="AD64" s="339" t="s">
        <v>149</v>
      </c>
    </row>
    <row r="65" spans="30:32">
      <c r="AD65" s="339" t="s">
        <v>159</v>
      </c>
    </row>
    <row r="66" spans="30:32">
      <c r="AD66" s="339" t="s">
        <v>164</v>
      </c>
    </row>
    <row r="67" spans="30:32">
      <c r="AD67" s="339" t="s">
        <v>169</v>
      </c>
    </row>
    <row r="68" spans="30:32">
      <c r="AD68" s="339" t="s">
        <v>174</v>
      </c>
    </row>
    <row r="69" spans="30:32">
      <c r="AD69" s="339" t="s">
        <v>169</v>
      </c>
    </row>
    <row r="70" spans="30:32">
      <c r="AD70" s="339" t="s">
        <v>174</v>
      </c>
    </row>
    <row r="71" spans="30:32">
      <c r="AD71" s="339" t="s">
        <v>169</v>
      </c>
    </row>
    <row r="72" spans="30:32">
      <c r="AD72" s="339" t="s">
        <v>174</v>
      </c>
    </row>
    <row r="73" spans="30:32">
      <c r="AD73" s="339" t="s">
        <v>178</v>
      </c>
    </row>
    <row r="74" spans="30:32">
      <c r="AD74" s="339" t="s">
        <v>178</v>
      </c>
    </row>
    <row r="75" spans="30:32">
      <c r="AD75" s="339" t="s">
        <v>182</v>
      </c>
    </row>
    <row r="76" spans="30:32">
      <c r="AD76" s="339" t="s">
        <v>185</v>
      </c>
    </row>
    <row r="77" spans="30:32">
      <c r="AD77" s="339" t="s">
        <v>190</v>
      </c>
    </row>
    <row r="78" spans="30:32">
      <c r="AD78" s="339" t="s">
        <v>193</v>
      </c>
    </row>
    <row r="79" spans="30:32">
      <c r="AD79" s="339" t="s">
        <v>199</v>
      </c>
      <c r="AF79" s="25"/>
    </row>
    <row r="80" spans="30:32">
      <c r="AD80" s="339" t="s">
        <v>202</v>
      </c>
      <c r="AF80" s="25"/>
    </row>
    <row r="81" spans="30:32">
      <c r="AD81" s="339" t="s">
        <v>210</v>
      </c>
      <c r="AF81" s="25"/>
    </row>
    <row r="82" spans="30:32">
      <c r="AD82" s="339" t="s">
        <v>214</v>
      </c>
      <c r="AF82" s="25"/>
    </row>
    <row r="83" spans="30:32">
      <c r="AD83" s="339" t="s">
        <v>217</v>
      </c>
      <c r="AF83" s="25"/>
    </row>
    <row r="84" spans="30:32">
      <c r="AD84" s="339" t="s">
        <v>40</v>
      </c>
      <c r="AF84" s="25"/>
    </row>
    <row r="85" spans="30:32">
      <c r="AD85" s="339" t="s">
        <v>222</v>
      </c>
      <c r="AF85" s="25"/>
    </row>
    <row r="86" spans="30:32">
      <c r="AD86" s="339" t="s">
        <v>226</v>
      </c>
      <c r="AF86" s="25"/>
    </row>
    <row r="87" spans="30:32">
      <c r="AD87" s="339" t="s">
        <v>103</v>
      </c>
      <c r="AF87" s="25"/>
    </row>
    <row r="88" spans="30:32">
      <c r="AD88" s="339" t="s">
        <v>109</v>
      </c>
      <c r="AF88" s="25"/>
    </row>
    <row r="89" spans="30:32">
      <c r="AD89" s="339" t="s">
        <v>116</v>
      </c>
      <c r="AF89" s="25"/>
    </row>
    <row r="90" spans="30:32">
      <c r="AD90" s="339" t="s">
        <v>121</v>
      </c>
      <c r="AF90" s="25"/>
    </row>
    <row r="91" spans="30:32">
      <c r="AD91" s="339" t="s">
        <v>129</v>
      </c>
      <c r="AF91" s="25"/>
    </row>
    <row r="92" spans="30:32">
      <c r="AD92" s="339" t="s">
        <v>43</v>
      </c>
      <c r="AF92" s="25"/>
    </row>
    <row r="93" spans="30:32">
      <c r="AD93" s="339" t="s">
        <v>1178</v>
      </c>
      <c r="AF93" s="25"/>
    </row>
    <row r="94" spans="30:32">
      <c r="AD94" s="339" t="s">
        <v>1179</v>
      </c>
      <c r="AF94" s="25"/>
    </row>
    <row r="95" spans="30:32">
      <c r="AD95" s="339" t="s">
        <v>1180</v>
      </c>
      <c r="AF95" s="25"/>
    </row>
    <row r="103" spans="28:28">
      <c r="AB103" s="330">
        <f>COUNTA(_xlfn.ANCHORARRAY(AB3))</f>
        <v>16</v>
      </c>
    </row>
    <row r="143" spans="1:13">
      <c r="A143" s="393" t="s">
        <v>4272</v>
      </c>
    </row>
    <row r="144" spans="1:13">
      <c r="A144" s="384" t="s">
        <v>4899</v>
      </c>
      <c r="B144" s="384" t="s">
        <v>1767</v>
      </c>
      <c r="C144" s="384" t="s">
        <v>4900</v>
      </c>
      <c r="D144" s="384" t="s">
        <v>4901</v>
      </c>
      <c r="E144" s="384" t="s">
        <v>4902</v>
      </c>
      <c r="F144" s="384" t="s">
        <v>4903</v>
      </c>
      <c r="G144" s="384" t="s">
        <v>4904</v>
      </c>
      <c r="H144" s="384" t="s">
        <v>4905</v>
      </c>
      <c r="I144" s="384" t="s">
        <v>4906</v>
      </c>
      <c r="J144" s="384" t="s">
        <v>4907</v>
      </c>
      <c r="K144" s="384" t="s">
        <v>4908</v>
      </c>
      <c r="L144" s="384" t="s">
        <v>4909</v>
      </c>
      <c r="M144" s="384" t="s">
        <v>4910</v>
      </c>
    </row>
    <row r="145" spans="1:13">
      <c r="A145" s="334" t="b">
        <v>1</v>
      </c>
      <c r="B145" s="361" t="s">
        <v>2471</v>
      </c>
      <c r="C145" s="336" t="b">
        <v>0</v>
      </c>
      <c r="D145" s="337" t="s">
        <v>2485</v>
      </c>
      <c r="E145" s="336" t="b">
        <v>0</v>
      </c>
      <c r="F145" s="337" t="s">
        <v>2511</v>
      </c>
      <c r="G145" s="336" t="b">
        <v>1</v>
      </c>
      <c r="H145" s="337" t="s">
        <v>916</v>
      </c>
      <c r="I145" s="336" t="b">
        <v>0</v>
      </c>
      <c r="J145" s="337" t="s">
        <v>943</v>
      </c>
      <c r="K145" s="337" t="s">
        <v>2527</v>
      </c>
      <c r="L145" s="336" t="b">
        <v>1</v>
      </c>
      <c r="M145" s="337" t="s">
        <v>973</v>
      </c>
    </row>
    <row r="146" spans="1:13">
      <c r="A146" s="334" t="b">
        <v>1</v>
      </c>
      <c r="B146" s="363" t="s">
        <v>832</v>
      </c>
      <c r="C146" s="341" t="b">
        <v>1</v>
      </c>
      <c r="D146" s="342" t="s">
        <v>870</v>
      </c>
      <c r="E146" s="341" t="b">
        <v>1</v>
      </c>
      <c r="F146" s="342" t="s">
        <v>2512</v>
      </c>
      <c r="G146" s="341" t="b">
        <v>0</v>
      </c>
      <c r="H146" s="342" t="s">
        <v>2528</v>
      </c>
      <c r="I146" s="341" t="b">
        <v>0</v>
      </c>
      <c r="J146" s="342" t="s">
        <v>945</v>
      </c>
      <c r="K146" s="342" t="s">
        <v>2527</v>
      </c>
      <c r="L146" s="341" t="b">
        <v>1</v>
      </c>
      <c r="M146" s="342" t="s">
        <v>974</v>
      </c>
    </row>
    <row r="147" spans="1:13">
      <c r="A147" s="334" t="b">
        <v>1</v>
      </c>
      <c r="B147" s="361" t="s">
        <v>833</v>
      </c>
      <c r="C147" s="336" t="b">
        <v>0</v>
      </c>
      <c r="D147" s="337" t="s">
        <v>2486</v>
      </c>
      <c r="E147" s="336" t="b">
        <v>0</v>
      </c>
      <c r="F147" s="337" t="s">
        <v>893</v>
      </c>
      <c r="G147" s="336" t="b">
        <v>1</v>
      </c>
      <c r="H147" s="337" t="s">
        <v>917</v>
      </c>
      <c r="I147" s="336" t="b">
        <v>0</v>
      </c>
      <c r="J147" s="337" t="s">
        <v>2547</v>
      </c>
      <c r="K147" s="337" t="s">
        <v>2527</v>
      </c>
      <c r="L147" s="336" t="b">
        <v>1</v>
      </c>
      <c r="M147" s="337" t="s">
        <v>2560</v>
      </c>
    </row>
    <row r="148" spans="1:13">
      <c r="A148" s="334" t="b">
        <v>1</v>
      </c>
      <c r="B148" s="363" t="s">
        <v>2472</v>
      </c>
      <c r="C148" s="341" t="b">
        <v>0</v>
      </c>
      <c r="D148" s="342" t="s">
        <v>871</v>
      </c>
      <c r="E148" s="341" t="b">
        <v>0</v>
      </c>
      <c r="F148" s="342" t="s">
        <v>2513</v>
      </c>
      <c r="G148" s="341" t="b">
        <v>1</v>
      </c>
      <c r="H148" s="342" t="s">
        <v>918</v>
      </c>
      <c r="I148" s="341" t="b">
        <v>0</v>
      </c>
      <c r="J148" s="342" t="s">
        <v>943</v>
      </c>
      <c r="K148" s="342" t="s">
        <v>2529</v>
      </c>
      <c r="L148" s="341" t="b">
        <v>1</v>
      </c>
      <c r="M148" s="342" t="s">
        <v>975</v>
      </c>
    </row>
    <row r="149" spans="1:13">
      <c r="A149" s="334" t="b">
        <v>1</v>
      </c>
      <c r="B149" s="361" t="s">
        <v>834</v>
      </c>
      <c r="C149" s="336" t="b">
        <v>1</v>
      </c>
      <c r="D149" s="337" t="s">
        <v>2487</v>
      </c>
      <c r="E149" s="336" t="b">
        <v>1</v>
      </c>
      <c r="F149" s="337" t="s">
        <v>1627</v>
      </c>
      <c r="G149" s="336" t="b">
        <v>0</v>
      </c>
      <c r="H149" s="337" t="s">
        <v>2530</v>
      </c>
      <c r="I149" s="336" t="b">
        <v>0</v>
      </c>
      <c r="J149" s="337" t="s">
        <v>945</v>
      </c>
      <c r="K149" s="337" t="s">
        <v>2529</v>
      </c>
      <c r="L149" s="336" t="b">
        <v>1</v>
      </c>
      <c r="M149" s="337" t="s">
        <v>976</v>
      </c>
    </row>
    <row r="150" spans="1:13">
      <c r="A150" s="334" t="b">
        <v>1</v>
      </c>
      <c r="B150" s="363" t="s">
        <v>835</v>
      </c>
      <c r="C150" s="341" t="b">
        <v>1</v>
      </c>
      <c r="D150" s="342" t="s">
        <v>872</v>
      </c>
      <c r="E150" s="341" t="b">
        <v>0</v>
      </c>
      <c r="F150" s="342" t="s">
        <v>894</v>
      </c>
      <c r="G150" s="341" t="b">
        <v>1</v>
      </c>
      <c r="H150" s="342" t="s">
        <v>919</v>
      </c>
      <c r="I150" s="341" t="b">
        <v>0</v>
      </c>
      <c r="J150" s="342" t="s">
        <v>2547</v>
      </c>
      <c r="K150" s="342" t="s">
        <v>2529</v>
      </c>
      <c r="L150" s="341" t="b">
        <v>1</v>
      </c>
      <c r="M150" s="342" t="s">
        <v>2561</v>
      </c>
    </row>
    <row r="151" spans="1:13">
      <c r="A151" s="334" t="b">
        <v>1</v>
      </c>
      <c r="B151" s="361" t="s">
        <v>2473</v>
      </c>
      <c r="C151" s="336" t="b">
        <v>0</v>
      </c>
      <c r="D151" s="337" t="s">
        <v>2488</v>
      </c>
      <c r="E151" s="336" t="b">
        <v>0</v>
      </c>
      <c r="F151" s="337" t="s">
        <v>2514</v>
      </c>
      <c r="G151" s="336" t="b">
        <v>1</v>
      </c>
      <c r="H151" s="337" t="s">
        <v>920</v>
      </c>
      <c r="I151" s="336" t="b">
        <v>1</v>
      </c>
      <c r="J151" s="337" t="s">
        <v>943</v>
      </c>
      <c r="K151" s="337" t="s">
        <v>2531</v>
      </c>
      <c r="L151" s="336" t="b">
        <v>1</v>
      </c>
      <c r="M151" s="337" t="s">
        <v>977</v>
      </c>
    </row>
    <row r="152" spans="1:13">
      <c r="A152" s="334" t="b">
        <v>1</v>
      </c>
      <c r="B152" s="363" t="s">
        <v>836</v>
      </c>
      <c r="C152" s="341" t="b">
        <v>1</v>
      </c>
      <c r="D152" s="342" t="s">
        <v>873</v>
      </c>
      <c r="E152" s="342" t="s">
        <v>53</v>
      </c>
      <c r="F152" s="342" t="s">
        <v>2515</v>
      </c>
      <c r="G152" s="341" t="b">
        <v>0</v>
      </c>
      <c r="H152" s="342" t="s">
        <v>2532</v>
      </c>
      <c r="I152" s="341" t="b">
        <v>0</v>
      </c>
      <c r="J152" s="342" t="s">
        <v>945</v>
      </c>
      <c r="K152" s="342" t="s">
        <v>2531</v>
      </c>
      <c r="L152" s="341" t="b">
        <v>1</v>
      </c>
      <c r="M152" s="342" t="s">
        <v>978</v>
      </c>
    </row>
    <row r="153" spans="1:13">
      <c r="A153" s="334" t="b">
        <v>1</v>
      </c>
      <c r="B153" s="361" t="s">
        <v>837</v>
      </c>
      <c r="C153" s="336" t="b">
        <v>0</v>
      </c>
      <c r="D153" s="337" t="s">
        <v>2489</v>
      </c>
      <c r="E153" s="336" t="b">
        <v>0</v>
      </c>
      <c r="F153" s="337" t="s">
        <v>2514</v>
      </c>
      <c r="G153" s="336" t="b">
        <v>0</v>
      </c>
      <c r="H153" s="337" t="s">
        <v>921</v>
      </c>
      <c r="I153" s="336" t="b">
        <v>0</v>
      </c>
      <c r="J153" s="337" t="s">
        <v>2547</v>
      </c>
      <c r="K153" s="337" t="s">
        <v>2531</v>
      </c>
      <c r="L153" s="336" t="b">
        <v>1</v>
      </c>
      <c r="M153" s="337" t="s">
        <v>2562</v>
      </c>
    </row>
    <row r="154" spans="1:13">
      <c r="A154" s="334" t="b">
        <v>1</v>
      </c>
      <c r="B154" s="363" t="s">
        <v>2474</v>
      </c>
      <c r="C154" s="341" t="b">
        <v>1</v>
      </c>
      <c r="D154" s="342" t="s">
        <v>874</v>
      </c>
      <c r="E154" s="342" t="s">
        <v>53</v>
      </c>
      <c r="F154" s="342" t="s">
        <v>2516</v>
      </c>
      <c r="G154" s="341" t="b">
        <v>1</v>
      </c>
      <c r="H154" s="342" t="s">
        <v>922</v>
      </c>
      <c r="I154" s="341" t="b">
        <v>0</v>
      </c>
      <c r="J154" s="342" t="s">
        <v>947</v>
      </c>
      <c r="K154" s="342" t="s">
        <v>2535</v>
      </c>
      <c r="L154" s="341" t="b">
        <v>1</v>
      </c>
      <c r="M154" s="342" t="s">
        <v>979</v>
      </c>
    </row>
    <row r="155" spans="1:13">
      <c r="A155" s="334" t="b">
        <v>1</v>
      </c>
      <c r="B155" s="361" t="s">
        <v>838</v>
      </c>
      <c r="C155" s="336" t="b">
        <v>0</v>
      </c>
      <c r="D155" s="337" t="s">
        <v>2490</v>
      </c>
      <c r="E155" s="336" t="b">
        <v>1</v>
      </c>
      <c r="F155" s="337" t="s">
        <v>895</v>
      </c>
      <c r="G155" s="336" t="b">
        <v>0</v>
      </c>
      <c r="H155" s="337" t="s">
        <v>2533</v>
      </c>
      <c r="I155" s="336" t="b">
        <v>0</v>
      </c>
      <c r="J155" s="337" t="s">
        <v>949</v>
      </c>
      <c r="K155" s="337" t="s">
        <v>2535</v>
      </c>
      <c r="L155" s="336" t="b">
        <v>1</v>
      </c>
      <c r="M155" s="337" t="s">
        <v>980</v>
      </c>
    </row>
    <row r="156" spans="1:13">
      <c r="A156" s="334" t="b">
        <v>1</v>
      </c>
      <c r="B156" s="363" t="s">
        <v>839</v>
      </c>
      <c r="C156" s="341" t="b">
        <v>1</v>
      </c>
      <c r="D156" s="342" t="s">
        <v>875</v>
      </c>
      <c r="E156" s="341" t="b">
        <v>1</v>
      </c>
      <c r="F156" s="342" t="s">
        <v>896</v>
      </c>
      <c r="G156" s="341" t="b">
        <v>1</v>
      </c>
      <c r="H156" s="342" t="s">
        <v>923</v>
      </c>
      <c r="I156" s="341" t="b">
        <v>0</v>
      </c>
      <c r="J156" s="342" t="s">
        <v>2548</v>
      </c>
      <c r="K156" s="342" t="s">
        <v>2535</v>
      </c>
      <c r="L156" s="341" t="b">
        <v>1</v>
      </c>
      <c r="M156" s="342" t="s">
        <v>2563</v>
      </c>
    </row>
    <row r="157" spans="1:13">
      <c r="A157" s="334" t="b">
        <v>1</v>
      </c>
      <c r="B157" s="361" t="s">
        <v>2475</v>
      </c>
      <c r="C157" s="336" t="b">
        <v>1</v>
      </c>
      <c r="D157" s="337" t="s">
        <v>2491</v>
      </c>
      <c r="E157" s="336" t="b">
        <v>0</v>
      </c>
      <c r="F157" s="337" t="s">
        <v>2517</v>
      </c>
      <c r="G157" s="336" t="b">
        <v>0</v>
      </c>
      <c r="H157" s="337" t="s">
        <v>924</v>
      </c>
      <c r="I157" s="336" t="b">
        <v>0</v>
      </c>
      <c r="J157" s="337" t="s">
        <v>947</v>
      </c>
      <c r="K157" s="337" t="s">
        <v>2536</v>
      </c>
      <c r="L157" s="336" t="b">
        <v>1</v>
      </c>
      <c r="M157" s="337" t="s">
        <v>2564</v>
      </c>
    </row>
    <row r="158" spans="1:13">
      <c r="A158" s="334" t="b">
        <v>1</v>
      </c>
      <c r="B158" s="363" t="s">
        <v>840</v>
      </c>
      <c r="C158" s="341" t="b">
        <v>1</v>
      </c>
      <c r="D158" s="342" t="s">
        <v>876</v>
      </c>
      <c r="E158" s="341" t="b">
        <v>1</v>
      </c>
      <c r="F158" s="342" t="s">
        <v>897</v>
      </c>
      <c r="G158" s="341" t="b">
        <v>0</v>
      </c>
      <c r="H158" s="342" t="s">
        <v>2534</v>
      </c>
      <c r="I158" s="341" t="b">
        <v>0</v>
      </c>
      <c r="J158" s="342" t="s">
        <v>949</v>
      </c>
      <c r="K158" s="342" t="s">
        <v>2536</v>
      </c>
      <c r="L158" s="336" t="b">
        <v>1</v>
      </c>
      <c r="M158" s="342" t="s">
        <v>2565</v>
      </c>
    </row>
    <row r="159" spans="1:13">
      <c r="A159" s="330" t="s">
        <v>53</v>
      </c>
      <c r="B159" s="369" t="s">
        <v>2476</v>
      </c>
      <c r="C159" s="354" t="b">
        <v>1</v>
      </c>
      <c r="D159" s="337" t="s">
        <v>2492</v>
      </c>
      <c r="E159" s="336" t="b">
        <v>1</v>
      </c>
      <c r="F159" s="337" t="s">
        <v>898</v>
      </c>
      <c r="G159" s="336" t="b">
        <v>1</v>
      </c>
      <c r="H159" s="337" t="s">
        <v>925</v>
      </c>
      <c r="I159" s="336" t="b">
        <v>0</v>
      </c>
      <c r="J159" s="337" t="s">
        <v>2548</v>
      </c>
      <c r="K159" s="337" t="s">
        <v>2536</v>
      </c>
      <c r="L159" s="336" t="b">
        <v>1</v>
      </c>
      <c r="M159" s="337" t="s">
        <v>3976</v>
      </c>
    </row>
    <row r="160" spans="1:13">
      <c r="A160" s="334" t="b">
        <v>1</v>
      </c>
      <c r="B160" s="363" t="s">
        <v>841</v>
      </c>
      <c r="C160" s="341" t="b">
        <v>1</v>
      </c>
      <c r="D160" s="342" t="s">
        <v>877</v>
      </c>
      <c r="E160" s="341" t="b">
        <v>0</v>
      </c>
      <c r="F160" s="342" t="s">
        <v>2518</v>
      </c>
      <c r="G160" s="341" t="b">
        <v>1</v>
      </c>
      <c r="H160" s="342" t="s">
        <v>926</v>
      </c>
      <c r="I160" s="341" t="b">
        <v>0</v>
      </c>
      <c r="J160" s="342" t="s">
        <v>951</v>
      </c>
      <c r="K160" s="342" t="s">
        <v>2539</v>
      </c>
      <c r="L160" s="336" t="b">
        <v>1</v>
      </c>
      <c r="M160" s="342" t="s">
        <v>2567</v>
      </c>
    </row>
    <row r="161" spans="1:13">
      <c r="A161" s="334" t="b">
        <v>1</v>
      </c>
      <c r="B161" s="361" t="s">
        <v>843</v>
      </c>
      <c r="C161" s="336" t="b">
        <v>1</v>
      </c>
      <c r="D161" s="337" t="s">
        <v>2493</v>
      </c>
      <c r="E161" s="336" t="b">
        <v>1</v>
      </c>
      <c r="F161" s="337" t="s">
        <v>899</v>
      </c>
      <c r="G161" s="336" t="b">
        <v>0</v>
      </c>
      <c r="H161" s="337" t="s">
        <v>2537</v>
      </c>
      <c r="I161" s="336" t="b">
        <v>0</v>
      </c>
      <c r="J161" s="337" t="s">
        <v>952</v>
      </c>
      <c r="K161" s="337" t="s">
        <v>2539</v>
      </c>
      <c r="L161" s="336" t="b">
        <v>1</v>
      </c>
      <c r="M161" s="337" t="s">
        <v>2566</v>
      </c>
    </row>
    <row r="162" spans="1:13">
      <c r="A162" s="334" t="b">
        <v>1</v>
      </c>
      <c r="B162" s="363" t="s">
        <v>844</v>
      </c>
      <c r="C162" s="341" t="b">
        <v>1</v>
      </c>
      <c r="D162" s="342" t="s">
        <v>878</v>
      </c>
      <c r="E162" s="341" t="b">
        <v>1</v>
      </c>
      <c r="F162" s="342" t="s">
        <v>900</v>
      </c>
      <c r="G162" s="341" t="b">
        <v>1</v>
      </c>
      <c r="H162" s="342" t="s">
        <v>927</v>
      </c>
      <c r="I162" s="341" t="b">
        <v>0</v>
      </c>
      <c r="J162" s="342" t="s">
        <v>2549</v>
      </c>
      <c r="K162" s="342" t="s">
        <v>2539</v>
      </c>
      <c r="L162" s="336" t="b">
        <v>1</v>
      </c>
      <c r="M162" s="342" t="s">
        <v>2570</v>
      </c>
    </row>
    <row r="163" spans="1:13">
      <c r="A163" s="334" t="b">
        <v>1</v>
      </c>
      <c r="B163" s="361" t="s">
        <v>845</v>
      </c>
      <c r="C163" s="336" t="b">
        <v>1</v>
      </c>
      <c r="D163" s="337" t="s">
        <v>2494</v>
      </c>
      <c r="E163" s="336" t="b">
        <v>0</v>
      </c>
      <c r="F163" s="337" t="s">
        <v>2519</v>
      </c>
      <c r="G163" s="336" t="b">
        <v>0</v>
      </c>
      <c r="H163" s="337" t="s">
        <v>928</v>
      </c>
      <c r="I163" s="336" t="b">
        <v>0</v>
      </c>
      <c r="J163" s="337" t="s">
        <v>953</v>
      </c>
      <c r="K163" s="337" t="s">
        <v>53</v>
      </c>
      <c r="L163" s="336" t="b">
        <v>1</v>
      </c>
      <c r="M163" s="337" t="s">
        <v>2568</v>
      </c>
    </row>
    <row r="164" spans="1:13">
      <c r="A164" s="334" t="b">
        <v>0</v>
      </c>
      <c r="B164" s="363" t="s">
        <v>846</v>
      </c>
      <c r="C164" s="341" t="b">
        <v>1</v>
      </c>
      <c r="D164" s="342" t="s">
        <v>879</v>
      </c>
      <c r="E164" s="341" t="b">
        <v>1</v>
      </c>
      <c r="F164" s="342" t="s">
        <v>901</v>
      </c>
      <c r="G164" s="341" t="b">
        <v>0</v>
      </c>
      <c r="H164" s="342" t="s">
        <v>2538</v>
      </c>
      <c r="I164" s="341" t="b">
        <v>1</v>
      </c>
      <c r="J164" s="342" t="s">
        <v>954</v>
      </c>
      <c r="K164" s="342" t="s">
        <v>53</v>
      </c>
      <c r="L164" s="336" t="b">
        <v>1</v>
      </c>
      <c r="M164" s="342" t="s">
        <v>2569</v>
      </c>
    </row>
    <row r="165" spans="1:13">
      <c r="A165" s="334" t="b">
        <v>1</v>
      </c>
      <c r="B165" s="361" t="s">
        <v>847</v>
      </c>
      <c r="C165" s="336" t="b">
        <v>1</v>
      </c>
      <c r="D165" s="337" t="s">
        <v>2495</v>
      </c>
      <c r="E165" s="336" t="b">
        <v>1</v>
      </c>
      <c r="F165" s="337" t="s">
        <v>902</v>
      </c>
      <c r="G165" s="336" t="b">
        <v>1</v>
      </c>
      <c r="H165" s="337" t="s">
        <v>929</v>
      </c>
      <c r="I165" s="336" t="b">
        <v>0</v>
      </c>
      <c r="J165" s="337" t="s">
        <v>2550</v>
      </c>
      <c r="K165" s="337" t="s">
        <v>53</v>
      </c>
      <c r="L165" s="336" t="b">
        <v>1</v>
      </c>
      <c r="M165" s="337" t="s">
        <v>3977</v>
      </c>
    </row>
    <row r="166" spans="1:13">
      <c r="A166" s="334" t="b">
        <v>1</v>
      </c>
      <c r="B166" s="363" t="s">
        <v>848</v>
      </c>
      <c r="C166" s="341" t="b">
        <v>1</v>
      </c>
      <c r="D166" s="342" t="s">
        <v>2496</v>
      </c>
      <c r="E166" s="341" t="b">
        <v>0</v>
      </c>
      <c r="F166" s="342" t="s">
        <v>2520</v>
      </c>
      <c r="G166" s="341" t="b">
        <v>1</v>
      </c>
      <c r="H166" s="342" t="s">
        <v>930</v>
      </c>
      <c r="I166" s="341" t="b">
        <v>0</v>
      </c>
      <c r="J166" s="342" t="s">
        <v>955</v>
      </c>
      <c r="K166" s="342" t="s">
        <v>53</v>
      </c>
      <c r="L166" s="336" t="b">
        <v>1</v>
      </c>
      <c r="M166" s="342" t="s">
        <v>2571</v>
      </c>
    </row>
    <row r="167" spans="1:13">
      <c r="A167" s="334" t="b">
        <v>1</v>
      </c>
      <c r="B167" s="361" t="s">
        <v>849</v>
      </c>
      <c r="C167" s="336" t="b">
        <v>1</v>
      </c>
      <c r="D167" s="337" t="s">
        <v>2497</v>
      </c>
      <c r="E167" s="336" t="b">
        <v>0</v>
      </c>
      <c r="F167" s="337" t="s">
        <v>903</v>
      </c>
      <c r="G167" s="336" t="b">
        <v>0</v>
      </c>
      <c r="H167" s="337" t="s">
        <v>2540</v>
      </c>
      <c r="I167" s="336" t="b">
        <v>1</v>
      </c>
      <c r="J167" s="337" t="s">
        <v>956</v>
      </c>
      <c r="K167" s="337" t="s">
        <v>53</v>
      </c>
      <c r="L167" s="336" t="b">
        <v>0</v>
      </c>
      <c r="M167" s="337" t="s">
        <v>2572</v>
      </c>
    </row>
    <row r="168" spans="1:13">
      <c r="A168" s="334" t="b">
        <v>1</v>
      </c>
      <c r="B168" s="363" t="s">
        <v>850</v>
      </c>
      <c r="C168" s="341" t="b">
        <v>0</v>
      </c>
      <c r="D168" s="342" t="s">
        <v>880</v>
      </c>
      <c r="E168" s="341" t="b">
        <v>1</v>
      </c>
      <c r="F168" s="342" t="s">
        <v>904</v>
      </c>
      <c r="G168" s="341" t="b">
        <v>1</v>
      </c>
      <c r="H168" s="342" t="s">
        <v>931</v>
      </c>
      <c r="I168" s="341" t="b">
        <v>0</v>
      </c>
      <c r="J168" s="342" t="s">
        <v>2551</v>
      </c>
      <c r="K168" s="342" t="s">
        <v>53</v>
      </c>
      <c r="L168" s="336" t="b">
        <v>1</v>
      </c>
      <c r="M168" s="342" t="s">
        <v>3978</v>
      </c>
    </row>
    <row r="169" spans="1:13">
      <c r="A169" s="334" t="b">
        <v>1</v>
      </c>
      <c r="B169" s="361" t="s">
        <v>851</v>
      </c>
      <c r="C169" s="336" t="b">
        <v>0</v>
      </c>
      <c r="D169" s="337" t="s">
        <v>881</v>
      </c>
      <c r="E169" s="336" t="b">
        <v>0</v>
      </c>
      <c r="F169" s="337" t="s">
        <v>2521</v>
      </c>
      <c r="G169" s="336" t="b">
        <v>1</v>
      </c>
      <c r="H169" s="337" t="s">
        <v>932</v>
      </c>
      <c r="I169" s="336" t="b">
        <v>0</v>
      </c>
      <c r="J169" s="337" t="s">
        <v>957</v>
      </c>
      <c r="K169" s="337" t="s">
        <v>53</v>
      </c>
      <c r="L169" s="336" t="b">
        <v>0</v>
      </c>
      <c r="M169" s="337" t="s">
        <v>3981</v>
      </c>
    </row>
    <row r="170" spans="1:13">
      <c r="A170" s="334" t="b">
        <v>1</v>
      </c>
      <c r="B170" s="363" t="s">
        <v>852</v>
      </c>
      <c r="C170" s="341" t="b">
        <v>1</v>
      </c>
      <c r="D170" s="342" t="s">
        <v>882</v>
      </c>
      <c r="E170" s="341" t="b">
        <v>1</v>
      </c>
      <c r="F170" s="342" t="s">
        <v>905</v>
      </c>
      <c r="G170" s="341" t="b">
        <v>0</v>
      </c>
      <c r="H170" s="342" t="s">
        <v>2541</v>
      </c>
      <c r="I170" s="341" t="b">
        <v>0</v>
      </c>
      <c r="J170" s="342" t="s">
        <v>958</v>
      </c>
      <c r="K170" s="342" t="s">
        <v>53</v>
      </c>
      <c r="L170" s="336" t="b">
        <v>0</v>
      </c>
      <c r="M170" s="342" t="s">
        <v>3982</v>
      </c>
    </row>
    <row r="171" spans="1:13">
      <c r="A171" s="334" t="b">
        <v>1</v>
      </c>
      <c r="B171" s="361" t="s">
        <v>992</v>
      </c>
      <c r="C171" s="336" t="b">
        <v>1</v>
      </c>
      <c r="D171" s="337" t="s">
        <v>883</v>
      </c>
      <c r="E171" s="336" t="b">
        <v>0</v>
      </c>
      <c r="F171" s="337" t="s">
        <v>906</v>
      </c>
      <c r="G171" s="336" t="b">
        <v>1</v>
      </c>
      <c r="H171" s="337" t="s">
        <v>933</v>
      </c>
      <c r="I171" s="336" t="b">
        <v>0</v>
      </c>
      <c r="J171" s="337" t="s">
        <v>2552</v>
      </c>
      <c r="K171" s="337" t="s">
        <v>53</v>
      </c>
      <c r="L171" s="336" t="b">
        <v>0</v>
      </c>
      <c r="M171" s="337" t="s">
        <v>3983</v>
      </c>
    </row>
    <row r="172" spans="1:13">
      <c r="A172" s="334" t="b">
        <v>1</v>
      </c>
      <c r="B172" s="363" t="s">
        <v>853</v>
      </c>
      <c r="C172" s="341" t="b">
        <v>1</v>
      </c>
      <c r="D172" s="342" t="s">
        <v>884</v>
      </c>
      <c r="E172" s="341" t="b">
        <v>0</v>
      </c>
      <c r="F172" s="342" t="s">
        <v>2522</v>
      </c>
      <c r="G172" s="341" t="b">
        <v>0</v>
      </c>
      <c r="H172" s="342" t="s">
        <v>934</v>
      </c>
      <c r="I172" s="341" t="b">
        <v>0</v>
      </c>
      <c r="J172" s="342" t="s">
        <v>959</v>
      </c>
      <c r="K172" s="342" t="s">
        <v>53</v>
      </c>
      <c r="L172" s="336" t="b">
        <v>0</v>
      </c>
      <c r="M172" s="342" t="s">
        <v>4820</v>
      </c>
    </row>
    <row r="173" spans="1:13">
      <c r="A173" s="334" t="b">
        <v>1</v>
      </c>
      <c r="B173" s="361" t="s">
        <v>854</v>
      </c>
      <c r="C173" s="336" t="b">
        <v>0</v>
      </c>
      <c r="D173" s="337" t="s">
        <v>885</v>
      </c>
      <c r="E173" s="336" t="b">
        <v>1</v>
      </c>
      <c r="F173" s="337" t="s">
        <v>907</v>
      </c>
      <c r="G173" s="336" t="b">
        <v>0</v>
      </c>
      <c r="H173" s="337" t="s">
        <v>2542</v>
      </c>
      <c r="I173" s="336" t="b">
        <v>0</v>
      </c>
      <c r="J173" s="337" t="s">
        <v>960</v>
      </c>
      <c r="K173" s="337" t="s">
        <v>53</v>
      </c>
      <c r="L173" s="336" t="b">
        <v>0</v>
      </c>
      <c r="M173" s="337" t="s">
        <v>4821</v>
      </c>
    </row>
    <row r="174" spans="1:13">
      <c r="A174" s="334" t="b">
        <v>1</v>
      </c>
      <c r="B174" s="363" t="s">
        <v>2477</v>
      </c>
      <c r="C174" s="341" t="b">
        <v>0</v>
      </c>
      <c r="D174" s="342" t="s">
        <v>2498</v>
      </c>
      <c r="E174" s="341" t="b">
        <v>0</v>
      </c>
      <c r="F174" s="342" t="s">
        <v>908</v>
      </c>
      <c r="G174" s="341" t="b">
        <v>1</v>
      </c>
      <c r="H174" s="342" t="s">
        <v>935</v>
      </c>
      <c r="I174" s="341" t="b">
        <v>1</v>
      </c>
      <c r="J174" s="342" t="s">
        <v>2553</v>
      </c>
      <c r="K174" s="342" t="s">
        <v>53</v>
      </c>
      <c r="L174" s="336" t="b">
        <v>0</v>
      </c>
      <c r="M174" s="342" t="s">
        <v>4822</v>
      </c>
    </row>
    <row r="175" spans="1:13">
      <c r="A175" s="334" t="b">
        <v>1</v>
      </c>
      <c r="B175" s="361" t="s">
        <v>855</v>
      </c>
      <c r="C175" s="336" t="b">
        <v>1</v>
      </c>
      <c r="D175" s="337" t="s">
        <v>886</v>
      </c>
      <c r="E175" s="336" t="b">
        <v>0</v>
      </c>
      <c r="F175" s="337" t="s">
        <v>2523</v>
      </c>
      <c r="G175" s="336" t="b">
        <v>1</v>
      </c>
      <c r="H175" s="337" t="s">
        <v>936</v>
      </c>
      <c r="I175" s="336" t="b">
        <v>1</v>
      </c>
      <c r="J175" s="337" t="s">
        <v>961</v>
      </c>
      <c r="K175" s="337" t="s">
        <v>53</v>
      </c>
      <c r="L175" s="337"/>
      <c r="M175" s="337"/>
    </row>
    <row r="176" spans="1:13">
      <c r="A176" s="334" t="b">
        <v>0</v>
      </c>
      <c r="B176" s="363" t="s">
        <v>856</v>
      </c>
      <c r="C176" s="341" t="b">
        <v>0</v>
      </c>
      <c r="D176" s="342" t="s">
        <v>2499</v>
      </c>
      <c r="E176" s="341" t="b">
        <v>0</v>
      </c>
      <c r="F176" s="342" t="s">
        <v>909</v>
      </c>
      <c r="G176" s="341" t="b">
        <v>0</v>
      </c>
      <c r="H176" s="342" t="s">
        <v>2543</v>
      </c>
      <c r="I176" s="341" t="b">
        <v>1</v>
      </c>
      <c r="J176" s="342" t="s">
        <v>962</v>
      </c>
      <c r="K176" s="342"/>
      <c r="L176" s="342"/>
      <c r="M176" s="342"/>
    </row>
    <row r="177" spans="1:13">
      <c r="A177" s="334" t="b">
        <v>1</v>
      </c>
      <c r="B177" s="361" t="s">
        <v>2478</v>
      </c>
      <c r="C177" s="336" t="b">
        <v>1</v>
      </c>
      <c r="D177" s="337" t="s">
        <v>2500</v>
      </c>
      <c r="E177" s="336" t="b">
        <v>1</v>
      </c>
      <c r="F177" s="337" t="s">
        <v>910</v>
      </c>
      <c r="G177" s="336" t="b">
        <v>1</v>
      </c>
      <c r="H177" s="337" t="s">
        <v>937</v>
      </c>
      <c r="I177" s="336" t="b">
        <v>1</v>
      </c>
      <c r="J177" s="337" t="s">
        <v>2554</v>
      </c>
      <c r="K177" s="337"/>
      <c r="L177" s="337"/>
      <c r="M177" s="337"/>
    </row>
    <row r="178" spans="1:13">
      <c r="A178" s="334" t="b">
        <v>1</v>
      </c>
      <c r="B178" s="363" t="s">
        <v>857</v>
      </c>
      <c r="C178" s="341" t="b">
        <v>1</v>
      </c>
      <c r="D178" s="342" t="s">
        <v>887</v>
      </c>
      <c r="E178" s="341" t="b">
        <v>0</v>
      </c>
      <c r="F178" s="342" t="s">
        <v>2524</v>
      </c>
      <c r="G178" s="341" t="b">
        <v>1</v>
      </c>
      <c r="H178" s="342" t="s">
        <v>938</v>
      </c>
      <c r="I178" s="341" t="b">
        <v>1</v>
      </c>
      <c r="J178" s="342" t="s">
        <v>963</v>
      </c>
      <c r="K178" s="342"/>
      <c r="L178" s="342"/>
      <c r="M178" s="342"/>
    </row>
    <row r="179" spans="1:13">
      <c r="A179" s="334" t="b">
        <v>1</v>
      </c>
      <c r="B179" s="361" t="s">
        <v>858</v>
      </c>
      <c r="C179" s="336" t="b">
        <v>0</v>
      </c>
      <c r="D179" s="337" t="s">
        <v>2501</v>
      </c>
      <c r="E179" s="336" t="b">
        <v>0</v>
      </c>
      <c r="F179" s="337" t="s">
        <v>911</v>
      </c>
      <c r="G179" s="336" t="b">
        <v>0</v>
      </c>
      <c r="H179" s="337" t="s">
        <v>2544</v>
      </c>
      <c r="I179" s="336" t="b">
        <v>1</v>
      </c>
      <c r="J179" s="337" t="s">
        <v>964</v>
      </c>
      <c r="K179" s="337"/>
      <c r="L179" s="337"/>
      <c r="M179" s="337"/>
    </row>
    <row r="180" spans="1:13">
      <c r="A180" s="334" t="b">
        <v>1</v>
      </c>
      <c r="B180" s="363" t="s">
        <v>2479</v>
      </c>
      <c r="C180" s="341" t="b">
        <v>1</v>
      </c>
      <c r="D180" s="342" t="s">
        <v>2502</v>
      </c>
      <c r="E180" s="341" t="b">
        <v>1</v>
      </c>
      <c r="F180" s="342" t="s">
        <v>912</v>
      </c>
      <c r="G180" s="341" t="b">
        <v>1</v>
      </c>
      <c r="H180" s="342" t="s">
        <v>939</v>
      </c>
      <c r="I180" s="341" t="b">
        <v>1</v>
      </c>
      <c r="J180" s="342" t="s">
        <v>2555</v>
      </c>
      <c r="K180" s="342"/>
      <c r="L180" s="342"/>
      <c r="M180" s="342"/>
    </row>
    <row r="181" spans="1:13">
      <c r="A181" s="334" t="b">
        <v>1</v>
      </c>
      <c r="B181" s="361" t="s">
        <v>859</v>
      </c>
      <c r="C181" s="336" t="b">
        <v>0</v>
      </c>
      <c r="D181" s="337" t="s">
        <v>888</v>
      </c>
      <c r="E181" s="336" t="b">
        <v>0</v>
      </c>
      <c r="F181" s="337" t="s">
        <v>2525</v>
      </c>
      <c r="G181" s="336" t="b">
        <v>0</v>
      </c>
      <c r="H181" s="337" t="s">
        <v>940</v>
      </c>
      <c r="I181" s="336" t="b">
        <v>1</v>
      </c>
      <c r="J181" s="337" t="s">
        <v>965</v>
      </c>
      <c r="K181" s="337"/>
      <c r="L181" s="337"/>
      <c r="M181" s="337"/>
    </row>
    <row r="182" spans="1:13">
      <c r="A182" s="334" t="b">
        <v>1</v>
      </c>
      <c r="B182" s="363" t="s">
        <v>860</v>
      </c>
      <c r="C182" s="341" t="b">
        <v>0</v>
      </c>
      <c r="D182" s="342" t="s">
        <v>2503</v>
      </c>
      <c r="E182" s="341" t="b">
        <v>1</v>
      </c>
      <c r="F182" s="342" t="s">
        <v>913</v>
      </c>
      <c r="G182" s="341" t="b">
        <v>0</v>
      </c>
      <c r="H182" s="342" t="s">
        <v>2545</v>
      </c>
      <c r="I182" s="341" t="b">
        <v>1</v>
      </c>
      <c r="J182" s="342" t="s">
        <v>966</v>
      </c>
      <c r="K182" s="342"/>
      <c r="L182" s="342"/>
      <c r="M182" s="342"/>
    </row>
    <row r="183" spans="1:13">
      <c r="A183" s="334" t="b">
        <v>1</v>
      </c>
      <c r="B183" s="361" t="s">
        <v>2480</v>
      </c>
      <c r="C183" s="336" t="b">
        <v>1</v>
      </c>
      <c r="D183" s="337" t="s">
        <v>2504</v>
      </c>
      <c r="E183" s="336" t="b">
        <v>1</v>
      </c>
      <c r="F183" s="337" t="s">
        <v>914</v>
      </c>
      <c r="G183" s="336" t="b">
        <v>1</v>
      </c>
      <c r="H183" s="337" t="s">
        <v>941</v>
      </c>
      <c r="I183" s="336" t="b">
        <v>1</v>
      </c>
      <c r="J183" s="337" t="s">
        <v>2556</v>
      </c>
      <c r="K183" s="337"/>
      <c r="L183" s="337"/>
      <c r="M183" s="337"/>
    </row>
    <row r="184" spans="1:13">
      <c r="A184" s="334" t="b">
        <v>1</v>
      </c>
      <c r="B184" s="363" t="s">
        <v>861</v>
      </c>
      <c r="C184" s="341" t="b">
        <v>1</v>
      </c>
      <c r="D184" s="342" t="s">
        <v>889</v>
      </c>
      <c r="E184" s="341" t="b">
        <v>0</v>
      </c>
      <c r="F184" s="342" t="s">
        <v>2526</v>
      </c>
      <c r="G184" s="341" t="b">
        <v>0</v>
      </c>
      <c r="H184" s="342" t="s">
        <v>942</v>
      </c>
      <c r="I184" s="341" t="b">
        <v>1</v>
      </c>
      <c r="J184" s="342" t="s">
        <v>967</v>
      </c>
      <c r="K184" s="342"/>
      <c r="L184" s="342"/>
      <c r="M184" s="342"/>
    </row>
    <row r="185" spans="1:13">
      <c r="A185" s="334" t="b">
        <v>1</v>
      </c>
      <c r="B185" s="361" t="s">
        <v>2481</v>
      </c>
      <c r="C185" s="336" t="b">
        <v>0</v>
      </c>
      <c r="D185" s="337" t="s">
        <v>2505</v>
      </c>
      <c r="E185" s="336" t="b">
        <v>1</v>
      </c>
      <c r="F185" s="337" t="s">
        <v>915</v>
      </c>
      <c r="G185" s="336" t="b">
        <v>0</v>
      </c>
      <c r="H185" s="337" t="s">
        <v>2546</v>
      </c>
      <c r="I185" s="336" t="b">
        <v>1</v>
      </c>
      <c r="J185" s="337" t="s">
        <v>968</v>
      </c>
      <c r="K185" s="337"/>
      <c r="L185" s="337"/>
      <c r="M185" s="337"/>
    </row>
    <row r="186" spans="1:13">
      <c r="A186" s="334" t="b">
        <v>1</v>
      </c>
      <c r="B186" s="363" t="s">
        <v>862</v>
      </c>
      <c r="C186" s="341" t="b">
        <v>1</v>
      </c>
      <c r="D186" s="342" t="s">
        <v>2506</v>
      </c>
      <c r="E186" s="342"/>
      <c r="F186" s="342"/>
      <c r="G186" s="342"/>
      <c r="H186" s="342"/>
      <c r="I186" s="341" t="b">
        <v>1</v>
      </c>
      <c r="J186" s="342" t="s">
        <v>2557</v>
      </c>
      <c r="K186" s="342"/>
      <c r="L186" s="342"/>
      <c r="M186" s="342"/>
    </row>
    <row r="187" spans="1:13">
      <c r="A187" s="334" t="b">
        <v>1</v>
      </c>
      <c r="B187" s="361" t="s">
        <v>863</v>
      </c>
      <c r="C187" s="336" t="b">
        <v>1</v>
      </c>
      <c r="D187" s="337" t="s">
        <v>890</v>
      </c>
      <c r="E187" s="337"/>
      <c r="F187" s="337"/>
      <c r="G187" s="337"/>
      <c r="H187" s="337"/>
      <c r="I187" s="336" t="b">
        <v>1</v>
      </c>
      <c r="J187" s="337" t="s">
        <v>969</v>
      </c>
      <c r="K187" s="337"/>
      <c r="L187" s="337"/>
      <c r="M187" s="337"/>
    </row>
    <row r="188" spans="1:13">
      <c r="A188" s="334" t="b">
        <v>1</v>
      </c>
      <c r="B188" s="363" t="s">
        <v>2482</v>
      </c>
      <c r="C188" s="341" t="b">
        <v>0</v>
      </c>
      <c r="D188" s="342" t="s">
        <v>2507</v>
      </c>
      <c r="E188" s="342"/>
      <c r="F188" s="342"/>
      <c r="G188" s="342"/>
      <c r="H188" s="342"/>
      <c r="I188" s="341" t="b">
        <v>1</v>
      </c>
      <c r="J188" s="342" t="s">
        <v>970</v>
      </c>
      <c r="K188" s="342"/>
      <c r="L188" s="342"/>
      <c r="M188" s="342"/>
    </row>
    <row r="189" spans="1:13">
      <c r="A189" s="334" t="b">
        <v>0</v>
      </c>
      <c r="B189" s="361" t="s">
        <v>864</v>
      </c>
      <c r="C189" s="336" t="b">
        <v>1</v>
      </c>
      <c r="D189" s="337" t="s">
        <v>2508</v>
      </c>
      <c r="E189" s="337"/>
      <c r="F189" s="337"/>
      <c r="G189" s="337"/>
      <c r="H189" s="337"/>
      <c r="I189" s="336" t="b">
        <v>1</v>
      </c>
      <c r="J189" s="337" t="s">
        <v>2558</v>
      </c>
      <c r="K189" s="337"/>
      <c r="L189" s="337"/>
      <c r="M189" s="337"/>
    </row>
    <row r="190" spans="1:13">
      <c r="A190" s="334" t="b">
        <v>1</v>
      </c>
      <c r="B190" s="363" t="s">
        <v>865</v>
      </c>
      <c r="C190" s="341" t="b">
        <v>1</v>
      </c>
      <c r="D190" s="342" t="s">
        <v>891</v>
      </c>
      <c r="E190" s="342"/>
      <c r="F190" s="342"/>
      <c r="G190" s="342"/>
      <c r="H190" s="342"/>
      <c r="I190" s="341" t="b">
        <v>1</v>
      </c>
      <c r="J190" s="342" t="s">
        <v>971</v>
      </c>
      <c r="K190" s="342"/>
      <c r="L190" s="342"/>
      <c r="M190" s="342"/>
    </row>
    <row r="191" spans="1:13">
      <c r="A191" s="334" t="b">
        <v>1</v>
      </c>
      <c r="B191" s="361" t="s">
        <v>2483</v>
      </c>
      <c r="C191" s="336" t="b">
        <v>0</v>
      </c>
      <c r="D191" s="337" t="s">
        <v>2509</v>
      </c>
      <c r="E191" s="337"/>
      <c r="F191" s="337"/>
      <c r="G191" s="337"/>
      <c r="H191" s="337"/>
      <c r="I191" s="336" t="b">
        <v>1</v>
      </c>
      <c r="J191" s="337" t="s">
        <v>972</v>
      </c>
      <c r="K191" s="337"/>
      <c r="L191" s="337"/>
      <c r="M191" s="337"/>
    </row>
    <row r="192" spans="1:13">
      <c r="A192" s="334" t="b">
        <v>1</v>
      </c>
      <c r="B192" s="363" t="s">
        <v>866</v>
      </c>
      <c r="C192" s="341" t="b">
        <v>1</v>
      </c>
      <c r="D192" s="342" t="s">
        <v>2510</v>
      </c>
      <c r="E192" s="342"/>
      <c r="F192" s="342"/>
      <c r="G192" s="342"/>
      <c r="H192" s="342"/>
      <c r="I192" s="341" t="b">
        <v>1</v>
      </c>
      <c r="J192" s="342" t="s">
        <v>2559</v>
      </c>
      <c r="K192" s="342"/>
      <c r="L192" s="342"/>
      <c r="M192" s="342"/>
    </row>
    <row r="193" spans="1:13">
      <c r="A193" s="334" t="b">
        <v>1</v>
      </c>
      <c r="B193" s="361" t="s">
        <v>867</v>
      </c>
      <c r="C193" s="336" t="b">
        <v>0</v>
      </c>
      <c r="D193" s="337" t="s">
        <v>892</v>
      </c>
      <c r="E193" s="337"/>
      <c r="F193" s="337"/>
      <c r="G193" s="337"/>
      <c r="H193" s="337"/>
      <c r="I193" s="337"/>
      <c r="J193" s="337"/>
      <c r="K193" s="337"/>
      <c r="L193" s="337"/>
      <c r="M193" s="337"/>
    </row>
    <row r="194" spans="1:13">
      <c r="A194" s="334" t="b">
        <v>1</v>
      </c>
      <c r="B194" s="363" t="s">
        <v>2484</v>
      </c>
      <c r="C194" s="342"/>
      <c r="D194" s="342"/>
      <c r="E194" s="342"/>
      <c r="F194" s="342"/>
      <c r="G194" s="342"/>
      <c r="H194" s="342"/>
      <c r="I194" s="342"/>
      <c r="J194" s="342"/>
      <c r="K194" s="342"/>
      <c r="L194" s="342"/>
      <c r="M194" s="342"/>
    </row>
    <row r="195" spans="1:13">
      <c r="A195" s="334" t="b">
        <v>1</v>
      </c>
      <c r="B195" s="361" t="s">
        <v>868</v>
      </c>
      <c r="C195" s="337"/>
      <c r="D195" s="337"/>
      <c r="E195" s="337"/>
      <c r="F195" s="337"/>
      <c r="G195" s="337"/>
      <c r="H195" s="337"/>
      <c r="I195" s="337"/>
      <c r="J195" s="337"/>
      <c r="K195" s="337"/>
      <c r="L195" s="337"/>
      <c r="M195" s="337"/>
    </row>
    <row r="196" spans="1:13">
      <c r="A196" s="334" t="b">
        <v>1</v>
      </c>
      <c r="B196" s="363" t="s">
        <v>869</v>
      </c>
      <c r="C196" s="342"/>
      <c r="D196" s="342"/>
      <c r="E196" s="342"/>
      <c r="F196" s="342"/>
      <c r="G196" s="342"/>
      <c r="H196" s="342"/>
      <c r="I196" s="342"/>
      <c r="J196" s="342"/>
      <c r="K196" s="342"/>
      <c r="L196" s="342"/>
      <c r="M196" s="342"/>
    </row>
  </sheetData>
  <phoneticPr fontId="19" type="noConversion"/>
  <pageMargins left="0.2" right="0.2" top="0.75" bottom="0.25" header="0.3" footer="0.25"/>
  <pageSetup orientation="landscape" verticalDpi="0" r:id="rId1"/>
  <ignoredErrors>
    <ignoredError sqref="B15 B32"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332AB-DC74-4F83-A6AA-7AB242CB4CB7}">
  <sheetPr codeName="Sheet32">
    <pageSetUpPr fitToPage="1"/>
  </sheetPr>
  <dimension ref="A1:Y82"/>
  <sheetViews>
    <sheetView workbookViewId="0">
      <selection activeCell="W82" sqref="W82"/>
    </sheetView>
  </sheetViews>
  <sheetFormatPr defaultRowHeight="15"/>
  <cols>
    <col min="1" max="1" width="9.140625" style="330"/>
    <col min="2" max="2" width="14" style="330" bestFit="1" customWidth="1"/>
    <col min="3" max="3" width="11.42578125" style="330" customWidth="1"/>
    <col min="4" max="4" width="11.42578125" style="330" bestFit="1" customWidth="1"/>
    <col min="5" max="5" width="11.42578125" style="330" customWidth="1"/>
    <col min="6" max="6" width="11.42578125" style="330" bestFit="1" customWidth="1"/>
    <col min="7" max="7" width="11.42578125" style="330" customWidth="1"/>
    <col min="8" max="8" width="11.42578125" style="330" bestFit="1" customWidth="1"/>
    <col min="9" max="9" width="11.42578125" style="330" customWidth="1"/>
    <col min="10" max="10" width="15.42578125" style="330" bestFit="1" customWidth="1"/>
    <col min="11" max="11" width="5.28515625" style="330" customWidth="1"/>
    <col min="12" max="12" width="5.140625" style="330" customWidth="1"/>
    <col min="13" max="13" width="19.28515625" hidden="1" customWidth="1"/>
    <col min="14" max="14" width="0" style="330" hidden="1" customWidth="1"/>
    <col min="15" max="15" width="19.85546875" style="330" hidden="1" customWidth="1"/>
    <col min="16" max="16" width="0" style="330" hidden="1" customWidth="1"/>
    <col min="17" max="17" width="19.85546875" style="330" hidden="1" customWidth="1"/>
    <col min="18" max="18" width="0" style="330" hidden="1" customWidth="1"/>
    <col min="19" max="19" width="19.85546875" style="330" hidden="1" customWidth="1"/>
    <col min="20" max="20" width="0" style="330" hidden="1" customWidth="1"/>
    <col min="21" max="21" width="27.140625" style="330" hidden="1" customWidth="1"/>
    <col min="22" max="22" width="0" style="330" hidden="1" customWidth="1"/>
    <col min="23" max="23" width="14.5703125" style="330" bestFit="1" customWidth="1"/>
    <col min="24" max="24" width="9.140625" style="330"/>
    <col min="26" max="16384" width="9.140625" style="330"/>
  </cols>
  <sheetData>
    <row r="1" spans="1:23">
      <c r="A1" s="416" t="s">
        <v>2605</v>
      </c>
    </row>
    <row r="2" spans="1:23">
      <c r="B2" s="331" t="s">
        <v>3</v>
      </c>
      <c r="C2" s="332" t="s">
        <v>1958</v>
      </c>
      <c r="D2" s="332" t="s">
        <v>4802</v>
      </c>
      <c r="E2" s="332" t="s">
        <v>4803</v>
      </c>
      <c r="F2" s="332" t="s">
        <v>4804</v>
      </c>
      <c r="G2" s="332" t="s">
        <v>4807</v>
      </c>
      <c r="H2" s="332" t="s">
        <v>4808</v>
      </c>
      <c r="I2" s="332" t="s">
        <v>4897</v>
      </c>
      <c r="J2" s="333" t="s">
        <v>4809</v>
      </c>
      <c r="W2" s="360" t="s">
        <v>4247</v>
      </c>
    </row>
    <row r="3" spans="1:23">
      <c r="A3" s="334" t="b">
        <f>IF(N3&lt;&gt;"",TRUE,FALSE)</f>
        <v>0</v>
      </c>
      <c r="B3" s="365">
        <v>1916</v>
      </c>
      <c r="C3" s="336" t="b">
        <f>IF(P3&lt;&gt;"",TRUE,FALSE)</f>
        <v>0</v>
      </c>
      <c r="D3" s="337" t="s">
        <v>4953</v>
      </c>
      <c r="E3" s="336" t="b">
        <f>IF(R3&lt;&gt;"",TRUE,FALSE)</f>
        <v>0</v>
      </c>
      <c r="F3" s="337" t="s">
        <v>2452</v>
      </c>
      <c r="G3" s="336" t="b">
        <f>IF(T3&lt;&gt;"",TRUE,FALSE)</f>
        <v>0</v>
      </c>
      <c r="H3" s="337" t="s">
        <v>2466</v>
      </c>
      <c r="I3" s="336" t="b">
        <f>IF(V3&lt;&gt;"",TRUE,FALSE)</f>
        <v>0</v>
      </c>
      <c r="J3" s="345" t="s">
        <v>839</v>
      </c>
      <c r="M3" t="str">
        <f>B3&amp;" "&amp;$A$1</f>
        <v>1916 Murcury Dime</v>
      </c>
      <c r="N3" s="330" t="str">
        <f>IFERROR(MATCH(M3,CoinCollection!O:O,0),"")</f>
        <v/>
      </c>
      <c r="O3" s="330" t="str">
        <f>D3&amp;" "&amp;$A$1</f>
        <v>1921-D Murcury Dime</v>
      </c>
      <c r="P3" s="330" t="str">
        <f>IFERROR(MATCH(O3,CoinCollection!O:O,0),"")</f>
        <v/>
      </c>
      <c r="Q3" s="330" t="str">
        <f>F3&amp;" "&amp;$A$1</f>
        <v>1928-D Murcury Dime</v>
      </c>
      <c r="R3" s="330" t="str">
        <f>IFERROR(MATCH(Q3,CoinCollection!O:O,0),"")</f>
        <v/>
      </c>
      <c r="S3" s="330" t="str">
        <f>H3&amp;" "&amp;$A$1</f>
        <v>1936-D Murcury Dime</v>
      </c>
      <c r="T3" s="330" t="str">
        <f>IFERROR(MATCH(S3,CoinCollection!O:O,0),"")</f>
        <v/>
      </c>
      <c r="U3" s="330" t="str">
        <f>J3&amp;" "&amp;$A$1</f>
        <v>1941-S Murcury Dime</v>
      </c>
      <c r="V3" s="330" t="str">
        <f>IFERROR(MATCH(U3,CoinCollection!O:O,0),"")</f>
        <v/>
      </c>
      <c r="W3" s="339" cm="1">
        <f t="array" ref="W3:W79">_xlfn.LET(_xlpm.stacked_data,_xlfn.VSTACK(A3:B18,C3:D18,E3:F18,G3:H18,I3:J18),
_xlfn._xlws.FILTER(_xlfn.CHOOSECOLS(_xlpm.stacked_data,2),_xlfn.CHOOSECOLS(_xlpm.stacked_data,1)=FALSE)
)</f>
        <v>1916</v>
      </c>
    </row>
    <row r="4" spans="1:23">
      <c r="A4" s="334" t="b">
        <f t="shared" ref="A4:A18" si="0">IF(N4&lt;&gt;"",TRUE,FALSE)</f>
        <v>0</v>
      </c>
      <c r="B4" s="363" t="s">
        <v>2419</v>
      </c>
      <c r="C4" s="336" t="b">
        <f t="shared" ref="C4:C18" si="1">IF(P4&lt;&gt;"",TRUE,FALSE)</f>
        <v>0</v>
      </c>
      <c r="D4" s="342" t="s">
        <v>2437</v>
      </c>
      <c r="E4" s="336" t="b">
        <f t="shared" ref="E4:E18" si="2">IF(R4&lt;&gt;"",TRUE,FALSE)</f>
        <v>0</v>
      </c>
      <c r="F4" s="342" t="s">
        <v>2453</v>
      </c>
      <c r="G4" s="336" t="b">
        <f t="shared" ref="G4:G18" si="3">IF(T4&lt;&gt;"",TRUE,FALSE)</f>
        <v>0</v>
      </c>
      <c r="H4" s="342" t="s">
        <v>2467</v>
      </c>
      <c r="I4" s="336" t="b">
        <f t="shared" ref="I4:I18" si="4">IF(V4&lt;&gt;"",TRUE,FALSE)</f>
        <v>0</v>
      </c>
      <c r="J4" s="344" t="s">
        <v>4954</v>
      </c>
      <c r="M4" t="str">
        <f t="shared" ref="M4:M18" si="5">B4&amp;" "&amp;$A$1</f>
        <v>1916-D Murcury Dime</v>
      </c>
      <c r="N4" s="330" t="str">
        <f>IFERROR(MATCH(M4,CoinCollection!O:O,0),"")</f>
        <v/>
      </c>
      <c r="O4" s="330" t="str">
        <f t="shared" ref="O4:O18" si="6">D4&amp;" "&amp;$A$1</f>
        <v>1923 Murcury Dime</v>
      </c>
      <c r="P4" s="330" t="str">
        <f>IFERROR(MATCH(O4,CoinCollection!O:O,0),"")</f>
        <v/>
      </c>
      <c r="Q4" s="330" t="str">
        <f t="shared" ref="Q4:Q18" si="7">F4&amp;" "&amp;$A$1</f>
        <v>1928-S Murcury Dime</v>
      </c>
      <c r="R4" s="330" t="str">
        <f>IFERROR(MATCH(Q4,CoinCollection!O:O,0),"")</f>
        <v/>
      </c>
      <c r="S4" s="330" t="str">
        <f t="shared" ref="S4:S18" si="8">H4&amp;" "&amp;$A$1</f>
        <v>1936-S Murcury Dime</v>
      </c>
      <c r="T4" s="330" t="str">
        <f>IFERROR(MATCH(S4,CoinCollection!O:O,0),"")</f>
        <v/>
      </c>
      <c r="U4" s="330" t="str">
        <f t="shared" ref="U4:U18" si="9">J4&amp;" "&amp;$A$1</f>
        <v>1942 2 over 1 Murcury Dime</v>
      </c>
      <c r="V4" s="330" t="str">
        <f>IFERROR(MATCH(U4,CoinCollection!O:O,0),"")</f>
        <v/>
      </c>
      <c r="W4" s="330" t="str">
        <v>1916-D</v>
      </c>
    </row>
    <row r="5" spans="1:23">
      <c r="A5" s="334" t="b">
        <f t="shared" si="0"/>
        <v>0</v>
      </c>
      <c r="B5" s="361" t="s">
        <v>2420</v>
      </c>
      <c r="C5" s="336" t="b">
        <f t="shared" si="1"/>
        <v>0</v>
      </c>
      <c r="D5" s="337" t="s">
        <v>2438</v>
      </c>
      <c r="E5" s="336" t="b">
        <f t="shared" si="2"/>
        <v>0</v>
      </c>
      <c r="F5" s="337" t="s">
        <v>2454</v>
      </c>
      <c r="G5" s="336" t="b">
        <f t="shared" si="3"/>
        <v>0</v>
      </c>
      <c r="H5" s="337" t="s">
        <v>2468</v>
      </c>
      <c r="I5" s="336" t="b">
        <f t="shared" si="4"/>
        <v>1</v>
      </c>
      <c r="J5" s="345" t="s">
        <v>2475</v>
      </c>
      <c r="M5" t="str">
        <f t="shared" si="5"/>
        <v>1916-S Murcury Dime</v>
      </c>
      <c r="N5" s="330" t="str">
        <f>IFERROR(MATCH(M5,CoinCollection!O:O,0),"")</f>
        <v/>
      </c>
      <c r="O5" s="330" t="str">
        <f t="shared" si="6"/>
        <v>1923-S Murcury Dime</v>
      </c>
      <c r="P5" s="330" t="str">
        <f>IFERROR(MATCH(O5,CoinCollection!O:O,0),"")</f>
        <v/>
      </c>
      <c r="Q5" s="330" t="str">
        <f t="shared" si="7"/>
        <v>1929 Murcury Dime</v>
      </c>
      <c r="R5" s="330" t="str">
        <f>IFERROR(MATCH(Q5,CoinCollection!O:O,0),"")</f>
        <v/>
      </c>
      <c r="S5" s="330" t="str">
        <f t="shared" si="8"/>
        <v>1937 Murcury Dime</v>
      </c>
      <c r="T5" s="330" t="str">
        <f>IFERROR(MATCH(S5,CoinCollection!O:O,0),"")</f>
        <v/>
      </c>
      <c r="U5" s="330" t="str">
        <f t="shared" si="9"/>
        <v>1942 Murcury Dime</v>
      </c>
      <c r="V5" s="330">
        <f>IFERROR(MATCH(U5,CoinCollection!O:O,0),"")</f>
        <v>1672</v>
      </c>
      <c r="W5" s="330" t="str">
        <v>1916-S</v>
      </c>
    </row>
    <row r="6" spans="1:23">
      <c r="A6" s="334" t="b">
        <f t="shared" si="0"/>
        <v>0</v>
      </c>
      <c r="B6" s="363" t="s">
        <v>2421</v>
      </c>
      <c r="C6" s="336" t="b">
        <f t="shared" si="1"/>
        <v>0</v>
      </c>
      <c r="D6" s="342" t="s">
        <v>2439</v>
      </c>
      <c r="E6" s="336" t="b">
        <f t="shared" si="2"/>
        <v>0</v>
      </c>
      <c r="F6" s="342" t="s">
        <v>2455</v>
      </c>
      <c r="G6" s="336" t="b">
        <f t="shared" si="3"/>
        <v>0</v>
      </c>
      <c r="H6" s="342" t="s">
        <v>2469</v>
      </c>
      <c r="I6" s="336" t="b">
        <f t="shared" si="4"/>
        <v>0</v>
      </c>
      <c r="J6" s="344" t="s">
        <v>4955</v>
      </c>
      <c r="M6" t="str">
        <f t="shared" si="5"/>
        <v>1917 Murcury Dime</v>
      </c>
      <c r="N6" s="330" t="str">
        <f>IFERROR(MATCH(M6,CoinCollection!O:O,0),"")</f>
        <v/>
      </c>
      <c r="O6" s="330" t="str">
        <f t="shared" si="6"/>
        <v>1924 Murcury Dime</v>
      </c>
      <c r="P6" s="330" t="str">
        <f>IFERROR(MATCH(O6,CoinCollection!O:O,0),"")</f>
        <v/>
      </c>
      <c r="Q6" s="330" t="str">
        <f t="shared" si="7"/>
        <v>1929-D Murcury Dime</v>
      </c>
      <c r="R6" s="330" t="str">
        <f>IFERROR(MATCH(Q6,CoinCollection!O:O,0),"")</f>
        <v/>
      </c>
      <c r="S6" s="330" t="str">
        <f t="shared" si="8"/>
        <v>1937-D Murcury Dime</v>
      </c>
      <c r="T6" s="330" t="str">
        <f>IFERROR(MATCH(S6,CoinCollection!O:O,0),"")</f>
        <v/>
      </c>
      <c r="U6" s="330" t="str">
        <f t="shared" si="9"/>
        <v>1942-D 2 over 1 Murcury Dime</v>
      </c>
      <c r="V6" s="330" t="str">
        <f>IFERROR(MATCH(U6,CoinCollection!O:O,0),"")</f>
        <v/>
      </c>
      <c r="W6" s="330" t="str">
        <v>1917</v>
      </c>
    </row>
    <row r="7" spans="1:23">
      <c r="A7" s="334" t="b">
        <f t="shared" si="0"/>
        <v>0</v>
      </c>
      <c r="B7" s="361" t="s">
        <v>2422</v>
      </c>
      <c r="C7" s="336" t="b">
        <f t="shared" si="1"/>
        <v>0</v>
      </c>
      <c r="D7" s="337" t="s">
        <v>2440</v>
      </c>
      <c r="E7" s="336" t="b">
        <f t="shared" si="2"/>
        <v>0</v>
      </c>
      <c r="F7" s="337" t="s">
        <v>2456</v>
      </c>
      <c r="G7" s="336" t="b">
        <f t="shared" si="3"/>
        <v>0</v>
      </c>
      <c r="H7" s="337" t="s">
        <v>2470</v>
      </c>
      <c r="I7" s="336" t="b">
        <f t="shared" si="4"/>
        <v>0</v>
      </c>
      <c r="J7" s="345" t="s">
        <v>840</v>
      </c>
      <c r="M7" t="str">
        <f t="shared" si="5"/>
        <v>1917-D Murcury Dime</v>
      </c>
      <c r="N7" s="330" t="str">
        <f>IFERROR(MATCH(M7,CoinCollection!O:O,0),"")</f>
        <v/>
      </c>
      <c r="O7" s="330" t="str">
        <f t="shared" si="6"/>
        <v>1924-D Murcury Dime</v>
      </c>
      <c r="P7" s="330" t="str">
        <f>IFERROR(MATCH(O7,CoinCollection!O:O,0),"")</f>
        <v/>
      </c>
      <c r="Q7" s="330" t="str">
        <f t="shared" si="7"/>
        <v>1929-S Murcury Dime</v>
      </c>
      <c r="R7" s="330" t="str">
        <f>IFERROR(MATCH(Q7,CoinCollection!O:O,0),"")</f>
        <v/>
      </c>
      <c r="S7" s="330" t="str">
        <f t="shared" si="8"/>
        <v>1937-S Murcury Dime</v>
      </c>
      <c r="T7" s="330" t="str">
        <f>IFERROR(MATCH(S7,CoinCollection!O:O,0),"")</f>
        <v/>
      </c>
      <c r="U7" s="330" t="str">
        <f t="shared" si="9"/>
        <v>1942-D Murcury Dime</v>
      </c>
      <c r="V7" s="330" t="str">
        <f>IFERROR(MATCH(U7,CoinCollection!O:O,0),"")</f>
        <v/>
      </c>
      <c r="W7" s="330" t="str">
        <v>1917-D</v>
      </c>
    </row>
    <row r="8" spans="1:23">
      <c r="A8" s="334" t="b">
        <f t="shared" si="0"/>
        <v>0</v>
      </c>
      <c r="B8" s="363" t="s">
        <v>2423</v>
      </c>
      <c r="C8" s="336" t="b">
        <f t="shared" si="1"/>
        <v>0</v>
      </c>
      <c r="D8" s="342" t="s">
        <v>2441</v>
      </c>
      <c r="E8" s="336" t="b">
        <f t="shared" si="2"/>
        <v>0</v>
      </c>
      <c r="F8" s="342" t="s">
        <v>2457</v>
      </c>
      <c r="G8" s="336" t="b">
        <f t="shared" si="3"/>
        <v>0</v>
      </c>
      <c r="H8" s="342" t="s">
        <v>2471</v>
      </c>
      <c r="I8" s="336" t="b">
        <f t="shared" si="4"/>
        <v>0</v>
      </c>
      <c r="J8" s="344" t="s">
        <v>843</v>
      </c>
      <c r="M8" t="str">
        <f t="shared" si="5"/>
        <v>1917-S Murcury Dime</v>
      </c>
      <c r="N8" s="330" t="str">
        <f>IFERROR(MATCH(M8,CoinCollection!O:O,0),"")</f>
        <v/>
      </c>
      <c r="O8" s="330" t="str">
        <f t="shared" si="6"/>
        <v>1924-S Murcury Dime</v>
      </c>
      <c r="P8" s="330" t="str">
        <f>IFERROR(MATCH(O8,CoinCollection!O:O,0),"")</f>
        <v/>
      </c>
      <c r="Q8" s="330" t="str">
        <f t="shared" si="7"/>
        <v>1930 Murcury Dime</v>
      </c>
      <c r="R8" s="330" t="str">
        <f>IFERROR(MATCH(Q8,CoinCollection!O:O,0),"")</f>
        <v/>
      </c>
      <c r="S8" s="330" t="str">
        <f t="shared" si="8"/>
        <v>1938 Murcury Dime</v>
      </c>
      <c r="T8" s="330" t="str">
        <f>IFERROR(MATCH(S8,CoinCollection!O:O,0),"")</f>
        <v/>
      </c>
      <c r="U8" s="330" t="str">
        <f t="shared" si="9"/>
        <v>1942-S Murcury Dime</v>
      </c>
      <c r="V8" s="330" t="str">
        <f>IFERROR(MATCH(U8,CoinCollection!O:O,0),"")</f>
        <v/>
      </c>
      <c r="W8" s="330" t="str">
        <v>1917-S</v>
      </c>
    </row>
    <row r="9" spans="1:23">
      <c r="A9" s="334" t="b">
        <f t="shared" si="0"/>
        <v>0</v>
      </c>
      <c r="B9" s="361" t="s">
        <v>2424</v>
      </c>
      <c r="C9" s="336" t="b">
        <f t="shared" si="1"/>
        <v>0</v>
      </c>
      <c r="D9" s="337" t="s">
        <v>2442</v>
      </c>
      <c r="E9" s="336" t="b">
        <f t="shared" si="2"/>
        <v>0</v>
      </c>
      <c r="F9" s="337" t="s">
        <v>2458</v>
      </c>
      <c r="G9" s="336" t="b">
        <f t="shared" si="3"/>
        <v>0</v>
      </c>
      <c r="H9" s="337" t="s">
        <v>832</v>
      </c>
      <c r="I9" s="336" t="b">
        <f t="shared" si="4"/>
        <v>0</v>
      </c>
      <c r="J9" s="345" t="s">
        <v>4181</v>
      </c>
      <c r="M9" t="str">
        <f t="shared" si="5"/>
        <v>1918 Murcury Dime</v>
      </c>
      <c r="N9" s="330" t="str">
        <f>IFERROR(MATCH(M9,CoinCollection!O:O,0),"")</f>
        <v/>
      </c>
      <c r="O9" s="330" t="str">
        <f t="shared" si="6"/>
        <v>1925 Murcury Dime</v>
      </c>
      <c r="P9" s="330" t="str">
        <f>IFERROR(MATCH(O9,CoinCollection!O:O,0),"")</f>
        <v/>
      </c>
      <c r="Q9" s="330" t="str">
        <f t="shared" si="7"/>
        <v>1930-S Murcury Dime</v>
      </c>
      <c r="R9" s="330" t="str">
        <f>IFERROR(MATCH(Q9,CoinCollection!O:O,0),"")</f>
        <v/>
      </c>
      <c r="S9" s="330" t="str">
        <f t="shared" si="8"/>
        <v>1938-D Murcury Dime</v>
      </c>
      <c r="T9" s="330" t="str">
        <f>IFERROR(MATCH(S9,CoinCollection!O:O,0),"")</f>
        <v/>
      </c>
      <c r="U9" s="330" t="str">
        <f t="shared" si="9"/>
        <v>1943 Murcury Dime</v>
      </c>
      <c r="V9" s="330" t="str">
        <f>IFERROR(MATCH(U9,CoinCollection!O:O,0),"")</f>
        <v/>
      </c>
      <c r="W9" s="330" t="str">
        <v>1918</v>
      </c>
    </row>
    <row r="10" spans="1:23">
      <c r="A10" s="334" t="b">
        <f t="shared" si="0"/>
        <v>0</v>
      </c>
      <c r="B10" s="363" t="s">
        <v>2425</v>
      </c>
      <c r="C10" s="336" t="b">
        <f t="shared" si="1"/>
        <v>0</v>
      </c>
      <c r="D10" s="342" t="s">
        <v>2443</v>
      </c>
      <c r="E10" s="336" t="b">
        <f t="shared" si="2"/>
        <v>0</v>
      </c>
      <c r="F10" s="342" t="s">
        <v>4178</v>
      </c>
      <c r="G10" s="336" t="b">
        <f t="shared" si="3"/>
        <v>0</v>
      </c>
      <c r="H10" s="342" t="s">
        <v>833</v>
      </c>
      <c r="I10" s="336" t="b">
        <f t="shared" si="4"/>
        <v>0</v>
      </c>
      <c r="J10" s="344" t="s">
        <v>845</v>
      </c>
      <c r="M10" t="str">
        <f t="shared" si="5"/>
        <v>1918-D Murcury Dime</v>
      </c>
      <c r="N10" s="330" t="str">
        <f>IFERROR(MATCH(M10,CoinCollection!O:O,0),"")</f>
        <v/>
      </c>
      <c r="O10" s="330" t="str">
        <f t="shared" si="6"/>
        <v>1925-D Murcury Dime</v>
      </c>
      <c r="P10" s="330" t="str">
        <f>IFERROR(MATCH(O10,CoinCollection!O:O,0),"")</f>
        <v/>
      </c>
      <c r="Q10" s="330" t="str">
        <f t="shared" si="7"/>
        <v>1931 Murcury Dime</v>
      </c>
      <c r="R10" s="330" t="str">
        <f>IFERROR(MATCH(Q10,CoinCollection!O:O,0),"")</f>
        <v/>
      </c>
      <c r="S10" s="330" t="str">
        <f t="shared" si="8"/>
        <v>1938-S Murcury Dime</v>
      </c>
      <c r="T10" s="330" t="str">
        <f>IFERROR(MATCH(S10,CoinCollection!O:O,0),"")</f>
        <v/>
      </c>
      <c r="U10" s="330" t="str">
        <f t="shared" si="9"/>
        <v>1943-D Murcury Dime</v>
      </c>
      <c r="V10" s="330" t="str">
        <f>IFERROR(MATCH(U10,CoinCollection!O:O,0),"")</f>
        <v/>
      </c>
      <c r="W10" s="330" t="str">
        <v>1918-D</v>
      </c>
    </row>
    <row r="11" spans="1:23">
      <c r="A11" s="334" t="b">
        <f t="shared" si="0"/>
        <v>0</v>
      </c>
      <c r="B11" s="361" t="s">
        <v>2428</v>
      </c>
      <c r="C11" s="336" t="b">
        <f t="shared" si="1"/>
        <v>0</v>
      </c>
      <c r="D11" s="337" t="s">
        <v>2444</v>
      </c>
      <c r="E11" s="336" t="b">
        <f t="shared" si="2"/>
        <v>0</v>
      </c>
      <c r="F11" s="337" t="s">
        <v>4923</v>
      </c>
      <c r="G11" s="336" t="b">
        <f t="shared" si="3"/>
        <v>1</v>
      </c>
      <c r="H11" s="337" t="s">
        <v>2472</v>
      </c>
      <c r="I11" s="336" t="b">
        <f t="shared" si="4"/>
        <v>0</v>
      </c>
      <c r="J11" s="345" t="s">
        <v>846</v>
      </c>
      <c r="M11" t="str">
        <f t="shared" si="5"/>
        <v>1918-S Murcury Dime</v>
      </c>
      <c r="N11" s="330" t="str">
        <f>IFERROR(MATCH(M11,CoinCollection!O:O,0),"")</f>
        <v/>
      </c>
      <c r="O11" s="330" t="str">
        <f t="shared" si="6"/>
        <v>1925-S Murcury Dime</v>
      </c>
      <c r="P11" s="330" t="str">
        <f>IFERROR(MATCH(O11,CoinCollection!O:O,0),"")</f>
        <v/>
      </c>
      <c r="Q11" s="330" t="str">
        <f t="shared" si="7"/>
        <v>1931-D Murcury Dime</v>
      </c>
      <c r="R11" s="330" t="str">
        <f>IFERROR(MATCH(Q11,CoinCollection!O:O,0),"")</f>
        <v/>
      </c>
      <c r="S11" s="330" t="str">
        <f t="shared" si="8"/>
        <v>1939 Murcury Dime</v>
      </c>
      <c r="T11" s="330">
        <f>IFERROR(MATCH(S11,CoinCollection!O:O,0),"")</f>
        <v>1670</v>
      </c>
      <c r="U11" s="330" t="str">
        <f t="shared" si="9"/>
        <v>1943-S Murcury Dime</v>
      </c>
      <c r="V11" s="330" t="str">
        <f>IFERROR(MATCH(U11,CoinCollection!O:O,0),"")</f>
        <v/>
      </c>
      <c r="W11" s="330" t="str">
        <v>1918-S</v>
      </c>
    </row>
    <row r="12" spans="1:23">
      <c r="A12" s="334" t="b">
        <f t="shared" si="0"/>
        <v>0</v>
      </c>
      <c r="B12" s="363" t="s">
        <v>2429</v>
      </c>
      <c r="C12" s="336" t="b">
        <f t="shared" si="1"/>
        <v>0</v>
      </c>
      <c r="D12" s="342" t="s">
        <v>2445</v>
      </c>
      <c r="E12" s="336" t="b">
        <f t="shared" si="2"/>
        <v>0</v>
      </c>
      <c r="F12" s="342" t="s">
        <v>2459</v>
      </c>
      <c r="G12" s="336" t="b">
        <f t="shared" si="3"/>
        <v>0</v>
      </c>
      <c r="H12" s="342" t="s">
        <v>834</v>
      </c>
      <c r="I12" s="336" t="b">
        <f t="shared" si="4"/>
        <v>0</v>
      </c>
      <c r="J12" s="344" t="s">
        <v>4182</v>
      </c>
      <c r="M12" t="str">
        <f t="shared" si="5"/>
        <v>1919 Murcury Dime</v>
      </c>
      <c r="N12" s="330" t="str">
        <f>IFERROR(MATCH(M12,CoinCollection!O:O,0),"")</f>
        <v/>
      </c>
      <c r="O12" s="330" t="str">
        <f t="shared" si="6"/>
        <v>1926 Murcury Dime</v>
      </c>
      <c r="P12" s="330" t="str">
        <f>IFERROR(MATCH(O12,CoinCollection!O:O,0),"")</f>
        <v/>
      </c>
      <c r="Q12" s="330" t="str">
        <f t="shared" si="7"/>
        <v>1931-S Murcury Dime</v>
      </c>
      <c r="R12" s="330" t="str">
        <f>IFERROR(MATCH(Q12,CoinCollection!O:O,0),"")</f>
        <v/>
      </c>
      <c r="S12" s="330" t="str">
        <f t="shared" si="8"/>
        <v>1939-D Murcury Dime</v>
      </c>
      <c r="T12" s="330" t="str">
        <f>IFERROR(MATCH(S12,CoinCollection!O:O,0),"")</f>
        <v/>
      </c>
      <c r="U12" s="330" t="str">
        <f t="shared" si="9"/>
        <v>1944 Murcury Dime</v>
      </c>
      <c r="V12" s="330" t="str">
        <f>IFERROR(MATCH(U12,CoinCollection!O:O,0),"")</f>
        <v/>
      </c>
      <c r="W12" s="330" t="str">
        <v>1919</v>
      </c>
    </row>
    <row r="13" spans="1:23">
      <c r="A13" s="334" t="b">
        <f t="shared" si="0"/>
        <v>0</v>
      </c>
      <c r="B13" s="361" t="s">
        <v>2430</v>
      </c>
      <c r="C13" s="336" t="b">
        <f t="shared" si="1"/>
        <v>0</v>
      </c>
      <c r="D13" s="337" t="s">
        <v>2446</v>
      </c>
      <c r="E13" s="336" t="b">
        <f t="shared" si="2"/>
        <v>0</v>
      </c>
      <c r="F13" s="337" t="s">
        <v>2460</v>
      </c>
      <c r="G13" s="336" t="b">
        <f t="shared" si="3"/>
        <v>0</v>
      </c>
      <c r="H13" s="337" t="s">
        <v>835</v>
      </c>
      <c r="I13" s="336" t="b">
        <f t="shared" si="4"/>
        <v>0</v>
      </c>
      <c r="J13" s="345" t="s">
        <v>848</v>
      </c>
      <c r="M13" t="str">
        <f t="shared" si="5"/>
        <v>1919-D Murcury Dime</v>
      </c>
      <c r="N13" s="330" t="str">
        <f>IFERROR(MATCH(M13,CoinCollection!O:O,0),"")</f>
        <v/>
      </c>
      <c r="O13" s="330" t="str">
        <f t="shared" si="6"/>
        <v>1926-D Murcury Dime</v>
      </c>
      <c r="P13" s="330" t="str">
        <f>IFERROR(MATCH(O13,CoinCollection!O:O,0),"")</f>
        <v/>
      </c>
      <c r="Q13" s="330" t="str">
        <f t="shared" si="7"/>
        <v>1934 Murcury Dime</v>
      </c>
      <c r="R13" s="330" t="str">
        <f>IFERROR(MATCH(Q13,CoinCollection!O:O,0),"")</f>
        <v/>
      </c>
      <c r="S13" s="330" t="str">
        <f t="shared" si="8"/>
        <v>1939-S Murcury Dime</v>
      </c>
      <c r="T13" s="330" t="str">
        <f>IFERROR(MATCH(S13,CoinCollection!O:O,0),"")</f>
        <v/>
      </c>
      <c r="U13" s="330" t="str">
        <f t="shared" si="9"/>
        <v>1944-D Murcury Dime</v>
      </c>
      <c r="V13" s="330" t="str">
        <f>IFERROR(MATCH(U13,CoinCollection!O:O,0),"")</f>
        <v/>
      </c>
      <c r="W13" s="330" t="str">
        <v>1919-D</v>
      </c>
    </row>
    <row r="14" spans="1:23">
      <c r="A14" s="334" t="b">
        <f t="shared" si="0"/>
        <v>0</v>
      </c>
      <c r="B14" s="363" t="s">
        <v>2431</v>
      </c>
      <c r="C14" s="336" t="b">
        <f t="shared" si="1"/>
        <v>0</v>
      </c>
      <c r="D14" s="342" t="s">
        <v>2447</v>
      </c>
      <c r="E14" s="336" t="b">
        <f t="shared" si="2"/>
        <v>0</v>
      </c>
      <c r="F14" s="342" t="s">
        <v>2461</v>
      </c>
      <c r="G14" s="336" t="b">
        <f t="shared" si="3"/>
        <v>0</v>
      </c>
      <c r="H14" s="342" t="s">
        <v>2473</v>
      </c>
      <c r="I14" s="336" t="b">
        <f t="shared" si="4"/>
        <v>0</v>
      </c>
      <c r="J14" s="344" t="s">
        <v>849</v>
      </c>
      <c r="M14" t="str">
        <f t="shared" si="5"/>
        <v>1919-S Murcury Dime</v>
      </c>
      <c r="N14" s="330" t="str">
        <f>IFERROR(MATCH(M14,CoinCollection!O:O,0),"")</f>
        <v/>
      </c>
      <c r="O14" s="330" t="str">
        <f t="shared" si="6"/>
        <v>1926-S Murcury Dime</v>
      </c>
      <c r="P14" s="330" t="str">
        <f>IFERROR(MATCH(O14,CoinCollection!O:O,0),"")</f>
        <v/>
      </c>
      <c r="Q14" s="330" t="str">
        <f t="shared" si="7"/>
        <v>1934-D Murcury Dime</v>
      </c>
      <c r="R14" s="330" t="str">
        <f>IFERROR(MATCH(Q14,CoinCollection!O:O,0),"")</f>
        <v/>
      </c>
      <c r="S14" s="330" t="str">
        <f t="shared" si="8"/>
        <v>1940 Murcury Dime</v>
      </c>
      <c r="T14" s="330" t="str">
        <f>IFERROR(MATCH(S14,CoinCollection!O:O,0),"")</f>
        <v/>
      </c>
      <c r="U14" s="330" t="str">
        <f t="shared" si="9"/>
        <v>1944-S Murcury Dime</v>
      </c>
      <c r="V14" s="330" t="str">
        <f>IFERROR(MATCH(U14,CoinCollection!O:O,0),"")</f>
        <v/>
      </c>
      <c r="W14" s="330" t="str">
        <v>1919-S</v>
      </c>
    </row>
    <row r="15" spans="1:23">
      <c r="A15" s="334" t="b">
        <f t="shared" si="0"/>
        <v>0</v>
      </c>
      <c r="B15" s="361" t="s">
        <v>2432</v>
      </c>
      <c r="C15" s="336" t="b">
        <f t="shared" si="1"/>
        <v>0</v>
      </c>
      <c r="D15" s="337" t="s">
        <v>2448</v>
      </c>
      <c r="E15" s="336" t="b">
        <f t="shared" si="2"/>
        <v>0</v>
      </c>
      <c r="F15" s="337" t="s">
        <v>2462</v>
      </c>
      <c r="G15" s="336" t="b">
        <f t="shared" si="3"/>
        <v>0</v>
      </c>
      <c r="H15" s="337" t="s">
        <v>836</v>
      </c>
      <c r="I15" s="336" t="b">
        <f t="shared" si="4"/>
        <v>0</v>
      </c>
      <c r="J15" s="345" t="s">
        <v>4183</v>
      </c>
      <c r="M15" t="str">
        <f t="shared" si="5"/>
        <v>1920 Murcury Dime</v>
      </c>
      <c r="N15" s="330" t="str">
        <f>IFERROR(MATCH(M15,CoinCollection!O:O,0),"")</f>
        <v/>
      </c>
      <c r="O15" s="330" t="str">
        <f t="shared" si="6"/>
        <v>1927 Murcury Dime</v>
      </c>
      <c r="P15" s="330" t="str">
        <f>IFERROR(MATCH(O15,CoinCollection!O:O,0),"")</f>
        <v/>
      </c>
      <c r="Q15" s="330" t="str">
        <f t="shared" si="7"/>
        <v>1935 Murcury Dime</v>
      </c>
      <c r="R15" s="330" t="str">
        <f>IFERROR(MATCH(Q15,CoinCollection!O:O,0),"")</f>
        <v/>
      </c>
      <c r="S15" s="330" t="str">
        <f t="shared" si="8"/>
        <v>1940-D Murcury Dime</v>
      </c>
      <c r="T15" s="330" t="str">
        <f>IFERROR(MATCH(S15,CoinCollection!O:O,0),"")</f>
        <v/>
      </c>
      <c r="U15" s="330" t="str">
        <f t="shared" si="9"/>
        <v>1945 Murcury Dime</v>
      </c>
      <c r="V15" s="330" t="str">
        <f>IFERROR(MATCH(U15,CoinCollection!O:O,0),"")</f>
        <v/>
      </c>
      <c r="W15" s="330" t="str">
        <v>1920</v>
      </c>
    </row>
    <row r="16" spans="1:23">
      <c r="A16" s="334" t="b">
        <f t="shared" si="0"/>
        <v>0</v>
      </c>
      <c r="B16" s="363" t="s">
        <v>2433</v>
      </c>
      <c r="C16" s="336" t="b">
        <f t="shared" si="1"/>
        <v>0</v>
      </c>
      <c r="D16" s="342" t="s">
        <v>2449</v>
      </c>
      <c r="E16" s="336" t="b">
        <f t="shared" si="2"/>
        <v>0</v>
      </c>
      <c r="F16" s="342" t="s">
        <v>2463</v>
      </c>
      <c r="G16" s="336" t="b">
        <f t="shared" si="3"/>
        <v>0</v>
      </c>
      <c r="H16" s="342" t="s">
        <v>837</v>
      </c>
      <c r="I16" s="336" t="b">
        <f t="shared" si="4"/>
        <v>0</v>
      </c>
      <c r="J16" s="344" t="s">
        <v>851</v>
      </c>
      <c r="M16" t="str">
        <f t="shared" si="5"/>
        <v>1920-D Murcury Dime</v>
      </c>
      <c r="N16" s="330" t="str">
        <f>IFERROR(MATCH(M16,CoinCollection!O:O,0),"")</f>
        <v/>
      </c>
      <c r="O16" s="330" t="str">
        <f t="shared" si="6"/>
        <v>1927-D Murcury Dime</v>
      </c>
      <c r="P16" s="330" t="str">
        <f>IFERROR(MATCH(O16,CoinCollection!O:O,0),"")</f>
        <v/>
      </c>
      <c r="Q16" s="330" t="str">
        <f t="shared" si="7"/>
        <v>1935-D Murcury Dime</v>
      </c>
      <c r="R16" s="330" t="str">
        <f>IFERROR(MATCH(Q16,CoinCollection!O:O,0),"")</f>
        <v/>
      </c>
      <c r="S16" s="330" t="str">
        <f t="shared" si="8"/>
        <v>1940-S Murcury Dime</v>
      </c>
      <c r="T16" s="330" t="str">
        <f>IFERROR(MATCH(S16,CoinCollection!O:O,0),"")</f>
        <v/>
      </c>
      <c r="U16" s="330" t="str">
        <f t="shared" si="9"/>
        <v>1945-D Murcury Dime</v>
      </c>
      <c r="V16" s="330" t="str">
        <f>IFERROR(MATCH(U16,CoinCollection!O:O,0),"")</f>
        <v/>
      </c>
      <c r="W16" s="330" t="str">
        <v>1920-D</v>
      </c>
    </row>
    <row r="17" spans="1:23">
      <c r="A17" s="334" t="b">
        <f t="shared" si="0"/>
        <v>0</v>
      </c>
      <c r="B17" s="361" t="s">
        <v>2434</v>
      </c>
      <c r="C17" s="336" t="b">
        <f t="shared" si="1"/>
        <v>0</v>
      </c>
      <c r="D17" s="337" t="s">
        <v>2450</v>
      </c>
      <c r="E17" s="336" t="b">
        <f t="shared" si="2"/>
        <v>0</v>
      </c>
      <c r="F17" s="337" t="s">
        <v>2464</v>
      </c>
      <c r="G17" s="336" t="b">
        <f t="shared" si="3"/>
        <v>1</v>
      </c>
      <c r="H17" s="337" t="s">
        <v>2474</v>
      </c>
      <c r="I17" s="336" t="b">
        <f t="shared" si="4"/>
        <v>0</v>
      </c>
      <c r="J17" s="345" t="s">
        <v>852</v>
      </c>
      <c r="M17" t="str">
        <f t="shared" si="5"/>
        <v>1920-S Murcury Dime</v>
      </c>
      <c r="N17" s="330" t="str">
        <f>IFERROR(MATCH(M17,CoinCollection!O:O,0),"")</f>
        <v/>
      </c>
      <c r="O17" s="330" t="str">
        <f t="shared" si="6"/>
        <v>1927-S Murcury Dime</v>
      </c>
      <c r="P17" s="330" t="str">
        <f>IFERROR(MATCH(O17,CoinCollection!O:O,0),"")</f>
        <v/>
      </c>
      <c r="Q17" s="330" t="str">
        <f t="shared" si="7"/>
        <v>1935-S Murcury Dime</v>
      </c>
      <c r="R17" s="330" t="str">
        <f>IFERROR(MATCH(Q17,CoinCollection!O:O,0),"")</f>
        <v/>
      </c>
      <c r="S17" s="330" t="str">
        <f t="shared" si="8"/>
        <v>1941 Murcury Dime</v>
      </c>
      <c r="T17" s="330">
        <f>IFERROR(MATCH(S17,CoinCollection!O:O,0),"")</f>
        <v>1671</v>
      </c>
      <c r="U17" s="330" t="str">
        <f t="shared" si="9"/>
        <v>1945-S Murcury Dime</v>
      </c>
      <c r="V17" s="330" t="str">
        <f>IFERROR(MATCH(U17,CoinCollection!O:O,0),"")</f>
        <v/>
      </c>
      <c r="W17" s="330" t="str">
        <v>1920-S</v>
      </c>
    </row>
    <row r="18" spans="1:23">
      <c r="A18" s="334" t="b">
        <f t="shared" si="0"/>
        <v>0</v>
      </c>
      <c r="B18" s="358" t="s">
        <v>2435</v>
      </c>
      <c r="C18" s="336" t="b">
        <f t="shared" si="1"/>
        <v>0</v>
      </c>
      <c r="D18" s="359" t="s">
        <v>2451</v>
      </c>
      <c r="E18" s="336" t="b">
        <f t="shared" si="2"/>
        <v>0</v>
      </c>
      <c r="F18" s="359" t="s">
        <v>2465</v>
      </c>
      <c r="G18" s="336" t="b">
        <f t="shared" si="3"/>
        <v>0</v>
      </c>
      <c r="H18" s="359" t="s">
        <v>838</v>
      </c>
      <c r="I18" s="336" t="b">
        <f t="shared" si="4"/>
        <v>0</v>
      </c>
      <c r="J18" s="366" t="s">
        <v>4956</v>
      </c>
      <c r="M18" t="str">
        <f t="shared" si="5"/>
        <v>1921 Murcury Dime</v>
      </c>
      <c r="N18" s="330" t="str">
        <f>IFERROR(MATCH(M18,CoinCollection!O:O,0),"")</f>
        <v/>
      </c>
      <c r="O18" s="330" t="str">
        <f t="shared" si="6"/>
        <v>1928 Murcury Dime</v>
      </c>
      <c r="P18" s="330" t="str">
        <f>IFERROR(MATCH(O18,CoinCollection!O:O,0),"")</f>
        <v/>
      </c>
      <c r="Q18" s="330" t="str">
        <f t="shared" si="7"/>
        <v>1936 Murcury Dime</v>
      </c>
      <c r="R18" s="330" t="str">
        <f>IFERROR(MATCH(Q18,CoinCollection!O:O,0),"")</f>
        <v/>
      </c>
      <c r="S18" s="330" t="str">
        <f t="shared" si="8"/>
        <v>1941-D Murcury Dime</v>
      </c>
      <c r="T18" s="330" t="str">
        <f>IFERROR(MATCH(S18,CoinCollection!O:O,0),"")</f>
        <v/>
      </c>
      <c r="U18" s="330" t="str">
        <f t="shared" si="9"/>
        <v>1945-S Micro S Murcury Dime</v>
      </c>
      <c r="V18" s="330" t="str">
        <f>IFERROR(MATCH(U18,CoinCollection!O:O,0),"")</f>
        <v/>
      </c>
      <c r="W18" s="330" t="str">
        <v>1921</v>
      </c>
    </row>
    <row r="19" spans="1:23">
      <c r="W19" s="330" t="str">
        <v>1921-D</v>
      </c>
    </row>
    <row r="20" spans="1:23">
      <c r="K20" s="330">
        <f>5*16</f>
        <v>80</v>
      </c>
      <c r="W20" s="330" t="str">
        <v>1923</v>
      </c>
    </row>
    <row r="21" spans="1:23">
      <c r="B21" s="348" t="s">
        <v>4668</v>
      </c>
      <c r="C21" s="349">
        <f>COUNTIF(A3:J18,"=False")</f>
        <v>77</v>
      </c>
      <c r="W21" s="330" t="str">
        <v>1923-S</v>
      </c>
    </row>
    <row r="22" spans="1:23">
      <c r="B22" s="348" t="s">
        <v>4669</v>
      </c>
      <c r="C22" s="349">
        <f>COUNTIF(A3:J18,"=True")</f>
        <v>3</v>
      </c>
      <c r="W22" s="330" t="str">
        <v>1924</v>
      </c>
    </row>
    <row r="23" spans="1:23">
      <c r="C23" s="330">
        <f>SUM(C21:C22)</f>
        <v>80</v>
      </c>
      <c r="W23" s="330" t="str">
        <v>1924-D</v>
      </c>
    </row>
    <row r="24" spans="1:23">
      <c r="W24" s="330" t="str">
        <v>1924-S</v>
      </c>
    </row>
    <row r="25" spans="1:23">
      <c r="W25" s="330" t="str">
        <v>1925</v>
      </c>
    </row>
    <row r="26" spans="1:23">
      <c r="W26" s="330" t="str">
        <v>1925-D</v>
      </c>
    </row>
    <row r="27" spans="1:23">
      <c r="W27" s="330" t="str">
        <v>1925-S</v>
      </c>
    </row>
    <row r="28" spans="1:23">
      <c r="W28" s="330" t="str">
        <v>1926</v>
      </c>
    </row>
    <row r="29" spans="1:23">
      <c r="W29" s="330" t="str">
        <v>1926-D</v>
      </c>
    </row>
    <row r="30" spans="1:23">
      <c r="W30" s="330" t="str">
        <v>1926-S</v>
      </c>
    </row>
    <row r="31" spans="1:23">
      <c r="W31" s="330" t="str">
        <v>1927</v>
      </c>
    </row>
    <row r="32" spans="1:23">
      <c r="W32" s="330" t="str">
        <v>1927-D</v>
      </c>
    </row>
    <row r="33" spans="23:23">
      <c r="W33" s="330" t="str">
        <v>1927-S</v>
      </c>
    </row>
    <row r="34" spans="23:23">
      <c r="W34" s="330" t="str">
        <v>1928</v>
      </c>
    </row>
    <row r="35" spans="23:23">
      <c r="W35" s="330" t="str">
        <v>1928-D</v>
      </c>
    </row>
    <row r="36" spans="23:23">
      <c r="W36" s="330" t="str">
        <v>1928-S</v>
      </c>
    </row>
    <row r="37" spans="23:23">
      <c r="W37" s="330" t="str">
        <v>1929</v>
      </c>
    </row>
    <row r="38" spans="23:23">
      <c r="W38" s="330" t="str">
        <v>1929-D</v>
      </c>
    </row>
    <row r="39" spans="23:23">
      <c r="W39" s="330" t="str">
        <v>1929-S</v>
      </c>
    </row>
    <row r="40" spans="23:23">
      <c r="W40" s="330" t="str">
        <v>1930</v>
      </c>
    </row>
    <row r="41" spans="23:23">
      <c r="W41" s="330" t="str">
        <v>1930-S</v>
      </c>
    </row>
    <row r="42" spans="23:23">
      <c r="W42" s="330" t="str">
        <v>1931</v>
      </c>
    </row>
    <row r="43" spans="23:23">
      <c r="W43" s="330" t="str">
        <v>1931-D</v>
      </c>
    </row>
    <row r="44" spans="23:23">
      <c r="W44" s="330" t="str">
        <v>1931-S</v>
      </c>
    </row>
    <row r="45" spans="23:23">
      <c r="W45" s="330" t="str">
        <v>1934</v>
      </c>
    </row>
    <row r="46" spans="23:23">
      <c r="W46" s="330" t="str">
        <v>1934-D</v>
      </c>
    </row>
    <row r="47" spans="23:23">
      <c r="W47" s="330" t="str">
        <v>1935</v>
      </c>
    </row>
    <row r="48" spans="23:23">
      <c r="W48" s="330" t="str">
        <v>1935-D</v>
      </c>
    </row>
    <row r="49" spans="23:23">
      <c r="W49" s="330" t="str">
        <v>1935-S</v>
      </c>
    </row>
    <row r="50" spans="23:23">
      <c r="W50" s="330" t="str">
        <v>1936</v>
      </c>
    </row>
    <row r="51" spans="23:23">
      <c r="W51" s="330" t="str">
        <v>1936-D</v>
      </c>
    </row>
    <row r="52" spans="23:23">
      <c r="W52" s="330" t="str">
        <v>1936-S</v>
      </c>
    </row>
    <row r="53" spans="23:23">
      <c r="W53" s="330" t="str">
        <v>1937</v>
      </c>
    </row>
    <row r="54" spans="23:23">
      <c r="W54" s="330" t="str">
        <v>1937-D</v>
      </c>
    </row>
    <row r="55" spans="23:23">
      <c r="W55" s="330" t="str">
        <v>1937-S</v>
      </c>
    </row>
    <row r="56" spans="23:23">
      <c r="W56" s="330" t="str">
        <v>1938</v>
      </c>
    </row>
    <row r="57" spans="23:23">
      <c r="W57" s="330" t="str">
        <v>1938-D</v>
      </c>
    </row>
    <row r="58" spans="23:23">
      <c r="W58" s="330" t="str">
        <v>1938-S</v>
      </c>
    </row>
    <row r="59" spans="23:23">
      <c r="W59" s="330" t="str">
        <v>1939-D</v>
      </c>
    </row>
    <row r="60" spans="23:23">
      <c r="W60" s="330" t="str">
        <v>1939-S</v>
      </c>
    </row>
    <row r="61" spans="23:23">
      <c r="W61" s="330" t="str">
        <v>1940</v>
      </c>
    </row>
    <row r="62" spans="23:23">
      <c r="W62" s="330" t="str">
        <v>1940-D</v>
      </c>
    </row>
    <row r="63" spans="23:23">
      <c r="W63" s="330" t="str">
        <v>1940-S</v>
      </c>
    </row>
    <row r="64" spans="23:23">
      <c r="W64" s="330" t="str">
        <v>1941-D</v>
      </c>
    </row>
    <row r="65" spans="23:23">
      <c r="W65" s="330" t="str">
        <v>1941-S</v>
      </c>
    </row>
    <row r="66" spans="23:23">
      <c r="W66" s="330" t="str">
        <v>1942 2 over 1</v>
      </c>
    </row>
    <row r="67" spans="23:23">
      <c r="W67" s="330" t="str">
        <v>1942-D 2 over 1</v>
      </c>
    </row>
    <row r="68" spans="23:23">
      <c r="W68" s="330" t="str">
        <v>1942-D</v>
      </c>
    </row>
    <row r="69" spans="23:23">
      <c r="W69" s="330" t="str">
        <v>1942-S</v>
      </c>
    </row>
    <row r="70" spans="23:23">
      <c r="W70" s="330" t="str">
        <v>1943</v>
      </c>
    </row>
    <row r="71" spans="23:23">
      <c r="W71" s="330" t="str">
        <v>1943-D</v>
      </c>
    </row>
    <row r="72" spans="23:23">
      <c r="W72" s="330" t="str">
        <v>1943-S</v>
      </c>
    </row>
    <row r="73" spans="23:23">
      <c r="W73" s="330" t="str">
        <v>1944</v>
      </c>
    </row>
    <row r="74" spans="23:23">
      <c r="W74" s="330" t="str">
        <v>1944-D</v>
      </c>
    </row>
    <row r="75" spans="23:23">
      <c r="W75" s="330" t="str">
        <v>1944-S</v>
      </c>
    </row>
    <row r="76" spans="23:23">
      <c r="W76" s="330" t="str">
        <v>1945</v>
      </c>
    </row>
    <row r="77" spans="23:23">
      <c r="W77" s="330" t="str">
        <v>1945-D</v>
      </c>
    </row>
    <row r="78" spans="23:23">
      <c r="W78" s="330" t="str">
        <v>1945-S</v>
      </c>
    </row>
    <row r="79" spans="23:23">
      <c r="W79" s="330" t="str">
        <v>1945-S Micro S</v>
      </c>
    </row>
    <row r="82" spans="23:23">
      <c r="W82" s="378">
        <f>COUNTA(_xlfn.ANCHORARRAY(W3))</f>
        <v>77</v>
      </c>
    </row>
  </sheetData>
  <pageMargins left="0.7" right="0.7" top="0.75" bottom="0.75" header="0.3" footer="0.3"/>
  <pageSetup scale="6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EA65-C5BB-419F-9757-0B67DD517718}">
  <sheetPr codeName="Sheet33"/>
  <dimension ref="A1:AI188"/>
  <sheetViews>
    <sheetView workbookViewId="0">
      <selection activeCell="C41" sqref="C41"/>
    </sheetView>
  </sheetViews>
  <sheetFormatPr defaultRowHeight="15"/>
  <cols>
    <col min="1" max="1" width="9.140625" style="330"/>
    <col min="2" max="2" width="14" style="339" bestFit="1" customWidth="1"/>
    <col min="3" max="3" width="5.5703125" style="330" bestFit="1" customWidth="1"/>
    <col min="4" max="4" width="12.28515625" style="330" bestFit="1" customWidth="1"/>
    <col min="5" max="5" width="5.5703125" style="330" bestFit="1" customWidth="1"/>
    <col min="6" max="6" width="21.5703125" style="330" bestFit="1" customWidth="1"/>
    <col min="7" max="7" width="5.5703125" style="330" bestFit="1" customWidth="1"/>
    <col min="8" max="8" width="31.5703125" style="330" bestFit="1" customWidth="1"/>
    <col min="9" max="9" width="5.5703125" style="330" bestFit="1" customWidth="1"/>
    <col min="10" max="10" width="17.7109375" style="330" bestFit="1" customWidth="1"/>
    <col min="11" max="11" width="5.5703125" style="330" bestFit="1" customWidth="1"/>
    <col min="12" max="12" width="17.7109375" style="330" bestFit="1" customWidth="1"/>
    <col min="13" max="13" width="10" style="330" customWidth="1"/>
    <col min="14" max="14" width="17.7109375" style="330" bestFit="1" customWidth="1"/>
    <col min="15" max="15" width="5.5703125" style="330" bestFit="1" customWidth="1"/>
    <col min="16" max="16" width="17.7109375" style="330" bestFit="1" customWidth="1"/>
    <col min="17" max="17" width="9.140625" style="330"/>
    <col min="18" max="18" width="21.140625" hidden="1" customWidth="1"/>
    <col min="19" max="19" width="5" style="330" hidden="1" customWidth="1"/>
    <col min="20" max="20" width="26.28515625" style="330" hidden="1" customWidth="1"/>
    <col min="21" max="21" width="5" style="330" hidden="1" customWidth="1"/>
    <col min="22" max="22" width="35" style="330" hidden="1" customWidth="1"/>
    <col min="23" max="23" width="5" style="330" hidden="1" customWidth="1"/>
    <col min="24" max="24" width="26.28515625" style="330" hidden="1" customWidth="1"/>
    <col min="25" max="25" width="9.85546875" style="330" hidden="1" customWidth="1"/>
    <col min="26" max="26" width="31.5703125" style="330" hidden="1" customWidth="1"/>
    <col min="27" max="27" width="9.140625" style="330" hidden="1" customWidth="1"/>
    <col min="28" max="28" width="31.5703125" style="330" hidden="1" customWidth="1"/>
    <col min="29" max="29" width="9.140625" style="330" hidden="1" customWidth="1"/>
    <col min="30" max="30" width="31.5703125" style="330" hidden="1" customWidth="1"/>
    <col min="31" max="31" width="9.140625" style="330" hidden="1" customWidth="1"/>
    <col min="32" max="32" width="31.5703125" style="330" hidden="1" customWidth="1"/>
    <col min="33" max="33" width="12.5703125" style="330" hidden="1" customWidth="1"/>
    <col min="34" max="34" width="4.28515625" style="330" customWidth="1"/>
    <col min="35" max="35" width="21.140625" style="330" bestFit="1" customWidth="1"/>
    <col min="36" max="16384" width="9.140625" style="330"/>
  </cols>
  <sheetData>
    <row r="1" spans="1:35">
      <c r="A1" s="253" t="s">
        <v>2236</v>
      </c>
    </row>
    <row r="2" spans="1:35">
      <c r="A2" s="383" t="s">
        <v>53</v>
      </c>
      <c r="B2" s="417" t="s">
        <v>3</v>
      </c>
      <c r="C2" s="332"/>
      <c r="D2" s="332" t="s">
        <v>4802</v>
      </c>
      <c r="E2" s="332"/>
      <c r="F2" s="332" t="s">
        <v>4804</v>
      </c>
      <c r="G2" s="332"/>
      <c r="H2" s="332" t="s">
        <v>4808</v>
      </c>
      <c r="I2" s="332"/>
      <c r="J2" s="332" t="s">
        <v>4809</v>
      </c>
      <c r="K2" s="332"/>
      <c r="L2" s="332" t="s">
        <v>4812</v>
      </c>
      <c r="M2" s="332" t="s">
        <v>4810</v>
      </c>
      <c r="N2" s="382" t="s">
        <v>4811</v>
      </c>
      <c r="O2" s="382"/>
      <c r="P2" s="333" t="s">
        <v>4855</v>
      </c>
    </row>
    <row r="3" spans="1:35">
      <c r="A3" s="532" t="s">
        <v>53</v>
      </c>
      <c r="B3" s="418" t="s">
        <v>4831</v>
      </c>
      <c r="C3" s="354" t="b">
        <f>IF(U3&lt;&gt;"",TRUE,FALSE)</f>
        <v>0</v>
      </c>
      <c r="D3" s="396" t="s">
        <v>872</v>
      </c>
      <c r="E3" s="336" t="b">
        <f>IF(W3&lt;&gt;"",TRUE,FALSE)</f>
        <v>0</v>
      </c>
      <c r="F3" s="337" t="s">
        <v>2502</v>
      </c>
      <c r="G3" s="336" t="b">
        <f>IF(Y3&lt;&gt;"",TRUE,FALSE)</f>
        <v>1</v>
      </c>
      <c r="H3" s="396" t="s">
        <v>902</v>
      </c>
      <c r="I3" s="336" t="b">
        <f>IF(AA3&lt;&gt;"",TRUE,FALSE)</f>
        <v>0</v>
      </c>
      <c r="J3" s="337" t="s">
        <v>5105</v>
      </c>
      <c r="K3" s="336" t="b">
        <f>IF(AC3&lt;&gt;"",TRUE,FALSE)</f>
        <v>0</v>
      </c>
      <c r="L3" s="337" t="s">
        <v>5114</v>
      </c>
      <c r="M3" s="336" t="b">
        <f>IF(AE3&lt;&gt;"",TRUE,FALSE)</f>
        <v>1</v>
      </c>
      <c r="N3" s="337" t="s">
        <v>959</v>
      </c>
      <c r="O3" s="336" t="b">
        <f>IF(AG3&lt;&gt;"",TRUE,FALSE)</f>
        <v>0</v>
      </c>
      <c r="P3" s="345" t="s">
        <v>976</v>
      </c>
      <c r="T3" s="330" t="str">
        <f>D3&amp;" "&amp;$A$1</f>
        <v>1957-D Roosevelt Dime</v>
      </c>
      <c r="U3" s="330" t="str">
        <f>IFERROR(MATCH(T3,CoinCollection!O:O,0),"")</f>
        <v/>
      </c>
      <c r="V3" s="330" t="str">
        <f t="shared" ref="V3:V36" si="0">F3&amp;" "&amp;$A$1</f>
        <v>1973 Roosevelt Dime</v>
      </c>
      <c r="W3" s="330" t="str">
        <f>IFERROR(MATCH(V3,CoinCollection!O:O,0),"")</f>
        <v/>
      </c>
      <c r="X3" s="330" t="str">
        <f>H3&amp;" "&amp;$A$1</f>
        <v>1983-D Roosevelt Dime</v>
      </c>
      <c r="Y3" s="330">
        <f>IFERROR(MATCH(X3,CoinCollection!O:O,0),"")</f>
        <v>1703</v>
      </c>
      <c r="Z3" s="330" t="str">
        <f>J3&amp;" " &amp;$A$1</f>
        <v>1993-S Silver Proof Roosevelt Dime</v>
      </c>
      <c r="AA3" s="330" t="str">
        <f>IFERROR(MATCH(Z3,CoinCollection!O:O,0),"")</f>
        <v/>
      </c>
      <c r="AB3" s="330" t="str">
        <f>L3&amp;" "&amp;$A$1</f>
        <v>2001-S Silver Proof Roosevelt Dime</v>
      </c>
      <c r="AC3" s="330" t="str">
        <f>IFERROR(MATCH(AB3,CoinCollection!O:O,0),"")</f>
        <v/>
      </c>
      <c r="AD3" s="330" t="str">
        <f>N3&amp;" "&amp;$A$1</f>
        <v>2010-P Roosevelt Dime</v>
      </c>
      <c r="AE3" s="330">
        <f>IFERROR(MATCH(AD3,CoinCollection!O:O,0),"")</f>
        <v>1782</v>
      </c>
      <c r="AF3" s="330" t="str">
        <f>P3&amp;" "&amp;$A$1</f>
        <v>2018-D Roosevelt Dime</v>
      </c>
      <c r="AG3" s="330" t="str">
        <f>IFERROR(MATCH(AF3,CoinCollection!O:O,0),"")</f>
        <v/>
      </c>
      <c r="AI3" s="330" t="str" cm="1">
        <f t="array" ref="AI3:AI162">_xlfn.LET(_xlpm.stacked_data,_xlfn.VSTACK(A3:B36,C3:D36,E3:F35,G3:H35,I3:J35,K3:L35,M3:N35,P3:P35),
_xlfn._xlws.FILTER(_xlfn.CHOOSECOLS(_xlpm.stacked_data,2),_xlfn.CHOOSECOLS(_xlpm.stacked_data,1)=FALSE)
)</f>
        <v>1946-S</v>
      </c>
    </row>
    <row r="4" spans="1:35">
      <c r="A4" s="334" t="b">
        <f>IF(S4&lt;&gt;"",TRUE,FALSE)</f>
        <v>1</v>
      </c>
      <c r="B4" s="394" t="s">
        <v>992</v>
      </c>
      <c r="C4" s="354" t="b">
        <f t="shared" ref="C4:C36" si="1">IF(U4&lt;&gt;"",TRUE,FALSE)</f>
        <v>0</v>
      </c>
      <c r="D4" s="342" t="s">
        <v>2488</v>
      </c>
      <c r="E4" s="336" t="b">
        <f t="shared" ref="E4:E35" si="2">IF(W4&lt;&gt;"",TRUE,FALSE)</f>
        <v>0</v>
      </c>
      <c r="F4" s="342" t="s">
        <v>888</v>
      </c>
      <c r="G4" s="336" t="b">
        <f t="shared" ref="G4:G35" si="3">IF(Y4&lt;&gt;"",TRUE,FALSE)</f>
        <v>0</v>
      </c>
      <c r="H4" s="342" t="s">
        <v>2520</v>
      </c>
      <c r="I4" s="336" t="b">
        <f t="shared" ref="I4:I35" si="4">IF(AA4&lt;&gt;"",TRUE,FALSE)</f>
        <v>1</v>
      </c>
      <c r="J4" s="342" t="s">
        <v>923</v>
      </c>
      <c r="K4" s="336" t="b">
        <f t="shared" ref="K4:K35" si="5">IF(AC4&lt;&gt;"",TRUE,FALSE)</f>
        <v>1</v>
      </c>
      <c r="L4" s="342" t="s">
        <v>939</v>
      </c>
      <c r="M4" s="336" t="b">
        <f t="shared" ref="M4:M35" si="6">IF(AE4&lt;&gt;"",TRUE,FALSE)</f>
        <v>0</v>
      </c>
      <c r="N4" s="342" t="s">
        <v>960</v>
      </c>
      <c r="O4" s="336" t="b">
        <f t="shared" ref="O4:O34" si="7">IF(AG4&lt;&gt;"",TRUE,FALSE)</f>
        <v>0</v>
      </c>
      <c r="P4" s="344" t="s">
        <v>2561</v>
      </c>
      <c r="R4" t="str">
        <f t="shared" ref="R4:R36" si="8">B4&amp;" "&amp;$A$1</f>
        <v>1946 Roosevelt Dime</v>
      </c>
      <c r="S4" s="330">
        <f>IFERROR(MATCH(R4,CoinCollection!O:O,0),"")</f>
        <v>1674</v>
      </c>
      <c r="T4" s="330" t="str">
        <f t="shared" ref="T4:T36" si="9">D4&amp;" "&amp;$A$1</f>
        <v>1958 Roosevelt Dime</v>
      </c>
      <c r="U4" s="330" t="str">
        <f>IFERROR(MATCH(T4,CoinCollection!O:O,0),"")</f>
        <v/>
      </c>
      <c r="V4" s="330" t="str">
        <f t="shared" si="0"/>
        <v>1973-D Roosevelt Dime</v>
      </c>
      <c r="W4" s="330" t="str">
        <f>IFERROR(MATCH(V4,CoinCollection!O:O,0),"")</f>
        <v/>
      </c>
      <c r="X4" s="330" t="str">
        <f t="shared" ref="X4:X36" si="10">H4&amp;" "&amp;$A$1</f>
        <v>1983-S Proof Roosevelt Dime</v>
      </c>
      <c r="Y4" s="330" t="str">
        <f>IFERROR(MATCH(X4,CoinCollection!O:O,0),"")</f>
        <v/>
      </c>
      <c r="Z4" s="330" t="str">
        <f t="shared" ref="Z4:Z36" si="11">J4&amp;" " &amp;$A$1</f>
        <v>1994-P Roosevelt Dime</v>
      </c>
      <c r="AA4" s="330">
        <f>IFERROR(MATCH(Z4,CoinCollection!O:O,0),"")</f>
        <v>1734</v>
      </c>
      <c r="AB4" s="330" t="str">
        <f t="shared" ref="AB4:AB36" si="12">L4&amp;" "&amp;$A$1</f>
        <v>2002-P Roosevelt Dime</v>
      </c>
      <c r="AC4" s="330">
        <f>IFERROR(MATCH(AB4,CoinCollection!O:O,0),"")</f>
        <v>1763</v>
      </c>
      <c r="AD4" s="330" t="str">
        <f t="shared" ref="AD4:AD36" si="13">N4&amp;" "&amp;$A$1</f>
        <v>2010-D Roosevelt Dime</v>
      </c>
      <c r="AE4" s="330" t="str">
        <f>IFERROR(MATCH(AD4,CoinCollection!O:O,0),"")</f>
        <v/>
      </c>
      <c r="AF4" s="330" t="str">
        <f t="shared" ref="AF4:AF36" si="14">P4&amp;" "&amp;$A$1</f>
        <v>2018-S Proof Roosevelt Dime</v>
      </c>
      <c r="AG4" s="330" t="str">
        <f>IFERROR(MATCH(AF4,CoinCollection!O:O,0),"")</f>
        <v/>
      </c>
      <c r="AI4" s="330" t="str">
        <v>1947</v>
      </c>
    </row>
    <row r="5" spans="1:35">
      <c r="A5" s="334" t="b">
        <f t="shared" ref="A5:A36" si="15">IF(S5&lt;&gt;"",TRUE,FALSE)</f>
        <v>1</v>
      </c>
      <c r="B5" s="420" t="s">
        <v>853</v>
      </c>
      <c r="C5" s="354" t="b">
        <f t="shared" si="1"/>
        <v>0</v>
      </c>
      <c r="D5" s="337" t="s">
        <v>873</v>
      </c>
      <c r="E5" s="336" t="b">
        <f t="shared" si="2"/>
        <v>0</v>
      </c>
      <c r="F5" s="337" t="s">
        <v>2503</v>
      </c>
      <c r="G5" s="336" t="b">
        <f t="shared" si="3"/>
        <v>1</v>
      </c>
      <c r="H5" s="337" t="s">
        <v>903</v>
      </c>
      <c r="I5" s="336" t="b">
        <f t="shared" si="4"/>
        <v>1</v>
      </c>
      <c r="J5" s="337" t="s">
        <v>924</v>
      </c>
      <c r="K5" s="336" t="b">
        <f t="shared" si="5"/>
        <v>1</v>
      </c>
      <c r="L5" s="337" t="s">
        <v>940</v>
      </c>
      <c r="M5" s="336" t="b">
        <f t="shared" si="6"/>
        <v>0</v>
      </c>
      <c r="N5" s="337" t="s">
        <v>2553</v>
      </c>
      <c r="O5" s="336" t="b">
        <f t="shared" si="7"/>
        <v>0</v>
      </c>
      <c r="P5" s="345" t="s">
        <v>5131</v>
      </c>
      <c r="R5" t="str">
        <f t="shared" si="8"/>
        <v>1946-D Roosevelt Dime</v>
      </c>
      <c r="S5" s="330">
        <f>IFERROR(MATCH(R5,CoinCollection!O:O,0),"")</f>
        <v>1673</v>
      </c>
      <c r="T5" s="330" t="str">
        <f t="shared" si="9"/>
        <v>1958-D Roosevelt Dime</v>
      </c>
      <c r="U5" s="330" t="str">
        <f>IFERROR(MATCH(T5,CoinCollection!O:O,0),"")</f>
        <v/>
      </c>
      <c r="V5" s="330" t="str">
        <f t="shared" si="0"/>
        <v>1973-S Proof Roosevelt Dime</v>
      </c>
      <c r="W5" s="330" t="str">
        <f>IFERROR(MATCH(V5,CoinCollection!O:O,0),"")</f>
        <v/>
      </c>
      <c r="X5" s="330" t="str">
        <f t="shared" si="10"/>
        <v>1984-P Roosevelt Dime</v>
      </c>
      <c r="Y5" s="330">
        <f>IFERROR(MATCH(X5,CoinCollection!O:O,0),"")</f>
        <v>1706</v>
      </c>
      <c r="Z5" s="330" t="str">
        <f t="shared" si="11"/>
        <v>1994-D Roosevelt Dime</v>
      </c>
      <c r="AA5" s="330">
        <f>IFERROR(MATCH(Z5,CoinCollection!O:O,0),"")</f>
        <v>1732</v>
      </c>
      <c r="AB5" s="330" t="str">
        <f t="shared" si="12"/>
        <v>2002-D Roosevelt Dime</v>
      </c>
      <c r="AC5" s="330">
        <f>IFERROR(MATCH(AB5,CoinCollection!O:O,0),"")</f>
        <v>1762</v>
      </c>
      <c r="AD5" s="330" t="str">
        <f t="shared" si="13"/>
        <v>2010-S Proof Roosevelt Dime</v>
      </c>
      <c r="AE5" s="330" t="str">
        <f>IFERROR(MATCH(AD5,CoinCollection!O:O,0),"")</f>
        <v/>
      </c>
      <c r="AF5" s="330" t="str">
        <f t="shared" si="14"/>
        <v>2018-S Silver Proof Roosevelt Dime</v>
      </c>
      <c r="AG5" s="330" t="str">
        <f>IFERROR(MATCH(AF5,CoinCollection!O:O,0),"")</f>
        <v/>
      </c>
      <c r="AI5" s="330" t="str">
        <v>1947-D</v>
      </c>
    </row>
    <row r="6" spans="1:35">
      <c r="A6" s="334" t="b">
        <f t="shared" si="15"/>
        <v>0</v>
      </c>
      <c r="B6" s="421" t="s">
        <v>854</v>
      </c>
      <c r="C6" s="354" t="b">
        <f t="shared" si="1"/>
        <v>0</v>
      </c>
      <c r="D6" s="342" t="s">
        <v>2489</v>
      </c>
      <c r="E6" s="336" t="b">
        <f t="shared" si="2"/>
        <v>1</v>
      </c>
      <c r="F6" s="342" t="s">
        <v>2504</v>
      </c>
      <c r="G6" s="336" t="b">
        <f t="shared" si="3"/>
        <v>0</v>
      </c>
      <c r="H6" s="342" t="s">
        <v>904</v>
      </c>
      <c r="I6" s="336" t="b">
        <f t="shared" si="4"/>
        <v>0</v>
      </c>
      <c r="J6" s="342" t="s">
        <v>2534</v>
      </c>
      <c r="K6" s="336" t="b">
        <f t="shared" si="5"/>
        <v>0</v>
      </c>
      <c r="L6" s="342" t="s">
        <v>2545</v>
      </c>
      <c r="M6" s="336" t="b">
        <f t="shared" si="6"/>
        <v>0</v>
      </c>
      <c r="N6" s="342" t="s">
        <v>5123</v>
      </c>
      <c r="O6" s="336" t="b">
        <f t="shared" si="7"/>
        <v>1</v>
      </c>
      <c r="P6" s="344" t="s">
        <v>977</v>
      </c>
      <c r="R6" t="str">
        <f t="shared" si="8"/>
        <v>1946-S Roosevelt Dime</v>
      </c>
      <c r="S6" s="330" t="str">
        <f>IFERROR(MATCH(R6,CoinCollection!O:O,0),"")</f>
        <v/>
      </c>
      <c r="T6" s="330" t="str">
        <f t="shared" si="9"/>
        <v>1959 Roosevelt Dime</v>
      </c>
      <c r="U6" s="330" t="str">
        <f>IFERROR(MATCH(T6,CoinCollection!O:O,0),"")</f>
        <v/>
      </c>
      <c r="V6" s="330" t="str">
        <f t="shared" si="0"/>
        <v>1974 Roosevelt Dime</v>
      </c>
      <c r="W6" s="330">
        <f>IFERROR(MATCH(V6,CoinCollection!O:O,0),"")</f>
        <v>1693</v>
      </c>
      <c r="X6" s="330" t="str">
        <f t="shared" si="10"/>
        <v>1984-D Roosevelt Dime</v>
      </c>
      <c r="Y6" s="330" t="str">
        <f>IFERROR(MATCH(X6,CoinCollection!O:O,0),"")</f>
        <v/>
      </c>
      <c r="Z6" s="330" t="str">
        <f t="shared" si="11"/>
        <v>1994-S Proof Roosevelt Dime</v>
      </c>
      <c r="AA6" s="330" t="str">
        <f>IFERROR(MATCH(Z6,CoinCollection!O:O,0),"")</f>
        <v/>
      </c>
      <c r="AB6" s="330" t="str">
        <f t="shared" si="12"/>
        <v>2002-S Proof Roosevelt Dime</v>
      </c>
      <c r="AC6" s="330" t="str">
        <f>IFERROR(MATCH(AB6,CoinCollection!O:O,0),"")</f>
        <v/>
      </c>
      <c r="AD6" s="330" t="str">
        <f t="shared" si="13"/>
        <v>2010-S Silver Proof Roosevelt Dime</v>
      </c>
      <c r="AE6" s="330" t="str">
        <f>IFERROR(MATCH(AD6,CoinCollection!O:O,0),"")</f>
        <v/>
      </c>
      <c r="AF6" s="330" t="str">
        <f t="shared" si="14"/>
        <v>2019-P Roosevelt Dime</v>
      </c>
      <c r="AG6" s="330">
        <f>IFERROR(MATCH(AF6,CoinCollection!O:O,0),"")</f>
        <v>1828</v>
      </c>
      <c r="AI6" s="330" t="str">
        <v>1947-S</v>
      </c>
    </row>
    <row r="7" spans="1:35">
      <c r="A7" s="334" t="b">
        <f t="shared" si="15"/>
        <v>0</v>
      </c>
      <c r="B7" s="365" t="s">
        <v>2477</v>
      </c>
      <c r="C7" s="354" t="b">
        <f t="shared" si="1"/>
        <v>0</v>
      </c>
      <c r="D7" s="337" t="s">
        <v>874</v>
      </c>
      <c r="E7" s="336" t="b">
        <f t="shared" si="2"/>
        <v>0</v>
      </c>
      <c r="F7" s="337" t="s">
        <v>889</v>
      </c>
      <c r="G7" s="336" t="b">
        <f t="shared" si="3"/>
        <v>0</v>
      </c>
      <c r="H7" s="337" t="s">
        <v>2521</v>
      </c>
      <c r="I7" s="336" t="b">
        <f t="shared" si="4"/>
        <v>0</v>
      </c>
      <c r="J7" s="337" t="s">
        <v>5106</v>
      </c>
      <c r="K7" s="336" t="b">
        <f t="shared" si="5"/>
        <v>0</v>
      </c>
      <c r="L7" s="337" t="s">
        <v>5115</v>
      </c>
      <c r="M7" s="336" t="b">
        <f t="shared" si="6"/>
        <v>1</v>
      </c>
      <c r="N7" s="337" t="s">
        <v>961</v>
      </c>
      <c r="O7" s="336" t="b">
        <f t="shared" si="7"/>
        <v>0</v>
      </c>
      <c r="P7" s="345" t="s">
        <v>978</v>
      </c>
      <c r="R7" t="str">
        <f t="shared" si="8"/>
        <v>1947 Roosevelt Dime</v>
      </c>
      <c r="S7" s="330" t="str">
        <f>IFERROR(MATCH(R7,CoinCollection!O:O,0),"")</f>
        <v/>
      </c>
      <c r="T7" s="330" t="str">
        <f t="shared" si="9"/>
        <v>1959-D Roosevelt Dime</v>
      </c>
      <c r="U7" s="330" t="str">
        <f>IFERROR(MATCH(T7,CoinCollection!O:O,0),"")</f>
        <v/>
      </c>
      <c r="V7" s="330" t="str">
        <f t="shared" si="0"/>
        <v>1974-D Roosevelt Dime</v>
      </c>
      <c r="W7" s="330" t="str">
        <f>IFERROR(MATCH(V7,CoinCollection!O:O,0),"")</f>
        <v/>
      </c>
      <c r="X7" s="330" t="str">
        <f t="shared" si="10"/>
        <v>1984-S Proof Roosevelt Dime</v>
      </c>
      <c r="Y7" s="330" t="str">
        <f>IFERROR(MATCH(X7,CoinCollection!O:O,0),"")</f>
        <v/>
      </c>
      <c r="Z7" s="330" t="str">
        <f t="shared" si="11"/>
        <v>1994-S Silver Proof Roosevelt Dime</v>
      </c>
      <c r="AA7" s="330" t="str">
        <f>IFERROR(MATCH(Z7,CoinCollection!O:O,0),"")</f>
        <v/>
      </c>
      <c r="AB7" s="330" t="str">
        <f t="shared" si="12"/>
        <v>2002-S Silver Proof Roosevelt Dime</v>
      </c>
      <c r="AC7" s="330" t="str">
        <f>IFERROR(MATCH(AB7,CoinCollection!O:O,0),"")</f>
        <v/>
      </c>
      <c r="AD7" s="330" t="str">
        <f t="shared" si="13"/>
        <v>2011-P Roosevelt Dime</v>
      </c>
      <c r="AE7" s="330">
        <f>IFERROR(MATCH(AD7,CoinCollection!O:O,0),"")</f>
        <v>1786</v>
      </c>
      <c r="AF7" s="330" t="str">
        <f t="shared" si="14"/>
        <v>2019-D Roosevelt Dime</v>
      </c>
      <c r="AG7" s="330" t="str">
        <f>IFERROR(MATCH(AF7,CoinCollection!O:O,0),"")</f>
        <v/>
      </c>
      <c r="AI7" s="330" t="str">
        <v>1948</v>
      </c>
    </row>
    <row r="8" spans="1:35">
      <c r="A8" s="334" t="b">
        <f t="shared" si="15"/>
        <v>0</v>
      </c>
      <c r="B8" s="421" t="s">
        <v>855</v>
      </c>
      <c r="C8" s="354" t="b">
        <f t="shared" si="1"/>
        <v>1</v>
      </c>
      <c r="D8" s="342" t="s">
        <v>2490</v>
      </c>
      <c r="E8" s="336" t="b">
        <f t="shared" si="2"/>
        <v>0</v>
      </c>
      <c r="F8" s="342" t="s">
        <v>2505</v>
      </c>
      <c r="G8" s="336" t="b">
        <f t="shared" si="3"/>
        <v>1</v>
      </c>
      <c r="H8" s="342" t="s">
        <v>905</v>
      </c>
      <c r="I8" s="336" t="b">
        <f t="shared" si="4"/>
        <v>1</v>
      </c>
      <c r="J8" s="342" t="s">
        <v>925</v>
      </c>
      <c r="K8" s="336" t="b">
        <f t="shared" si="5"/>
        <v>1</v>
      </c>
      <c r="L8" s="342" t="s">
        <v>941</v>
      </c>
      <c r="M8" s="336" t="b">
        <f t="shared" si="6"/>
        <v>1</v>
      </c>
      <c r="N8" s="342" t="s">
        <v>962</v>
      </c>
      <c r="O8" s="336" t="b">
        <f t="shared" si="7"/>
        <v>0</v>
      </c>
      <c r="P8" s="344" t="s">
        <v>2562</v>
      </c>
      <c r="R8" t="str">
        <f t="shared" si="8"/>
        <v>1947-D Roosevelt Dime</v>
      </c>
      <c r="S8" s="330" t="str">
        <f>IFERROR(MATCH(R8,CoinCollection!O:O,0),"")</f>
        <v/>
      </c>
      <c r="T8" s="330" t="str">
        <f t="shared" si="9"/>
        <v>1960 Roosevelt Dime</v>
      </c>
      <c r="U8" s="330">
        <f>IFERROR(MATCH(T8,CoinCollection!O:O,0),"")</f>
        <v>1678</v>
      </c>
      <c r="V8" s="330" t="str">
        <f t="shared" si="0"/>
        <v>1974-S Proof Roosevelt Dime</v>
      </c>
      <c r="W8" s="330" t="str">
        <f>IFERROR(MATCH(V8,CoinCollection!O:O,0),"")</f>
        <v/>
      </c>
      <c r="X8" s="330" t="str">
        <f t="shared" si="10"/>
        <v>1985-P Roosevelt Dime</v>
      </c>
      <c r="Y8" s="330">
        <f>IFERROR(MATCH(X8,CoinCollection!O:O,0),"")</f>
        <v>1707</v>
      </c>
      <c r="Z8" s="330" t="str">
        <f t="shared" si="11"/>
        <v>1995-P Roosevelt Dime</v>
      </c>
      <c r="AA8" s="330">
        <f>IFERROR(MATCH(Z8,CoinCollection!O:O,0),"")</f>
        <v>1737</v>
      </c>
      <c r="AB8" s="330" t="str">
        <f t="shared" si="12"/>
        <v>2003-P Roosevelt Dime</v>
      </c>
      <c r="AC8" s="330">
        <f>IFERROR(MATCH(AB8,CoinCollection!O:O,0),"")</f>
        <v>1765</v>
      </c>
      <c r="AD8" s="330" t="str">
        <f t="shared" si="13"/>
        <v>2011-D Roosevelt Dime</v>
      </c>
      <c r="AE8" s="330">
        <f>IFERROR(MATCH(AD8,CoinCollection!O:O,0),"")</f>
        <v>1791</v>
      </c>
      <c r="AF8" s="330" t="str">
        <f t="shared" si="14"/>
        <v>2019-S Proof Roosevelt Dime</v>
      </c>
      <c r="AG8" s="330" t="str">
        <f>IFERROR(MATCH(AF8,CoinCollection!O:O,0),"")</f>
        <v/>
      </c>
      <c r="AI8" s="330" t="str">
        <v>1948-D</v>
      </c>
    </row>
    <row r="9" spans="1:35">
      <c r="A9" s="334" t="b">
        <f t="shared" si="15"/>
        <v>0</v>
      </c>
      <c r="B9" s="420" t="s">
        <v>856</v>
      </c>
      <c r="C9" s="354" t="b">
        <f t="shared" si="1"/>
        <v>0</v>
      </c>
      <c r="D9" s="337" t="s">
        <v>875</v>
      </c>
      <c r="E9" s="336" t="b">
        <f t="shared" si="2"/>
        <v>1</v>
      </c>
      <c r="F9" s="337" t="s">
        <v>2506</v>
      </c>
      <c r="G9" s="336" t="b">
        <f t="shared" si="3"/>
        <v>1</v>
      </c>
      <c r="H9" s="337" t="s">
        <v>906</v>
      </c>
      <c r="I9" s="336" t="b">
        <f t="shared" si="4"/>
        <v>0</v>
      </c>
      <c r="J9" s="337" t="s">
        <v>926</v>
      </c>
      <c r="K9" s="336" t="b">
        <f t="shared" si="5"/>
        <v>0</v>
      </c>
      <c r="L9" s="337" t="s">
        <v>942</v>
      </c>
      <c r="M9" s="336" t="b">
        <f t="shared" si="6"/>
        <v>0</v>
      </c>
      <c r="N9" s="337" t="s">
        <v>2554</v>
      </c>
      <c r="O9" s="336" t="b">
        <f t="shared" si="7"/>
        <v>0</v>
      </c>
      <c r="P9" s="345" t="s">
        <v>5132</v>
      </c>
      <c r="R9" t="str">
        <f t="shared" si="8"/>
        <v>1947-S Roosevelt Dime</v>
      </c>
      <c r="S9" s="330" t="str">
        <f>IFERROR(MATCH(R9,CoinCollection!O:O,0),"")</f>
        <v/>
      </c>
      <c r="T9" s="330" t="str">
        <f t="shared" si="9"/>
        <v>1960-D Roosevelt Dime</v>
      </c>
      <c r="U9" s="330" t="str">
        <f>IFERROR(MATCH(T9,CoinCollection!O:O,0),"")</f>
        <v/>
      </c>
      <c r="V9" s="330" t="str">
        <f t="shared" si="0"/>
        <v>1975 Roosevelt Dime</v>
      </c>
      <c r="W9" s="330">
        <f>IFERROR(MATCH(V9,CoinCollection!O:O,0),"")</f>
        <v>1694</v>
      </c>
      <c r="X9" s="330" t="str">
        <f t="shared" si="10"/>
        <v>1985-D Roosevelt Dime</v>
      </c>
      <c r="Y9" s="330">
        <f>IFERROR(MATCH(X9,CoinCollection!O:O,0),"")</f>
        <v>1708</v>
      </c>
      <c r="Z9" s="330" t="str">
        <f t="shared" si="11"/>
        <v>1995-D Roosevelt Dime</v>
      </c>
      <c r="AA9" s="330" t="str">
        <f>IFERROR(MATCH(Z9,CoinCollection!O:O,0),"")</f>
        <v/>
      </c>
      <c r="AB9" s="330" t="str">
        <f t="shared" si="12"/>
        <v>2003-D Roosevelt Dime</v>
      </c>
      <c r="AC9" s="330" t="str">
        <f>IFERROR(MATCH(AB9,CoinCollection!O:O,0),"")</f>
        <v/>
      </c>
      <c r="AD9" s="330" t="str">
        <f t="shared" si="13"/>
        <v>2011-S Proof Roosevelt Dime</v>
      </c>
      <c r="AE9" s="330" t="str">
        <f>IFERROR(MATCH(AD9,CoinCollection!O:O,0),"")</f>
        <v/>
      </c>
      <c r="AF9" s="330" t="str">
        <f t="shared" si="14"/>
        <v>2019-S Silver Proof Roosevelt Dime</v>
      </c>
      <c r="AG9" s="330" t="str">
        <f>IFERROR(MATCH(AF9,CoinCollection!O:O,0),"")</f>
        <v/>
      </c>
      <c r="AI9" s="330" t="str">
        <v>1948-S</v>
      </c>
    </row>
    <row r="10" spans="1:35">
      <c r="A10" s="334" t="b">
        <f t="shared" si="15"/>
        <v>0</v>
      </c>
      <c r="B10" s="394" t="s">
        <v>2478</v>
      </c>
      <c r="C10" s="354" t="b">
        <f t="shared" si="1"/>
        <v>0</v>
      </c>
      <c r="D10" s="342" t="s">
        <v>2491</v>
      </c>
      <c r="E10" s="336" t="b">
        <f t="shared" si="2"/>
        <v>0</v>
      </c>
      <c r="F10" s="342" t="s">
        <v>890</v>
      </c>
      <c r="G10" s="336" t="b">
        <f t="shared" si="3"/>
        <v>0</v>
      </c>
      <c r="H10" s="342" t="s">
        <v>2522</v>
      </c>
      <c r="I10" s="336" t="b">
        <f t="shared" si="4"/>
        <v>0</v>
      </c>
      <c r="J10" s="342" t="s">
        <v>2537</v>
      </c>
      <c r="K10" s="336" t="b">
        <f t="shared" si="5"/>
        <v>0</v>
      </c>
      <c r="L10" s="342" t="s">
        <v>2546</v>
      </c>
      <c r="M10" s="336" t="b">
        <f t="shared" si="6"/>
        <v>0</v>
      </c>
      <c r="N10" s="342" t="s">
        <v>5124</v>
      </c>
      <c r="O10" s="336" t="b">
        <f t="shared" si="7"/>
        <v>1</v>
      </c>
      <c r="P10" s="344" t="s">
        <v>979</v>
      </c>
      <c r="R10" t="str">
        <f t="shared" si="8"/>
        <v>1948 Roosevelt Dime</v>
      </c>
      <c r="S10" s="330" t="str">
        <f>IFERROR(MATCH(R10,CoinCollection!O:O,0),"")</f>
        <v/>
      </c>
      <c r="T10" s="330" t="str">
        <f t="shared" si="9"/>
        <v>1961 Roosevelt Dime</v>
      </c>
      <c r="U10" s="330" t="str">
        <f>IFERROR(MATCH(T10,CoinCollection!O:O,0),"")</f>
        <v/>
      </c>
      <c r="V10" s="330" t="str">
        <f t="shared" si="0"/>
        <v>1975-D Roosevelt Dime</v>
      </c>
      <c r="W10" s="330" t="str">
        <f>IFERROR(MATCH(V10,CoinCollection!O:O,0),"")</f>
        <v/>
      </c>
      <c r="X10" s="330" t="str">
        <f t="shared" si="10"/>
        <v>1985-S Proof Roosevelt Dime</v>
      </c>
      <c r="Y10" s="330" t="str">
        <f>IFERROR(MATCH(X10,CoinCollection!O:O,0),"")</f>
        <v/>
      </c>
      <c r="Z10" s="330" t="str">
        <f t="shared" si="11"/>
        <v>1995-S Proof Roosevelt Dime</v>
      </c>
      <c r="AA10" s="330" t="str">
        <f>IFERROR(MATCH(Z10,CoinCollection!O:O,0),"")</f>
        <v/>
      </c>
      <c r="AB10" s="330" t="str">
        <f t="shared" si="12"/>
        <v>2003-S Proof Roosevelt Dime</v>
      </c>
      <c r="AC10" s="330" t="str">
        <f>IFERROR(MATCH(AB10,CoinCollection!O:O,0),"")</f>
        <v/>
      </c>
      <c r="AD10" s="330" t="str">
        <f t="shared" si="13"/>
        <v>2011-S Silver Proof Roosevelt Dime</v>
      </c>
      <c r="AE10" s="330" t="str">
        <f>IFERROR(MATCH(AD10,CoinCollection!O:O,0),"")</f>
        <v/>
      </c>
      <c r="AF10" s="330" t="str">
        <f t="shared" si="14"/>
        <v>2020-P Roosevelt Dime</v>
      </c>
      <c r="AG10" s="330">
        <f>IFERROR(MATCH(AF10,CoinCollection!O:O,0),"")</f>
        <v>1831</v>
      </c>
      <c r="AI10" s="330" t="str">
        <v>1949</v>
      </c>
    </row>
    <row r="11" spans="1:35">
      <c r="A11" s="334" t="b">
        <f t="shared" si="15"/>
        <v>0</v>
      </c>
      <c r="B11" s="365" t="s">
        <v>857</v>
      </c>
      <c r="C11" s="354" t="b">
        <f t="shared" si="1"/>
        <v>0</v>
      </c>
      <c r="D11" s="337" t="s">
        <v>876</v>
      </c>
      <c r="E11" s="336" t="b">
        <f t="shared" si="2"/>
        <v>0</v>
      </c>
      <c r="F11" s="337" t="s">
        <v>2507</v>
      </c>
      <c r="G11" s="336" t="b">
        <f t="shared" si="3"/>
        <v>1</v>
      </c>
      <c r="H11" s="337" t="s">
        <v>907</v>
      </c>
      <c r="I11" s="336" t="b">
        <f t="shared" si="4"/>
        <v>0</v>
      </c>
      <c r="J11" s="337" t="s">
        <v>5107</v>
      </c>
      <c r="K11" s="336" t="b">
        <f t="shared" si="5"/>
        <v>0</v>
      </c>
      <c r="L11" s="337" t="s">
        <v>5116</v>
      </c>
      <c r="M11" s="336" t="b">
        <f t="shared" si="6"/>
        <v>1</v>
      </c>
      <c r="N11" s="337" t="s">
        <v>963</v>
      </c>
      <c r="O11" s="336" t="b">
        <f t="shared" si="7"/>
        <v>0</v>
      </c>
      <c r="P11" s="345" t="s">
        <v>980</v>
      </c>
      <c r="R11" t="str">
        <f t="shared" si="8"/>
        <v>1948-D Roosevelt Dime</v>
      </c>
      <c r="S11" s="330" t="str">
        <f>IFERROR(MATCH(R11,CoinCollection!O:O,0),"")</f>
        <v/>
      </c>
      <c r="T11" s="330" t="str">
        <f t="shared" si="9"/>
        <v>1961-D Roosevelt Dime</v>
      </c>
      <c r="U11" s="330" t="str">
        <f>IFERROR(MATCH(T11,CoinCollection!O:O,0),"")</f>
        <v/>
      </c>
      <c r="V11" s="330" t="str">
        <f t="shared" si="0"/>
        <v>1975-S Proof Roosevelt Dime</v>
      </c>
      <c r="W11" s="330" t="str">
        <f>IFERROR(MATCH(V11,CoinCollection!O:O,0),"")</f>
        <v/>
      </c>
      <c r="X11" s="330" t="str">
        <f t="shared" si="10"/>
        <v>1986-P Roosevelt Dime</v>
      </c>
      <c r="Y11" s="330">
        <f>IFERROR(MATCH(X11,CoinCollection!O:O,0),"")</f>
        <v>1712</v>
      </c>
      <c r="Z11" s="330" t="str">
        <f t="shared" si="11"/>
        <v>1995-S Silver Proof Roosevelt Dime</v>
      </c>
      <c r="AA11" s="330" t="str">
        <f>IFERROR(MATCH(Z11,CoinCollection!O:O,0),"")</f>
        <v/>
      </c>
      <c r="AB11" s="330" t="str">
        <f t="shared" si="12"/>
        <v>2003-S Silver Proof Roosevelt Dime</v>
      </c>
      <c r="AC11" s="330" t="str">
        <f>IFERROR(MATCH(AB11,CoinCollection!O:O,0),"")</f>
        <v/>
      </c>
      <c r="AD11" s="330" t="str">
        <f t="shared" si="13"/>
        <v>2012-P Roosevelt Dime</v>
      </c>
      <c r="AE11" s="330">
        <f>IFERROR(MATCH(AD11,CoinCollection!O:O,0),"")</f>
        <v>1792</v>
      </c>
      <c r="AF11" s="330" t="str">
        <f t="shared" si="14"/>
        <v>2020-D Roosevelt Dime</v>
      </c>
      <c r="AG11" s="330" t="str">
        <f>IFERROR(MATCH(AF11,CoinCollection!O:O,0),"")</f>
        <v/>
      </c>
      <c r="AI11" s="330" t="str">
        <v>1949-D</v>
      </c>
    </row>
    <row r="12" spans="1:35">
      <c r="A12" s="334" t="b">
        <f t="shared" si="15"/>
        <v>0</v>
      </c>
      <c r="B12" s="394" t="s">
        <v>858</v>
      </c>
      <c r="C12" s="354" t="b">
        <f t="shared" si="1"/>
        <v>0</v>
      </c>
      <c r="D12" s="342" t="s">
        <v>2492</v>
      </c>
      <c r="E12" s="336" t="b">
        <f t="shared" si="2"/>
        <v>0</v>
      </c>
      <c r="F12" s="342" t="s">
        <v>2508</v>
      </c>
      <c r="G12" s="336" t="b">
        <f t="shared" si="3"/>
        <v>0</v>
      </c>
      <c r="H12" s="342" t="s">
        <v>908</v>
      </c>
      <c r="I12" s="336" t="b">
        <f t="shared" si="4"/>
        <v>1</v>
      </c>
      <c r="J12" s="342" t="s">
        <v>927</v>
      </c>
      <c r="K12" s="336" t="b">
        <f t="shared" si="5"/>
        <v>1</v>
      </c>
      <c r="L12" s="342" t="s">
        <v>943</v>
      </c>
      <c r="M12" s="336" t="b">
        <f t="shared" si="6"/>
        <v>0</v>
      </c>
      <c r="N12" s="342" t="s">
        <v>964</v>
      </c>
      <c r="O12" s="336" t="b">
        <f t="shared" si="7"/>
        <v>0</v>
      </c>
      <c r="P12" s="344" t="s">
        <v>2563</v>
      </c>
      <c r="R12" t="str">
        <f t="shared" si="8"/>
        <v>1948-S Roosevelt Dime</v>
      </c>
      <c r="S12" s="330" t="str">
        <f>IFERROR(MATCH(R12,CoinCollection!O:O,0),"")</f>
        <v/>
      </c>
      <c r="T12" s="330" t="str">
        <f t="shared" si="9"/>
        <v>1962 Roosevelt Dime</v>
      </c>
      <c r="U12" s="330" t="str">
        <f>IFERROR(MATCH(T12,CoinCollection!O:O,0),"")</f>
        <v/>
      </c>
      <c r="V12" s="330" t="str">
        <f t="shared" si="0"/>
        <v>1976 Roosevelt Dime</v>
      </c>
      <c r="W12" s="330" t="str">
        <f>IFERROR(MATCH(V12,CoinCollection!O:O,0),"")</f>
        <v/>
      </c>
      <c r="X12" s="330" t="str">
        <f t="shared" si="10"/>
        <v>1986-D Roosevelt Dime</v>
      </c>
      <c r="Y12" s="330" t="str">
        <f>IFERROR(MATCH(X12,CoinCollection!O:O,0),"")</f>
        <v/>
      </c>
      <c r="Z12" s="330" t="str">
        <f t="shared" si="11"/>
        <v>1996-P Roosevelt Dime</v>
      </c>
      <c r="AA12" s="330">
        <f>IFERROR(MATCH(Z12,CoinCollection!O:O,0),"")</f>
        <v>1739</v>
      </c>
      <c r="AB12" s="330" t="str">
        <f t="shared" si="12"/>
        <v>2004-P Roosevelt Dime</v>
      </c>
      <c r="AC12" s="330">
        <f>IFERROR(MATCH(AB12,CoinCollection!O:O,0),"")</f>
        <v>1769</v>
      </c>
      <c r="AD12" s="330" t="str">
        <f t="shared" si="13"/>
        <v>2012-D Roosevelt Dime</v>
      </c>
      <c r="AE12" s="330" t="str">
        <f>IFERROR(MATCH(AD12,CoinCollection!O:O,0),"")</f>
        <v/>
      </c>
      <c r="AF12" s="330" t="str">
        <f t="shared" si="14"/>
        <v>2020-S Proof Roosevelt Dime</v>
      </c>
      <c r="AG12" s="330" t="str">
        <f>IFERROR(MATCH(AF12,CoinCollection!O:O,0),"")</f>
        <v/>
      </c>
      <c r="AI12" s="330" t="str">
        <v>1949-S</v>
      </c>
    </row>
    <row r="13" spans="1:35">
      <c r="A13" s="334" t="b">
        <f t="shared" si="15"/>
        <v>0</v>
      </c>
      <c r="B13" s="365" t="s">
        <v>2479</v>
      </c>
      <c r="C13" s="354" t="b">
        <f t="shared" si="1"/>
        <v>0</v>
      </c>
      <c r="D13" s="337" t="s">
        <v>877</v>
      </c>
      <c r="E13" s="336" t="b">
        <f t="shared" si="2"/>
        <v>0</v>
      </c>
      <c r="F13" s="337" t="s">
        <v>891</v>
      </c>
      <c r="G13" s="336" t="b">
        <f t="shared" si="3"/>
        <v>0</v>
      </c>
      <c r="H13" s="337" t="s">
        <v>2523</v>
      </c>
      <c r="I13" s="336" t="b">
        <f t="shared" si="4"/>
        <v>1</v>
      </c>
      <c r="J13" s="337" t="s">
        <v>928</v>
      </c>
      <c r="K13" s="336" t="b">
        <f t="shared" si="5"/>
        <v>0</v>
      </c>
      <c r="L13" s="337" t="s">
        <v>945</v>
      </c>
      <c r="M13" s="336" t="b">
        <f t="shared" si="6"/>
        <v>0</v>
      </c>
      <c r="N13" s="337" t="s">
        <v>2555</v>
      </c>
      <c r="O13" s="336" t="b">
        <f t="shared" si="7"/>
        <v>0</v>
      </c>
      <c r="P13" s="345" t="s">
        <v>5133</v>
      </c>
      <c r="R13" t="str">
        <f t="shared" si="8"/>
        <v>1949 Roosevelt Dime</v>
      </c>
      <c r="S13" s="330" t="str">
        <f>IFERROR(MATCH(R13,CoinCollection!O:O,0),"")</f>
        <v/>
      </c>
      <c r="T13" s="330" t="str">
        <f t="shared" si="9"/>
        <v>1962-D Roosevelt Dime</v>
      </c>
      <c r="U13" s="330" t="str">
        <f>IFERROR(MATCH(T13,CoinCollection!O:O,0),"")</f>
        <v/>
      </c>
      <c r="V13" s="330" t="str">
        <f t="shared" si="0"/>
        <v>1976-D Roosevelt Dime</v>
      </c>
      <c r="W13" s="330" t="str">
        <f>IFERROR(MATCH(V13,CoinCollection!O:O,0),"")</f>
        <v/>
      </c>
      <c r="X13" s="330" t="str">
        <f t="shared" si="10"/>
        <v>1986-S Proof Roosevelt Dime</v>
      </c>
      <c r="Y13" s="330" t="str">
        <f>IFERROR(MATCH(X13,CoinCollection!O:O,0),"")</f>
        <v/>
      </c>
      <c r="Z13" s="330" t="str">
        <f t="shared" si="11"/>
        <v>1996-D Roosevelt Dime</v>
      </c>
      <c r="AA13" s="330">
        <f>IFERROR(MATCH(Z13,CoinCollection!O:O,0),"")</f>
        <v>1742</v>
      </c>
      <c r="AB13" s="330" t="str">
        <f t="shared" si="12"/>
        <v>2004-D Roosevelt Dime</v>
      </c>
      <c r="AC13" s="330" t="str">
        <f>IFERROR(MATCH(AB13,CoinCollection!O:O,0),"")</f>
        <v/>
      </c>
      <c r="AD13" s="330" t="str">
        <f t="shared" si="13"/>
        <v>2012-S Proof Roosevelt Dime</v>
      </c>
      <c r="AE13" s="330" t="str">
        <f>IFERROR(MATCH(AD13,CoinCollection!O:O,0),"")</f>
        <v/>
      </c>
      <c r="AF13" s="330" t="str">
        <f t="shared" si="14"/>
        <v>2020-S Silver Proof Roosevelt Dime</v>
      </c>
      <c r="AG13" s="330" t="str">
        <f>IFERROR(MATCH(AF13,CoinCollection!O:O,0),"")</f>
        <v/>
      </c>
      <c r="AI13" s="330" t="str">
        <v>1950</v>
      </c>
    </row>
    <row r="14" spans="1:35">
      <c r="A14" s="334" t="b">
        <f t="shared" si="15"/>
        <v>0</v>
      </c>
      <c r="B14" s="394" t="s">
        <v>859</v>
      </c>
      <c r="C14" s="354" t="b">
        <f t="shared" si="1"/>
        <v>1</v>
      </c>
      <c r="D14" s="342" t="s">
        <v>2493</v>
      </c>
      <c r="E14" s="336" t="b">
        <f t="shared" si="2"/>
        <v>0</v>
      </c>
      <c r="F14" s="342" t="s">
        <v>2509</v>
      </c>
      <c r="G14" s="336" t="b">
        <f t="shared" si="3"/>
        <v>0</v>
      </c>
      <c r="H14" s="342" t="s">
        <v>909</v>
      </c>
      <c r="I14" s="336" t="b">
        <f t="shared" si="4"/>
        <v>0</v>
      </c>
      <c r="J14" s="342" t="s">
        <v>2538</v>
      </c>
      <c r="K14" s="336" t="b">
        <f t="shared" si="5"/>
        <v>0</v>
      </c>
      <c r="L14" s="342" t="s">
        <v>2547</v>
      </c>
      <c r="M14" s="336" t="b">
        <f t="shared" si="6"/>
        <v>0</v>
      </c>
      <c r="N14" s="342" t="s">
        <v>5125</v>
      </c>
      <c r="O14" s="336" t="b">
        <f t="shared" si="7"/>
        <v>1</v>
      </c>
      <c r="P14" s="344" t="s">
        <v>2564</v>
      </c>
      <c r="R14" t="str">
        <f t="shared" si="8"/>
        <v>1949-D Roosevelt Dime</v>
      </c>
      <c r="S14" s="330" t="str">
        <f>IFERROR(MATCH(R14,CoinCollection!O:O,0),"")</f>
        <v/>
      </c>
      <c r="T14" s="330" t="str">
        <f t="shared" si="9"/>
        <v>1963 Roosevelt Dime</v>
      </c>
      <c r="U14" s="330">
        <f>IFERROR(MATCH(T14,CoinCollection!O:O,0),"")</f>
        <v>1679</v>
      </c>
      <c r="V14" s="330" t="str">
        <f t="shared" si="0"/>
        <v>1976-S Proof Roosevelt Dime</v>
      </c>
      <c r="W14" s="330" t="str">
        <f>IFERROR(MATCH(V14,CoinCollection!O:O,0),"")</f>
        <v/>
      </c>
      <c r="X14" s="330" t="str">
        <f t="shared" si="10"/>
        <v>1987-P Roosevelt Dime</v>
      </c>
      <c r="Y14" s="330" t="str">
        <f>IFERROR(MATCH(X14,CoinCollection!O:O,0),"")</f>
        <v/>
      </c>
      <c r="Z14" s="330" t="str">
        <f t="shared" si="11"/>
        <v>1996-S Proof Roosevelt Dime</v>
      </c>
      <c r="AA14" s="330" t="str">
        <f>IFERROR(MATCH(Z14,CoinCollection!O:O,0),"")</f>
        <v/>
      </c>
      <c r="AB14" s="330" t="str">
        <f t="shared" si="12"/>
        <v>2004-S Proof Roosevelt Dime</v>
      </c>
      <c r="AC14" s="330" t="str">
        <f>IFERROR(MATCH(AB14,CoinCollection!O:O,0),"")</f>
        <v/>
      </c>
      <c r="AD14" s="330" t="str">
        <f t="shared" si="13"/>
        <v>2012-S Silver Proof Roosevelt Dime</v>
      </c>
      <c r="AE14" s="330" t="str">
        <f>IFERROR(MATCH(AD14,CoinCollection!O:O,0),"")</f>
        <v/>
      </c>
      <c r="AF14" s="330" t="str">
        <f t="shared" si="14"/>
        <v>2021-P Roosevelt Dime</v>
      </c>
      <c r="AG14" s="330">
        <f>IFERROR(MATCH(AF14,CoinCollection!O:O,0),"")</f>
        <v>1835</v>
      </c>
      <c r="AI14" s="330" t="str">
        <v>1950-D</v>
      </c>
    </row>
    <row r="15" spans="1:35">
      <c r="A15" s="334" t="b">
        <f t="shared" si="15"/>
        <v>0</v>
      </c>
      <c r="B15" s="365" t="s">
        <v>860</v>
      </c>
      <c r="C15" s="354" t="b">
        <f t="shared" si="1"/>
        <v>0</v>
      </c>
      <c r="D15" s="337" t="s">
        <v>878</v>
      </c>
      <c r="E15" s="336" t="b">
        <f t="shared" si="2"/>
        <v>1</v>
      </c>
      <c r="F15" s="337" t="s">
        <v>2510</v>
      </c>
      <c r="G15" s="336" t="b">
        <f t="shared" si="3"/>
        <v>1</v>
      </c>
      <c r="H15" s="337" t="s">
        <v>910</v>
      </c>
      <c r="I15" s="336" t="b">
        <f t="shared" si="4"/>
        <v>0</v>
      </c>
      <c r="J15" s="337" t="s">
        <v>5108</v>
      </c>
      <c r="K15" s="336" t="b">
        <f t="shared" si="5"/>
        <v>0</v>
      </c>
      <c r="L15" s="337" t="s">
        <v>5117</v>
      </c>
      <c r="M15" s="336" t="b">
        <f t="shared" si="6"/>
        <v>1</v>
      </c>
      <c r="N15" s="337" t="s">
        <v>965</v>
      </c>
      <c r="O15" s="336" t="b">
        <f t="shared" si="7"/>
        <v>0</v>
      </c>
      <c r="P15" s="345" t="s">
        <v>2565</v>
      </c>
      <c r="R15" t="str">
        <f t="shared" si="8"/>
        <v>1949-S Roosevelt Dime</v>
      </c>
      <c r="S15" s="330" t="str">
        <f>IFERROR(MATCH(R15,CoinCollection!O:O,0),"")</f>
        <v/>
      </c>
      <c r="T15" s="330" t="str">
        <f t="shared" si="9"/>
        <v>1963-D Roosevelt Dime</v>
      </c>
      <c r="U15" s="330" t="str">
        <f>IFERROR(MATCH(T15,CoinCollection!O:O,0),"")</f>
        <v/>
      </c>
      <c r="V15" s="330" t="str">
        <f t="shared" si="0"/>
        <v>1977 Roosevelt Dime</v>
      </c>
      <c r="W15" s="330">
        <f>IFERROR(MATCH(V15,CoinCollection!O:O,0),"")</f>
        <v>1696</v>
      </c>
      <c r="X15" s="330" t="str">
        <f t="shared" si="10"/>
        <v>1987-D Roosevelt Dime</v>
      </c>
      <c r="Y15" s="330">
        <f>IFERROR(MATCH(X15,CoinCollection!O:O,0),"")</f>
        <v>1715</v>
      </c>
      <c r="Z15" s="330" t="str">
        <f t="shared" si="11"/>
        <v>1996-S Silver Proof Roosevelt Dime</v>
      </c>
      <c r="AA15" s="330" t="str">
        <f>IFERROR(MATCH(Z15,CoinCollection!O:O,0),"")</f>
        <v/>
      </c>
      <c r="AB15" s="330" t="str">
        <f t="shared" si="12"/>
        <v>2004-S Silver Proof Roosevelt Dime</v>
      </c>
      <c r="AC15" s="330" t="str">
        <f>IFERROR(MATCH(AB15,CoinCollection!O:O,0),"")</f>
        <v/>
      </c>
      <c r="AD15" s="330" t="str">
        <f t="shared" si="13"/>
        <v>2013-P Roosevelt Dime</v>
      </c>
      <c r="AE15" s="330">
        <f>IFERROR(MATCH(AD15,CoinCollection!O:O,0),"")</f>
        <v>1796</v>
      </c>
      <c r="AF15" s="330" t="str">
        <f t="shared" si="14"/>
        <v>2021-D Roosevelt Dime</v>
      </c>
      <c r="AG15" s="330" t="str">
        <f>IFERROR(MATCH(AF15,CoinCollection!O:O,0),"")</f>
        <v/>
      </c>
      <c r="AI15" s="330" t="str">
        <v>1950-S</v>
      </c>
    </row>
    <row r="16" spans="1:35">
      <c r="A16" s="334" t="b">
        <f t="shared" si="15"/>
        <v>0</v>
      </c>
      <c r="B16" s="394" t="s">
        <v>2480</v>
      </c>
      <c r="C16" s="354" t="b">
        <f t="shared" si="1"/>
        <v>0</v>
      </c>
      <c r="D16" s="342" t="s">
        <v>2494</v>
      </c>
      <c r="E16" s="336" t="b">
        <f t="shared" si="2"/>
        <v>1</v>
      </c>
      <c r="F16" s="342" t="s">
        <v>892</v>
      </c>
      <c r="G16" s="336" t="b">
        <f t="shared" si="3"/>
        <v>0</v>
      </c>
      <c r="H16" s="342" t="s">
        <v>2524</v>
      </c>
      <c r="I16" s="336" t="b">
        <f t="shared" si="4"/>
        <v>0</v>
      </c>
      <c r="J16" s="342" t="s">
        <v>5109</v>
      </c>
      <c r="K16" s="336" t="b">
        <f t="shared" si="5"/>
        <v>1</v>
      </c>
      <c r="L16" s="342" t="s">
        <v>947</v>
      </c>
      <c r="M16" s="336" t="b">
        <f t="shared" si="6"/>
        <v>0</v>
      </c>
      <c r="N16" s="342" t="s">
        <v>966</v>
      </c>
      <c r="O16" s="336" t="b">
        <f t="shared" si="7"/>
        <v>0</v>
      </c>
      <c r="P16" s="344" t="s">
        <v>4946</v>
      </c>
      <c r="R16" t="str">
        <f t="shared" si="8"/>
        <v>1950 Roosevelt Dime</v>
      </c>
      <c r="S16" s="330" t="str">
        <f>IFERROR(MATCH(R16,CoinCollection!O:O,0),"")</f>
        <v/>
      </c>
      <c r="T16" s="330" t="str">
        <f t="shared" si="9"/>
        <v>1964 Roosevelt Dime</v>
      </c>
      <c r="U16" s="330" t="str">
        <f>IFERROR(MATCH(T16,CoinCollection!O:O,0),"")</f>
        <v/>
      </c>
      <c r="V16" s="330" t="str">
        <f t="shared" si="0"/>
        <v>1977-D Roosevelt Dime</v>
      </c>
      <c r="W16" s="330">
        <f>IFERROR(MATCH(V16,CoinCollection!O:O,0),"")</f>
        <v>1695</v>
      </c>
      <c r="X16" s="330" t="str">
        <f t="shared" si="10"/>
        <v>1987-S Proof Roosevelt Dime</v>
      </c>
      <c r="Y16" s="330" t="str">
        <f>IFERROR(MATCH(X16,CoinCollection!O:O,0),"")</f>
        <v/>
      </c>
      <c r="Z16" s="330" t="str">
        <f t="shared" si="11"/>
        <v>1996-W* Roosevelt Dime</v>
      </c>
      <c r="AA16" s="330" t="str">
        <f>IFERROR(MATCH(Z16,CoinCollection!O:O,0),"")</f>
        <v/>
      </c>
      <c r="AB16" s="330" t="str">
        <f t="shared" si="12"/>
        <v>2005-P Roosevelt Dime</v>
      </c>
      <c r="AC16" s="330">
        <f>IFERROR(MATCH(AB16,CoinCollection!O:O,0),"")</f>
        <v>1772</v>
      </c>
      <c r="AD16" s="330" t="str">
        <f t="shared" si="13"/>
        <v>2013-D Roosevelt Dime</v>
      </c>
      <c r="AE16" s="330" t="str">
        <f>IFERROR(MATCH(AD16,CoinCollection!O:O,0),"")</f>
        <v/>
      </c>
      <c r="AF16" s="330" t="str">
        <f t="shared" si="14"/>
        <v>2021-S Proof Roosevelt Dime</v>
      </c>
      <c r="AG16" s="330" t="str">
        <f>IFERROR(MATCH(AF16,CoinCollection!O:O,0),"")</f>
        <v/>
      </c>
      <c r="AI16" s="330" t="str">
        <v>1951-D</v>
      </c>
    </row>
    <row r="17" spans="1:35">
      <c r="A17" s="334" t="b">
        <f t="shared" si="15"/>
        <v>0</v>
      </c>
      <c r="B17" s="365" t="s">
        <v>861</v>
      </c>
      <c r="C17" s="354" t="b">
        <f t="shared" si="1"/>
        <v>1</v>
      </c>
      <c r="D17" s="337" t="s">
        <v>879</v>
      </c>
      <c r="E17" s="336" t="b">
        <f t="shared" si="2"/>
        <v>0</v>
      </c>
      <c r="F17" s="337" t="s">
        <v>2511</v>
      </c>
      <c r="G17" s="336" t="b">
        <f t="shared" si="3"/>
        <v>0</v>
      </c>
      <c r="H17" s="337" t="s">
        <v>911</v>
      </c>
      <c r="I17" s="336" t="b">
        <f t="shared" si="4"/>
        <v>1</v>
      </c>
      <c r="J17" s="337" t="s">
        <v>929</v>
      </c>
      <c r="K17" s="336" t="b">
        <f t="shared" si="5"/>
        <v>1</v>
      </c>
      <c r="L17" s="337" t="s">
        <v>949</v>
      </c>
      <c r="M17" s="336" t="b">
        <f t="shared" si="6"/>
        <v>0</v>
      </c>
      <c r="N17" s="337" t="s">
        <v>2556</v>
      </c>
      <c r="O17" s="336" t="b">
        <f t="shared" si="7"/>
        <v>0</v>
      </c>
      <c r="P17" s="345" t="s">
        <v>5134</v>
      </c>
      <c r="R17" t="str">
        <f t="shared" si="8"/>
        <v>1950-D Roosevelt Dime</v>
      </c>
      <c r="S17" s="330" t="str">
        <f>IFERROR(MATCH(R17,CoinCollection!O:O,0),"")</f>
        <v/>
      </c>
      <c r="T17" s="330" t="str">
        <f t="shared" si="9"/>
        <v>1964-D Roosevelt Dime</v>
      </c>
      <c r="U17" s="330">
        <f>IFERROR(MATCH(T17,CoinCollection!O:O,0),"")</f>
        <v>1680</v>
      </c>
      <c r="V17" s="330" t="str">
        <f t="shared" si="0"/>
        <v>1977-S Proof Roosevelt Dime</v>
      </c>
      <c r="W17" s="330" t="str">
        <f>IFERROR(MATCH(V17,CoinCollection!O:O,0),"")</f>
        <v/>
      </c>
      <c r="X17" s="330" t="str">
        <f t="shared" si="10"/>
        <v>1988-P Roosevelt Dime</v>
      </c>
      <c r="Y17" s="330" t="str">
        <f>IFERROR(MATCH(X17,CoinCollection!O:O,0),"")</f>
        <v/>
      </c>
      <c r="Z17" s="330" t="str">
        <f t="shared" si="11"/>
        <v>1997-P Roosevelt Dime</v>
      </c>
      <c r="AA17" s="330">
        <f>IFERROR(MATCH(Z17,CoinCollection!O:O,0),"")</f>
        <v>1745</v>
      </c>
      <c r="AB17" s="330" t="str">
        <f t="shared" si="12"/>
        <v>2005-D Roosevelt Dime</v>
      </c>
      <c r="AC17" s="330">
        <f>IFERROR(MATCH(AB17,CoinCollection!O:O,0),"")</f>
        <v>1774</v>
      </c>
      <c r="AD17" s="330" t="str">
        <f t="shared" si="13"/>
        <v>2013-S Proof Roosevelt Dime</v>
      </c>
      <c r="AE17" s="330" t="str">
        <f>IFERROR(MATCH(AD17,CoinCollection!O:O,0),"")</f>
        <v/>
      </c>
      <c r="AF17" s="330" t="str">
        <f t="shared" si="14"/>
        <v>2021-S Silver Proof Roosevelt Dime</v>
      </c>
      <c r="AG17" s="330" t="str">
        <f>IFERROR(MATCH(AF17,CoinCollection!O:O,0),"")</f>
        <v/>
      </c>
      <c r="AI17" s="330" t="str">
        <v>1951-S</v>
      </c>
    </row>
    <row r="18" spans="1:35">
      <c r="A18" s="334" t="b">
        <f t="shared" si="15"/>
        <v>0</v>
      </c>
      <c r="B18" s="394" t="s">
        <v>4929</v>
      </c>
      <c r="C18" s="354" t="b">
        <f t="shared" si="1"/>
        <v>0</v>
      </c>
      <c r="D18" s="342" t="s">
        <v>4895</v>
      </c>
      <c r="E18" s="336" t="b">
        <f t="shared" si="2"/>
        <v>1</v>
      </c>
      <c r="F18" s="342" t="s">
        <v>2512</v>
      </c>
      <c r="G18" s="336" t="b">
        <f t="shared" si="3"/>
        <v>1</v>
      </c>
      <c r="H18" s="342" t="s">
        <v>912</v>
      </c>
      <c r="I18" s="336" t="b">
        <f t="shared" si="4"/>
        <v>1</v>
      </c>
      <c r="J18" s="342" t="s">
        <v>930</v>
      </c>
      <c r="K18" s="336" t="b">
        <f t="shared" si="5"/>
        <v>0</v>
      </c>
      <c r="L18" s="342" t="s">
        <v>2548</v>
      </c>
      <c r="M18" s="336" t="b">
        <f t="shared" si="6"/>
        <v>0</v>
      </c>
      <c r="N18" s="342" t="s">
        <v>5126</v>
      </c>
      <c r="O18" s="336" t="b">
        <f t="shared" si="7"/>
        <v>1</v>
      </c>
      <c r="P18" s="344" t="s">
        <v>2567</v>
      </c>
      <c r="R18" t="str">
        <f t="shared" si="8"/>
        <v>1950-S Roosevelt Dime</v>
      </c>
      <c r="S18" s="330" t="str">
        <f>IFERROR(MATCH(R18,CoinCollection!O:O,0),"")</f>
        <v/>
      </c>
      <c r="T18" s="330" t="str">
        <f t="shared" si="9"/>
        <v>Clad Roosevelt Dime</v>
      </c>
      <c r="U18" s="330" t="str">
        <f>IFERROR(MATCH(T18,CoinCollection!O:O,0),"")</f>
        <v/>
      </c>
      <c r="V18" s="330" t="str">
        <f t="shared" si="0"/>
        <v>1978 Roosevelt Dime</v>
      </c>
      <c r="W18" s="330">
        <f>IFERROR(MATCH(V18,CoinCollection!O:O,0),"")</f>
        <v>1697</v>
      </c>
      <c r="X18" s="330" t="str">
        <f t="shared" si="10"/>
        <v>1988-D Roosevelt Dime</v>
      </c>
      <c r="Y18" s="330">
        <f>IFERROR(MATCH(X18,CoinCollection!O:O,0),"")</f>
        <v>1716</v>
      </c>
      <c r="Z18" s="330" t="str">
        <f t="shared" si="11"/>
        <v>1997-D Roosevelt Dime</v>
      </c>
      <c r="AA18" s="330">
        <f>IFERROR(MATCH(Z18,CoinCollection!O:O,0),"")</f>
        <v>1747</v>
      </c>
      <c r="AB18" s="330" t="str">
        <f t="shared" si="12"/>
        <v>2005-S Proof Roosevelt Dime</v>
      </c>
      <c r="AC18" s="330" t="str">
        <f>IFERROR(MATCH(AB18,CoinCollection!O:O,0),"")</f>
        <v/>
      </c>
      <c r="AD18" s="330" t="str">
        <f t="shared" si="13"/>
        <v>2013-S Silver Proof Roosevelt Dime</v>
      </c>
      <c r="AE18" s="330" t="str">
        <f>IFERROR(MATCH(AD18,CoinCollection!O:O,0),"")</f>
        <v/>
      </c>
      <c r="AF18" s="330" t="str">
        <f t="shared" si="14"/>
        <v>2022-P Roosevelt Dime</v>
      </c>
      <c r="AG18" s="330">
        <f>IFERROR(MATCH(AF18,CoinCollection!O:O,0),"")</f>
        <v>1839</v>
      </c>
      <c r="AI18" s="330" t="str">
        <v>1952</v>
      </c>
    </row>
    <row r="19" spans="1:35">
      <c r="A19" s="334" t="b">
        <f t="shared" si="15"/>
        <v>1</v>
      </c>
      <c r="B19" s="365" t="s">
        <v>2481</v>
      </c>
      <c r="C19" s="354" t="b">
        <f t="shared" si="1"/>
        <v>1</v>
      </c>
      <c r="D19" s="337" t="s">
        <v>2495</v>
      </c>
      <c r="E19" s="336" t="b">
        <f t="shared" si="2"/>
        <v>0</v>
      </c>
      <c r="F19" s="337" t="s">
        <v>893</v>
      </c>
      <c r="G19" s="336" t="b">
        <f t="shared" si="3"/>
        <v>0</v>
      </c>
      <c r="H19" s="337" t="s">
        <v>2525</v>
      </c>
      <c r="I19" s="336" t="b">
        <f t="shared" si="4"/>
        <v>0</v>
      </c>
      <c r="J19" s="337" t="s">
        <v>2540</v>
      </c>
      <c r="K19" s="336" t="b">
        <f t="shared" si="5"/>
        <v>0</v>
      </c>
      <c r="L19" s="337" t="s">
        <v>5118</v>
      </c>
      <c r="M19" s="336" t="b">
        <f t="shared" si="6"/>
        <v>1</v>
      </c>
      <c r="N19" s="337" t="s">
        <v>967</v>
      </c>
      <c r="O19" s="336" t="b">
        <f t="shared" si="7"/>
        <v>1</v>
      </c>
      <c r="P19" s="345" t="s">
        <v>2566</v>
      </c>
      <c r="R19" t="str">
        <f t="shared" si="8"/>
        <v>1951 Roosevelt Dime</v>
      </c>
      <c r="S19" s="330">
        <f>IFERROR(MATCH(R19,CoinCollection!O:O,0),"")</f>
        <v>1675</v>
      </c>
      <c r="T19" s="330" t="str">
        <f t="shared" si="9"/>
        <v>1965 Roosevelt Dime</v>
      </c>
      <c r="U19" s="330">
        <f>IFERROR(MATCH(T19,CoinCollection!O:O,0),"")</f>
        <v>1681</v>
      </c>
      <c r="V19" s="330" t="str">
        <f t="shared" si="0"/>
        <v>1978-D Roosevelt Dime</v>
      </c>
      <c r="W19" s="330" t="str">
        <f>IFERROR(MATCH(V19,CoinCollection!O:O,0),"")</f>
        <v/>
      </c>
      <c r="X19" s="330" t="str">
        <f t="shared" si="10"/>
        <v>1988-S Proof Roosevelt Dime</v>
      </c>
      <c r="Y19" s="330" t="str">
        <f>IFERROR(MATCH(X19,CoinCollection!O:O,0),"")</f>
        <v/>
      </c>
      <c r="Z19" s="330" t="str">
        <f t="shared" si="11"/>
        <v>1997-S Proof Roosevelt Dime</v>
      </c>
      <c r="AA19" s="330" t="str">
        <f>IFERROR(MATCH(Z19,CoinCollection!O:O,0),"")</f>
        <v/>
      </c>
      <c r="AB19" s="330" t="str">
        <f t="shared" si="12"/>
        <v>2005-S Silver Proof Roosevelt Dime</v>
      </c>
      <c r="AC19" s="330" t="str">
        <f>IFERROR(MATCH(AB19,CoinCollection!O:O,0),"")</f>
        <v/>
      </c>
      <c r="AD19" s="330" t="str">
        <f t="shared" si="13"/>
        <v>2014-P Roosevelt Dime</v>
      </c>
      <c r="AE19" s="330">
        <f>IFERROR(MATCH(AD19,CoinCollection!O:O,0),"")</f>
        <v>1798</v>
      </c>
      <c r="AF19" s="330" t="str">
        <f t="shared" si="14"/>
        <v>2022-D Roosevelt Dime</v>
      </c>
      <c r="AG19" s="330">
        <f>IFERROR(MATCH(AF19,CoinCollection!O:O,0),"")</f>
        <v>1841</v>
      </c>
      <c r="AI19" s="330" t="str">
        <v>1952-D</v>
      </c>
    </row>
    <row r="20" spans="1:35">
      <c r="A20" s="334" t="b">
        <f t="shared" si="15"/>
        <v>0</v>
      </c>
      <c r="B20" s="394" t="s">
        <v>862</v>
      </c>
      <c r="C20" s="354" t="b">
        <f t="shared" si="1"/>
        <v>1</v>
      </c>
      <c r="D20" s="342" t="s">
        <v>2496</v>
      </c>
      <c r="E20" s="336" t="b">
        <f t="shared" si="2"/>
        <v>0</v>
      </c>
      <c r="F20" s="342" t="s">
        <v>2513</v>
      </c>
      <c r="G20" s="336" t="b">
        <f t="shared" si="3"/>
        <v>1</v>
      </c>
      <c r="H20" s="342" t="s">
        <v>913</v>
      </c>
      <c r="I20" s="336" t="b">
        <f t="shared" si="4"/>
        <v>0</v>
      </c>
      <c r="J20" s="342" t="s">
        <v>5110</v>
      </c>
      <c r="K20" s="336" t="b">
        <f t="shared" si="5"/>
        <v>1</v>
      </c>
      <c r="L20" s="342" t="s">
        <v>951</v>
      </c>
      <c r="M20" s="336" t="b">
        <f t="shared" si="6"/>
        <v>0</v>
      </c>
      <c r="N20" s="342" t="s">
        <v>968</v>
      </c>
      <c r="O20" s="336" t="b">
        <f t="shared" si="7"/>
        <v>0</v>
      </c>
      <c r="P20" s="344" t="s">
        <v>4947</v>
      </c>
      <c r="R20" t="str">
        <f t="shared" si="8"/>
        <v>1951-D Roosevelt Dime</v>
      </c>
      <c r="S20" s="330" t="str">
        <f>IFERROR(MATCH(R20,CoinCollection!O:O,0),"")</f>
        <v/>
      </c>
      <c r="T20" s="330" t="str">
        <f t="shared" si="9"/>
        <v>1966 Roosevelt Dime</v>
      </c>
      <c r="U20" s="330">
        <f>IFERROR(MATCH(T20,CoinCollection!O:O,0),"")</f>
        <v>1684</v>
      </c>
      <c r="V20" s="330" t="str">
        <f t="shared" si="0"/>
        <v>1978-S Proof Roosevelt Dime</v>
      </c>
      <c r="W20" s="330" t="str">
        <f>IFERROR(MATCH(V20,CoinCollection!O:O,0),"")</f>
        <v/>
      </c>
      <c r="X20" s="330" t="str">
        <f t="shared" si="10"/>
        <v>1989-P Roosevelt Dime</v>
      </c>
      <c r="Y20" s="330">
        <f>IFERROR(MATCH(X20,CoinCollection!O:O,0),"")</f>
        <v>1719</v>
      </c>
      <c r="Z20" s="330" t="str">
        <f t="shared" si="11"/>
        <v>1997-S Silver Proof Roosevelt Dime</v>
      </c>
      <c r="AA20" s="330" t="str">
        <f>IFERROR(MATCH(Z20,CoinCollection!O:O,0),"")</f>
        <v/>
      </c>
      <c r="AB20" s="330" t="str">
        <f t="shared" si="12"/>
        <v>2006-P Roosevelt Dime</v>
      </c>
      <c r="AC20" s="330">
        <f>IFERROR(MATCH(AB20,CoinCollection!O:O,0),"")</f>
        <v>1775</v>
      </c>
      <c r="AD20" s="330" t="str">
        <f t="shared" si="13"/>
        <v>2014-D Roosevelt Dime</v>
      </c>
      <c r="AE20" s="330" t="str">
        <f>IFERROR(MATCH(AD20,CoinCollection!O:O,0),"")</f>
        <v/>
      </c>
      <c r="AF20" s="330" t="str">
        <f t="shared" si="14"/>
        <v>2022-S Proof Roosevelt Dime</v>
      </c>
      <c r="AG20" s="330" t="str">
        <f>IFERROR(MATCH(AF20,CoinCollection!O:O,0),"")</f>
        <v/>
      </c>
      <c r="AI20" s="330" t="str">
        <v>1952-S</v>
      </c>
    </row>
    <row r="21" spans="1:35">
      <c r="A21" s="334" t="b">
        <f t="shared" si="15"/>
        <v>0</v>
      </c>
      <c r="B21" s="365" t="s">
        <v>863</v>
      </c>
      <c r="C21" s="354" t="b">
        <f t="shared" si="1"/>
        <v>1</v>
      </c>
      <c r="D21" s="337" t="s">
        <v>2497</v>
      </c>
      <c r="E21" s="336" t="b">
        <f t="shared" si="2"/>
        <v>0</v>
      </c>
      <c r="F21" s="337" t="s">
        <v>1627</v>
      </c>
      <c r="G21" s="336" t="b">
        <f t="shared" si="3"/>
        <v>0</v>
      </c>
      <c r="H21" s="337" t="s">
        <v>914</v>
      </c>
      <c r="I21" s="336" t="b">
        <f t="shared" si="4"/>
        <v>1</v>
      </c>
      <c r="J21" s="337" t="s">
        <v>931</v>
      </c>
      <c r="K21" s="336" t="b">
        <f t="shared" si="5"/>
        <v>0</v>
      </c>
      <c r="L21" s="337" t="s">
        <v>952</v>
      </c>
      <c r="M21" s="336" t="b">
        <f t="shared" si="6"/>
        <v>0</v>
      </c>
      <c r="N21" s="337" t="s">
        <v>2557</v>
      </c>
      <c r="O21" s="336" t="b">
        <f t="shared" si="7"/>
        <v>0</v>
      </c>
      <c r="P21" s="345" t="s">
        <v>5135</v>
      </c>
      <c r="R21" t="str">
        <f t="shared" si="8"/>
        <v>1951-S Roosevelt Dime</v>
      </c>
      <c r="S21" s="330" t="str">
        <f>IFERROR(MATCH(R21,CoinCollection!O:O,0),"")</f>
        <v/>
      </c>
      <c r="T21" s="330" t="str">
        <f t="shared" si="9"/>
        <v>1967 Roosevelt Dime</v>
      </c>
      <c r="U21" s="330">
        <f>IFERROR(MATCH(T21,CoinCollection!O:O,0),"")</f>
        <v>1686</v>
      </c>
      <c r="V21" s="330" t="str">
        <f t="shared" si="0"/>
        <v>1979 Roosevelt Dime</v>
      </c>
      <c r="W21" s="330" t="str">
        <f>IFERROR(MATCH(V21,CoinCollection!O:O,0),"")</f>
        <v/>
      </c>
      <c r="X21" s="330" t="str">
        <f t="shared" si="10"/>
        <v>1989-D Roosevelt Dime</v>
      </c>
      <c r="Y21" s="330" t="str">
        <f>IFERROR(MATCH(X21,CoinCollection!O:O,0),"")</f>
        <v/>
      </c>
      <c r="Z21" s="330" t="str">
        <f t="shared" si="11"/>
        <v>1998-P Roosevelt Dime</v>
      </c>
      <c r="AA21" s="330">
        <f>IFERROR(MATCH(Z21,CoinCollection!O:O,0),"")</f>
        <v>1751</v>
      </c>
      <c r="AB21" s="330" t="str">
        <f t="shared" si="12"/>
        <v>2006-D Roosevelt Dime</v>
      </c>
      <c r="AC21" s="330" t="str">
        <f>IFERROR(MATCH(AB21,CoinCollection!O:O,0),"")</f>
        <v/>
      </c>
      <c r="AD21" s="330" t="str">
        <f t="shared" si="13"/>
        <v>2014-S Proof Roosevelt Dime</v>
      </c>
      <c r="AE21" s="330" t="str">
        <f>IFERROR(MATCH(AD21,CoinCollection!O:O,0),"")</f>
        <v/>
      </c>
      <c r="AF21" s="330" t="str">
        <f t="shared" si="14"/>
        <v>2022-S Silver Proof Roosevelt Dime</v>
      </c>
      <c r="AG21" s="330" t="str">
        <f>IFERROR(MATCH(AF21,CoinCollection!O:O,0),"")</f>
        <v/>
      </c>
      <c r="AI21" s="330" t="str">
        <v>1953</v>
      </c>
    </row>
    <row r="22" spans="1:35">
      <c r="A22" s="334" t="b">
        <f t="shared" si="15"/>
        <v>0</v>
      </c>
      <c r="B22" s="394" t="s">
        <v>2482</v>
      </c>
      <c r="C22" s="354" t="b">
        <f t="shared" si="1"/>
        <v>0</v>
      </c>
      <c r="D22" s="342" t="s">
        <v>4184</v>
      </c>
      <c r="E22" s="336" t="b">
        <f t="shared" si="2"/>
        <v>0</v>
      </c>
      <c r="F22" s="342" t="s">
        <v>894</v>
      </c>
      <c r="G22" s="336" t="b">
        <f t="shared" si="3"/>
        <v>0</v>
      </c>
      <c r="H22" s="342" t="s">
        <v>2526</v>
      </c>
      <c r="I22" s="336" t="b">
        <f t="shared" si="4"/>
        <v>1</v>
      </c>
      <c r="J22" s="342" t="s">
        <v>932</v>
      </c>
      <c r="K22" s="336" t="b">
        <f t="shared" si="5"/>
        <v>0</v>
      </c>
      <c r="L22" s="342" t="s">
        <v>2549</v>
      </c>
      <c r="M22" s="336" t="b">
        <f t="shared" si="6"/>
        <v>0</v>
      </c>
      <c r="N22" s="342" t="s">
        <v>5127</v>
      </c>
      <c r="O22" s="336" t="b">
        <f t="shared" si="7"/>
        <v>1</v>
      </c>
      <c r="P22" s="344" t="s">
        <v>2568</v>
      </c>
      <c r="R22" t="str">
        <f t="shared" si="8"/>
        <v>1952 Roosevelt Dime</v>
      </c>
      <c r="S22" s="330" t="str">
        <f>IFERROR(MATCH(R22,CoinCollection!O:O,0),"")</f>
        <v/>
      </c>
      <c r="T22" s="330" t="str">
        <f t="shared" si="9"/>
        <v>1968 Roosevelt Dime</v>
      </c>
      <c r="U22" s="330" t="str">
        <f>IFERROR(MATCH(T22,CoinCollection!O:O,0),"")</f>
        <v/>
      </c>
      <c r="V22" s="330" t="str">
        <f t="shared" si="0"/>
        <v>1979-D Roosevelt Dime</v>
      </c>
      <c r="W22" s="330" t="str">
        <f>IFERROR(MATCH(V22,CoinCollection!O:O,0),"")</f>
        <v/>
      </c>
      <c r="X22" s="330" t="str">
        <f t="shared" si="10"/>
        <v>1989-S Proof Roosevelt Dime</v>
      </c>
      <c r="Y22" s="330" t="str">
        <f>IFERROR(MATCH(X22,CoinCollection!O:O,0),"")</f>
        <v/>
      </c>
      <c r="Z22" s="330" t="str">
        <f t="shared" si="11"/>
        <v>1998-D Roosevelt Dime</v>
      </c>
      <c r="AA22" s="330">
        <f>IFERROR(MATCH(Z22,CoinCollection!O:O,0),"")</f>
        <v>1749</v>
      </c>
      <c r="AB22" s="330" t="str">
        <f t="shared" si="12"/>
        <v>2006-S Proof Roosevelt Dime</v>
      </c>
      <c r="AC22" s="330" t="str">
        <f>IFERROR(MATCH(AB22,CoinCollection!O:O,0),"")</f>
        <v/>
      </c>
      <c r="AD22" s="330" t="str">
        <f t="shared" si="13"/>
        <v>2014-S Silver Proof Roosevelt Dime</v>
      </c>
      <c r="AE22" s="330" t="str">
        <f>IFERROR(MATCH(AD22,CoinCollection!O:O,0),"")</f>
        <v/>
      </c>
      <c r="AF22" s="330" t="str">
        <f t="shared" si="14"/>
        <v>2023-P Roosevelt Dime</v>
      </c>
      <c r="AG22" s="330">
        <f>IFERROR(MATCH(AF22,CoinCollection!O:O,0),"")</f>
        <v>1843</v>
      </c>
      <c r="AI22" s="330" t="str">
        <v>1953-D</v>
      </c>
    </row>
    <row r="23" spans="1:35">
      <c r="A23" s="334" t="b">
        <f t="shared" si="15"/>
        <v>0</v>
      </c>
      <c r="B23" s="365" t="s">
        <v>864</v>
      </c>
      <c r="C23" s="354" t="b">
        <f t="shared" si="1"/>
        <v>0</v>
      </c>
      <c r="D23" s="337" t="s">
        <v>880</v>
      </c>
      <c r="E23" s="336" t="b">
        <f t="shared" si="2"/>
        <v>0</v>
      </c>
      <c r="F23" s="337" t="s">
        <v>5100</v>
      </c>
      <c r="G23" s="336" t="b">
        <f t="shared" si="3"/>
        <v>1</v>
      </c>
      <c r="H23" s="337" t="s">
        <v>915</v>
      </c>
      <c r="I23" s="336" t="b">
        <f t="shared" si="4"/>
        <v>0</v>
      </c>
      <c r="J23" s="337" t="s">
        <v>2541</v>
      </c>
      <c r="K23" s="336" t="b">
        <f t="shared" si="5"/>
        <v>0</v>
      </c>
      <c r="L23" s="337" t="s">
        <v>5119</v>
      </c>
      <c r="M23" s="336" t="b">
        <f t="shared" si="6"/>
        <v>1</v>
      </c>
      <c r="N23" s="337" t="s">
        <v>969</v>
      </c>
      <c r="O23" s="336" t="b">
        <f t="shared" si="7"/>
        <v>0</v>
      </c>
      <c r="P23" s="345" t="s">
        <v>2569</v>
      </c>
      <c r="R23" t="str">
        <f t="shared" si="8"/>
        <v>1952-D Roosevelt Dime</v>
      </c>
      <c r="S23" s="330" t="str">
        <f>IFERROR(MATCH(R23,CoinCollection!O:O,0),"")</f>
        <v/>
      </c>
      <c r="T23" s="330" t="str">
        <f t="shared" si="9"/>
        <v>1968-D Roosevelt Dime</v>
      </c>
      <c r="U23" s="330" t="str">
        <f>IFERROR(MATCH(T23,CoinCollection!O:O,0),"")</f>
        <v/>
      </c>
      <c r="V23" s="330" t="str">
        <f t="shared" si="0"/>
        <v>1979-S Proof, Filled “S” Roosevelt Dime</v>
      </c>
      <c r="W23" s="330" t="str">
        <f>IFERROR(MATCH(V23,CoinCollection!O:O,0),"")</f>
        <v/>
      </c>
      <c r="X23" s="330" t="str">
        <f t="shared" si="10"/>
        <v>1990-P Roosevelt Dime</v>
      </c>
      <c r="Y23" s="330">
        <f>IFERROR(MATCH(X23,CoinCollection!O:O,0),"")</f>
        <v>1721</v>
      </c>
      <c r="Z23" s="330" t="str">
        <f t="shared" si="11"/>
        <v>1998-S Proof Roosevelt Dime</v>
      </c>
      <c r="AA23" s="330" t="str">
        <f>IFERROR(MATCH(Z23,CoinCollection!O:O,0),"")</f>
        <v/>
      </c>
      <c r="AB23" s="330" t="str">
        <f t="shared" si="12"/>
        <v>2006-S Silver Proof Roosevelt Dime</v>
      </c>
      <c r="AC23" s="330" t="str">
        <f>IFERROR(MATCH(AB23,CoinCollection!O:O,0),"")</f>
        <v/>
      </c>
      <c r="AD23" s="330" t="str">
        <f t="shared" si="13"/>
        <v>2015-P Roosevelt Dime</v>
      </c>
      <c r="AE23" s="330">
        <f>IFERROR(MATCH(AD23,CoinCollection!O:O,0),"")</f>
        <v>1805</v>
      </c>
      <c r="AF23" s="330" t="str">
        <f t="shared" si="14"/>
        <v>2023-D Roosevelt Dime</v>
      </c>
      <c r="AG23" s="330" t="str">
        <f>IFERROR(MATCH(AF23,CoinCollection!O:O,0),"")</f>
        <v/>
      </c>
      <c r="AI23" s="330" t="str">
        <v>1953-S</v>
      </c>
    </row>
    <row r="24" spans="1:35">
      <c r="A24" s="334" t="b">
        <f t="shared" si="15"/>
        <v>0</v>
      </c>
      <c r="B24" s="394" t="s">
        <v>865</v>
      </c>
      <c r="C24" s="354" t="b">
        <f t="shared" si="1"/>
        <v>0</v>
      </c>
      <c r="D24" s="342" t="s">
        <v>4877</v>
      </c>
      <c r="E24" s="336" t="b">
        <f t="shared" si="2"/>
        <v>0</v>
      </c>
      <c r="F24" s="342" t="s">
        <v>5101</v>
      </c>
      <c r="G24" s="336" t="b">
        <f t="shared" si="3"/>
        <v>0</v>
      </c>
      <c r="H24" s="342" t="s">
        <v>916</v>
      </c>
      <c r="I24" s="336" t="b">
        <f t="shared" si="4"/>
        <v>0</v>
      </c>
      <c r="J24" s="342" t="s">
        <v>5111</v>
      </c>
      <c r="K24" s="336" t="b">
        <f t="shared" si="5"/>
        <v>1</v>
      </c>
      <c r="L24" s="342" t="s">
        <v>953</v>
      </c>
      <c r="M24" s="336" t="b">
        <f t="shared" si="6"/>
        <v>0</v>
      </c>
      <c r="N24" s="342" t="s">
        <v>970</v>
      </c>
      <c r="O24" s="336" t="b">
        <f t="shared" si="7"/>
        <v>0</v>
      </c>
      <c r="P24" s="344" t="s">
        <v>4948</v>
      </c>
      <c r="R24" t="str">
        <f t="shared" si="8"/>
        <v>1952-S Roosevelt Dime</v>
      </c>
      <c r="S24" s="330" t="str">
        <f>IFERROR(MATCH(R24,CoinCollection!O:O,0),"")</f>
        <v/>
      </c>
      <c r="T24" s="330" t="str">
        <f t="shared" si="9"/>
        <v>1968-S Proof Roosevelt Dime</v>
      </c>
      <c r="U24" s="330" t="str">
        <f>IFERROR(MATCH(T24,CoinCollection!O:O,0),"")</f>
        <v/>
      </c>
      <c r="V24" s="330" t="str">
        <f t="shared" si="0"/>
        <v>1979-S Proof, Clear “S” Roosevelt Dime</v>
      </c>
      <c r="W24" s="330" t="str">
        <f>IFERROR(MATCH(V24,CoinCollection!O:O,0),"")</f>
        <v/>
      </c>
      <c r="X24" s="330" t="str">
        <f t="shared" si="10"/>
        <v>1990-D Roosevelt Dime</v>
      </c>
      <c r="Y24" s="330" t="str">
        <f>IFERROR(MATCH(X24,CoinCollection!O:O,0),"")</f>
        <v/>
      </c>
      <c r="Z24" s="330" t="str">
        <f t="shared" si="11"/>
        <v>1998-S Silver Proof Roosevelt Dime</v>
      </c>
      <c r="AA24" s="330" t="str">
        <f>IFERROR(MATCH(Z24,CoinCollection!O:O,0),"")</f>
        <v/>
      </c>
      <c r="AB24" s="330" t="str">
        <f t="shared" si="12"/>
        <v>2007-P Roosevelt Dime</v>
      </c>
      <c r="AC24" s="330">
        <f>IFERROR(MATCH(AB24,CoinCollection!O:O,0),"")</f>
        <v>1776</v>
      </c>
      <c r="AD24" s="330" t="str">
        <f t="shared" si="13"/>
        <v>2015-D Roosevelt Dime</v>
      </c>
      <c r="AE24" s="330" t="str">
        <f>IFERROR(MATCH(AD24,CoinCollection!O:O,0),"")</f>
        <v/>
      </c>
      <c r="AF24" s="330" t="str">
        <f t="shared" si="14"/>
        <v>2023-S Proof Roosevelt Dime</v>
      </c>
      <c r="AG24" s="330" t="str">
        <f>IFERROR(MATCH(AF24,CoinCollection!O:O,0),"")</f>
        <v/>
      </c>
      <c r="AI24" s="330" t="str">
        <v>1954-D</v>
      </c>
    </row>
    <row r="25" spans="1:35">
      <c r="A25" s="334" t="b">
        <f t="shared" si="15"/>
        <v>0</v>
      </c>
      <c r="B25" s="365" t="s">
        <v>2483</v>
      </c>
      <c r="C25" s="354" t="b">
        <f t="shared" si="1"/>
        <v>1</v>
      </c>
      <c r="D25" s="337" t="s">
        <v>4185</v>
      </c>
      <c r="E25" s="336" t="b">
        <f t="shared" si="2"/>
        <v>1</v>
      </c>
      <c r="F25" s="337" t="s">
        <v>895</v>
      </c>
      <c r="G25" s="336" t="b">
        <f t="shared" si="3"/>
        <v>0</v>
      </c>
      <c r="H25" s="337" t="s">
        <v>2528</v>
      </c>
      <c r="I25" s="336" t="b">
        <f t="shared" si="4"/>
        <v>1</v>
      </c>
      <c r="J25" s="337" t="s">
        <v>933</v>
      </c>
      <c r="K25" s="336" t="b">
        <f t="shared" si="5"/>
        <v>0</v>
      </c>
      <c r="L25" s="337" t="s">
        <v>954</v>
      </c>
      <c r="M25" s="336" t="b">
        <f t="shared" si="6"/>
        <v>0</v>
      </c>
      <c r="N25" s="337" t="s">
        <v>2558</v>
      </c>
      <c r="O25" s="336" t="b">
        <f t="shared" si="7"/>
        <v>0</v>
      </c>
      <c r="P25" s="345" t="s">
        <v>5136</v>
      </c>
      <c r="R25" t="str">
        <f t="shared" si="8"/>
        <v>1953 Roosevelt Dime</v>
      </c>
      <c r="S25" s="330" t="str">
        <f>IFERROR(MATCH(R25,CoinCollection!O:O,0),"")</f>
        <v/>
      </c>
      <c r="T25" s="330" t="str">
        <f t="shared" si="9"/>
        <v>1969 Roosevelt Dime</v>
      </c>
      <c r="U25" s="330">
        <f>IFERROR(MATCH(T25,CoinCollection!O:O,0),"")</f>
        <v>1689</v>
      </c>
      <c r="V25" s="330" t="str">
        <f t="shared" si="0"/>
        <v>1980-P Roosevelt Dime</v>
      </c>
      <c r="W25" s="330">
        <f>IFERROR(MATCH(V25,CoinCollection!O:O,0),"")</f>
        <v>1698</v>
      </c>
      <c r="X25" s="330" t="str">
        <f t="shared" si="10"/>
        <v>1990-S Proof Roosevelt Dime</v>
      </c>
      <c r="Y25" s="330" t="str">
        <f>IFERROR(MATCH(X25,CoinCollection!O:O,0),"")</f>
        <v/>
      </c>
      <c r="Z25" s="330" t="str">
        <f t="shared" si="11"/>
        <v>1999-P Roosevelt Dime</v>
      </c>
      <c r="AA25" s="330">
        <f>IFERROR(MATCH(Z25,CoinCollection!O:O,0),"")</f>
        <v>1754</v>
      </c>
      <c r="AB25" s="330" t="str">
        <f t="shared" si="12"/>
        <v>2007-D Roosevelt Dime</v>
      </c>
      <c r="AC25" s="330" t="str">
        <f>IFERROR(MATCH(AB25,CoinCollection!O:O,0),"")</f>
        <v/>
      </c>
      <c r="AD25" s="330" t="str">
        <f t="shared" si="13"/>
        <v>2015-S Proof Roosevelt Dime</v>
      </c>
      <c r="AE25" s="330" t="str">
        <f>IFERROR(MATCH(AD25,CoinCollection!O:O,0),"")</f>
        <v/>
      </c>
      <c r="AF25" s="330" t="str">
        <f t="shared" si="14"/>
        <v>2023-S Silver Proof Roosevelt Dime</v>
      </c>
      <c r="AG25" s="330" t="str">
        <f>IFERROR(MATCH(AF25,CoinCollection!O:O,0),"")</f>
        <v/>
      </c>
      <c r="AI25" s="330" t="str">
        <v>1954-S</v>
      </c>
    </row>
    <row r="26" spans="1:35">
      <c r="A26" s="334" t="b">
        <f t="shared" si="15"/>
        <v>0</v>
      </c>
      <c r="B26" s="394" t="s">
        <v>866</v>
      </c>
      <c r="C26" s="354" t="b">
        <f t="shared" si="1"/>
        <v>1</v>
      </c>
      <c r="D26" s="342" t="s">
        <v>882</v>
      </c>
      <c r="E26" s="336" t="b">
        <f t="shared" si="2"/>
        <v>0</v>
      </c>
      <c r="F26" s="342" t="s">
        <v>896</v>
      </c>
      <c r="G26" s="336" t="b">
        <f t="shared" si="3"/>
        <v>1</v>
      </c>
      <c r="H26" s="342" t="s">
        <v>917</v>
      </c>
      <c r="I26" s="336" t="b">
        <f t="shared" si="4"/>
        <v>1</v>
      </c>
      <c r="J26" s="342" t="s">
        <v>934</v>
      </c>
      <c r="K26" s="336" t="b">
        <f t="shared" si="5"/>
        <v>0</v>
      </c>
      <c r="L26" s="342" t="s">
        <v>2550</v>
      </c>
      <c r="M26" s="336" t="b">
        <f t="shared" si="6"/>
        <v>0</v>
      </c>
      <c r="N26" s="342" t="s">
        <v>5128</v>
      </c>
      <c r="O26" s="336" t="b">
        <f t="shared" si="7"/>
        <v>0</v>
      </c>
      <c r="P26" s="344" t="s">
        <v>2571</v>
      </c>
      <c r="R26" t="str">
        <f t="shared" si="8"/>
        <v>1953-D Roosevelt Dime</v>
      </c>
      <c r="S26" s="330" t="str">
        <f>IFERROR(MATCH(R26,CoinCollection!O:O,0),"")</f>
        <v/>
      </c>
      <c r="T26" s="330" t="str">
        <f t="shared" si="9"/>
        <v>1969-D Roosevelt Dime</v>
      </c>
      <c r="U26" s="330">
        <f>IFERROR(MATCH(T26,CoinCollection!O:O,0),"")</f>
        <v>1690</v>
      </c>
      <c r="V26" s="330" t="str">
        <f t="shared" si="0"/>
        <v>1980-D Roosevelt Dime</v>
      </c>
      <c r="W26" s="330" t="str">
        <f>IFERROR(MATCH(V26,CoinCollection!O:O,0),"")</f>
        <v/>
      </c>
      <c r="X26" s="330" t="str">
        <f t="shared" si="10"/>
        <v>1991-P Roosevelt Dime</v>
      </c>
      <c r="Y26" s="330">
        <f>IFERROR(MATCH(X26,CoinCollection!O:O,0),"")</f>
        <v>1724</v>
      </c>
      <c r="Z26" s="330" t="str">
        <f t="shared" si="11"/>
        <v>1999-D Roosevelt Dime</v>
      </c>
      <c r="AA26" s="330">
        <f>IFERROR(MATCH(Z26,CoinCollection!O:O,0),"")</f>
        <v>1753</v>
      </c>
      <c r="AB26" s="330" t="str">
        <f t="shared" si="12"/>
        <v>2007-S Proof Roosevelt Dime</v>
      </c>
      <c r="AC26" s="330" t="str">
        <f>IFERROR(MATCH(AB26,CoinCollection!O:O,0),"")</f>
        <v/>
      </c>
      <c r="AD26" s="330" t="str">
        <f t="shared" si="13"/>
        <v>2015-S Silver Proof Roosevelt Dime</v>
      </c>
      <c r="AE26" s="330" t="str">
        <f>IFERROR(MATCH(AD26,CoinCollection!O:O,0),"")</f>
        <v/>
      </c>
      <c r="AF26" s="330" t="str">
        <f>P26&amp;" "&amp;$A$1</f>
        <v>2024-P Roosevelt Dime</v>
      </c>
      <c r="AG26" s="330" t="str">
        <f>IFERROR(MATCH(AF26,CoinCollection!O:O,0),"")</f>
        <v/>
      </c>
      <c r="AI26" s="330" t="str">
        <v>1955</v>
      </c>
    </row>
    <row r="27" spans="1:35">
      <c r="A27" s="334" t="b">
        <f t="shared" si="15"/>
        <v>0</v>
      </c>
      <c r="B27" s="365" t="s">
        <v>867</v>
      </c>
      <c r="C27" s="354" t="b">
        <f t="shared" si="1"/>
        <v>0</v>
      </c>
      <c r="D27" s="337" t="s">
        <v>4881</v>
      </c>
      <c r="E27" s="336" t="b">
        <f t="shared" si="2"/>
        <v>0</v>
      </c>
      <c r="F27" s="337" t="s">
        <v>2517</v>
      </c>
      <c r="G27" s="336" t="b">
        <f t="shared" si="3"/>
        <v>0</v>
      </c>
      <c r="H27" s="337" t="s">
        <v>918</v>
      </c>
      <c r="I27" s="336" t="b">
        <f t="shared" si="4"/>
        <v>0</v>
      </c>
      <c r="J27" s="337" t="s">
        <v>2542</v>
      </c>
      <c r="K27" s="336" t="b">
        <f t="shared" si="5"/>
        <v>0</v>
      </c>
      <c r="L27" s="337" t="s">
        <v>5120</v>
      </c>
      <c r="M27" s="336" t="b">
        <f t="shared" si="6"/>
        <v>1</v>
      </c>
      <c r="N27" s="337" t="s">
        <v>971</v>
      </c>
      <c r="O27" s="336" t="b">
        <f t="shared" si="7"/>
        <v>0</v>
      </c>
      <c r="P27" s="345" t="s">
        <v>2572</v>
      </c>
      <c r="R27" t="str">
        <f t="shared" si="8"/>
        <v>1953-S Roosevelt Dime</v>
      </c>
      <c r="S27" s="330" t="str">
        <f>IFERROR(MATCH(R27,CoinCollection!O:O,0),"")</f>
        <v/>
      </c>
      <c r="T27" s="330" t="str">
        <f t="shared" si="9"/>
        <v>1969-S Proof Roosevelt Dime</v>
      </c>
      <c r="U27" s="330" t="str">
        <f>IFERROR(MATCH(T27,CoinCollection!O:O,0),"")</f>
        <v/>
      </c>
      <c r="V27" s="330" t="str">
        <f t="shared" si="0"/>
        <v>1980-S Proof Roosevelt Dime</v>
      </c>
      <c r="W27" s="330" t="str">
        <f>IFERROR(MATCH(V27,CoinCollection!O:O,0),"")</f>
        <v/>
      </c>
      <c r="X27" s="330" t="str">
        <f t="shared" si="10"/>
        <v>1991-D Roosevelt Dime</v>
      </c>
      <c r="Y27" s="330" t="str">
        <f>IFERROR(MATCH(X27,CoinCollection!O:O,0),"")</f>
        <v/>
      </c>
      <c r="Z27" s="330" t="str">
        <f t="shared" si="11"/>
        <v>1999-S Proof Roosevelt Dime</v>
      </c>
      <c r="AA27" s="330" t="str">
        <f>IFERROR(MATCH(Z27,CoinCollection!O:O,0),"")</f>
        <v/>
      </c>
      <c r="AB27" s="330" t="str">
        <f t="shared" si="12"/>
        <v>2007-S Silver Proof Roosevelt Dime</v>
      </c>
      <c r="AC27" s="330" t="str">
        <f>IFERROR(MATCH(AB27,CoinCollection!O:O,0),"")</f>
        <v/>
      </c>
      <c r="AD27" s="330" t="str">
        <f t="shared" si="13"/>
        <v>2016-P Roosevelt Dime</v>
      </c>
      <c r="AE27" s="330">
        <f>IFERROR(MATCH(AD27,CoinCollection!O:O,0),"")</f>
        <v>1810</v>
      </c>
      <c r="AF27" s="330" t="str">
        <f t="shared" si="14"/>
        <v>2024-D Roosevelt Dime</v>
      </c>
      <c r="AG27" s="330" t="str">
        <f>IFERROR(MATCH(AF27,CoinCollection!O:O,0),"")</f>
        <v/>
      </c>
      <c r="AI27" s="330" t="str">
        <v>1955-D</v>
      </c>
    </row>
    <row r="28" spans="1:35">
      <c r="A28" s="334" t="b">
        <f t="shared" si="15"/>
        <v>1</v>
      </c>
      <c r="B28" s="394" t="s">
        <v>2484</v>
      </c>
      <c r="C28" s="354" t="b">
        <f t="shared" si="1"/>
        <v>1</v>
      </c>
      <c r="D28" s="342" t="s">
        <v>4186</v>
      </c>
      <c r="E28" s="336" t="b">
        <f t="shared" si="2"/>
        <v>1</v>
      </c>
      <c r="F28" s="342" t="s">
        <v>897</v>
      </c>
      <c r="G28" s="336" t="b">
        <f t="shared" si="3"/>
        <v>0</v>
      </c>
      <c r="H28" s="342" t="s">
        <v>2530</v>
      </c>
      <c r="I28" s="336" t="b">
        <f t="shared" si="4"/>
        <v>0</v>
      </c>
      <c r="J28" s="342" t="s">
        <v>5112</v>
      </c>
      <c r="K28" s="336" t="b">
        <f t="shared" si="5"/>
        <v>1</v>
      </c>
      <c r="L28" s="342" t="s">
        <v>955</v>
      </c>
      <c r="M28" s="336" t="b">
        <f t="shared" si="6"/>
        <v>1</v>
      </c>
      <c r="N28" s="342" t="s">
        <v>972</v>
      </c>
      <c r="O28" s="336" t="b">
        <f t="shared" si="7"/>
        <v>0</v>
      </c>
      <c r="P28" s="344" t="s">
        <v>4949</v>
      </c>
      <c r="R28" t="str">
        <f t="shared" si="8"/>
        <v>1954 Roosevelt Dime</v>
      </c>
      <c r="S28" s="330">
        <f>IFERROR(MATCH(R28,CoinCollection!O:O,0),"")</f>
        <v>1676</v>
      </c>
      <c r="T28" s="330" t="str">
        <f t="shared" si="9"/>
        <v>1970 Roosevelt Dime</v>
      </c>
      <c r="U28" s="330">
        <f>IFERROR(MATCH(T28,CoinCollection!O:O,0),"")</f>
        <v>1691</v>
      </c>
      <c r="V28" s="330" t="str">
        <f t="shared" si="0"/>
        <v>1981-P Roosevelt Dime</v>
      </c>
      <c r="W28" s="330">
        <f>IFERROR(MATCH(V28,CoinCollection!O:O,0),"")</f>
        <v>1699</v>
      </c>
      <c r="X28" s="330" t="str">
        <f t="shared" si="10"/>
        <v>1991-S Proof Roosevelt Dime</v>
      </c>
      <c r="Y28" s="330" t="str">
        <f>IFERROR(MATCH(X28,CoinCollection!O:O,0),"")</f>
        <v/>
      </c>
      <c r="Z28" s="330" t="str">
        <f t="shared" si="11"/>
        <v>1999-S Silver Proof Roosevelt Dime</v>
      </c>
      <c r="AA28" s="330" t="str">
        <f>IFERROR(MATCH(Z28,CoinCollection!O:O,0),"")</f>
        <v/>
      </c>
      <c r="AB28" s="330" t="str">
        <f t="shared" si="12"/>
        <v>2008-P Roosevelt Dime</v>
      </c>
      <c r="AC28" s="330">
        <f>IFERROR(MATCH(AB28,CoinCollection!O:O,0),"")</f>
        <v>1781</v>
      </c>
      <c r="AD28" s="330" t="str">
        <f t="shared" si="13"/>
        <v>2016-D Roosevelt Dime</v>
      </c>
      <c r="AE28" s="330">
        <f>IFERROR(MATCH(AD28,CoinCollection!O:O,0),"")</f>
        <v>1814</v>
      </c>
      <c r="AF28" s="330" t="str">
        <f t="shared" si="14"/>
        <v>2024-S Proof Roosevelt Dime</v>
      </c>
      <c r="AG28" s="330" t="str">
        <f>IFERROR(MATCH(AF28,CoinCollection!O:O,0),"")</f>
        <v/>
      </c>
      <c r="AI28" s="330" t="str">
        <v>1955-S</v>
      </c>
    </row>
    <row r="29" spans="1:35">
      <c r="A29" s="334" t="b">
        <f t="shared" si="15"/>
        <v>0</v>
      </c>
      <c r="B29" s="365" t="s">
        <v>868</v>
      </c>
      <c r="C29" s="354" t="b">
        <f t="shared" si="1"/>
        <v>1</v>
      </c>
      <c r="D29" s="337" t="s">
        <v>884</v>
      </c>
      <c r="E29" s="336" t="b">
        <f t="shared" si="2"/>
        <v>1</v>
      </c>
      <c r="F29" s="337" t="s">
        <v>898</v>
      </c>
      <c r="G29" s="336" t="b">
        <f t="shared" si="3"/>
        <v>1</v>
      </c>
      <c r="H29" s="337" t="s">
        <v>919</v>
      </c>
      <c r="I29" s="336" t="b">
        <f t="shared" si="4"/>
        <v>0</v>
      </c>
      <c r="J29" s="337" t="s">
        <v>935</v>
      </c>
      <c r="K29" s="336" t="b">
        <f t="shared" si="5"/>
        <v>1</v>
      </c>
      <c r="L29" s="337" t="s">
        <v>956</v>
      </c>
      <c r="M29" s="336" t="b">
        <f t="shared" si="6"/>
        <v>0</v>
      </c>
      <c r="N29" s="337" t="s">
        <v>2559</v>
      </c>
      <c r="O29" s="336" t="b">
        <f t="shared" si="7"/>
        <v>0</v>
      </c>
      <c r="P29" s="345" t="s">
        <v>5137</v>
      </c>
      <c r="R29" t="str">
        <f t="shared" si="8"/>
        <v>1954-D Roosevelt Dime</v>
      </c>
      <c r="S29" s="330" t="str">
        <f>IFERROR(MATCH(R29,CoinCollection!O:O,0),"")</f>
        <v/>
      </c>
      <c r="T29" s="330" t="str">
        <f t="shared" si="9"/>
        <v>1970-D Roosevelt Dime</v>
      </c>
      <c r="U29" s="330">
        <f>IFERROR(MATCH(T29,CoinCollection!O:O,0),"")</f>
        <v>1692</v>
      </c>
      <c r="V29" s="330" t="str">
        <f t="shared" si="0"/>
        <v>1981-D Roosevelt Dime</v>
      </c>
      <c r="W29" s="330">
        <f>IFERROR(MATCH(V29,CoinCollection!O:O,0),"")</f>
        <v>1700</v>
      </c>
      <c r="X29" s="330" t="str">
        <f t="shared" si="10"/>
        <v>1992-P Roosevelt Dime</v>
      </c>
      <c r="Y29" s="330">
        <f>IFERROR(MATCH(X29,CoinCollection!O:O,0),"")</f>
        <v>1726</v>
      </c>
      <c r="Z29" s="330" t="str">
        <f t="shared" si="11"/>
        <v>2000-P Roosevelt Dime</v>
      </c>
      <c r="AA29" s="330" t="str">
        <f>IFERROR(MATCH(Z29,CoinCollection!O:O,0),"")</f>
        <v/>
      </c>
      <c r="AB29" s="330" t="str">
        <f t="shared" si="12"/>
        <v>2008-D Roosevelt Dime</v>
      </c>
      <c r="AC29" s="330">
        <f>IFERROR(MATCH(AB29,CoinCollection!O:O,0),"")</f>
        <v>1780</v>
      </c>
      <c r="AD29" s="330" t="str">
        <f t="shared" si="13"/>
        <v>2016-S Proof Roosevelt Dime</v>
      </c>
      <c r="AE29" s="330" t="str">
        <f>IFERROR(MATCH(AD29,CoinCollection!O:O,0),"")</f>
        <v/>
      </c>
      <c r="AF29" s="330" t="str">
        <f t="shared" si="14"/>
        <v>2024-S Silver Proof Roosevelt Dime</v>
      </c>
      <c r="AG29" s="330" t="str">
        <f>IFERROR(MATCH(AF29,CoinCollection!O:O,0),"")</f>
        <v/>
      </c>
      <c r="AI29" s="330" t="str">
        <v>1956</v>
      </c>
    </row>
    <row r="30" spans="1:35">
      <c r="A30" s="334" t="b">
        <f t="shared" si="15"/>
        <v>0</v>
      </c>
      <c r="B30" s="394" t="s">
        <v>869</v>
      </c>
      <c r="C30" s="354" t="b">
        <f t="shared" si="1"/>
        <v>0</v>
      </c>
      <c r="D30" s="342" t="s">
        <v>4886</v>
      </c>
      <c r="E30" s="336" t="b">
        <f t="shared" si="2"/>
        <v>0</v>
      </c>
      <c r="F30" s="342" t="s">
        <v>5102</v>
      </c>
      <c r="G30" s="336" t="b">
        <f t="shared" si="3"/>
        <v>1</v>
      </c>
      <c r="H30" s="342" t="s">
        <v>920</v>
      </c>
      <c r="I30" s="336" t="b">
        <f t="shared" si="4"/>
        <v>1</v>
      </c>
      <c r="J30" s="342" t="s">
        <v>936</v>
      </c>
      <c r="K30" s="336" t="b">
        <f t="shared" si="5"/>
        <v>0</v>
      </c>
      <c r="L30" s="342" t="s">
        <v>2551</v>
      </c>
      <c r="M30" s="336" t="b">
        <f t="shared" si="6"/>
        <v>0</v>
      </c>
      <c r="N30" s="342" t="s">
        <v>5129</v>
      </c>
      <c r="O30" s="336" t="b">
        <f t="shared" si="7"/>
        <v>0</v>
      </c>
      <c r="P30" s="344" t="s">
        <v>3981</v>
      </c>
      <c r="R30" t="str">
        <f t="shared" si="8"/>
        <v>1954-S Roosevelt Dime</v>
      </c>
      <c r="S30" s="330" t="str">
        <f>IFERROR(MATCH(R30,CoinCollection!O:O,0),"")</f>
        <v/>
      </c>
      <c r="T30" s="330" t="str">
        <f t="shared" si="9"/>
        <v>1970-S Proof Roosevelt Dime</v>
      </c>
      <c r="U30" s="330" t="str">
        <f>IFERROR(MATCH(T30,CoinCollection!O:O,0),"")</f>
        <v/>
      </c>
      <c r="V30" s="330" t="str">
        <f t="shared" si="0"/>
        <v>1981-S Proof, Filled “S” Roosevelt Dime</v>
      </c>
      <c r="W30" s="330" t="str">
        <f>IFERROR(MATCH(V30,CoinCollection!O:O,0),"")</f>
        <v/>
      </c>
      <c r="X30" s="330" t="str">
        <f t="shared" si="10"/>
        <v>1992-D Roosevelt Dime</v>
      </c>
      <c r="Y30" s="330">
        <f>IFERROR(MATCH(X30,CoinCollection!O:O,0),"")</f>
        <v>1725</v>
      </c>
      <c r="Z30" s="330" t="str">
        <f t="shared" si="11"/>
        <v>2000-D Roosevelt Dime</v>
      </c>
      <c r="AA30" s="330">
        <f>IFERROR(MATCH(Z30,CoinCollection!O:O,0),"")</f>
        <v>1757</v>
      </c>
      <c r="AB30" s="330" t="str">
        <f t="shared" si="12"/>
        <v>2008-S Proof Roosevelt Dime</v>
      </c>
      <c r="AC30" s="330" t="str">
        <f>IFERROR(MATCH(AB30,CoinCollection!O:O,0),"")</f>
        <v/>
      </c>
      <c r="AD30" s="330" t="str">
        <f t="shared" si="13"/>
        <v>2016-S Silver Proof Roosevelt Dime</v>
      </c>
      <c r="AE30" s="330" t="str">
        <f>IFERROR(MATCH(AD30,CoinCollection!O:O,0),"")</f>
        <v/>
      </c>
      <c r="AF30" s="330" t="str">
        <f t="shared" si="14"/>
        <v>2025-P Roosevelt Dime</v>
      </c>
      <c r="AG30" s="330" t="str">
        <f>IFERROR(MATCH(AF30,CoinCollection!O:O,0),"")</f>
        <v/>
      </c>
      <c r="AI30" s="330" t="str">
        <v>1956-D</v>
      </c>
    </row>
    <row r="31" spans="1:35">
      <c r="A31" s="334" t="b">
        <f t="shared" si="15"/>
        <v>0</v>
      </c>
      <c r="B31" s="365" t="s">
        <v>2485</v>
      </c>
      <c r="C31" s="354" t="b">
        <f t="shared" si="1"/>
        <v>0</v>
      </c>
      <c r="D31" s="337" t="s">
        <v>2498</v>
      </c>
      <c r="E31" s="336" t="b">
        <f t="shared" si="2"/>
        <v>0</v>
      </c>
      <c r="F31" s="337" t="s">
        <v>5103</v>
      </c>
      <c r="G31" s="336" t="b">
        <f t="shared" si="3"/>
        <v>0</v>
      </c>
      <c r="H31" s="337" t="s">
        <v>2532</v>
      </c>
      <c r="I31" s="336" t="b">
        <f t="shared" si="4"/>
        <v>0</v>
      </c>
      <c r="J31" s="337" t="s">
        <v>2543</v>
      </c>
      <c r="K31" s="336" t="b">
        <f t="shared" si="5"/>
        <v>0</v>
      </c>
      <c r="L31" s="337" t="s">
        <v>5121</v>
      </c>
      <c r="M31" s="336" t="b">
        <f t="shared" si="6"/>
        <v>1</v>
      </c>
      <c r="N31" s="337" t="s">
        <v>973</v>
      </c>
      <c r="O31" s="336" t="b">
        <f t="shared" si="7"/>
        <v>0</v>
      </c>
      <c r="P31" s="345" t="s">
        <v>3982</v>
      </c>
      <c r="R31" t="str">
        <f t="shared" si="8"/>
        <v>1955 Roosevelt Dime</v>
      </c>
      <c r="S31" s="330" t="str">
        <f>IFERROR(MATCH(R31,CoinCollection!O:O,0),"")</f>
        <v/>
      </c>
      <c r="T31" s="330" t="str">
        <f t="shared" si="9"/>
        <v>1971 Roosevelt Dime</v>
      </c>
      <c r="U31" s="330" t="str">
        <f>IFERROR(MATCH(T31,CoinCollection!O:O,0),"")</f>
        <v/>
      </c>
      <c r="V31" s="330" t="str">
        <f t="shared" si="0"/>
        <v>1981-S Proof, Clear “S” Roosevelt Dime</v>
      </c>
      <c r="W31" s="330" t="str">
        <f>IFERROR(MATCH(V31,CoinCollection!O:O,0),"")</f>
        <v/>
      </c>
      <c r="X31" s="330" t="str">
        <f t="shared" si="10"/>
        <v>1992-S Proof Roosevelt Dime</v>
      </c>
      <c r="Y31" s="330" t="str">
        <f>IFERROR(MATCH(X31,CoinCollection!O:O,0),"")</f>
        <v/>
      </c>
      <c r="Z31" s="330" t="str">
        <f t="shared" si="11"/>
        <v>2000-S Proof Roosevelt Dime</v>
      </c>
      <c r="AA31" s="330" t="str">
        <f>IFERROR(MATCH(Z31,CoinCollection!O:O,0),"")</f>
        <v/>
      </c>
      <c r="AB31" s="330" t="str">
        <f t="shared" si="12"/>
        <v>2008-S Silver Proof Roosevelt Dime</v>
      </c>
      <c r="AC31" s="330" t="str">
        <f>IFERROR(MATCH(AB31,CoinCollection!O:O,0),"")</f>
        <v/>
      </c>
      <c r="AD31" s="330" t="str">
        <f t="shared" si="13"/>
        <v>2017-P Roosevelt Dime</v>
      </c>
      <c r="AE31" s="330">
        <f>IFERROR(MATCH(AD31,CoinCollection!O:O,0),"")</f>
        <v>1819</v>
      </c>
      <c r="AF31" s="330" t="str">
        <f t="shared" si="14"/>
        <v>2025-D Roosevelt Dime</v>
      </c>
      <c r="AG31" s="330" t="str">
        <f>IFERROR(MATCH(AF31,CoinCollection!O:O,0),"")</f>
        <v/>
      </c>
      <c r="AI31" s="330" t="str">
        <v>1957-D</v>
      </c>
    </row>
    <row r="32" spans="1:35">
      <c r="A32" s="334" t="b">
        <f t="shared" si="15"/>
        <v>0</v>
      </c>
      <c r="B32" s="394" t="s">
        <v>870</v>
      </c>
      <c r="C32" s="354" t="b">
        <f t="shared" si="1"/>
        <v>0</v>
      </c>
      <c r="D32" s="342" t="s">
        <v>886</v>
      </c>
      <c r="E32" s="336" t="b">
        <f t="shared" si="2"/>
        <v>1</v>
      </c>
      <c r="F32" s="342" t="s">
        <v>899</v>
      </c>
      <c r="G32" s="336" t="b">
        <f t="shared" si="3"/>
        <v>0</v>
      </c>
      <c r="H32" s="342" t="s">
        <v>5104</v>
      </c>
      <c r="I32" s="336" t="b">
        <f t="shared" si="4"/>
        <v>0</v>
      </c>
      <c r="J32" s="342" t="s">
        <v>5113</v>
      </c>
      <c r="K32" s="336" t="b">
        <f t="shared" si="5"/>
        <v>0</v>
      </c>
      <c r="L32" s="342" t="s">
        <v>957</v>
      </c>
      <c r="M32" s="336" t="b">
        <f t="shared" si="6"/>
        <v>0</v>
      </c>
      <c r="N32" s="342" t="s">
        <v>974</v>
      </c>
      <c r="O32" s="336" t="b">
        <f t="shared" si="7"/>
        <v>0</v>
      </c>
      <c r="P32" s="344" t="s">
        <v>4950</v>
      </c>
      <c r="R32" t="str">
        <f t="shared" si="8"/>
        <v>1955-D Roosevelt Dime</v>
      </c>
      <c r="S32" s="330" t="str">
        <f>IFERROR(MATCH(R32,CoinCollection!O:O,0),"")</f>
        <v/>
      </c>
      <c r="T32" s="330" t="str">
        <f t="shared" si="9"/>
        <v>1971-D Roosevelt Dime</v>
      </c>
      <c r="U32" s="330" t="str">
        <f>IFERROR(MATCH(T32,CoinCollection!O:O,0),"")</f>
        <v/>
      </c>
      <c r="V32" s="330" t="str">
        <f t="shared" si="0"/>
        <v>1982-P Roosevelt Dime</v>
      </c>
      <c r="W32" s="330">
        <f>IFERROR(MATCH(V32,CoinCollection!O:O,0),"")</f>
        <v>1702</v>
      </c>
      <c r="X32" s="330" t="str">
        <f t="shared" si="10"/>
        <v>1992-S Silver Proof Roosevelt Dime</v>
      </c>
      <c r="Y32" s="330" t="str">
        <f>IFERROR(MATCH(X32,CoinCollection!O:O,0),"")</f>
        <v/>
      </c>
      <c r="Z32" s="330" t="str">
        <f t="shared" si="11"/>
        <v>2000-S Silver Proof Roosevelt Dime</v>
      </c>
      <c r="AA32" s="330" t="str">
        <f>IFERROR(MATCH(Z32,CoinCollection!O:O,0),"")</f>
        <v/>
      </c>
      <c r="AB32" s="330" t="str">
        <f t="shared" si="12"/>
        <v>2009-P Roosevelt Dime</v>
      </c>
      <c r="AC32" s="330" t="str">
        <f>IFERROR(MATCH(AB32,CoinCollection!O:O,0),"")</f>
        <v/>
      </c>
      <c r="AD32" s="330" t="str">
        <f t="shared" si="13"/>
        <v>2017-D Roosevelt Dime</v>
      </c>
      <c r="AE32" s="330" t="str">
        <f>IFERROR(MATCH(AD32,CoinCollection!O:O,0),"")</f>
        <v/>
      </c>
      <c r="AF32" s="330" t="str">
        <f t="shared" si="14"/>
        <v>2025-S Proof Roosevelt Dime</v>
      </c>
      <c r="AG32" s="330" t="str">
        <f>IFERROR(MATCH(AF32,CoinCollection!O:O,0),"")</f>
        <v/>
      </c>
      <c r="AI32" s="330" t="str">
        <v>1958</v>
      </c>
    </row>
    <row r="33" spans="1:35">
      <c r="A33" s="334" t="b">
        <f t="shared" si="15"/>
        <v>0</v>
      </c>
      <c r="B33" s="365" t="s">
        <v>4915</v>
      </c>
      <c r="C33" s="354" t="b">
        <f t="shared" si="1"/>
        <v>0</v>
      </c>
      <c r="D33" s="337" t="s">
        <v>2499</v>
      </c>
      <c r="E33" s="336" t="b">
        <f t="shared" si="2"/>
        <v>0</v>
      </c>
      <c r="F33" s="337" t="s">
        <v>900</v>
      </c>
      <c r="G33" s="336" t="b">
        <f t="shared" si="3"/>
        <v>1</v>
      </c>
      <c r="H33" s="337" t="s">
        <v>921</v>
      </c>
      <c r="I33" s="336" t="b">
        <f t="shared" si="4"/>
        <v>0</v>
      </c>
      <c r="J33" s="337" t="s">
        <v>937</v>
      </c>
      <c r="K33" s="336" t="b">
        <f t="shared" si="5"/>
        <v>0</v>
      </c>
      <c r="L33" s="337" t="s">
        <v>958</v>
      </c>
      <c r="M33" s="336" t="b">
        <f t="shared" si="6"/>
        <v>0</v>
      </c>
      <c r="N33" s="337" t="s">
        <v>2560</v>
      </c>
      <c r="O33" s="336" t="b">
        <f t="shared" si="7"/>
        <v>0</v>
      </c>
      <c r="P33" s="345" t="s">
        <v>5138</v>
      </c>
      <c r="R33" t="str">
        <f t="shared" si="8"/>
        <v>1955-S Roosevelt Dime</v>
      </c>
      <c r="S33" s="330" t="str">
        <f>IFERROR(MATCH(R33,CoinCollection!O:O,0),"")</f>
        <v/>
      </c>
      <c r="T33" s="330" t="str">
        <f t="shared" si="9"/>
        <v>1971-S Proof Roosevelt Dime</v>
      </c>
      <c r="U33" s="330" t="str">
        <f>IFERROR(MATCH(T33,CoinCollection!O:O,0),"")</f>
        <v/>
      </c>
      <c r="V33" s="330" t="str">
        <f t="shared" si="0"/>
        <v>1982-D Roosevelt Dime</v>
      </c>
      <c r="W33" s="330" t="str">
        <f>IFERROR(MATCH(V33,CoinCollection!O:O,0),"")</f>
        <v/>
      </c>
      <c r="X33" s="330" t="str">
        <f t="shared" si="10"/>
        <v>1993-P Roosevelt Dime</v>
      </c>
      <c r="Y33" s="330">
        <f>IFERROR(MATCH(X33,CoinCollection!O:O,0),"")</f>
        <v>1728</v>
      </c>
      <c r="Z33" s="330" t="str">
        <f t="shared" si="11"/>
        <v>2001-P Roosevelt Dime</v>
      </c>
      <c r="AA33" s="330" t="str">
        <f>IFERROR(MATCH(Z33,CoinCollection!O:O,0),"")</f>
        <v/>
      </c>
      <c r="AB33" s="330" t="str">
        <f t="shared" si="12"/>
        <v>2009-D Roosevelt Dime</v>
      </c>
      <c r="AC33" s="330" t="str">
        <f>IFERROR(MATCH(AB33,CoinCollection!O:O,0),"")</f>
        <v/>
      </c>
      <c r="AD33" s="330" t="str">
        <f t="shared" si="13"/>
        <v>2017-S Proof Roosevelt Dime</v>
      </c>
      <c r="AE33" s="330" t="str">
        <f>IFERROR(MATCH(AD33,CoinCollection!O:O,0),"")</f>
        <v/>
      </c>
      <c r="AF33" s="330" t="str">
        <f t="shared" si="14"/>
        <v>2025-S Silver Proof Roosevelt Dime</v>
      </c>
      <c r="AG33" s="330" t="str">
        <f>IFERROR(MATCH(AF33,CoinCollection!O:O,0),"")</f>
        <v/>
      </c>
      <c r="AI33" s="330" t="str">
        <v>1958-D</v>
      </c>
    </row>
    <row r="34" spans="1:35">
      <c r="A34" s="334" t="b">
        <f t="shared" si="15"/>
        <v>0</v>
      </c>
      <c r="B34" s="394" t="s">
        <v>2486</v>
      </c>
      <c r="C34" s="354" t="b">
        <f t="shared" si="1"/>
        <v>0</v>
      </c>
      <c r="D34" s="342" t="s">
        <v>2500</v>
      </c>
      <c r="E34" s="336" t="b">
        <f t="shared" si="2"/>
        <v>0</v>
      </c>
      <c r="F34" s="342" t="s">
        <v>2519</v>
      </c>
      <c r="G34" s="336" t="b">
        <f t="shared" si="3"/>
        <v>1</v>
      </c>
      <c r="H34" s="342" t="s">
        <v>922</v>
      </c>
      <c r="I34" s="336" t="b">
        <f t="shared" si="4"/>
        <v>1</v>
      </c>
      <c r="J34" s="342" t="s">
        <v>938</v>
      </c>
      <c r="K34" s="336" t="b">
        <f t="shared" si="5"/>
        <v>0</v>
      </c>
      <c r="L34" s="342" t="s">
        <v>2552</v>
      </c>
      <c r="M34" s="336" t="b">
        <f t="shared" si="6"/>
        <v>0</v>
      </c>
      <c r="N34" s="342" t="s">
        <v>5130</v>
      </c>
      <c r="O34" s="336" t="b">
        <f t="shared" si="7"/>
        <v>1</v>
      </c>
      <c r="P34" s="495" t="s">
        <v>4820</v>
      </c>
      <c r="R34" t="str">
        <f t="shared" si="8"/>
        <v>1956 Roosevelt Dime</v>
      </c>
      <c r="S34" s="330" t="str">
        <f>IFERROR(MATCH(R34,CoinCollection!O:O,0),"")</f>
        <v/>
      </c>
      <c r="T34" s="330" t="str">
        <f t="shared" si="9"/>
        <v>1972 Roosevelt Dime</v>
      </c>
      <c r="U34" s="330" t="str">
        <f>IFERROR(MATCH(T34,CoinCollection!O:O,0),"")</f>
        <v/>
      </c>
      <c r="V34" s="330" t="str">
        <f t="shared" si="0"/>
        <v>1982-S Proof Roosevelt Dime</v>
      </c>
      <c r="W34" s="330" t="str">
        <f>IFERROR(MATCH(V34,CoinCollection!O:O,0),"")</f>
        <v/>
      </c>
      <c r="X34" s="330" t="str">
        <f t="shared" si="10"/>
        <v>1993-D Roosevelt Dime</v>
      </c>
      <c r="Y34" s="330">
        <f>IFERROR(MATCH(X34,CoinCollection!O:O,0),"")</f>
        <v>1731</v>
      </c>
      <c r="Z34" s="330" t="str">
        <f t="shared" si="11"/>
        <v>2001-D Roosevelt Dime</v>
      </c>
      <c r="AA34" s="330">
        <f>IFERROR(MATCH(Z34,CoinCollection!O:O,0),"")</f>
        <v>1759</v>
      </c>
      <c r="AB34" s="330" t="str">
        <f t="shared" si="12"/>
        <v>2009-S Proof Roosevelt Dime</v>
      </c>
      <c r="AC34" s="330" t="str">
        <f>IFERROR(MATCH(AB34,CoinCollection!O:O,0),"")</f>
        <v/>
      </c>
      <c r="AD34" s="330" t="str">
        <f t="shared" si="13"/>
        <v>2017-S Silver Proof Roosevelt Dime</v>
      </c>
      <c r="AE34" s="330" t="str">
        <f>IFERROR(MATCH(AD34,CoinCollection!O:O,0),"")</f>
        <v/>
      </c>
      <c r="AF34" s="330" t="str">
        <f t="shared" si="14"/>
        <v>2026-P Roosevelt Dime</v>
      </c>
      <c r="AG34" s="330">
        <f>IFERROR(MATCH(AF34,CoinCollection!O:O,0),"")</f>
        <v>1846</v>
      </c>
      <c r="AI34" s="330" t="str">
        <v>1959</v>
      </c>
    </row>
    <row r="35" spans="1:35">
      <c r="A35" s="334" t="b">
        <f t="shared" si="15"/>
        <v>0</v>
      </c>
      <c r="B35" s="365" t="s">
        <v>871</v>
      </c>
      <c r="C35" s="354" t="b">
        <f t="shared" si="1"/>
        <v>0</v>
      </c>
      <c r="D35" s="337" t="s">
        <v>887</v>
      </c>
      <c r="E35" s="336" t="b">
        <f t="shared" si="2"/>
        <v>0</v>
      </c>
      <c r="F35" s="337" t="s">
        <v>901</v>
      </c>
      <c r="G35" s="336" t="b">
        <f t="shared" si="3"/>
        <v>0</v>
      </c>
      <c r="H35" s="337" t="s">
        <v>2533</v>
      </c>
      <c r="I35" s="336" t="b">
        <f t="shared" si="4"/>
        <v>0</v>
      </c>
      <c r="J35" s="337" t="s">
        <v>2544</v>
      </c>
      <c r="K35" s="336" t="b">
        <f t="shared" si="5"/>
        <v>0</v>
      </c>
      <c r="L35" s="337" t="s">
        <v>5122</v>
      </c>
      <c r="M35" s="336" t="b">
        <f t="shared" si="6"/>
        <v>1</v>
      </c>
      <c r="N35" s="337" t="s">
        <v>975</v>
      </c>
      <c r="O35" s="336" t="b">
        <f>IF(AG35&lt;&gt;"",TRUE,FALSE)</f>
        <v>1</v>
      </c>
      <c r="P35" s="496" t="s">
        <v>4821</v>
      </c>
      <c r="R35" t="str">
        <f t="shared" si="8"/>
        <v>1956-D Roosevelt Dime</v>
      </c>
      <c r="S35" s="330" t="str">
        <f>IFERROR(MATCH(R35,CoinCollection!O:O,0),"")</f>
        <v/>
      </c>
      <c r="T35" s="330" t="str">
        <f t="shared" si="9"/>
        <v>1972-D Roosevelt Dime</v>
      </c>
      <c r="U35" s="330" t="str">
        <f>IFERROR(MATCH(T35,CoinCollection!O:O,0),"")</f>
        <v/>
      </c>
      <c r="V35" s="330" t="str">
        <f t="shared" si="0"/>
        <v>1983-P Roosevelt Dime</v>
      </c>
      <c r="W35" s="330" t="str">
        <f>IFERROR(MATCH(V35,CoinCollection!O:O,0),"")</f>
        <v/>
      </c>
      <c r="X35" s="330" t="str">
        <f t="shared" si="10"/>
        <v>1993-S Proof Roosevelt Dime</v>
      </c>
      <c r="Y35" s="330" t="str">
        <f>IFERROR(MATCH(X35,CoinCollection!O:O,0),"")</f>
        <v/>
      </c>
      <c r="Z35" s="330" t="str">
        <f t="shared" si="11"/>
        <v>2001-S Proof Roosevelt Dime</v>
      </c>
      <c r="AA35" s="330" t="str">
        <f>IFERROR(MATCH(Z35,CoinCollection!O:O,0),"")</f>
        <v/>
      </c>
      <c r="AB35" s="330" t="str">
        <f t="shared" si="12"/>
        <v>2009-S Silver Proof Roosevelt Dime</v>
      </c>
      <c r="AC35" s="330" t="str">
        <f>IFERROR(MATCH(AB35,CoinCollection!O:O,0),"")</f>
        <v/>
      </c>
      <c r="AD35" s="330" t="str">
        <f t="shared" si="13"/>
        <v>2018-P Roosevelt Dime</v>
      </c>
      <c r="AE35" s="330">
        <f>IFERROR(MATCH(AD35,CoinCollection!O:O,0),"")</f>
        <v>1824</v>
      </c>
      <c r="AF35" s="330" t="str">
        <f t="shared" si="14"/>
        <v>2026-D Roosevelt Dime</v>
      </c>
      <c r="AG35" s="330">
        <f>IFERROR(MATCH(AF35,CoinCollection!O:O,0),"")</f>
        <v>1845</v>
      </c>
      <c r="AI35" s="330" t="str">
        <v>1959-D</v>
      </c>
    </row>
    <row r="36" spans="1:35">
      <c r="A36" s="334" t="b">
        <f t="shared" si="15"/>
        <v>1</v>
      </c>
      <c r="B36" s="394" t="s">
        <v>2487</v>
      </c>
      <c r="C36" s="354" t="b">
        <f t="shared" si="1"/>
        <v>0</v>
      </c>
      <c r="D36" s="342" t="s">
        <v>2501</v>
      </c>
      <c r="E36" s="530" t="s">
        <v>53</v>
      </c>
      <c r="F36" s="530" t="s">
        <v>53</v>
      </c>
      <c r="G36" s="530" t="s">
        <v>53</v>
      </c>
      <c r="H36" s="530" t="s">
        <v>53</v>
      </c>
      <c r="I36" s="530" t="s">
        <v>53</v>
      </c>
      <c r="J36" s="530" t="s">
        <v>53</v>
      </c>
      <c r="K36" s="530" t="s">
        <v>53</v>
      </c>
      <c r="L36" s="530" t="s">
        <v>53</v>
      </c>
      <c r="M36" s="530" t="s">
        <v>53</v>
      </c>
      <c r="N36" s="530" t="s">
        <v>53</v>
      </c>
      <c r="O36" s="342"/>
      <c r="P36" s="531" t="s">
        <v>53</v>
      </c>
      <c r="Q36" s="330" t="str">
        <f t="shared" ref="Q36:Q37" si="16">CLEAN(TRIM(P36))</f>
        <v/>
      </c>
      <c r="R36" t="str">
        <f t="shared" si="8"/>
        <v>1957 Roosevelt Dime</v>
      </c>
      <c r="S36" s="330">
        <f>IFERROR(MATCH(R36,CoinCollection!O:O,0),"")</f>
        <v>1677</v>
      </c>
      <c r="T36" s="330" t="str">
        <f t="shared" si="9"/>
        <v>1972-S Proof Roosevelt Dime</v>
      </c>
      <c r="U36" s="330" t="str">
        <f>IFERROR(MATCH(T36,CoinCollection!O:O,0),"")</f>
        <v/>
      </c>
      <c r="V36" s="330" t="str">
        <f t="shared" si="0"/>
        <v xml:space="preserve">  Roosevelt Dime</v>
      </c>
      <c r="X36" s="330" t="str">
        <f t="shared" si="10"/>
        <v xml:space="preserve">  Roosevelt Dime</v>
      </c>
      <c r="Z36" s="330" t="str">
        <f t="shared" si="11"/>
        <v xml:space="preserve">  Roosevelt Dime</v>
      </c>
      <c r="AB36" s="330" t="str">
        <f t="shared" si="12"/>
        <v xml:space="preserve">  Roosevelt Dime</v>
      </c>
      <c r="AD36" s="330" t="str">
        <f t="shared" si="13"/>
        <v xml:space="preserve">  Roosevelt Dime</v>
      </c>
      <c r="AF36" s="330" t="str">
        <f t="shared" si="14"/>
        <v xml:space="preserve">  Roosevelt Dime</v>
      </c>
      <c r="AI36" s="330" t="str">
        <v>1960-D</v>
      </c>
    </row>
    <row r="37" spans="1:35">
      <c r="B37" s="395"/>
      <c r="C37" s="347"/>
      <c r="D37" s="347" t="s">
        <v>1183</v>
      </c>
      <c r="E37" s="347"/>
      <c r="F37" s="347" t="s">
        <v>4836</v>
      </c>
      <c r="G37" s="347"/>
      <c r="H37" s="347" t="s">
        <v>4837</v>
      </c>
      <c r="I37" s="347"/>
      <c r="J37" s="347" t="s">
        <v>4838</v>
      </c>
      <c r="K37" s="347"/>
      <c r="L37" s="347" t="s">
        <v>4839</v>
      </c>
      <c r="M37" s="347" t="s">
        <v>4896</v>
      </c>
      <c r="N37" s="347" t="s">
        <v>1183</v>
      </c>
      <c r="O37" s="347"/>
      <c r="P37" s="368"/>
      <c r="Q37" s="330" t="str">
        <f t="shared" si="16"/>
        <v/>
      </c>
      <c r="AI37" s="330" t="str">
        <v>1961</v>
      </c>
    </row>
    <row r="38" spans="1:35">
      <c r="B38" s="339">
        <f>COUNTA(B4:B36)</f>
        <v>33</v>
      </c>
      <c r="D38" s="330">
        <f>COUNTA(D3:D36)</f>
        <v>34</v>
      </c>
      <c r="F38" s="330">
        <f>COUNTA(F3:F35)</f>
        <v>33</v>
      </c>
      <c r="H38" s="330">
        <f>COUNTA(H3:H35)</f>
        <v>33</v>
      </c>
      <c r="J38" s="330">
        <f>COUNTA(J3:J35)</f>
        <v>33</v>
      </c>
      <c r="L38" s="330">
        <f>COUNTA(L3:L35)</f>
        <v>33</v>
      </c>
      <c r="N38" s="330">
        <f>COUNTA(N3:N35)</f>
        <v>33</v>
      </c>
      <c r="P38" s="330">
        <f>COUNTA(P3:P33)</f>
        <v>31</v>
      </c>
      <c r="Q38" s="330">
        <f>SUM(B38:P38)</f>
        <v>263</v>
      </c>
      <c r="AI38" s="330" t="str">
        <v>1961-D</v>
      </c>
    </row>
    <row r="39" spans="1:35">
      <c r="AI39" s="330" t="str">
        <v>1962</v>
      </c>
    </row>
    <row r="40" spans="1:35">
      <c r="AI40" s="330" t="str">
        <v>1962-D</v>
      </c>
    </row>
    <row r="41" spans="1:35">
      <c r="B41" s="419" t="s">
        <v>4668</v>
      </c>
      <c r="C41" s="349">
        <f>COUNTIF(A3:P36,"=False")</f>
        <v>185</v>
      </c>
      <c r="Q41" s="330">
        <f>COUNTA(_xlfn.ANCHORARRAY(AI3))</f>
        <v>160</v>
      </c>
      <c r="AI41" s="330" t="str">
        <v>1963-D</v>
      </c>
    </row>
    <row r="42" spans="1:35">
      <c r="B42" s="419" t="s">
        <v>4669</v>
      </c>
      <c r="C42" s="349">
        <f>COUNTIF(A3:P36,"=True")</f>
        <v>80</v>
      </c>
      <c r="AI42" s="330" t="str">
        <v>1964</v>
      </c>
    </row>
    <row r="43" spans="1:35">
      <c r="C43" s="330">
        <f>SUM(C41:C42)</f>
        <v>265</v>
      </c>
      <c r="AI43" s="330" t="str">
        <v>Clad</v>
      </c>
    </row>
    <row r="44" spans="1:35">
      <c r="AI44" s="330" t="str">
        <v>1968</v>
      </c>
    </row>
    <row r="45" spans="1:35">
      <c r="AI45" s="330" t="str">
        <v>1968-D</v>
      </c>
    </row>
    <row r="46" spans="1:35">
      <c r="AI46" s="330" t="str">
        <v>1968-S Proof</v>
      </c>
    </row>
    <row r="47" spans="1:35">
      <c r="AI47" s="330" t="str">
        <v>1969-S Proof</v>
      </c>
    </row>
    <row r="48" spans="1:35">
      <c r="AI48" s="330" t="str">
        <v>1970-S Proof</v>
      </c>
    </row>
    <row r="49" spans="35:35">
      <c r="AI49" s="330" t="str">
        <v>1971</v>
      </c>
    </row>
    <row r="50" spans="35:35">
      <c r="AI50" s="330" t="str">
        <v>1971-D</v>
      </c>
    </row>
    <row r="51" spans="35:35">
      <c r="AI51" s="330" t="str">
        <v>1971-S Proof</v>
      </c>
    </row>
    <row r="52" spans="35:35">
      <c r="AI52" s="330" t="str">
        <v>1972</v>
      </c>
    </row>
    <row r="53" spans="35:35">
      <c r="AI53" s="330" t="str">
        <v>1972-D</v>
      </c>
    </row>
    <row r="54" spans="35:35">
      <c r="AI54" s="330" t="str">
        <v>1972-S Proof</v>
      </c>
    </row>
    <row r="55" spans="35:35">
      <c r="AI55" s="330" t="str">
        <v>1973</v>
      </c>
    </row>
    <row r="56" spans="35:35">
      <c r="AI56" s="330" t="str">
        <v>1973-D</v>
      </c>
    </row>
    <row r="57" spans="35:35">
      <c r="AI57" s="330" t="str">
        <v>1973-S Proof</v>
      </c>
    </row>
    <row r="58" spans="35:35">
      <c r="AI58" s="330" t="str">
        <v>1974-D</v>
      </c>
    </row>
    <row r="59" spans="35:35">
      <c r="AI59" s="330" t="str">
        <v>1974-S Proof</v>
      </c>
    </row>
    <row r="60" spans="35:35">
      <c r="AI60" s="330" t="str">
        <v>1975-D</v>
      </c>
    </row>
    <row r="61" spans="35:35">
      <c r="AI61" s="330" t="str">
        <v>1975-S Proof</v>
      </c>
    </row>
    <row r="62" spans="35:35">
      <c r="AI62" s="330" t="str">
        <v>1976</v>
      </c>
    </row>
    <row r="63" spans="35:35">
      <c r="AI63" s="330" t="str">
        <v>1976-D</v>
      </c>
    </row>
    <row r="64" spans="35:35">
      <c r="AI64" s="330" t="str">
        <v>1976-S Proof</v>
      </c>
    </row>
    <row r="65" spans="35:35">
      <c r="AI65" s="330" t="str">
        <v>1977-S Proof</v>
      </c>
    </row>
    <row r="66" spans="35:35">
      <c r="AI66" s="330" t="str">
        <v>1978-D</v>
      </c>
    </row>
    <row r="67" spans="35:35">
      <c r="AI67" s="330" t="str">
        <v>1978-S Proof</v>
      </c>
    </row>
    <row r="68" spans="35:35">
      <c r="AI68" s="330" t="str">
        <v>1979</v>
      </c>
    </row>
    <row r="69" spans="35:35">
      <c r="AI69" s="330" t="str">
        <v>1979-D</v>
      </c>
    </row>
    <row r="70" spans="35:35">
      <c r="AI70" s="330" t="str">
        <v>1979-S Proof, Filled “S”</v>
      </c>
    </row>
    <row r="71" spans="35:35">
      <c r="AI71" s="330" t="str">
        <v>1979-S Proof, Clear “S”</v>
      </c>
    </row>
    <row r="72" spans="35:35">
      <c r="AI72" s="330" t="str">
        <v>1980-D</v>
      </c>
    </row>
    <row r="73" spans="35:35">
      <c r="AI73" s="330" t="str">
        <v>1980-S Proof</v>
      </c>
    </row>
    <row r="74" spans="35:35">
      <c r="AI74" s="330" t="str">
        <v>1981-S Proof, Filled “S”</v>
      </c>
    </row>
    <row r="75" spans="35:35">
      <c r="AI75" s="330" t="str">
        <v>1981-S Proof, Clear “S”</v>
      </c>
    </row>
    <row r="76" spans="35:35">
      <c r="AI76" s="330" t="str">
        <v>1982-D</v>
      </c>
    </row>
    <row r="77" spans="35:35">
      <c r="AI77" s="330" t="str">
        <v>1982-S Proof</v>
      </c>
    </row>
    <row r="78" spans="35:35">
      <c r="AI78" s="330" t="str">
        <v>1983-P</v>
      </c>
    </row>
    <row r="79" spans="35:35">
      <c r="AI79" s="330" t="str">
        <v>1983-S Proof</v>
      </c>
    </row>
    <row r="80" spans="35:35">
      <c r="AI80" s="330" t="str">
        <v>1984-D</v>
      </c>
    </row>
    <row r="81" spans="35:35">
      <c r="AI81" s="330" t="str">
        <v>1984-S Proof</v>
      </c>
    </row>
    <row r="82" spans="35:35">
      <c r="AI82" s="330" t="str">
        <v>1985-S Proof</v>
      </c>
    </row>
    <row r="83" spans="35:35">
      <c r="AI83" s="330" t="str">
        <v>1986-D</v>
      </c>
    </row>
    <row r="84" spans="35:35">
      <c r="AI84" s="330" t="str">
        <v>1986-S Proof</v>
      </c>
    </row>
    <row r="85" spans="35:35">
      <c r="AI85" s="330" t="str">
        <v>1987-P</v>
      </c>
    </row>
    <row r="86" spans="35:35">
      <c r="AI86" s="330" t="str">
        <v>1987-S Proof</v>
      </c>
    </row>
    <row r="87" spans="35:35">
      <c r="AI87" s="330" t="str">
        <v>1988-P</v>
      </c>
    </row>
    <row r="88" spans="35:35">
      <c r="AI88" s="330" t="str">
        <v>1988-S Proof</v>
      </c>
    </row>
    <row r="89" spans="35:35">
      <c r="AI89" s="330" t="str">
        <v>1989-D</v>
      </c>
    </row>
    <row r="90" spans="35:35">
      <c r="AI90" s="330" t="str">
        <v>1989-S Proof</v>
      </c>
    </row>
    <row r="91" spans="35:35">
      <c r="AI91" s="330" t="str">
        <v>1990-D</v>
      </c>
    </row>
    <row r="92" spans="35:35">
      <c r="AI92" s="330" t="str">
        <v>1990-S Proof</v>
      </c>
    </row>
    <row r="93" spans="35:35">
      <c r="AI93" s="330" t="str">
        <v>1991-D</v>
      </c>
    </row>
    <row r="94" spans="35:35">
      <c r="AI94" s="330" t="str">
        <v>1991-S Proof</v>
      </c>
    </row>
    <row r="95" spans="35:35">
      <c r="AI95" s="330" t="str">
        <v>1992-S Proof</v>
      </c>
    </row>
    <row r="96" spans="35:35">
      <c r="AI96" s="330" t="str">
        <v>1992-S Silver Proof</v>
      </c>
    </row>
    <row r="97" spans="35:35">
      <c r="AI97" s="330" t="str">
        <v>1993-S Proof</v>
      </c>
    </row>
    <row r="98" spans="35:35">
      <c r="AI98" s="330" t="str">
        <v>1993-S Silver Proof</v>
      </c>
    </row>
    <row r="99" spans="35:35">
      <c r="AI99" s="330" t="str">
        <v>1994-S Proof</v>
      </c>
    </row>
    <row r="100" spans="35:35">
      <c r="AI100" s="330" t="str">
        <v>1994-S Silver Proof</v>
      </c>
    </row>
    <row r="101" spans="35:35">
      <c r="AI101" s="330" t="str">
        <v>1995-D</v>
      </c>
    </row>
    <row r="102" spans="35:35">
      <c r="AI102" s="330" t="str">
        <v>1995-S Proof</v>
      </c>
    </row>
    <row r="103" spans="35:35">
      <c r="AI103" s="330" t="str">
        <v>1995-S Silver Proof</v>
      </c>
    </row>
    <row r="104" spans="35:35">
      <c r="AI104" s="330" t="str">
        <v>1996-S Proof</v>
      </c>
    </row>
    <row r="105" spans="35:35">
      <c r="AI105" s="330" t="str">
        <v>1996-S Silver Proof</v>
      </c>
    </row>
    <row r="106" spans="35:35">
      <c r="AI106" s="330" t="str">
        <v>1996-W*</v>
      </c>
    </row>
    <row r="107" spans="35:35">
      <c r="AI107" s="330" t="str">
        <v>1997-S Proof</v>
      </c>
    </row>
    <row r="108" spans="35:35">
      <c r="AI108" s="330" t="str">
        <v>1997-S Silver Proof</v>
      </c>
    </row>
    <row r="109" spans="35:35">
      <c r="AI109" s="330" t="str">
        <v>1998-S Proof</v>
      </c>
    </row>
    <row r="110" spans="35:35">
      <c r="AI110" s="330" t="str">
        <v>1998-S Silver Proof</v>
      </c>
    </row>
    <row r="111" spans="35:35">
      <c r="AI111" s="330" t="str">
        <v>1999-S Proof</v>
      </c>
    </row>
    <row r="112" spans="35:35">
      <c r="AI112" s="330" t="str">
        <v>1999-S Silver Proof</v>
      </c>
    </row>
    <row r="113" spans="35:35">
      <c r="AI113" s="330" t="str">
        <v>2000-P</v>
      </c>
    </row>
    <row r="114" spans="35:35">
      <c r="AI114" s="330" t="str">
        <v>2000-S Proof</v>
      </c>
    </row>
    <row r="115" spans="35:35">
      <c r="AI115" s="330" t="str">
        <v>2000-S Silver Proof</v>
      </c>
    </row>
    <row r="116" spans="35:35">
      <c r="AI116" s="330" t="str">
        <v>2001-P</v>
      </c>
    </row>
    <row r="117" spans="35:35">
      <c r="AI117" s="330" t="str">
        <v>2001-S Proof</v>
      </c>
    </row>
    <row r="118" spans="35:35">
      <c r="AI118" s="330" t="str">
        <v>2001-S Silver Proof</v>
      </c>
    </row>
    <row r="119" spans="35:35">
      <c r="AI119" s="330" t="str">
        <v>2002-S Proof</v>
      </c>
    </row>
    <row r="120" spans="35:35">
      <c r="AI120" s="330" t="str">
        <v>2002-S Silver Proof</v>
      </c>
    </row>
    <row r="121" spans="35:35">
      <c r="AI121" s="330" t="str">
        <v>2003-D</v>
      </c>
    </row>
    <row r="122" spans="35:35">
      <c r="AI122" s="330" t="str">
        <v>2003-S Proof</v>
      </c>
    </row>
    <row r="123" spans="35:35">
      <c r="AI123" s="330" t="str">
        <v>2003-S Silver Proof</v>
      </c>
    </row>
    <row r="124" spans="35:35">
      <c r="AI124" s="330" t="str">
        <v>2004-D</v>
      </c>
    </row>
    <row r="125" spans="35:35">
      <c r="AI125" s="330" t="str">
        <v>2004-S Proof</v>
      </c>
    </row>
    <row r="126" spans="35:35">
      <c r="AI126" s="330" t="str">
        <v>2004-S Silver Proof</v>
      </c>
    </row>
    <row r="127" spans="35:35">
      <c r="AI127" s="330" t="str">
        <v>2005-S Proof</v>
      </c>
    </row>
    <row r="128" spans="35:35">
      <c r="AI128" s="330" t="str">
        <v>2005-S Silver Proof</v>
      </c>
    </row>
    <row r="129" spans="35:35">
      <c r="AI129" s="330" t="str">
        <v>2006-D</v>
      </c>
    </row>
    <row r="130" spans="35:35">
      <c r="AI130" s="330" t="str">
        <v>2006-S Proof</v>
      </c>
    </row>
    <row r="131" spans="35:35">
      <c r="AI131" s="330" t="str">
        <v>2006-S Silver Proof</v>
      </c>
    </row>
    <row r="132" spans="35:35">
      <c r="AI132" s="330" t="str">
        <v>2007-D</v>
      </c>
    </row>
    <row r="133" spans="35:35">
      <c r="AI133" s="330" t="str">
        <v>2007-S Proof</v>
      </c>
    </row>
    <row r="134" spans="35:35">
      <c r="AI134" s="330" t="str">
        <v>2007-S Silver Proof</v>
      </c>
    </row>
    <row r="135" spans="35:35">
      <c r="AI135" s="330" t="str">
        <v>2008-S Proof</v>
      </c>
    </row>
    <row r="136" spans="35:35">
      <c r="AI136" s="330" t="str">
        <v>2008-S Silver Proof</v>
      </c>
    </row>
    <row r="137" spans="35:35">
      <c r="AI137" s="330" t="str">
        <v>2009-P</v>
      </c>
    </row>
    <row r="138" spans="35:35">
      <c r="AI138" s="330" t="str">
        <v>2009-D</v>
      </c>
    </row>
    <row r="139" spans="35:35">
      <c r="AI139" s="330" t="str">
        <v>2009-S Proof</v>
      </c>
    </row>
    <row r="140" spans="35:35">
      <c r="AI140" s="330" t="str">
        <v>2009-S Silver Proof</v>
      </c>
    </row>
    <row r="141" spans="35:35">
      <c r="AI141" s="330" t="str">
        <v>2010-D</v>
      </c>
    </row>
    <row r="142" spans="35:35">
      <c r="AI142" s="330" t="str">
        <v>2010-S Proof</v>
      </c>
    </row>
    <row r="143" spans="35:35">
      <c r="AI143" s="330" t="str">
        <v>2010-S Silver Proof</v>
      </c>
    </row>
    <row r="144" spans="35:35">
      <c r="AI144" s="330" t="str">
        <v>2011-S Proof</v>
      </c>
    </row>
    <row r="145" spans="1:35">
      <c r="AI145" s="330" t="str">
        <v>2011-S Silver Proof</v>
      </c>
    </row>
    <row r="146" spans="1:35">
      <c r="AI146" s="330" t="str">
        <v>2012-D</v>
      </c>
    </row>
    <row r="147" spans="1:35">
      <c r="AI147" s="330" t="str">
        <v>2012-S Proof</v>
      </c>
    </row>
    <row r="148" spans="1:35">
      <c r="AI148" s="330" t="str">
        <v>2012-S Silver Proof</v>
      </c>
    </row>
    <row r="149" spans="1:35">
      <c r="AI149" s="330" t="str">
        <v>2013-D</v>
      </c>
    </row>
    <row r="150" spans="1:35">
      <c r="AI150" s="330" t="str">
        <v>2013-S Proof</v>
      </c>
    </row>
    <row r="151" spans="1:35" hidden="1">
      <c r="A151" s="253" t="s">
        <v>2236</v>
      </c>
      <c r="AI151" s="330" t="str">
        <v>2013-S Silver Proof</v>
      </c>
    </row>
    <row r="152" spans="1:35" hidden="1">
      <c r="A152" s="383" t="s">
        <v>53</v>
      </c>
      <c r="B152" s="417" t="s">
        <v>3</v>
      </c>
      <c r="C152" s="332"/>
      <c r="D152" s="332" t="s">
        <v>4802</v>
      </c>
      <c r="E152" s="332"/>
      <c r="F152" s="332" t="s">
        <v>4804</v>
      </c>
      <c r="G152" s="332"/>
      <c r="H152" s="332" t="s">
        <v>4808</v>
      </c>
      <c r="I152" s="332"/>
      <c r="J152" s="332" t="s">
        <v>4809</v>
      </c>
      <c r="K152" s="332"/>
      <c r="L152" s="332" t="s">
        <v>4812</v>
      </c>
      <c r="M152" s="332" t="s">
        <v>4810</v>
      </c>
      <c r="N152" s="382" t="s">
        <v>4811</v>
      </c>
      <c r="O152" s="382"/>
      <c r="P152" s="333" t="s">
        <v>4855</v>
      </c>
      <c r="AI152" s="330" t="str">
        <v>2014-D</v>
      </c>
    </row>
    <row r="153" spans="1:35" hidden="1">
      <c r="A153" s="383" t="s">
        <v>53</v>
      </c>
      <c r="B153" s="418" t="s">
        <v>4831</v>
      </c>
      <c r="C153" s="354" t="b">
        <v>0</v>
      </c>
      <c r="D153" s="337" t="s">
        <v>4959</v>
      </c>
      <c r="E153" s="336" t="b">
        <v>0</v>
      </c>
      <c r="F153" s="337" t="s">
        <v>4727</v>
      </c>
      <c r="G153" s="336" t="b">
        <v>1</v>
      </c>
      <c r="H153" s="337" t="s">
        <v>4718</v>
      </c>
      <c r="I153" s="336" t="b">
        <v>0</v>
      </c>
      <c r="J153" s="337" t="s">
        <v>4862</v>
      </c>
      <c r="K153" s="336" t="b">
        <v>0</v>
      </c>
      <c r="L153" s="337" t="s">
        <v>5010</v>
      </c>
      <c r="M153" s="336" t="b">
        <v>1</v>
      </c>
      <c r="N153" s="337" t="s">
        <v>5042</v>
      </c>
      <c r="O153" s="336" t="b">
        <v>0</v>
      </c>
      <c r="P153" s="345" t="s">
        <v>5075</v>
      </c>
      <c r="AI153" s="330" t="str">
        <v>2014-S Proof</v>
      </c>
    </row>
    <row r="154" spans="1:35" hidden="1">
      <c r="A154" s="334" t="b">
        <v>1</v>
      </c>
      <c r="B154" s="394">
        <v>1946</v>
      </c>
      <c r="C154" s="341" t="b">
        <v>0</v>
      </c>
      <c r="D154" s="342" t="s">
        <v>4960</v>
      </c>
      <c r="E154" s="341" t="b">
        <v>0</v>
      </c>
      <c r="F154" s="342" t="s">
        <v>4732</v>
      </c>
      <c r="G154" s="341" t="b">
        <v>0</v>
      </c>
      <c r="H154" s="342" t="s">
        <v>4720</v>
      </c>
      <c r="I154" s="341" t="b">
        <v>1</v>
      </c>
      <c r="J154" s="342" t="s">
        <v>4864</v>
      </c>
      <c r="K154" s="341" t="b">
        <v>1</v>
      </c>
      <c r="L154" s="342" t="s">
        <v>5011</v>
      </c>
      <c r="M154" s="341" t="b">
        <v>0</v>
      </c>
      <c r="N154" s="342" t="s">
        <v>5043</v>
      </c>
      <c r="O154" s="341" t="b">
        <v>0</v>
      </c>
      <c r="P154" s="344" t="s">
        <v>5076</v>
      </c>
      <c r="AI154" s="330" t="str">
        <v>2014-S Silver Proof</v>
      </c>
    </row>
    <row r="155" spans="1:35" hidden="1">
      <c r="A155" s="334" t="b">
        <v>0</v>
      </c>
      <c r="B155" s="365" t="s">
        <v>4759</v>
      </c>
      <c r="C155" s="336" t="b">
        <v>0</v>
      </c>
      <c r="D155" s="337" t="s">
        <v>4961</v>
      </c>
      <c r="E155" s="336" t="b">
        <v>0</v>
      </c>
      <c r="F155" s="337" t="s">
        <v>4738</v>
      </c>
      <c r="G155" s="336" t="b">
        <v>0</v>
      </c>
      <c r="H155" s="337" t="s">
        <v>4863</v>
      </c>
      <c r="I155" s="336" t="b">
        <v>1</v>
      </c>
      <c r="J155" s="337" t="s">
        <v>4687</v>
      </c>
      <c r="K155" s="336" t="b">
        <v>1</v>
      </c>
      <c r="L155" s="337" t="s">
        <v>5012</v>
      </c>
      <c r="M155" s="336" t="b">
        <v>0</v>
      </c>
      <c r="N155" s="337" t="s">
        <v>5044</v>
      </c>
      <c r="O155" s="336" t="b">
        <v>0</v>
      </c>
      <c r="P155" s="345" t="s">
        <v>5077</v>
      </c>
      <c r="AI155" s="330" t="str">
        <v>2015-D</v>
      </c>
    </row>
    <row r="156" spans="1:35" hidden="1">
      <c r="A156" s="334" t="b">
        <v>0</v>
      </c>
      <c r="B156" s="394" t="s">
        <v>4762</v>
      </c>
      <c r="C156" s="341" t="b">
        <v>0</v>
      </c>
      <c r="D156" s="342" t="s">
        <v>4962</v>
      </c>
      <c r="E156" s="341" t="b">
        <v>1</v>
      </c>
      <c r="F156" s="342" t="s">
        <v>4741</v>
      </c>
      <c r="G156" s="341" t="b">
        <v>1</v>
      </c>
      <c r="H156" s="342" t="s">
        <v>4728</v>
      </c>
      <c r="I156" s="341" t="b">
        <v>0</v>
      </c>
      <c r="J156" s="342" t="s">
        <v>4866</v>
      </c>
      <c r="K156" s="341" t="b">
        <v>0</v>
      </c>
      <c r="L156" s="342" t="s">
        <v>5013</v>
      </c>
      <c r="M156" s="341" t="b">
        <v>0</v>
      </c>
      <c r="N156" s="342" t="s">
        <v>5045</v>
      </c>
      <c r="O156" s="341" t="b">
        <v>1</v>
      </c>
      <c r="P156" s="344" t="s">
        <v>5078</v>
      </c>
      <c r="AI156" s="330" t="str">
        <v>2015-S Proof</v>
      </c>
    </row>
    <row r="157" spans="1:35" hidden="1">
      <c r="A157" s="334" t="b">
        <v>0</v>
      </c>
      <c r="B157" s="365" t="s">
        <v>4765</v>
      </c>
      <c r="C157" s="336" t="b">
        <v>0</v>
      </c>
      <c r="D157" s="337" t="s">
        <v>4963</v>
      </c>
      <c r="E157" s="336" t="b">
        <v>0</v>
      </c>
      <c r="F157" s="337" t="s">
        <v>4743</v>
      </c>
      <c r="G157" s="336" t="b">
        <v>0</v>
      </c>
      <c r="H157" s="337" t="s">
        <v>4733</v>
      </c>
      <c r="I157" s="336" t="b">
        <v>0</v>
      </c>
      <c r="J157" s="337" t="s">
        <v>4868</v>
      </c>
      <c r="K157" s="336" t="b">
        <v>0</v>
      </c>
      <c r="L157" s="337" t="s">
        <v>5014</v>
      </c>
      <c r="M157" s="336" t="b">
        <v>1</v>
      </c>
      <c r="N157" s="337" t="s">
        <v>5046</v>
      </c>
      <c r="O157" s="336" t="b">
        <v>0</v>
      </c>
      <c r="P157" s="345" t="s">
        <v>5079</v>
      </c>
      <c r="AI157" s="330" t="str">
        <v>2015-S Silver Proof</v>
      </c>
    </row>
    <row r="158" spans="1:35" hidden="1">
      <c r="A158" s="334" t="b">
        <v>0</v>
      </c>
      <c r="B158" s="394" t="s">
        <v>4767</v>
      </c>
      <c r="C158" s="341" t="b">
        <v>1</v>
      </c>
      <c r="D158" s="342" t="s">
        <v>4964</v>
      </c>
      <c r="E158" s="341" t="b">
        <v>0</v>
      </c>
      <c r="F158" s="342" t="s">
        <v>4745</v>
      </c>
      <c r="G158" s="341" t="b">
        <v>1</v>
      </c>
      <c r="H158" s="342" t="s">
        <v>4867</v>
      </c>
      <c r="I158" s="341" t="b">
        <v>1</v>
      </c>
      <c r="J158" s="342" t="s">
        <v>4869</v>
      </c>
      <c r="K158" s="341" t="b">
        <v>1</v>
      </c>
      <c r="L158" s="342" t="s">
        <v>5015</v>
      </c>
      <c r="M158" s="341" t="b">
        <v>1</v>
      </c>
      <c r="N158" s="342" t="s">
        <v>5047</v>
      </c>
      <c r="O158" s="341" t="b">
        <v>0</v>
      </c>
      <c r="P158" s="344" t="s">
        <v>5080</v>
      </c>
      <c r="AI158" s="330" t="str">
        <v>2016-S Proof</v>
      </c>
    </row>
    <row r="159" spans="1:35" hidden="1">
      <c r="A159" s="334" t="b">
        <v>0</v>
      </c>
      <c r="B159" s="365" t="s">
        <v>4770</v>
      </c>
      <c r="C159" s="336" t="b">
        <v>0</v>
      </c>
      <c r="D159" s="337" t="s">
        <v>4965</v>
      </c>
      <c r="E159" s="336" t="b">
        <v>1</v>
      </c>
      <c r="F159" s="337" t="s">
        <v>4991</v>
      </c>
      <c r="G159" s="336" t="b">
        <v>1</v>
      </c>
      <c r="H159" s="337" t="s">
        <v>4742</v>
      </c>
      <c r="I159" s="336" t="b">
        <v>0</v>
      </c>
      <c r="J159" s="337" t="s">
        <v>4699</v>
      </c>
      <c r="K159" s="336" t="b">
        <v>0</v>
      </c>
      <c r="L159" s="337" t="s">
        <v>5016</v>
      </c>
      <c r="M159" s="336" t="b">
        <v>0</v>
      </c>
      <c r="N159" s="337" t="s">
        <v>5048</v>
      </c>
      <c r="O159" s="336" t="b">
        <v>0</v>
      </c>
      <c r="P159" s="345" t="s">
        <v>5081</v>
      </c>
      <c r="AI159" s="330" t="str">
        <v>2016-S Silver Proof</v>
      </c>
    </row>
    <row r="160" spans="1:35" hidden="1">
      <c r="A160" s="334" t="b">
        <v>0</v>
      </c>
      <c r="B160" s="394" t="s">
        <v>4773</v>
      </c>
      <c r="C160" s="341" t="b">
        <v>0</v>
      </c>
      <c r="D160" s="342" t="s">
        <v>4966</v>
      </c>
      <c r="E160" s="341" t="b">
        <v>0</v>
      </c>
      <c r="F160" s="342" t="s">
        <v>4992</v>
      </c>
      <c r="G160" s="341" t="b">
        <v>0</v>
      </c>
      <c r="H160" s="342" t="s">
        <v>4744</v>
      </c>
      <c r="I160" s="341" t="b">
        <v>0</v>
      </c>
      <c r="J160" s="342" t="s">
        <v>4705</v>
      </c>
      <c r="K160" s="341" t="b">
        <v>0</v>
      </c>
      <c r="L160" s="342" t="s">
        <v>5017</v>
      </c>
      <c r="M160" s="341" t="b">
        <v>0</v>
      </c>
      <c r="N160" s="342" t="s">
        <v>5049</v>
      </c>
      <c r="O160" s="341" t="b">
        <v>1</v>
      </c>
      <c r="P160" s="344" t="s">
        <v>5082</v>
      </c>
      <c r="AI160" s="330" t="str">
        <v>2017-D</v>
      </c>
    </row>
    <row r="161" spans="1:35" hidden="1">
      <c r="A161" s="334" t="b">
        <v>0</v>
      </c>
      <c r="B161" s="365" t="s">
        <v>4776</v>
      </c>
      <c r="C161" s="336" t="b">
        <v>0</v>
      </c>
      <c r="D161" s="337" t="s">
        <v>4967</v>
      </c>
      <c r="E161" s="336" t="b">
        <v>0</v>
      </c>
      <c r="F161" s="337" t="s">
        <v>4993</v>
      </c>
      <c r="G161" s="336" t="b">
        <v>1</v>
      </c>
      <c r="H161" s="337" t="s">
        <v>4870</v>
      </c>
      <c r="I161" s="336" t="b">
        <v>0</v>
      </c>
      <c r="J161" s="337" t="s">
        <v>4871</v>
      </c>
      <c r="K161" s="336" t="b">
        <v>0</v>
      </c>
      <c r="L161" s="337" t="s">
        <v>5018</v>
      </c>
      <c r="M161" s="336" t="b">
        <v>1</v>
      </c>
      <c r="N161" s="337" t="s">
        <v>5050</v>
      </c>
      <c r="O161" s="336" t="b">
        <v>0</v>
      </c>
      <c r="P161" s="345" t="s">
        <v>5083</v>
      </c>
      <c r="AI161" s="330" t="str">
        <v>2017-S Proof</v>
      </c>
    </row>
    <row r="162" spans="1:35" hidden="1">
      <c r="A162" s="334" t="b">
        <v>0</v>
      </c>
      <c r="B162" s="394" t="s">
        <v>4780</v>
      </c>
      <c r="C162" s="341" t="b">
        <v>0</v>
      </c>
      <c r="D162" s="342" t="s">
        <v>4968</v>
      </c>
      <c r="E162" s="341" t="b">
        <v>0</v>
      </c>
      <c r="F162" s="342" t="s">
        <v>4753</v>
      </c>
      <c r="G162" s="341" t="b">
        <v>0</v>
      </c>
      <c r="H162" s="342" t="s">
        <v>4748</v>
      </c>
      <c r="I162" s="341" t="b">
        <v>1</v>
      </c>
      <c r="J162" s="342" t="s">
        <v>4872</v>
      </c>
      <c r="K162" s="341" t="b">
        <v>1</v>
      </c>
      <c r="L162" s="342" t="s">
        <v>5019</v>
      </c>
      <c r="M162" s="341" t="b">
        <v>0</v>
      </c>
      <c r="N162" s="342" t="s">
        <v>5051</v>
      </c>
      <c r="O162" s="341" t="b">
        <v>0</v>
      </c>
      <c r="P162" s="344" t="s">
        <v>5084</v>
      </c>
      <c r="AI162" s="330" t="str">
        <v>2017-S Silver Proof</v>
      </c>
    </row>
    <row r="163" spans="1:35" hidden="1">
      <c r="A163" s="334" t="b">
        <v>0</v>
      </c>
      <c r="B163" s="365" t="s">
        <v>4784</v>
      </c>
      <c r="C163" s="336" t="b">
        <v>0</v>
      </c>
      <c r="D163" s="337" t="s">
        <v>4969</v>
      </c>
      <c r="E163" s="336" t="b">
        <v>0</v>
      </c>
      <c r="F163" s="337" t="s">
        <v>4756</v>
      </c>
      <c r="G163" s="336" t="b">
        <v>0</v>
      </c>
      <c r="H163" s="337" t="s">
        <v>4751</v>
      </c>
      <c r="I163" s="336" t="b">
        <v>1</v>
      </c>
      <c r="J163" s="337" t="s">
        <v>4712</v>
      </c>
      <c r="K163" s="336" t="b">
        <v>0</v>
      </c>
      <c r="L163" s="337" t="s">
        <v>5020</v>
      </c>
      <c r="M163" s="336" t="b">
        <v>0</v>
      </c>
      <c r="N163" s="337" t="s">
        <v>5052</v>
      </c>
      <c r="O163" s="336" t="b">
        <v>0</v>
      </c>
      <c r="P163" s="345" t="s">
        <v>5085</v>
      </c>
    </row>
    <row r="164" spans="1:35" hidden="1">
      <c r="A164" s="334" t="b">
        <v>0</v>
      </c>
      <c r="B164" s="394" t="s">
        <v>4785</v>
      </c>
      <c r="C164" s="341" t="b">
        <v>1</v>
      </c>
      <c r="D164" s="342" t="s">
        <v>4970</v>
      </c>
      <c r="E164" s="341" t="b">
        <v>0</v>
      </c>
      <c r="F164" s="342" t="s">
        <v>4758</v>
      </c>
      <c r="G164" s="341" t="b">
        <v>0</v>
      </c>
      <c r="H164" s="342" t="s">
        <v>4873</v>
      </c>
      <c r="I164" s="341" t="b">
        <v>0</v>
      </c>
      <c r="J164" s="342" t="s">
        <v>4716</v>
      </c>
      <c r="K164" s="341" t="b">
        <v>0</v>
      </c>
      <c r="L164" s="342" t="s">
        <v>5021</v>
      </c>
      <c r="M164" s="341" t="b">
        <v>0</v>
      </c>
      <c r="N164" s="342" t="s">
        <v>5053</v>
      </c>
      <c r="O164" s="341" t="b">
        <v>1</v>
      </c>
      <c r="P164" s="344" t="s">
        <v>4890</v>
      </c>
    </row>
    <row r="165" spans="1:35" hidden="1">
      <c r="A165" s="334" t="b">
        <v>0</v>
      </c>
      <c r="B165" s="365" t="s">
        <v>4957</v>
      </c>
      <c r="C165" s="336" t="b">
        <v>0</v>
      </c>
      <c r="D165" s="337" t="s">
        <v>4971</v>
      </c>
      <c r="E165" s="336" t="b">
        <v>0</v>
      </c>
      <c r="F165" s="337" t="s">
        <v>4760</v>
      </c>
      <c r="G165" s="336" t="b">
        <v>1</v>
      </c>
      <c r="H165" s="337" t="s">
        <v>4754</v>
      </c>
      <c r="I165" s="336" t="b">
        <v>0</v>
      </c>
      <c r="J165" s="337" t="s">
        <v>4874</v>
      </c>
      <c r="K165" s="336" t="b">
        <v>0</v>
      </c>
      <c r="L165" s="337" t="s">
        <v>5022</v>
      </c>
      <c r="M165" s="336" t="b">
        <v>1</v>
      </c>
      <c r="N165" s="337" t="s">
        <v>5054</v>
      </c>
      <c r="O165" s="336" t="b">
        <v>0</v>
      </c>
      <c r="P165" s="345" t="s">
        <v>4749</v>
      </c>
    </row>
    <row r="166" spans="1:35" hidden="1">
      <c r="A166" s="334" t="b">
        <v>0</v>
      </c>
      <c r="B166" s="394" t="s">
        <v>4788</v>
      </c>
      <c r="C166" s="341" t="b">
        <v>0</v>
      </c>
      <c r="D166" s="342" t="s">
        <v>4972</v>
      </c>
      <c r="E166" s="341" t="b">
        <v>1</v>
      </c>
      <c r="F166" s="342" t="s">
        <v>4763</v>
      </c>
      <c r="G166" s="341" t="b">
        <v>0</v>
      </c>
      <c r="H166" s="342" t="s">
        <v>4757</v>
      </c>
      <c r="I166" s="341" t="b">
        <v>0</v>
      </c>
      <c r="J166" s="342" t="s">
        <v>4998</v>
      </c>
      <c r="K166" s="341" t="b">
        <v>1</v>
      </c>
      <c r="L166" s="342" t="s">
        <v>5023</v>
      </c>
      <c r="M166" s="341" t="b">
        <v>0</v>
      </c>
      <c r="N166" s="342" t="s">
        <v>5055</v>
      </c>
      <c r="O166" s="341" t="b">
        <v>0</v>
      </c>
      <c r="P166" s="344" t="s">
        <v>4752</v>
      </c>
    </row>
    <row r="167" spans="1:35" hidden="1">
      <c r="A167" s="334" t="b">
        <v>0</v>
      </c>
      <c r="B167" s="365" t="s">
        <v>4790</v>
      </c>
      <c r="C167" s="336" t="b">
        <v>1</v>
      </c>
      <c r="D167" s="337" t="s">
        <v>4973</v>
      </c>
      <c r="E167" s="336" t="b">
        <v>0</v>
      </c>
      <c r="F167" s="337" t="s">
        <v>4766</v>
      </c>
      <c r="G167" s="336" t="b">
        <v>0</v>
      </c>
      <c r="H167" s="337" t="s">
        <v>4875</v>
      </c>
      <c r="I167" s="336" t="b">
        <v>1</v>
      </c>
      <c r="J167" s="337" t="s">
        <v>4876</v>
      </c>
      <c r="K167" s="336" t="b">
        <v>1</v>
      </c>
      <c r="L167" s="337" t="s">
        <v>5024</v>
      </c>
      <c r="M167" s="336" t="b">
        <v>0</v>
      </c>
      <c r="N167" s="337" t="s">
        <v>5056</v>
      </c>
      <c r="O167" s="336" t="b">
        <v>0</v>
      </c>
      <c r="P167" s="345" t="s">
        <v>4893</v>
      </c>
    </row>
    <row r="168" spans="1:35" hidden="1">
      <c r="A168" s="334" t="b">
        <v>0</v>
      </c>
      <c r="B168" s="394" t="s">
        <v>4793</v>
      </c>
      <c r="C168" s="341" t="b">
        <v>0</v>
      </c>
      <c r="D168" s="342" t="s">
        <v>4895</v>
      </c>
      <c r="E168" s="341" t="b">
        <v>1</v>
      </c>
      <c r="F168" s="342" t="s">
        <v>4768</v>
      </c>
      <c r="G168" s="341" t="b">
        <v>1</v>
      </c>
      <c r="H168" s="342" t="s">
        <v>4761</v>
      </c>
      <c r="I168" s="341" t="b">
        <v>1</v>
      </c>
      <c r="J168" s="342" t="s">
        <v>4721</v>
      </c>
      <c r="K168" s="341" t="b">
        <v>0</v>
      </c>
      <c r="L168" s="342" t="s">
        <v>5025</v>
      </c>
      <c r="M168" s="341" t="b">
        <v>0</v>
      </c>
      <c r="N168" s="342" t="s">
        <v>5057</v>
      </c>
      <c r="O168" s="341" t="b">
        <v>1</v>
      </c>
      <c r="P168" s="344" t="s">
        <v>5086</v>
      </c>
    </row>
    <row r="169" spans="1:35" hidden="1">
      <c r="A169" s="334" t="b">
        <v>1</v>
      </c>
      <c r="B169" s="365" t="s">
        <v>4796</v>
      </c>
      <c r="C169" s="336" t="b">
        <v>1</v>
      </c>
      <c r="D169" s="337" t="s">
        <v>4974</v>
      </c>
      <c r="E169" s="336" t="b">
        <v>0</v>
      </c>
      <c r="F169" s="337" t="s">
        <v>4771</v>
      </c>
      <c r="G169" s="336" t="b">
        <v>0</v>
      </c>
      <c r="H169" s="337" t="s">
        <v>4764</v>
      </c>
      <c r="I169" s="336" t="b">
        <v>0</v>
      </c>
      <c r="J169" s="337" t="s">
        <v>4724</v>
      </c>
      <c r="K169" s="336" t="b">
        <v>0</v>
      </c>
      <c r="L169" s="337" t="s">
        <v>5026</v>
      </c>
      <c r="M169" s="336" t="b">
        <v>1</v>
      </c>
      <c r="N169" s="337" t="s">
        <v>5058</v>
      </c>
      <c r="O169" s="336" t="b">
        <v>1</v>
      </c>
      <c r="P169" s="345" t="s">
        <v>5087</v>
      </c>
    </row>
    <row r="170" spans="1:35" hidden="1">
      <c r="A170" s="334" t="b">
        <v>0</v>
      </c>
      <c r="B170" s="394" t="s">
        <v>4798</v>
      </c>
      <c r="C170" s="341" t="b">
        <v>1</v>
      </c>
      <c r="D170" s="342" t="s">
        <v>4975</v>
      </c>
      <c r="E170" s="341" t="b">
        <v>0</v>
      </c>
      <c r="F170" s="342" t="s">
        <v>4774</v>
      </c>
      <c r="G170" s="341" t="b">
        <v>1</v>
      </c>
      <c r="H170" s="342" t="s">
        <v>4878</v>
      </c>
      <c r="I170" s="341" t="b">
        <v>0</v>
      </c>
      <c r="J170" s="342" t="s">
        <v>4879</v>
      </c>
      <c r="K170" s="341" t="b">
        <v>0</v>
      </c>
      <c r="L170" s="342" t="s">
        <v>5027</v>
      </c>
      <c r="M170" s="341" t="b">
        <v>0</v>
      </c>
      <c r="N170" s="342" t="s">
        <v>5059</v>
      </c>
      <c r="O170" s="341" t="b">
        <v>0</v>
      </c>
      <c r="P170" s="344" t="s">
        <v>5088</v>
      </c>
    </row>
    <row r="171" spans="1:35" hidden="1">
      <c r="A171" s="334" t="b">
        <v>0</v>
      </c>
      <c r="B171" s="365" t="s">
        <v>4800</v>
      </c>
      <c r="C171" s="336" t="b">
        <v>1</v>
      </c>
      <c r="D171" s="337" t="s">
        <v>4976</v>
      </c>
      <c r="E171" s="336" t="b">
        <v>0</v>
      </c>
      <c r="F171" s="337" t="s">
        <v>4777</v>
      </c>
      <c r="G171" s="336" t="b">
        <v>0</v>
      </c>
      <c r="H171" s="337" t="s">
        <v>4769</v>
      </c>
      <c r="I171" s="336" t="b">
        <v>1</v>
      </c>
      <c r="J171" s="337" t="s">
        <v>4880</v>
      </c>
      <c r="K171" s="336" t="b">
        <v>1</v>
      </c>
      <c r="L171" s="337" t="s">
        <v>5028</v>
      </c>
      <c r="M171" s="336" t="b">
        <v>0</v>
      </c>
      <c r="N171" s="337" t="s">
        <v>5060</v>
      </c>
      <c r="O171" s="336" t="b">
        <v>0</v>
      </c>
      <c r="P171" s="345" t="s">
        <v>5089</v>
      </c>
    </row>
    <row r="172" spans="1:35" hidden="1">
      <c r="A172" s="334" t="b">
        <v>0</v>
      </c>
      <c r="B172" s="394" t="s">
        <v>4683</v>
      </c>
      <c r="C172" s="341" t="b">
        <v>0</v>
      </c>
      <c r="D172" s="342" t="s">
        <v>4977</v>
      </c>
      <c r="E172" s="341" t="b">
        <v>0</v>
      </c>
      <c r="F172" s="342" t="s">
        <v>4781</v>
      </c>
      <c r="G172" s="341" t="b">
        <v>0</v>
      </c>
      <c r="H172" s="342" t="s">
        <v>4772</v>
      </c>
      <c r="I172" s="341" t="b">
        <v>1</v>
      </c>
      <c r="J172" s="342" t="s">
        <v>4734</v>
      </c>
      <c r="K172" s="341" t="b">
        <v>0</v>
      </c>
      <c r="L172" s="342" t="s">
        <v>5029</v>
      </c>
      <c r="M172" s="341" t="b">
        <v>0</v>
      </c>
      <c r="N172" s="342" t="s">
        <v>5061</v>
      </c>
      <c r="O172" s="341" t="b">
        <v>1</v>
      </c>
      <c r="P172" s="344" t="s">
        <v>5090</v>
      </c>
    </row>
    <row r="173" spans="1:35" hidden="1">
      <c r="A173" s="334" t="b">
        <v>0</v>
      </c>
      <c r="B173" s="365" t="s">
        <v>4685</v>
      </c>
      <c r="C173" s="336" t="b">
        <v>0</v>
      </c>
      <c r="D173" s="337" t="s">
        <v>4978</v>
      </c>
      <c r="E173" s="336" t="b">
        <v>0</v>
      </c>
      <c r="F173" s="337" t="s">
        <v>4994</v>
      </c>
      <c r="G173" s="336" t="b">
        <v>1</v>
      </c>
      <c r="H173" s="337" t="s">
        <v>4882</v>
      </c>
      <c r="I173" s="336" t="b">
        <v>0</v>
      </c>
      <c r="J173" s="337" t="s">
        <v>4739</v>
      </c>
      <c r="K173" s="336" t="b">
        <v>0</v>
      </c>
      <c r="L173" s="337" t="s">
        <v>5030</v>
      </c>
      <c r="M173" s="336" t="b">
        <v>1</v>
      </c>
      <c r="N173" s="337" t="s">
        <v>5062</v>
      </c>
      <c r="O173" s="336" t="b">
        <v>0</v>
      </c>
      <c r="P173" s="345" t="s">
        <v>5091</v>
      </c>
    </row>
    <row r="174" spans="1:35" hidden="1">
      <c r="A174" s="334" t="b">
        <v>0</v>
      </c>
      <c r="B174" s="394" t="s">
        <v>4690</v>
      </c>
      <c r="C174" s="341" t="b">
        <v>0</v>
      </c>
      <c r="D174" s="342" t="s">
        <v>4979</v>
      </c>
      <c r="E174" s="341" t="b">
        <v>0</v>
      </c>
      <c r="F174" s="342" t="s">
        <v>4995</v>
      </c>
      <c r="G174" s="341" t="b">
        <v>0</v>
      </c>
      <c r="H174" s="342" t="s">
        <v>4778</v>
      </c>
      <c r="I174" s="341" t="b">
        <v>0</v>
      </c>
      <c r="J174" s="342" t="s">
        <v>4884</v>
      </c>
      <c r="K174" s="341" t="b">
        <v>1</v>
      </c>
      <c r="L174" s="342" t="s">
        <v>5031</v>
      </c>
      <c r="M174" s="341" t="b">
        <v>0</v>
      </c>
      <c r="N174" s="342" t="s">
        <v>5063</v>
      </c>
      <c r="O174" s="341" t="b">
        <v>0</v>
      </c>
      <c r="P174" s="344" t="s">
        <v>5092</v>
      </c>
    </row>
    <row r="175" spans="1:35" hidden="1">
      <c r="A175" s="334" t="b">
        <v>0</v>
      </c>
      <c r="B175" s="365" t="s">
        <v>4693</v>
      </c>
      <c r="C175" s="336" t="b">
        <v>1</v>
      </c>
      <c r="D175" s="337" t="s">
        <v>4980</v>
      </c>
      <c r="E175" s="336" t="b">
        <v>1</v>
      </c>
      <c r="F175" s="337" t="s">
        <v>4883</v>
      </c>
      <c r="G175" s="336" t="b">
        <v>0</v>
      </c>
      <c r="H175" s="337" t="s">
        <v>4782</v>
      </c>
      <c r="I175" s="336" t="b">
        <v>1</v>
      </c>
      <c r="J175" s="337" t="s">
        <v>4999</v>
      </c>
      <c r="K175" s="336" t="b">
        <v>0</v>
      </c>
      <c r="L175" s="337" t="s">
        <v>5032</v>
      </c>
      <c r="M175" s="336" t="b">
        <v>0</v>
      </c>
      <c r="N175" s="337" t="s">
        <v>5064</v>
      </c>
      <c r="O175" s="336" t="b">
        <v>0</v>
      </c>
      <c r="P175" s="345" t="s">
        <v>5093</v>
      </c>
    </row>
    <row r="176" spans="1:35" hidden="1">
      <c r="A176" s="334" t="b">
        <v>0</v>
      </c>
      <c r="B176" s="394" t="s">
        <v>4696</v>
      </c>
      <c r="C176" s="341" t="b">
        <v>1</v>
      </c>
      <c r="D176" s="342" t="s">
        <v>4981</v>
      </c>
      <c r="E176" s="341" t="b">
        <v>0</v>
      </c>
      <c r="F176" s="342" t="s">
        <v>4789</v>
      </c>
      <c r="G176" s="341" t="b">
        <v>1</v>
      </c>
      <c r="H176" s="342" t="s">
        <v>4887</v>
      </c>
      <c r="I176" s="341" t="b">
        <v>1</v>
      </c>
      <c r="J176" s="342" t="s">
        <v>5000</v>
      </c>
      <c r="K176" s="341" t="b">
        <v>0</v>
      </c>
      <c r="L176" s="342" t="s">
        <v>5033</v>
      </c>
      <c r="M176" s="341" t="b">
        <v>0</v>
      </c>
      <c r="N176" s="342" t="s">
        <v>5065</v>
      </c>
      <c r="O176" s="341" t="b">
        <v>0</v>
      </c>
      <c r="P176" s="344" t="s">
        <v>5094</v>
      </c>
    </row>
    <row r="177" spans="1:16" hidden="1">
      <c r="A177" s="334" t="b">
        <v>0</v>
      </c>
      <c r="B177" s="365" t="s">
        <v>4702</v>
      </c>
      <c r="C177" s="336" t="b">
        <v>0</v>
      </c>
      <c r="D177" s="337" t="s">
        <v>4982</v>
      </c>
      <c r="E177" s="336" t="b">
        <v>0</v>
      </c>
      <c r="F177" s="337" t="s">
        <v>4791</v>
      </c>
      <c r="G177" s="336" t="b">
        <v>0</v>
      </c>
      <c r="H177" s="337" t="s">
        <v>4786</v>
      </c>
      <c r="I177" s="336" t="b">
        <v>0</v>
      </c>
      <c r="J177" s="337" t="s">
        <v>5001</v>
      </c>
      <c r="K177" s="336" t="b">
        <v>0</v>
      </c>
      <c r="L177" s="337" t="s">
        <v>5034</v>
      </c>
      <c r="M177" s="336" t="b">
        <v>1</v>
      </c>
      <c r="N177" s="337" t="s">
        <v>5066</v>
      </c>
      <c r="O177" s="336" t="b">
        <v>0</v>
      </c>
      <c r="P177" s="345" t="s">
        <v>5095</v>
      </c>
    </row>
    <row r="178" spans="1:16" hidden="1">
      <c r="A178" s="334" t="b">
        <v>1</v>
      </c>
      <c r="B178" s="394" t="s">
        <v>4707</v>
      </c>
      <c r="C178" s="341" t="b">
        <v>1</v>
      </c>
      <c r="D178" s="342" t="s">
        <v>4983</v>
      </c>
      <c r="E178" s="341" t="b">
        <v>1</v>
      </c>
      <c r="F178" s="342" t="s">
        <v>4889</v>
      </c>
      <c r="G178" s="341" t="b">
        <v>0</v>
      </c>
      <c r="H178" s="342" t="s">
        <v>4787</v>
      </c>
      <c r="I178" s="341" t="b">
        <v>0</v>
      </c>
      <c r="J178" s="342" t="s">
        <v>5002</v>
      </c>
      <c r="K178" s="341" t="b">
        <v>1</v>
      </c>
      <c r="L178" s="342" t="s">
        <v>5035</v>
      </c>
      <c r="M178" s="341" t="b">
        <v>1</v>
      </c>
      <c r="N178" s="342" t="s">
        <v>5067</v>
      </c>
      <c r="O178" s="341" t="b">
        <v>0</v>
      </c>
      <c r="P178" s="344" t="s">
        <v>5096</v>
      </c>
    </row>
    <row r="179" spans="1:16" hidden="1">
      <c r="A179" s="334" t="b">
        <v>0</v>
      </c>
      <c r="B179" s="365" t="s">
        <v>4710</v>
      </c>
      <c r="C179" s="336" t="b">
        <v>1</v>
      </c>
      <c r="D179" s="337" t="s">
        <v>4984</v>
      </c>
      <c r="E179" s="336" t="b">
        <v>1</v>
      </c>
      <c r="F179" s="337" t="s">
        <v>4797</v>
      </c>
      <c r="G179" s="336" t="b">
        <v>1</v>
      </c>
      <c r="H179" s="337" t="s">
        <v>4891</v>
      </c>
      <c r="I179" s="336" t="b">
        <v>0</v>
      </c>
      <c r="J179" s="337" t="s">
        <v>5003</v>
      </c>
      <c r="K179" s="336" t="b">
        <v>1</v>
      </c>
      <c r="L179" s="337" t="s">
        <v>4692</v>
      </c>
      <c r="M179" s="336" t="b">
        <v>0</v>
      </c>
      <c r="N179" s="337" t="s">
        <v>5068</v>
      </c>
      <c r="O179" s="336" t="b">
        <v>0</v>
      </c>
      <c r="P179" s="345" t="s">
        <v>5097</v>
      </c>
    </row>
    <row r="180" spans="1:16" hidden="1">
      <c r="A180" s="334" t="b">
        <v>0</v>
      </c>
      <c r="B180" s="394" t="s">
        <v>4715</v>
      </c>
      <c r="C180" s="341" t="b">
        <v>0</v>
      </c>
      <c r="D180" s="342" t="s">
        <v>4985</v>
      </c>
      <c r="E180" s="341" t="b">
        <v>0</v>
      </c>
      <c r="F180" s="342" t="s">
        <v>4996</v>
      </c>
      <c r="G180" s="341" t="b">
        <v>1</v>
      </c>
      <c r="H180" s="342" t="s">
        <v>4792</v>
      </c>
      <c r="I180" s="341" t="b">
        <v>1</v>
      </c>
      <c r="J180" s="342" t="s">
        <v>5004</v>
      </c>
      <c r="K180" s="341" t="b">
        <v>0</v>
      </c>
      <c r="L180" s="342" t="s">
        <v>5036</v>
      </c>
      <c r="M180" s="341" t="b">
        <v>0</v>
      </c>
      <c r="N180" s="342" t="s">
        <v>5069</v>
      </c>
      <c r="O180" s="341" t="b">
        <v>0</v>
      </c>
      <c r="P180" s="344" t="s">
        <v>5098</v>
      </c>
    </row>
    <row r="181" spans="1:16" hidden="1">
      <c r="A181" s="334" t="b">
        <v>0</v>
      </c>
      <c r="B181" s="365" t="s">
        <v>4717</v>
      </c>
      <c r="C181" s="336" t="b">
        <v>0</v>
      </c>
      <c r="D181" s="337" t="s">
        <v>4986</v>
      </c>
      <c r="E181" s="336" t="b">
        <v>0</v>
      </c>
      <c r="F181" s="337" t="s">
        <v>4997</v>
      </c>
      <c r="G181" s="336" t="b">
        <v>0</v>
      </c>
      <c r="H181" s="337" t="s">
        <v>4794</v>
      </c>
      <c r="I181" s="336" t="b">
        <v>0</v>
      </c>
      <c r="J181" s="337" t="s">
        <v>5005</v>
      </c>
      <c r="K181" s="336" t="b">
        <v>0</v>
      </c>
      <c r="L181" s="337" t="s">
        <v>5037</v>
      </c>
      <c r="M181" s="336" t="b">
        <v>1</v>
      </c>
      <c r="N181" s="337" t="s">
        <v>5070</v>
      </c>
      <c r="O181" s="336" t="b">
        <v>0</v>
      </c>
      <c r="P181" s="345" t="s">
        <v>4779</v>
      </c>
    </row>
    <row r="182" spans="1:16" hidden="1">
      <c r="A182" s="334" t="b">
        <v>0</v>
      </c>
      <c r="B182" s="394" t="s">
        <v>4719</v>
      </c>
      <c r="C182" s="341" t="b">
        <v>0</v>
      </c>
      <c r="D182" s="342" t="s">
        <v>4987</v>
      </c>
      <c r="E182" s="341" t="b">
        <v>1</v>
      </c>
      <c r="F182" s="342" t="s">
        <v>4892</v>
      </c>
      <c r="G182" s="341" t="b">
        <v>0</v>
      </c>
      <c r="H182" s="342" t="s">
        <v>4859</v>
      </c>
      <c r="I182" s="341" t="b">
        <v>0</v>
      </c>
      <c r="J182" s="342" t="s">
        <v>5006</v>
      </c>
      <c r="K182" s="341" t="b">
        <v>0</v>
      </c>
      <c r="L182" s="342" t="s">
        <v>5038</v>
      </c>
      <c r="M182" s="341" t="b">
        <v>0</v>
      </c>
      <c r="N182" s="342" t="s">
        <v>5071</v>
      </c>
      <c r="O182" s="341" t="b">
        <v>0</v>
      </c>
      <c r="P182" s="344" t="s">
        <v>4783</v>
      </c>
    </row>
    <row r="183" spans="1:16" hidden="1">
      <c r="A183" s="334" t="b">
        <v>0</v>
      </c>
      <c r="B183" s="365" t="s">
        <v>4958</v>
      </c>
      <c r="C183" s="336" t="b">
        <v>0</v>
      </c>
      <c r="D183" s="337" t="s">
        <v>4988</v>
      </c>
      <c r="E183" s="336" t="b">
        <v>0</v>
      </c>
      <c r="F183" s="337" t="s">
        <v>4858</v>
      </c>
      <c r="G183" s="336" t="b">
        <v>1</v>
      </c>
      <c r="H183" s="337" t="s">
        <v>4860</v>
      </c>
      <c r="I183" s="336" t="b">
        <v>0</v>
      </c>
      <c r="J183" s="337" t="s">
        <v>5007</v>
      </c>
      <c r="K183" s="336" t="b">
        <v>0</v>
      </c>
      <c r="L183" s="337" t="s">
        <v>5039</v>
      </c>
      <c r="M183" s="336" t="b">
        <v>0</v>
      </c>
      <c r="N183" s="337" t="s">
        <v>5072</v>
      </c>
      <c r="O183" s="336" t="b">
        <v>0</v>
      </c>
      <c r="P183" s="345" t="s">
        <v>5099</v>
      </c>
    </row>
    <row r="184" spans="1:16" hidden="1">
      <c r="A184" s="334" t="b">
        <v>0</v>
      </c>
      <c r="B184" s="394" t="s">
        <v>4726</v>
      </c>
      <c r="C184" s="341" t="b">
        <v>0</v>
      </c>
      <c r="D184" s="342" t="s">
        <v>4989</v>
      </c>
      <c r="E184" s="341" t="b">
        <v>0</v>
      </c>
      <c r="F184" s="342" t="s">
        <v>4711</v>
      </c>
      <c r="G184" s="341" t="b">
        <v>1</v>
      </c>
      <c r="H184" s="342" t="s">
        <v>4799</v>
      </c>
      <c r="I184" s="341" t="b">
        <v>1</v>
      </c>
      <c r="J184" s="342" t="s">
        <v>5008</v>
      </c>
      <c r="K184" s="341" t="b">
        <v>0</v>
      </c>
      <c r="L184" s="342" t="s">
        <v>5040</v>
      </c>
      <c r="M184" s="341" t="b">
        <v>0</v>
      </c>
      <c r="N184" s="342" t="s">
        <v>5073</v>
      </c>
      <c r="O184" s="342"/>
      <c r="P184" s="344"/>
    </row>
    <row r="185" spans="1:16" hidden="1">
      <c r="A185" s="334" t="b">
        <v>0</v>
      </c>
      <c r="B185" s="365" t="s">
        <v>4731</v>
      </c>
      <c r="C185" s="336" t="b">
        <v>0</v>
      </c>
      <c r="D185" s="337" t="s">
        <v>4990</v>
      </c>
      <c r="E185" s="336" t="b">
        <v>0</v>
      </c>
      <c r="F185" s="337" t="s">
        <v>4861</v>
      </c>
      <c r="G185" s="336" t="b">
        <v>0</v>
      </c>
      <c r="H185" s="337" t="s">
        <v>4801</v>
      </c>
      <c r="I185" s="336" t="b">
        <v>0</v>
      </c>
      <c r="J185" s="337" t="s">
        <v>5009</v>
      </c>
      <c r="K185" s="336" t="b">
        <v>0</v>
      </c>
      <c r="L185" s="337" t="s">
        <v>5041</v>
      </c>
      <c r="M185" s="336" t="b">
        <v>1</v>
      </c>
      <c r="N185" s="337" t="s">
        <v>5074</v>
      </c>
      <c r="O185" s="337"/>
      <c r="P185" s="345"/>
    </row>
    <row r="186" spans="1:16" hidden="1">
      <c r="A186" s="334" t="b">
        <v>1</v>
      </c>
      <c r="B186" s="394" t="s">
        <v>4737</v>
      </c>
      <c r="C186" s="341" t="b">
        <v>0</v>
      </c>
      <c r="D186" s="342" t="s">
        <v>4723</v>
      </c>
      <c r="E186" s="342"/>
      <c r="F186" s="342" t="s">
        <v>1183</v>
      </c>
      <c r="G186" s="342"/>
      <c r="H186" s="342" t="s">
        <v>1183</v>
      </c>
      <c r="I186" s="342"/>
      <c r="J186" s="342" t="s">
        <v>1183</v>
      </c>
      <c r="K186" s="342"/>
      <c r="L186" s="342" t="s">
        <v>1183</v>
      </c>
      <c r="M186" s="342"/>
      <c r="N186" s="342" t="s">
        <v>1183</v>
      </c>
      <c r="O186" s="342"/>
      <c r="P186" s="344"/>
    </row>
    <row r="187" spans="1:16" hidden="1">
      <c r="B187" s="395"/>
      <c r="C187" s="347"/>
      <c r="D187" s="347" t="s">
        <v>1183</v>
      </c>
      <c r="E187" s="347"/>
      <c r="F187" s="347" t="s">
        <v>4836</v>
      </c>
      <c r="G187" s="347"/>
      <c r="H187" s="347" t="s">
        <v>4837</v>
      </c>
      <c r="I187" s="347"/>
      <c r="J187" s="347" t="s">
        <v>4838</v>
      </c>
      <c r="K187" s="347"/>
      <c r="L187" s="347" t="s">
        <v>4839</v>
      </c>
      <c r="M187" s="347" t="s">
        <v>4896</v>
      </c>
      <c r="N187" s="347" t="s">
        <v>1183</v>
      </c>
      <c r="O187" s="347"/>
      <c r="P187" s="368"/>
    </row>
    <row r="188" spans="1:16" hidden="1">
      <c r="B188" s="339">
        <f>COUNTA(B154:B186)</f>
        <v>33</v>
      </c>
      <c r="D188" s="330">
        <f>COUNTA(D153:D186)</f>
        <v>34</v>
      </c>
      <c r="F188" s="330">
        <f>COUNTA(F153:F185)</f>
        <v>33</v>
      </c>
      <c r="H188" s="330">
        <f>COUNTA(H153:H185)</f>
        <v>33</v>
      </c>
      <c r="J188" s="330">
        <f>COUNTA(J153:J185)</f>
        <v>33</v>
      </c>
      <c r="L188" s="330">
        <f>COUNTA(L153:L185)</f>
        <v>33</v>
      </c>
      <c r="N188" s="330">
        <f>COUNTA(N153:N185)</f>
        <v>33</v>
      </c>
      <c r="P188" s="330">
        <f>COUNTA(P153:P183)</f>
        <v>31</v>
      </c>
    </row>
  </sheetData>
  <phoneticPr fontId="19" type="noConversion"/>
  <pageMargins left="0.7" right="0.7" top="0.75" bottom="0.75" header="0.3" footer="0.3"/>
  <pageSetup orientation="landscape"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ACB4-108A-40CA-88B1-76423D90923F}">
  <sheetPr codeName="Sheet34"/>
  <dimension ref="A1:AC166"/>
  <sheetViews>
    <sheetView workbookViewId="0">
      <selection activeCell="G16" sqref="G16"/>
    </sheetView>
  </sheetViews>
  <sheetFormatPr defaultRowHeight="15"/>
  <cols>
    <col min="1" max="1" width="9.140625" style="330"/>
    <col min="2" max="2" width="14" style="330" bestFit="1" customWidth="1"/>
    <col min="3" max="3" width="11.42578125" style="330" customWidth="1"/>
    <col min="4" max="4" width="11.42578125" style="330" bestFit="1" customWidth="1"/>
    <col min="5" max="5" width="11.42578125" style="330" customWidth="1"/>
    <col min="6" max="6" width="14.85546875" style="330" customWidth="1"/>
    <col min="7" max="7" width="15.5703125" style="330" customWidth="1"/>
    <col min="8" max="8" width="23.140625" style="330" bestFit="1" customWidth="1"/>
    <col min="9" max="9" width="5.5703125" style="330" bestFit="1" customWidth="1"/>
    <col min="10" max="10" width="17.7109375" style="330" bestFit="1" customWidth="1"/>
    <col min="11" max="11" width="5.5703125" style="330" bestFit="1" customWidth="1"/>
    <col min="12" max="12" width="24.5703125" style="330" bestFit="1" customWidth="1"/>
    <col min="13" max="13" width="9.140625" style="330"/>
    <col min="14" max="14" width="25" hidden="1" customWidth="1"/>
    <col min="15" max="15" width="0" style="330" hidden="1" customWidth="1"/>
    <col min="16" max="16" width="26.140625" style="330" hidden="1" customWidth="1"/>
    <col min="17" max="17" width="0" style="330" hidden="1" customWidth="1"/>
    <col min="18" max="18" width="30.7109375" style="330" hidden="1" customWidth="1"/>
    <col min="19" max="19" width="0" style="330" hidden="1" customWidth="1"/>
    <col min="20" max="20" width="41" style="330" hidden="1" customWidth="1"/>
    <col min="21" max="21" width="0" style="330" hidden="1" customWidth="1"/>
    <col min="22" max="22" width="31.140625" style="330" hidden="1" customWidth="1"/>
    <col min="23" max="23" width="0" style="330" hidden="1" customWidth="1"/>
    <col min="24" max="24" width="36.42578125" style="330" hidden="1" customWidth="1"/>
    <col min="25" max="25" width="6.7109375" style="330" hidden="1" customWidth="1"/>
    <col min="26" max="26" width="36.42578125" style="330" customWidth="1"/>
    <col min="27" max="16384" width="9.140625" style="330"/>
  </cols>
  <sheetData>
    <row r="1" spans="1:29">
      <c r="A1" s="422" t="s">
        <v>3752</v>
      </c>
    </row>
    <row r="2" spans="1:29">
      <c r="B2" s="331" t="s">
        <v>4810</v>
      </c>
      <c r="C2" s="332"/>
      <c r="D2" s="332" t="s">
        <v>4811</v>
      </c>
      <c r="E2" s="332"/>
      <c r="F2" s="332" t="s">
        <v>4855</v>
      </c>
      <c r="G2" s="332"/>
      <c r="H2" s="332" t="s">
        <v>4856</v>
      </c>
      <c r="I2" s="332"/>
      <c r="J2" s="332" t="s">
        <v>4857</v>
      </c>
      <c r="K2" s="332"/>
      <c r="L2" s="333" t="s">
        <v>1958</v>
      </c>
    </row>
    <row r="3" spans="1:29">
      <c r="A3" s="334" t="b">
        <f>IF(O3&lt;&gt;"",TRUE,FALSE)</f>
        <v>0</v>
      </c>
      <c r="B3" s="361" t="s">
        <v>4179</v>
      </c>
      <c r="C3" s="336" t="b">
        <f>IF(Q3&lt;&gt;"",TRUE,FALSE)</f>
        <v>0</v>
      </c>
      <c r="D3" s="337" t="s">
        <v>4183</v>
      </c>
      <c r="E3" s="336" t="b">
        <f>IF(S3&lt;&gt;"",TRUE,FALSE)</f>
        <v>0</v>
      </c>
      <c r="F3" s="337" t="s">
        <v>872</v>
      </c>
      <c r="G3" s="336" t="b">
        <f>IF(U3&lt;&gt;"",TRUE,FALSE)</f>
        <v>0</v>
      </c>
      <c r="H3" s="337" t="s">
        <v>2501</v>
      </c>
      <c r="I3" s="336" t="b">
        <f>IF(W3&lt;&gt;"",TRUE,FALSE)</f>
        <v>0</v>
      </c>
      <c r="J3" s="337" t="s">
        <v>900</v>
      </c>
      <c r="K3" s="336" t="b">
        <f>IF(Y3&lt;&gt;"",TRUE,FALSE)</f>
        <v>0</v>
      </c>
      <c r="L3" s="345" t="s">
        <v>5104</v>
      </c>
      <c r="N3" t="str">
        <f t="shared" ref="N3:N36" si="0">B3&amp;" "&amp;$A$1</f>
        <v>1932 Washington Quarter</v>
      </c>
      <c r="O3" s="330" t="str">
        <f>IFERROR(MATCH(N3,CoinCollection!O:O,0),"")</f>
        <v/>
      </c>
      <c r="P3" s="330" t="str">
        <f t="shared" ref="P3:P36" si="1">D3&amp;" "&amp;$A$1</f>
        <v>1945 Washington Quarter</v>
      </c>
      <c r="Q3" s="330" t="str">
        <f>IFERROR(MATCH(P3,CoinCollection!O:O,0),"")</f>
        <v/>
      </c>
      <c r="R3" s="330" t="str">
        <f t="shared" ref="R3:R34" si="2">F3&amp;" "&amp;$A$1</f>
        <v>1957-D Washington Quarter</v>
      </c>
      <c r="S3" s="330" t="str">
        <f>IFERROR(MATCH(R3,CoinCollection!O:O,0),"")</f>
        <v/>
      </c>
      <c r="T3" s="330" t="str">
        <f t="shared" ref="T3:T33" si="3">H3&amp;" "&amp;$A$1</f>
        <v>1972-S Proof Washington Quarter</v>
      </c>
      <c r="U3" s="330" t="str">
        <f>IFERROR(MATCH(T3,CoinCollection!O:O,0),"")</f>
        <v/>
      </c>
      <c r="V3" s="330" t="str">
        <f t="shared" ref="V3:V34" si="4">J3&amp;" "&amp;$A$1</f>
        <v>1982-D Washington Quarter</v>
      </c>
      <c r="W3" s="330" t="str">
        <f>IFERROR(MATCH(V3,CoinCollection!O:O,0),"")</f>
        <v/>
      </c>
      <c r="X3" s="330" t="str">
        <f>L3&amp;" "&amp;$A$1</f>
        <v>1992-S Silver Proof Washington Quarter</v>
      </c>
      <c r="Y3" s="330" t="str">
        <f>IFERROR(MATCH(X3,CoinCollection!O:O,0),"")</f>
        <v/>
      </c>
      <c r="AA3" s="330" t="str" cm="1">
        <f t="array" ref="AA3:AA164">_xlfn.LET(_xlpm.stacked_data,_xlfn.VSTACK(A3:B36,C3:D36,E3:F34,G3:H33,I3:J34,K3:L33),
_xlfn._xlws.FILTER(_xlfn.CHOOSECOLS(_xlpm.stacked_data,2),_xlfn.CHOOSECOLS(_xlpm.stacked_data,1)=FALSE)
)</f>
        <v>1932</v>
      </c>
      <c r="AC3" s="330" t="str" cm="1">
        <f t="array" ref="AC3:AC164">_xlfn.LET(_xlpm.stacked_data,_xlfn.VSTACK(A3:B36,C3:D36,E3:F34,G3:H33,I3:J34,K3:L33),
_xlfn._xlws.FILTER(_xlfn.CHOOSECOLS(_xlpm.stacked_data,2),_xlfn.CHOOSECOLS(_xlpm.stacked_data,1)=FALSE)
)</f>
        <v>1932</v>
      </c>
    </row>
    <row r="4" spans="1:29">
      <c r="A4" s="334" t="b">
        <f t="shared" ref="A4:A36" si="5">IF(O4&lt;&gt;"",TRUE,FALSE)</f>
        <v>0</v>
      </c>
      <c r="B4" s="363" t="s">
        <v>4924</v>
      </c>
      <c r="C4" s="336" t="b">
        <f t="shared" ref="C4:C36" si="6">IF(Q4&lt;&gt;"",TRUE,FALSE)</f>
        <v>0</v>
      </c>
      <c r="D4" s="342" t="s">
        <v>851</v>
      </c>
      <c r="E4" s="336" t="b">
        <f t="shared" ref="E4:E34" si="7">IF(S4&lt;&gt;"",TRUE,FALSE)</f>
        <v>0</v>
      </c>
      <c r="F4" s="342" t="s">
        <v>2488</v>
      </c>
      <c r="G4" s="336" t="b">
        <f t="shared" ref="G4:G34" si="8">IF(U4&lt;&gt;"",TRUE,FALSE)</f>
        <v>0</v>
      </c>
      <c r="H4" s="342" t="s">
        <v>2502</v>
      </c>
      <c r="I4" s="336" t="b">
        <f t="shared" ref="I4:I33" si="9">IF(W4&lt;&gt;"",TRUE,FALSE)</f>
        <v>0</v>
      </c>
      <c r="J4" s="342" t="s">
        <v>2519</v>
      </c>
      <c r="K4" s="336" t="b">
        <f t="shared" ref="K4:K33" si="10">IF(Y4&lt;&gt;"",TRUE,FALSE)</f>
        <v>1</v>
      </c>
      <c r="L4" s="344" t="s">
        <v>921</v>
      </c>
      <c r="N4" t="str">
        <f t="shared" si="0"/>
        <v>1932-D Washington Quarter</v>
      </c>
      <c r="O4" s="330" t="str">
        <f>IFERROR(MATCH(N4,CoinCollection!O:O,0),"")</f>
        <v/>
      </c>
      <c r="P4" s="330" t="str">
        <f t="shared" si="1"/>
        <v>1945-D Washington Quarter</v>
      </c>
      <c r="Q4" s="330" t="str">
        <f>IFERROR(MATCH(P4,CoinCollection!O:O,0),"")</f>
        <v/>
      </c>
      <c r="R4" s="330" t="str">
        <f t="shared" si="2"/>
        <v>1958 Washington Quarter</v>
      </c>
      <c r="S4" s="330" t="str">
        <f>IFERROR(MATCH(R4,CoinCollection!O:O,0),"")</f>
        <v/>
      </c>
      <c r="T4" s="330" t="str">
        <f t="shared" si="3"/>
        <v>1973 Washington Quarter</v>
      </c>
      <c r="U4" s="330" t="str">
        <f>IFERROR(MATCH(T4,CoinCollection!O:O,0),"")</f>
        <v/>
      </c>
      <c r="V4" s="330" t="str">
        <f t="shared" si="4"/>
        <v>1982-S Proof Washington Quarter</v>
      </c>
      <c r="W4" s="330" t="str">
        <f>IFERROR(MATCH(V4,CoinCollection!O:O,0),"")</f>
        <v/>
      </c>
      <c r="X4" s="330" t="str">
        <f t="shared" ref="X4:X33" si="11">L4&amp;" "&amp;$A$1</f>
        <v>1993-P Washington Quarter</v>
      </c>
      <c r="Y4" s="330">
        <f>IFERROR(MATCH(X4,CoinCollection!O:O,0),"")</f>
        <v>1891</v>
      </c>
      <c r="AA4" s="330" t="str">
        <v>1932-D</v>
      </c>
      <c r="AC4" s="330" t="str">
        <v>1932-D</v>
      </c>
    </row>
    <row r="5" spans="1:29">
      <c r="A5" s="334" t="b">
        <f t="shared" si="5"/>
        <v>0</v>
      </c>
      <c r="B5" s="361" t="s">
        <v>5139</v>
      </c>
      <c r="C5" s="336" t="b">
        <f t="shared" si="6"/>
        <v>0</v>
      </c>
      <c r="D5" s="337" t="s">
        <v>852</v>
      </c>
      <c r="E5" s="336" t="b">
        <f t="shared" si="7"/>
        <v>0</v>
      </c>
      <c r="F5" s="337" t="s">
        <v>873</v>
      </c>
      <c r="G5" s="336" t="b">
        <f t="shared" si="8"/>
        <v>0</v>
      </c>
      <c r="H5" s="337" t="s">
        <v>888</v>
      </c>
      <c r="I5" s="336" t="b">
        <f t="shared" si="9"/>
        <v>0</v>
      </c>
      <c r="J5" s="337" t="s">
        <v>901</v>
      </c>
      <c r="K5" s="336" t="b">
        <f t="shared" si="10"/>
        <v>0</v>
      </c>
      <c r="L5" s="345" t="s">
        <v>922</v>
      </c>
      <c r="N5" t="str">
        <f t="shared" si="0"/>
        <v>1932-S Washington Quarter</v>
      </c>
      <c r="O5" s="330" t="str">
        <f>IFERROR(MATCH(N5,CoinCollection!O:O,0),"")</f>
        <v/>
      </c>
      <c r="P5" s="330" t="str">
        <f t="shared" si="1"/>
        <v>1945-S Washington Quarter</v>
      </c>
      <c r="Q5" s="330" t="str">
        <f>IFERROR(MATCH(P5,CoinCollection!O:O,0),"")</f>
        <v/>
      </c>
      <c r="R5" s="330" t="str">
        <f t="shared" si="2"/>
        <v>1958-D Washington Quarter</v>
      </c>
      <c r="S5" s="330" t="str">
        <f>IFERROR(MATCH(R5,CoinCollection!O:O,0),"")</f>
        <v/>
      </c>
      <c r="T5" s="330" t="str">
        <f t="shared" si="3"/>
        <v>1973-D Washington Quarter</v>
      </c>
      <c r="U5" s="330" t="str">
        <f>IFERROR(MATCH(T5,CoinCollection!O:O,0),"")</f>
        <v/>
      </c>
      <c r="V5" s="330" t="str">
        <f t="shared" si="4"/>
        <v>1983-P Washington Quarter</v>
      </c>
      <c r="W5" s="330" t="str">
        <f>IFERROR(MATCH(V5,CoinCollection!O:O,0),"")</f>
        <v/>
      </c>
      <c r="X5" s="330" t="str">
        <f t="shared" si="11"/>
        <v>1993-D Washington Quarter</v>
      </c>
      <c r="Y5" s="330" t="str">
        <f>IFERROR(MATCH(X5,CoinCollection!O:O,0),"")</f>
        <v/>
      </c>
      <c r="AA5" s="330" t="str">
        <v>1932-S</v>
      </c>
      <c r="AC5" s="330" t="str">
        <v>1932-S</v>
      </c>
    </row>
    <row r="6" spans="1:29">
      <c r="A6" s="334" t="b">
        <f t="shared" si="5"/>
        <v>0</v>
      </c>
      <c r="B6" s="363" t="s">
        <v>2460</v>
      </c>
      <c r="C6" s="336" t="b">
        <f t="shared" si="6"/>
        <v>1</v>
      </c>
      <c r="D6" s="342" t="s">
        <v>992</v>
      </c>
      <c r="E6" s="336" t="b">
        <f t="shared" si="7"/>
        <v>0</v>
      </c>
      <c r="F6" s="342" t="s">
        <v>2489</v>
      </c>
      <c r="G6" s="336" t="b">
        <f t="shared" si="8"/>
        <v>0</v>
      </c>
      <c r="H6" s="342" t="s">
        <v>2503</v>
      </c>
      <c r="I6" s="336" t="b">
        <f t="shared" si="9"/>
        <v>0</v>
      </c>
      <c r="J6" s="342" t="s">
        <v>902</v>
      </c>
      <c r="K6" s="336" t="b">
        <f t="shared" si="10"/>
        <v>0</v>
      </c>
      <c r="L6" s="344" t="s">
        <v>2533</v>
      </c>
      <c r="N6" t="str">
        <f t="shared" si="0"/>
        <v>1934 Washington Quarter</v>
      </c>
      <c r="O6" s="330" t="str">
        <f>IFERROR(MATCH(N6,CoinCollection!O:O,0),"")</f>
        <v/>
      </c>
      <c r="P6" s="330" t="str">
        <f t="shared" si="1"/>
        <v>1946 Washington Quarter</v>
      </c>
      <c r="Q6" s="330">
        <f>IFERROR(MATCH(P6,CoinCollection!O:O,0),"")</f>
        <v>1849</v>
      </c>
      <c r="R6" s="330" t="str">
        <f t="shared" si="2"/>
        <v>1959 Washington Quarter</v>
      </c>
      <c r="S6" s="330" t="str">
        <f>IFERROR(MATCH(R6,CoinCollection!O:O,0),"")</f>
        <v/>
      </c>
      <c r="T6" s="330" t="str">
        <f t="shared" si="3"/>
        <v>1973-S Proof Washington Quarter</v>
      </c>
      <c r="U6" s="330" t="str">
        <f>IFERROR(MATCH(T6,CoinCollection!O:O,0),"")</f>
        <v/>
      </c>
      <c r="V6" s="330" t="str">
        <f t="shared" si="4"/>
        <v>1983-D Washington Quarter</v>
      </c>
      <c r="W6" s="330" t="str">
        <f>IFERROR(MATCH(V6,CoinCollection!O:O,0),"")</f>
        <v/>
      </c>
      <c r="X6" s="330" t="str">
        <f t="shared" si="11"/>
        <v>1993-S Proof Washington Quarter</v>
      </c>
      <c r="Y6" s="330" t="str">
        <f>IFERROR(MATCH(X6,CoinCollection!O:O,0),"")</f>
        <v/>
      </c>
      <c r="AA6" s="330" t="str">
        <v>1934</v>
      </c>
      <c r="AC6" s="330" t="str">
        <v>1934</v>
      </c>
    </row>
    <row r="7" spans="1:29">
      <c r="A7" s="334" t="b">
        <f t="shared" si="5"/>
        <v>0</v>
      </c>
      <c r="B7" s="361" t="s">
        <v>2461</v>
      </c>
      <c r="C7" s="336" t="b">
        <f t="shared" si="6"/>
        <v>0</v>
      </c>
      <c r="D7" s="337" t="s">
        <v>853</v>
      </c>
      <c r="E7" s="336" t="b">
        <f t="shared" si="7"/>
        <v>0</v>
      </c>
      <c r="F7" s="337" t="s">
        <v>874</v>
      </c>
      <c r="G7" s="336" t="b">
        <f t="shared" si="8"/>
        <v>1</v>
      </c>
      <c r="H7" s="337" t="s">
        <v>2504</v>
      </c>
      <c r="I7" s="336" t="b">
        <f t="shared" si="9"/>
        <v>0</v>
      </c>
      <c r="J7" s="337" t="s">
        <v>2520</v>
      </c>
      <c r="K7" s="336" t="b">
        <f t="shared" si="10"/>
        <v>0</v>
      </c>
      <c r="L7" s="345" t="s">
        <v>5105</v>
      </c>
      <c r="N7" t="str">
        <f t="shared" si="0"/>
        <v>1934-D Washington Quarter</v>
      </c>
      <c r="O7" s="330" t="str">
        <f>IFERROR(MATCH(N7,CoinCollection!O:O,0),"")</f>
        <v/>
      </c>
      <c r="P7" s="330" t="str">
        <f t="shared" si="1"/>
        <v>1946-D Washington Quarter</v>
      </c>
      <c r="Q7" s="330" t="str">
        <f>IFERROR(MATCH(P7,CoinCollection!O:O,0),"")</f>
        <v/>
      </c>
      <c r="R7" s="330" t="str">
        <f t="shared" si="2"/>
        <v>1959-D Washington Quarter</v>
      </c>
      <c r="S7" s="330" t="str">
        <f>IFERROR(MATCH(R7,CoinCollection!O:O,0),"")</f>
        <v/>
      </c>
      <c r="T7" s="330" t="str">
        <f t="shared" si="3"/>
        <v>1974 Washington Quarter</v>
      </c>
      <c r="U7" s="330">
        <f>IFERROR(MATCH(T7,CoinCollection!O:O,0),"")</f>
        <v>1859</v>
      </c>
      <c r="V7" s="330" t="str">
        <f t="shared" si="4"/>
        <v>1983-S Proof Washington Quarter</v>
      </c>
      <c r="W7" s="330" t="str">
        <f>IFERROR(MATCH(V7,CoinCollection!O:O,0),"")</f>
        <v/>
      </c>
      <c r="X7" s="330" t="str">
        <f t="shared" si="11"/>
        <v>1993-S Silver Proof Washington Quarter</v>
      </c>
      <c r="Y7" s="330" t="str">
        <f>IFERROR(MATCH(X7,CoinCollection!O:O,0),"")</f>
        <v/>
      </c>
      <c r="AA7" s="330" t="str">
        <v>1934-D</v>
      </c>
      <c r="AC7" s="330" t="str">
        <v>1934-D</v>
      </c>
    </row>
    <row r="8" spans="1:29">
      <c r="A8" s="334" t="b">
        <f t="shared" si="5"/>
        <v>0</v>
      </c>
      <c r="B8" s="363" t="s">
        <v>2462</v>
      </c>
      <c r="C8" s="336" t="b">
        <f t="shared" si="6"/>
        <v>0</v>
      </c>
      <c r="D8" s="342" t="s">
        <v>854</v>
      </c>
      <c r="E8" s="336" t="b">
        <f t="shared" si="7"/>
        <v>0</v>
      </c>
      <c r="F8" s="342" t="s">
        <v>2490</v>
      </c>
      <c r="G8" s="336" t="b">
        <f t="shared" si="8"/>
        <v>0</v>
      </c>
      <c r="H8" s="342" t="s">
        <v>889</v>
      </c>
      <c r="I8" s="336" t="b">
        <f t="shared" si="9"/>
        <v>0</v>
      </c>
      <c r="J8" s="342" t="s">
        <v>903</v>
      </c>
      <c r="K8" s="336" t="b">
        <f t="shared" si="10"/>
        <v>0</v>
      </c>
      <c r="L8" s="344" t="s">
        <v>923</v>
      </c>
      <c r="N8" t="str">
        <f t="shared" si="0"/>
        <v>1935 Washington Quarter</v>
      </c>
      <c r="O8" s="330" t="str">
        <f>IFERROR(MATCH(N8,CoinCollection!O:O,0),"")</f>
        <v/>
      </c>
      <c r="P8" s="330" t="str">
        <f t="shared" si="1"/>
        <v>1946-S Washington Quarter</v>
      </c>
      <c r="Q8" s="330" t="str">
        <f>IFERROR(MATCH(P8,CoinCollection!O:O,0),"")</f>
        <v/>
      </c>
      <c r="R8" s="330" t="str">
        <f t="shared" si="2"/>
        <v>1960 Washington Quarter</v>
      </c>
      <c r="S8" s="330" t="str">
        <f>IFERROR(MATCH(R8,CoinCollection!O:O,0),"")</f>
        <v/>
      </c>
      <c r="T8" s="330" t="str">
        <f t="shared" si="3"/>
        <v>1974-D Washington Quarter</v>
      </c>
      <c r="U8" s="330" t="str">
        <f>IFERROR(MATCH(T8,CoinCollection!O:O,0),"")</f>
        <v/>
      </c>
      <c r="V8" s="330" t="str">
        <f t="shared" si="4"/>
        <v>1984-P Washington Quarter</v>
      </c>
      <c r="W8" s="330" t="str">
        <f>IFERROR(MATCH(V8,CoinCollection!O:O,0),"")</f>
        <v/>
      </c>
      <c r="X8" s="330" t="str">
        <f t="shared" si="11"/>
        <v>1994-P Washington Quarter</v>
      </c>
      <c r="Y8" s="330" t="str">
        <f>IFERROR(MATCH(X8,CoinCollection!O:O,0),"")</f>
        <v/>
      </c>
      <c r="AA8" s="330" t="str">
        <v>1935</v>
      </c>
      <c r="AC8" s="330" t="str">
        <v>1935</v>
      </c>
    </row>
    <row r="9" spans="1:29">
      <c r="A9" s="334" t="b">
        <f t="shared" si="5"/>
        <v>0</v>
      </c>
      <c r="B9" s="361" t="s">
        <v>2463</v>
      </c>
      <c r="C9" s="336" t="b">
        <f t="shared" si="6"/>
        <v>0</v>
      </c>
      <c r="D9" s="337" t="s">
        <v>2477</v>
      </c>
      <c r="E9" s="336" t="b">
        <f t="shared" si="7"/>
        <v>0</v>
      </c>
      <c r="F9" s="337" t="s">
        <v>875</v>
      </c>
      <c r="G9" s="336" t="b">
        <f t="shared" si="8"/>
        <v>0</v>
      </c>
      <c r="H9" s="337" t="s">
        <v>2505</v>
      </c>
      <c r="I9" s="336" t="b">
        <f t="shared" si="9"/>
        <v>0</v>
      </c>
      <c r="J9" s="337" t="s">
        <v>904</v>
      </c>
      <c r="K9" s="336" t="b">
        <f t="shared" si="10"/>
        <v>0</v>
      </c>
      <c r="L9" s="345" t="s">
        <v>924</v>
      </c>
      <c r="N9" t="str">
        <f t="shared" si="0"/>
        <v>1935-D Washington Quarter</v>
      </c>
      <c r="O9" s="330" t="str">
        <f>IFERROR(MATCH(N9,CoinCollection!O:O,0),"")</f>
        <v/>
      </c>
      <c r="P9" s="330" t="str">
        <f t="shared" si="1"/>
        <v>1947 Washington Quarter</v>
      </c>
      <c r="Q9" s="330" t="str">
        <f>IFERROR(MATCH(P9,CoinCollection!O:O,0),"")</f>
        <v/>
      </c>
      <c r="R9" s="330" t="str">
        <f t="shared" si="2"/>
        <v>1960-D Washington Quarter</v>
      </c>
      <c r="S9" s="330" t="str">
        <f>IFERROR(MATCH(R9,CoinCollection!O:O,0),"")</f>
        <v/>
      </c>
      <c r="T9" s="330" t="str">
        <f t="shared" si="3"/>
        <v>1974-S Proof Washington Quarter</v>
      </c>
      <c r="U9" s="330" t="str">
        <f>IFERROR(MATCH(T9,CoinCollection!O:O,0),"")</f>
        <v/>
      </c>
      <c r="V9" s="330" t="str">
        <f t="shared" si="4"/>
        <v>1984-D Washington Quarter</v>
      </c>
      <c r="W9" s="330" t="str">
        <f>IFERROR(MATCH(V9,CoinCollection!O:O,0),"")</f>
        <v/>
      </c>
      <c r="X9" s="330" t="str">
        <f t="shared" si="11"/>
        <v>1994-D Washington Quarter</v>
      </c>
      <c r="Y9" s="330" t="str">
        <f>IFERROR(MATCH(X9,CoinCollection!O:O,0),"")</f>
        <v/>
      </c>
      <c r="AA9" s="330" t="str">
        <v>1935-D</v>
      </c>
      <c r="AC9" s="330" t="str">
        <v>1935-D</v>
      </c>
    </row>
    <row r="10" spans="1:29">
      <c r="A10" s="334" t="b">
        <f t="shared" si="5"/>
        <v>0</v>
      </c>
      <c r="B10" s="363" t="s">
        <v>2464</v>
      </c>
      <c r="C10" s="336" t="b">
        <f t="shared" si="6"/>
        <v>0</v>
      </c>
      <c r="D10" s="342" t="s">
        <v>855</v>
      </c>
      <c r="E10" s="336" t="b">
        <f t="shared" si="7"/>
        <v>0</v>
      </c>
      <c r="F10" s="342" t="s">
        <v>2491</v>
      </c>
      <c r="G10" s="337"/>
      <c r="H10" s="355" t="s">
        <v>4865</v>
      </c>
      <c r="I10" s="336" t="b">
        <f t="shared" si="9"/>
        <v>0</v>
      </c>
      <c r="J10" s="342" t="s">
        <v>2521</v>
      </c>
      <c r="K10" s="336" t="b">
        <f t="shared" si="10"/>
        <v>0</v>
      </c>
      <c r="L10" s="344" t="s">
        <v>2534</v>
      </c>
      <c r="N10" t="str">
        <f t="shared" si="0"/>
        <v>1935-S Washington Quarter</v>
      </c>
      <c r="O10" s="330" t="str">
        <f>IFERROR(MATCH(N10,CoinCollection!O:O,0),"")</f>
        <v/>
      </c>
      <c r="P10" s="330" t="str">
        <f t="shared" si="1"/>
        <v>1947-D Washington Quarter</v>
      </c>
      <c r="Q10" s="330" t="str">
        <f>IFERROR(MATCH(P10,CoinCollection!O:O,0),"")</f>
        <v/>
      </c>
      <c r="R10" s="330" t="str">
        <f t="shared" si="2"/>
        <v>1961 Washington Quarter</v>
      </c>
      <c r="S10" s="330" t="str">
        <f>IFERROR(MATCH(R10,CoinCollection!O:O,0),"")</f>
        <v/>
      </c>
      <c r="T10" s="330" t="str">
        <f t="shared" si="3"/>
        <v>Bicentennial Coinage Washington Quarter</v>
      </c>
      <c r="U10" s="330" t="str">
        <f>IFERROR(MATCH(T10,CoinCollection!O:O,0),"")</f>
        <v/>
      </c>
      <c r="V10" s="330" t="str">
        <f t="shared" si="4"/>
        <v>1984-S Proof Washington Quarter</v>
      </c>
      <c r="W10" s="330" t="str">
        <f>IFERROR(MATCH(V10,CoinCollection!O:O,0),"")</f>
        <v/>
      </c>
      <c r="X10" s="330" t="str">
        <f t="shared" si="11"/>
        <v>1994-S Proof Washington Quarter</v>
      </c>
      <c r="Y10" s="330" t="str">
        <f>IFERROR(MATCH(X10,CoinCollection!O:O,0),"")</f>
        <v/>
      </c>
      <c r="AA10" s="330" t="str">
        <v>1935-S</v>
      </c>
      <c r="AC10" s="330" t="str">
        <v>1935-S</v>
      </c>
    </row>
    <row r="11" spans="1:29">
      <c r="A11" s="334" t="b">
        <f t="shared" si="5"/>
        <v>0</v>
      </c>
      <c r="B11" s="361" t="s">
        <v>2465</v>
      </c>
      <c r="C11" s="336" t="b">
        <f t="shared" si="6"/>
        <v>0</v>
      </c>
      <c r="D11" s="337" t="s">
        <v>856</v>
      </c>
      <c r="E11" s="336" t="b">
        <f t="shared" si="7"/>
        <v>0</v>
      </c>
      <c r="F11" s="337" t="s">
        <v>876</v>
      </c>
      <c r="G11" s="336" t="b">
        <f t="shared" si="8"/>
        <v>1</v>
      </c>
      <c r="H11" s="337" t="s">
        <v>2508</v>
      </c>
      <c r="I11" s="336" t="b">
        <f t="shared" si="9"/>
        <v>1</v>
      </c>
      <c r="J11" s="337" t="s">
        <v>905</v>
      </c>
      <c r="K11" s="336" t="b">
        <f t="shared" si="10"/>
        <v>0</v>
      </c>
      <c r="L11" s="345" t="s">
        <v>5106</v>
      </c>
      <c r="N11" t="str">
        <f t="shared" si="0"/>
        <v>1936 Washington Quarter</v>
      </c>
      <c r="O11" s="330" t="str">
        <f>IFERROR(MATCH(N11,CoinCollection!O:O,0),"")</f>
        <v/>
      </c>
      <c r="P11" s="330" t="str">
        <f t="shared" si="1"/>
        <v>1947-S Washington Quarter</v>
      </c>
      <c r="Q11" s="330" t="str">
        <f>IFERROR(MATCH(P11,CoinCollection!O:O,0),"")</f>
        <v/>
      </c>
      <c r="R11" s="330" t="str">
        <f t="shared" si="2"/>
        <v>1961-D Washington Quarter</v>
      </c>
      <c r="S11" s="330" t="str">
        <f>IFERROR(MATCH(R11,CoinCollection!O:O,0),"")</f>
        <v/>
      </c>
      <c r="T11" s="330" t="str">
        <f t="shared" si="3"/>
        <v>1976 Washington Quarter</v>
      </c>
      <c r="U11" s="330">
        <f>IFERROR(MATCH(T11,CoinCollection!O:O,0),"")</f>
        <v>1862</v>
      </c>
      <c r="V11" s="330" t="str">
        <f t="shared" si="4"/>
        <v>1985-P Washington Quarter</v>
      </c>
      <c r="W11" s="330">
        <f>IFERROR(MATCH(V11,CoinCollection!O:O,0),"")</f>
        <v>1877</v>
      </c>
      <c r="X11" s="330" t="str">
        <f t="shared" si="11"/>
        <v>1994-S Silver Proof Washington Quarter</v>
      </c>
      <c r="Y11" s="330" t="str">
        <f>IFERROR(MATCH(X11,CoinCollection!O:O,0),"")</f>
        <v/>
      </c>
      <c r="AA11" s="330" t="str">
        <v>1936</v>
      </c>
      <c r="AC11" s="330" t="str">
        <v>1936</v>
      </c>
    </row>
    <row r="12" spans="1:29">
      <c r="A12" s="334" t="b">
        <f t="shared" si="5"/>
        <v>0</v>
      </c>
      <c r="B12" s="363" t="s">
        <v>2466</v>
      </c>
      <c r="C12" s="336" t="b">
        <f t="shared" si="6"/>
        <v>0</v>
      </c>
      <c r="D12" s="342" t="s">
        <v>2478</v>
      </c>
      <c r="E12" s="336" t="b">
        <f t="shared" si="7"/>
        <v>0</v>
      </c>
      <c r="F12" s="342" t="s">
        <v>2492</v>
      </c>
      <c r="G12" s="336" t="b">
        <f t="shared" si="8"/>
        <v>1</v>
      </c>
      <c r="H12" s="342" t="s">
        <v>891</v>
      </c>
      <c r="I12" s="336" t="b">
        <f t="shared" si="9"/>
        <v>0</v>
      </c>
      <c r="J12" s="342" t="s">
        <v>906</v>
      </c>
      <c r="K12" s="336" t="b">
        <f t="shared" si="10"/>
        <v>0</v>
      </c>
      <c r="L12" s="344" t="s">
        <v>925</v>
      </c>
      <c r="N12" t="str">
        <f t="shared" si="0"/>
        <v>1936-D Washington Quarter</v>
      </c>
      <c r="O12" s="330" t="str">
        <f>IFERROR(MATCH(N12,CoinCollection!O:O,0),"")</f>
        <v/>
      </c>
      <c r="P12" s="330" t="str">
        <f t="shared" si="1"/>
        <v>1948 Washington Quarter</v>
      </c>
      <c r="Q12" s="330" t="str">
        <f>IFERROR(MATCH(P12,CoinCollection!O:O,0),"")</f>
        <v/>
      </c>
      <c r="R12" s="330" t="str">
        <f t="shared" si="2"/>
        <v>1962 Washington Quarter</v>
      </c>
      <c r="S12" s="330" t="str">
        <f>IFERROR(MATCH(R12,CoinCollection!O:O,0),"")</f>
        <v/>
      </c>
      <c r="T12" s="330" t="str">
        <f t="shared" si="3"/>
        <v>1976-D Washington Quarter</v>
      </c>
      <c r="U12" s="330">
        <f>IFERROR(MATCH(T12,CoinCollection!O:O,0),"")</f>
        <v>1865</v>
      </c>
      <c r="V12" s="330" t="str">
        <f t="shared" si="4"/>
        <v>1985-D Washington Quarter</v>
      </c>
      <c r="W12" s="330" t="str">
        <f>IFERROR(MATCH(V12,CoinCollection!O:O,0),"")</f>
        <v/>
      </c>
      <c r="X12" s="330" t="str">
        <f t="shared" si="11"/>
        <v>1995-P Washington Quarter</v>
      </c>
      <c r="Y12" s="330" t="str">
        <f>IFERROR(MATCH(X12,CoinCollection!O:O,0),"")</f>
        <v/>
      </c>
      <c r="AA12" s="330" t="str">
        <v>1936-D</v>
      </c>
      <c r="AC12" s="330" t="str">
        <v>1936-D</v>
      </c>
    </row>
    <row r="13" spans="1:29">
      <c r="A13" s="334" t="b">
        <f t="shared" si="5"/>
        <v>0</v>
      </c>
      <c r="B13" s="361" t="s">
        <v>2467</v>
      </c>
      <c r="C13" s="336" t="b">
        <f t="shared" si="6"/>
        <v>0</v>
      </c>
      <c r="D13" s="337" t="s">
        <v>857</v>
      </c>
      <c r="E13" s="336" t="b">
        <f t="shared" si="7"/>
        <v>0</v>
      </c>
      <c r="F13" s="337" t="s">
        <v>877</v>
      </c>
      <c r="G13" s="336" t="b">
        <f t="shared" si="8"/>
        <v>0</v>
      </c>
      <c r="H13" s="337" t="s">
        <v>2509</v>
      </c>
      <c r="I13" s="336" t="b">
        <f t="shared" si="9"/>
        <v>0</v>
      </c>
      <c r="J13" s="337" t="s">
        <v>2522</v>
      </c>
      <c r="K13" s="336" t="b">
        <f t="shared" si="10"/>
        <v>1</v>
      </c>
      <c r="L13" s="345" t="s">
        <v>926</v>
      </c>
      <c r="N13" t="str">
        <f t="shared" si="0"/>
        <v>1936-S Washington Quarter</v>
      </c>
      <c r="O13" s="330" t="str">
        <f>IFERROR(MATCH(N13,CoinCollection!O:O,0),"")</f>
        <v/>
      </c>
      <c r="P13" s="330" t="str">
        <f t="shared" si="1"/>
        <v>1948-D Washington Quarter</v>
      </c>
      <c r="Q13" s="330" t="str">
        <f>IFERROR(MATCH(P13,CoinCollection!O:O,0),"")</f>
        <v/>
      </c>
      <c r="R13" s="330" t="str">
        <f t="shared" si="2"/>
        <v>1962-D Washington Quarter</v>
      </c>
      <c r="S13" s="330" t="str">
        <f>IFERROR(MATCH(R13,CoinCollection!O:O,0),"")</f>
        <v/>
      </c>
      <c r="T13" s="330" t="str">
        <f t="shared" si="3"/>
        <v>1976-S Proof Washington Quarter</v>
      </c>
      <c r="U13" s="330" t="str">
        <f>IFERROR(MATCH(T13,CoinCollection!O:O,0),"")</f>
        <v/>
      </c>
      <c r="V13" s="330" t="str">
        <f t="shared" si="4"/>
        <v>1985-S Proof Washington Quarter</v>
      </c>
      <c r="W13" s="330" t="str">
        <f>IFERROR(MATCH(V13,CoinCollection!O:O,0),"")</f>
        <v/>
      </c>
      <c r="X13" s="330" t="str">
        <f t="shared" si="11"/>
        <v>1995-D Washington Quarter</v>
      </c>
      <c r="Y13" s="330">
        <f>IFERROR(MATCH(X13,CoinCollection!O:O,0),"")</f>
        <v>1892</v>
      </c>
      <c r="AA13" s="330" t="str">
        <v>1936-S</v>
      </c>
      <c r="AC13" s="330" t="str">
        <v>1936-S</v>
      </c>
    </row>
    <row r="14" spans="1:29">
      <c r="A14" s="334" t="b">
        <f t="shared" si="5"/>
        <v>0</v>
      </c>
      <c r="B14" s="363" t="s">
        <v>2468</v>
      </c>
      <c r="C14" s="336" t="b">
        <f t="shared" si="6"/>
        <v>0</v>
      </c>
      <c r="D14" s="342" t="s">
        <v>858</v>
      </c>
      <c r="E14" s="336" t="b">
        <f t="shared" si="7"/>
        <v>0</v>
      </c>
      <c r="F14" s="342" t="s">
        <v>2493</v>
      </c>
      <c r="G14" s="336" t="b">
        <f t="shared" si="8"/>
        <v>0</v>
      </c>
      <c r="H14" s="342" t="s">
        <v>5140</v>
      </c>
      <c r="I14" s="336" t="b">
        <f t="shared" si="9"/>
        <v>1</v>
      </c>
      <c r="J14" s="342" t="s">
        <v>907</v>
      </c>
      <c r="K14" s="336" t="b">
        <f t="shared" si="10"/>
        <v>0</v>
      </c>
      <c r="L14" s="344" t="s">
        <v>2537</v>
      </c>
      <c r="N14" t="str">
        <f t="shared" si="0"/>
        <v>1937 Washington Quarter</v>
      </c>
      <c r="O14" s="330" t="str">
        <f>IFERROR(MATCH(N14,CoinCollection!O:O,0),"")</f>
        <v/>
      </c>
      <c r="P14" s="330" t="str">
        <f t="shared" si="1"/>
        <v>1948-S Washington Quarter</v>
      </c>
      <c r="Q14" s="330" t="str">
        <f>IFERROR(MATCH(P14,CoinCollection!O:O,0),"")</f>
        <v/>
      </c>
      <c r="R14" s="330" t="str">
        <f t="shared" si="2"/>
        <v>1963 Washington Quarter</v>
      </c>
      <c r="S14" s="330" t="str">
        <f>IFERROR(MATCH(R14,CoinCollection!O:O,0),"")</f>
        <v/>
      </c>
      <c r="T14" s="330" t="str">
        <f t="shared" si="3"/>
        <v>1976-S Silver Washington Quarter</v>
      </c>
      <c r="U14" s="330" t="str">
        <f>IFERROR(MATCH(T14,CoinCollection!O:O,0),"")</f>
        <v/>
      </c>
      <c r="V14" s="330" t="str">
        <f t="shared" si="4"/>
        <v>1986-P Washington Quarter</v>
      </c>
      <c r="W14" s="330">
        <f>IFERROR(MATCH(V14,CoinCollection!O:O,0),"")</f>
        <v>1878</v>
      </c>
      <c r="X14" s="330" t="str">
        <f t="shared" si="11"/>
        <v>1995-S Proof Washington Quarter</v>
      </c>
      <c r="Y14" s="330" t="str">
        <f>IFERROR(MATCH(X14,CoinCollection!O:O,0),"")</f>
        <v/>
      </c>
      <c r="AA14" s="330" t="str">
        <v>1937</v>
      </c>
      <c r="AC14" s="330" t="str">
        <v>1937</v>
      </c>
    </row>
    <row r="15" spans="1:29">
      <c r="A15" s="334" t="b">
        <f t="shared" si="5"/>
        <v>0</v>
      </c>
      <c r="B15" s="361" t="s">
        <v>2469</v>
      </c>
      <c r="C15" s="336" t="b">
        <f t="shared" si="6"/>
        <v>0</v>
      </c>
      <c r="D15" s="337" t="s">
        <v>2479</v>
      </c>
      <c r="E15" s="336" t="b">
        <f t="shared" si="7"/>
        <v>0</v>
      </c>
      <c r="F15" s="337" t="s">
        <v>878</v>
      </c>
      <c r="G15" s="336" t="b">
        <f t="shared" si="8"/>
        <v>0</v>
      </c>
      <c r="H15" s="337" t="s">
        <v>5141</v>
      </c>
      <c r="I15" s="336" t="b">
        <f t="shared" si="9"/>
        <v>0</v>
      </c>
      <c r="J15" s="337" t="s">
        <v>908</v>
      </c>
      <c r="K15" s="336" t="b">
        <f t="shared" si="10"/>
        <v>0</v>
      </c>
      <c r="L15" s="345" t="s">
        <v>5107</v>
      </c>
      <c r="N15" t="str">
        <f t="shared" si="0"/>
        <v>1937-D Washington Quarter</v>
      </c>
      <c r="O15" s="330" t="str">
        <f>IFERROR(MATCH(N15,CoinCollection!O:O,0),"")</f>
        <v/>
      </c>
      <c r="P15" s="330" t="str">
        <f t="shared" si="1"/>
        <v>1949 Washington Quarter</v>
      </c>
      <c r="Q15" s="330" t="str">
        <f>IFERROR(MATCH(P15,CoinCollection!O:O,0),"")</f>
        <v/>
      </c>
      <c r="R15" s="330" t="str">
        <f t="shared" si="2"/>
        <v>1963-D Washington Quarter</v>
      </c>
      <c r="S15" s="330" t="str">
        <f>IFERROR(MATCH(R15,CoinCollection!O:O,0),"")</f>
        <v/>
      </c>
      <c r="T15" s="330" t="str">
        <f t="shared" si="3"/>
        <v>1976-S Silver Clad Proof Washington Quarter</v>
      </c>
      <c r="U15" s="330" t="str">
        <f>IFERROR(MATCH(T15,CoinCollection!O:O,0),"")</f>
        <v/>
      </c>
      <c r="V15" s="330" t="str">
        <f t="shared" si="4"/>
        <v>1986-D Washington Quarter</v>
      </c>
      <c r="W15" s="330" t="str">
        <f>IFERROR(MATCH(V15,CoinCollection!O:O,0),"")</f>
        <v/>
      </c>
      <c r="X15" s="330" t="str">
        <f t="shared" si="11"/>
        <v>1995-S Silver Proof Washington Quarter</v>
      </c>
      <c r="Y15" s="330" t="str">
        <f>IFERROR(MATCH(X15,CoinCollection!O:O,0),"")</f>
        <v/>
      </c>
      <c r="AA15" s="330" t="str">
        <v>1937-D</v>
      </c>
      <c r="AC15" s="330" t="str">
        <v>1937-D</v>
      </c>
    </row>
    <row r="16" spans="1:29">
      <c r="A16" s="334" t="b">
        <f t="shared" si="5"/>
        <v>0</v>
      </c>
      <c r="B16" s="363" t="s">
        <v>2470</v>
      </c>
      <c r="C16" s="336" t="b">
        <f t="shared" si="6"/>
        <v>0</v>
      </c>
      <c r="D16" s="342" t="s">
        <v>859</v>
      </c>
      <c r="E16" s="336" t="b">
        <f t="shared" si="7"/>
        <v>0</v>
      </c>
      <c r="F16" s="342" t="s">
        <v>2494</v>
      </c>
      <c r="G16" s="337"/>
      <c r="H16" s="355" t="s">
        <v>4832</v>
      </c>
      <c r="I16" s="336" t="b">
        <f t="shared" si="9"/>
        <v>0</v>
      </c>
      <c r="J16" s="342" t="s">
        <v>2523</v>
      </c>
      <c r="K16" s="336" t="b">
        <f t="shared" si="10"/>
        <v>1</v>
      </c>
      <c r="L16" s="344" t="s">
        <v>927</v>
      </c>
      <c r="N16" t="str">
        <f t="shared" si="0"/>
        <v>1937-S Washington Quarter</v>
      </c>
      <c r="O16" s="330" t="str">
        <f>IFERROR(MATCH(N16,CoinCollection!O:O,0),"")</f>
        <v/>
      </c>
      <c r="P16" s="330" t="str">
        <f t="shared" si="1"/>
        <v>1949-D Washington Quarter</v>
      </c>
      <c r="Q16" s="330" t="str">
        <f>IFERROR(MATCH(P16,CoinCollection!O:O,0),"")</f>
        <v/>
      </c>
      <c r="R16" s="330" t="str">
        <f t="shared" si="2"/>
        <v>1964 Washington Quarter</v>
      </c>
      <c r="S16" s="330" t="str">
        <f>IFERROR(MATCH(R16,CoinCollection!O:O,0),"")</f>
        <v/>
      </c>
      <c r="T16" s="330" t="str">
        <f t="shared" si="3"/>
        <v>Eagle Reverse Resumed Washington Quarter</v>
      </c>
      <c r="U16" s="330" t="str">
        <f>IFERROR(MATCH(T16,CoinCollection!O:O,0),"")</f>
        <v/>
      </c>
      <c r="V16" s="330" t="str">
        <f t="shared" si="4"/>
        <v>1986-S Proof Washington Quarter</v>
      </c>
      <c r="W16" s="330" t="str">
        <f>IFERROR(MATCH(V16,CoinCollection!O:O,0),"")</f>
        <v/>
      </c>
      <c r="X16" s="330" t="str">
        <f t="shared" si="11"/>
        <v>1996-P Washington Quarter</v>
      </c>
      <c r="Y16" s="330">
        <f>IFERROR(MATCH(X16,CoinCollection!O:O,0),"")</f>
        <v>1895</v>
      </c>
      <c r="AA16" s="330" t="str">
        <v>1937-S</v>
      </c>
      <c r="AC16" s="330" t="str">
        <v>1937-S</v>
      </c>
    </row>
    <row r="17" spans="1:29">
      <c r="A17" s="334" t="b">
        <f t="shared" si="5"/>
        <v>0</v>
      </c>
      <c r="B17" s="361" t="s">
        <v>2471</v>
      </c>
      <c r="C17" s="336" t="b">
        <f t="shared" si="6"/>
        <v>0</v>
      </c>
      <c r="D17" s="337" t="s">
        <v>2480</v>
      </c>
      <c r="E17" s="336" t="b">
        <f t="shared" si="7"/>
        <v>0</v>
      </c>
      <c r="F17" s="337" t="s">
        <v>879</v>
      </c>
      <c r="G17" s="336" t="b">
        <f t="shared" si="8"/>
        <v>1</v>
      </c>
      <c r="H17" s="337" t="s">
        <v>2510</v>
      </c>
      <c r="I17" s="336" t="b">
        <f t="shared" si="9"/>
        <v>0</v>
      </c>
      <c r="J17" s="337" t="s">
        <v>909</v>
      </c>
      <c r="K17" s="336" t="b">
        <f t="shared" si="10"/>
        <v>1</v>
      </c>
      <c r="L17" s="345" t="s">
        <v>928</v>
      </c>
      <c r="N17" t="str">
        <f t="shared" si="0"/>
        <v>1938 Washington Quarter</v>
      </c>
      <c r="O17" s="330" t="str">
        <f>IFERROR(MATCH(N17,CoinCollection!O:O,0),"")</f>
        <v/>
      </c>
      <c r="P17" s="330" t="str">
        <f t="shared" si="1"/>
        <v>1950 Washington Quarter</v>
      </c>
      <c r="Q17" s="330" t="str">
        <f>IFERROR(MATCH(P17,CoinCollection!O:O,0),"")</f>
        <v/>
      </c>
      <c r="R17" s="330" t="str">
        <f t="shared" si="2"/>
        <v>1964-D Washington Quarter</v>
      </c>
      <c r="S17" s="330" t="str">
        <f>IFERROR(MATCH(R17,CoinCollection!O:O,0),"")</f>
        <v/>
      </c>
      <c r="T17" s="330" t="str">
        <f t="shared" si="3"/>
        <v>1977 Washington Quarter</v>
      </c>
      <c r="U17" s="330">
        <f>IFERROR(MATCH(T17,CoinCollection!O:O,0),"")</f>
        <v>1869</v>
      </c>
      <c r="V17" s="330" t="str">
        <f t="shared" si="4"/>
        <v>1987-P Washington Quarter</v>
      </c>
      <c r="W17" s="330" t="str">
        <f>IFERROR(MATCH(V17,CoinCollection!O:O,0),"")</f>
        <v/>
      </c>
      <c r="X17" s="330" t="str">
        <f t="shared" si="11"/>
        <v>1996-D Washington Quarter</v>
      </c>
      <c r="Y17" s="330">
        <f>IFERROR(MATCH(X17,CoinCollection!O:O,0),"")</f>
        <v>1896</v>
      </c>
      <c r="AA17" s="330" t="str">
        <v>1938</v>
      </c>
      <c r="AC17" s="330" t="str">
        <v>1938</v>
      </c>
    </row>
    <row r="18" spans="1:29">
      <c r="A18" s="334" t="b">
        <f t="shared" si="5"/>
        <v>0</v>
      </c>
      <c r="B18" s="363" t="s">
        <v>833</v>
      </c>
      <c r="C18" s="336" t="b">
        <f t="shared" si="6"/>
        <v>0</v>
      </c>
      <c r="D18" s="342" t="s">
        <v>861</v>
      </c>
      <c r="E18" s="336" t="b">
        <f t="shared" si="7"/>
        <v>1</v>
      </c>
      <c r="F18" s="342" t="s">
        <v>2495</v>
      </c>
      <c r="G18" s="336" t="b">
        <f t="shared" si="8"/>
        <v>0</v>
      </c>
      <c r="H18" s="342" t="s">
        <v>892</v>
      </c>
      <c r="I18" s="336" t="b">
        <f t="shared" si="9"/>
        <v>1</v>
      </c>
      <c r="J18" s="342" t="s">
        <v>910</v>
      </c>
      <c r="K18" s="336" t="b">
        <f t="shared" si="10"/>
        <v>0</v>
      </c>
      <c r="L18" s="344" t="s">
        <v>2538</v>
      </c>
      <c r="N18" t="str">
        <f t="shared" si="0"/>
        <v>1938-S Washington Quarter</v>
      </c>
      <c r="O18" s="330" t="str">
        <f>IFERROR(MATCH(N18,CoinCollection!O:O,0),"")</f>
        <v/>
      </c>
      <c r="P18" s="330" t="str">
        <f t="shared" si="1"/>
        <v>1950-D Washington Quarter</v>
      </c>
      <c r="Q18" s="330" t="str">
        <f>IFERROR(MATCH(P18,CoinCollection!O:O,0),"")</f>
        <v/>
      </c>
      <c r="R18" s="330" t="str">
        <f t="shared" si="2"/>
        <v>1965 Washington Quarter</v>
      </c>
      <c r="S18" s="330">
        <f>IFERROR(MATCH(R18,CoinCollection!O:O,0),"")</f>
        <v>1852</v>
      </c>
      <c r="T18" s="330" t="str">
        <f t="shared" si="3"/>
        <v>1977-D Washington Quarter</v>
      </c>
      <c r="U18" s="330" t="str">
        <f>IFERROR(MATCH(T18,CoinCollection!O:O,0),"")</f>
        <v/>
      </c>
      <c r="V18" s="330" t="str">
        <f t="shared" si="4"/>
        <v>1987-D Washington Quarter</v>
      </c>
      <c r="W18" s="330">
        <f>IFERROR(MATCH(V18,CoinCollection!O:O,0),"")</f>
        <v>1880</v>
      </c>
      <c r="X18" s="330" t="str">
        <f t="shared" si="11"/>
        <v>1996-S Proof Washington Quarter</v>
      </c>
      <c r="Y18" s="330" t="str">
        <f>IFERROR(MATCH(X18,CoinCollection!O:O,0),"")</f>
        <v/>
      </c>
      <c r="AA18" s="330" t="str">
        <v>1938-S</v>
      </c>
      <c r="AC18" s="330" t="str">
        <v>1938-S</v>
      </c>
    </row>
    <row r="19" spans="1:29">
      <c r="A19" s="334" t="b">
        <f t="shared" si="5"/>
        <v>1</v>
      </c>
      <c r="B19" s="361" t="s">
        <v>2472</v>
      </c>
      <c r="C19" s="336" t="b">
        <f t="shared" si="6"/>
        <v>0</v>
      </c>
      <c r="D19" s="337" t="s">
        <v>4929</v>
      </c>
      <c r="E19" s="336" t="b">
        <f t="shared" si="7"/>
        <v>1</v>
      </c>
      <c r="F19" s="337" t="s">
        <v>2496</v>
      </c>
      <c r="G19" s="336" t="b">
        <f t="shared" si="8"/>
        <v>0</v>
      </c>
      <c r="H19" s="337" t="s">
        <v>2511</v>
      </c>
      <c r="I19" s="336" t="b">
        <f t="shared" si="9"/>
        <v>0</v>
      </c>
      <c r="J19" s="337" t="s">
        <v>2524</v>
      </c>
      <c r="K19" s="336" t="b">
        <f t="shared" si="10"/>
        <v>0</v>
      </c>
      <c r="L19" s="345" t="s">
        <v>5108</v>
      </c>
      <c r="N19" t="str">
        <f t="shared" si="0"/>
        <v>1939 Washington Quarter</v>
      </c>
      <c r="O19" s="330">
        <f>IFERROR(MATCH(N19,CoinCollection!O:O,0),"")</f>
        <v>1847</v>
      </c>
      <c r="P19" s="330" t="str">
        <f t="shared" si="1"/>
        <v>1950-S Washington Quarter</v>
      </c>
      <c r="Q19" s="330" t="str">
        <f>IFERROR(MATCH(P19,CoinCollection!O:O,0),"")</f>
        <v/>
      </c>
      <c r="R19" s="330" t="str">
        <f t="shared" si="2"/>
        <v>1966 Washington Quarter</v>
      </c>
      <c r="S19" s="330">
        <f>IFERROR(MATCH(R19,CoinCollection!O:O,0),"")</f>
        <v>1854</v>
      </c>
      <c r="T19" s="330" t="str">
        <f t="shared" si="3"/>
        <v>1977-S Proof Washington Quarter</v>
      </c>
      <c r="U19" s="330" t="str">
        <f>IFERROR(MATCH(T19,CoinCollection!O:O,0),"")</f>
        <v/>
      </c>
      <c r="V19" s="330" t="str">
        <f t="shared" si="4"/>
        <v>1987-S Proof Washington Quarter</v>
      </c>
      <c r="W19" s="330" t="str">
        <f>IFERROR(MATCH(V19,CoinCollection!O:O,0),"")</f>
        <v/>
      </c>
      <c r="X19" s="330" t="str">
        <f t="shared" si="11"/>
        <v>1996-S Silver Proof Washington Quarter</v>
      </c>
      <c r="Y19" s="330" t="str">
        <f>IFERROR(MATCH(X19,CoinCollection!O:O,0),"")</f>
        <v/>
      </c>
      <c r="AA19" s="330" t="str">
        <v>1939-D</v>
      </c>
      <c r="AC19" s="330" t="str">
        <v>1939-D</v>
      </c>
    </row>
    <row r="20" spans="1:29">
      <c r="A20" s="334" t="b">
        <f t="shared" si="5"/>
        <v>0</v>
      </c>
      <c r="B20" s="363" t="s">
        <v>834</v>
      </c>
      <c r="C20" s="336" t="b">
        <f t="shared" si="6"/>
        <v>0</v>
      </c>
      <c r="D20" s="342" t="s">
        <v>2481</v>
      </c>
      <c r="E20" s="336" t="b">
        <f t="shared" si="7"/>
        <v>1</v>
      </c>
      <c r="F20" s="342" t="s">
        <v>2497</v>
      </c>
      <c r="G20" s="336" t="b">
        <f t="shared" si="8"/>
        <v>0</v>
      </c>
      <c r="H20" s="342" t="s">
        <v>2512</v>
      </c>
      <c r="I20" s="336" t="b">
        <f t="shared" si="9"/>
        <v>1</v>
      </c>
      <c r="J20" s="342" t="s">
        <v>911</v>
      </c>
      <c r="K20" s="336" t="b">
        <f t="shared" si="10"/>
        <v>0</v>
      </c>
      <c r="L20" s="344" t="s">
        <v>929</v>
      </c>
      <c r="N20" t="str">
        <f t="shared" si="0"/>
        <v>1939-D Washington Quarter</v>
      </c>
      <c r="O20" s="330" t="str">
        <f>IFERROR(MATCH(N20,CoinCollection!O:O,0),"")</f>
        <v/>
      </c>
      <c r="P20" s="330" t="str">
        <f t="shared" si="1"/>
        <v>1951 Washington Quarter</v>
      </c>
      <c r="Q20" s="330" t="str">
        <f>IFERROR(MATCH(P20,CoinCollection!O:O,0),"")</f>
        <v/>
      </c>
      <c r="R20" s="330" t="str">
        <f t="shared" si="2"/>
        <v>1967 Washington Quarter</v>
      </c>
      <c r="S20" s="330">
        <f>IFERROR(MATCH(R20,CoinCollection!O:O,0),"")</f>
        <v>1855</v>
      </c>
      <c r="T20" s="330" t="str">
        <f t="shared" si="3"/>
        <v>1978 Washington Quarter</v>
      </c>
      <c r="U20" s="330" t="str">
        <f>IFERROR(MATCH(T20,CoinCollection!O:O,0),"")</f>
        <v/>
      </c>
      <c r="V20" s="330" t="str">
        <f t="shared" si="4"/>
        <v>1988-P Washington Quarter</v>
      </c>
      <c r="W20" s="330">
        <f>IFERROR(MATCH(V20,CoinCollection!O:O,0),"")</f>
        <v>1881</v>
      </c>
      <c r="X20" s="330" t="str">
        <f t="shared" si="11"/>
        <v>1997-P Washington Quarter</v>
      </c>
      <c r="Y20" s="330" t="str">
        <f>IFERROR(MATCH(X20,CoinCollection!O:O,0),"")</f>
        <v/>
      </c>
      <c r="AA20" s="330" t="str">
        <v>1939-S</v>
      </c>
      <c r="AC20" s="330" t="str">
        <v>1939-S</v>
      </c>
    </row>
    <row r="21" spans="1:29">
      <c r="A21" s="334" t="b">
        <f t="shared" si="5"/>
        <v>0</v>
      </c>
      <c r="B21" s="361" t="s">
        <v>835</v>
      </c>
      <c r="C21" s="336" t="b">
        <f t="shared" si="6"/>
        <v>0</v>
      </c>
      <c r="D21" s="337" t="s">
        <v>862</v>
      </c>
      <c r="E21" s="336" t="b">
        <f t="shared" si="7"/>
        <v>0</v>
      </c>
      <c r="F21" s="337" t="s">
        <v>4184</v>
      </c>
      <c r="G21" s="336" t="b">
        <f t="shared" si="8"/>
        <v>1</v>
      </c>
      <c r="H21" s="337" t="s">
        <v>893</v>
      </c>
      <c r="I21" s="336" t="b">
        <f t="shared" si="9"/>
        <v>0</v>
      </c>
      <c r="J21" s="337" t="s">
        <v>912</v>
      </c>
      <c r="K21" s="336" t="b">
        <f t="shared" si="10"/>
        <v>0</v>
      </c>
      <c r="L21" s="345" t="s">
        <v>930</v>
      </c>
      <c r="N21" t="str">
        <f t="shared" si="0"/>
        <v>1939-S Washington Quarter</v>
      </c>
      <c r="O21" s="330" t="str">
        <f>IFERROR(MATCH(N21,CoinCollection!O:O,0),"")</f>
        <v/>
      </c>
      <c r="P21" s="330" t="str">
        <f t="shared" si="1"/>
        <v>1951-D Washington Quarter</v>
      </c>
      <c r="Q21" s="330" t="str">
        <f>IFERROR(MATCH(P21,CoinCollection!O:O,0),"")</f>
        <v/>
      </c>
      <c r="R21" s="330" t="str">
        <f t="shared" si="2"/>
        <v>1968 Washington Quarter</v>
      </c>
      <c r="S21" s="330" t="str">
        <f>IFERROR(MATCH(R21,CoinCollection!O:O,0),"")</f>
        <v/>
      </c>
      <c r="T21" s="330" t="str">
        <f t="shared" si="3"/>
        <v>1978-D Washington Quarter</v>
      </c>
      <c r="U21" s="330">
        <f>IFERROR(MATCH(T21,CoinCollection!O:O,0),"")</f>
        <v>1870</v>
      </c>
      <c r="V21" s="330" t="str">
        <f t="shared" si="4"/>
        <v>1988-D Washington Quarter</v>
      </c>
      <c r="W21" s="330" t="str">
        <f>IFERROR(MATCH(V21,CoinCollection!O:O,0),"")</f>
        <v/>
      </c>
      <c r="X21" s="330" t="str">
        <f t="shared" si="11"/>
        <v>1997-D Washington Quarter</v>
      </c>
      <c r="Y21" s="330" t="str">
        <f>IFERROR(MATCH(X21,CoinCollection!O:O,0),"")</f>
        <v/>
      </c>
      <c r="AA21" s="330" t="str">
        <v>1940</v>
      </c>
      <c r="AC21" s="330" t="str">
        <v>1940</v>
      </c>
    </row>
    <row r="22" spans="1:29">
      <c r="A22" s="334" t="b">
        <f t="shared" si="5"/>
        <v>0</v>
      </c>
      <c r="B22" s="363" t="s">
        <v>2473</v>
      </c>
      <c r="C22" s="336" t="b">
        <f t="shared" si="6"/>
        <v>0</v>
      </c>
      <c r="D22" s="342" t="s">
        <v>863</v>
      </c>
      <c r="E22" s="336" t="b">
        <f t="shared" si="7"/>
        <v>0</v>
      </c>
      <c r="F22" s="342" t="s">
        <v>880</v>
      </c>
      <c r="G22" s="336" t="b">
        <f t="shared" si="8"/>
        <v>0</v>
      </c>
      <c r="H22" s="342" t="s">
        <v>2513</v>
      </c>
      <c r="I22" s="336" t="b">
        <f t="shared" si="9"/>
        <v>0</v>
      </c>
      <c r="J22" s="342" t="s">
        <v>2525</v>
      </c>
      <c r="K22" s="336" t="b">
        <f t="shared" si="10"/>
        <v>0</v>
      </c>
      <c r="L22" s="344" t="s">
        <v>2540</v>
      </c>
      <c r="N22" t="str">
        <f t="shared" si="0"/>
        <v>1940 Washington Quarter</v>
      </c>
      <c r="O22" s="330" t="str">
        <f>IFERROR(MATCH(N22,CoinCollection!O:O,0),"")</f>
        <v/>
      </c>
      <c r="P22" s="330" t="str">
        <f t="shared" si="1"/>
        <v>1951-S Washington Quarter</v>
      </c>
      <c r="Q22" s="330" t="str">
        <f>IFERROR(MATCH(P22,CoinCollection!O:O,0),"")</f>
        <v/>
      </c>
      <c r="R22" s="330" t="str">
        <f t="shared" si="2"/>
        <v>1968-D Washington Quarter</v>
      </c>
      <c r="S22" s="330" t="str">
        <f>IFERROR(MATCH(R22,CoinCollection!O:O,0),"")</f>
        <v/>
      </c>
      <c r="T22" s="330" t="str">
        <f t="shared" si="3"/>
        <v>1978-S Proof Washington Quarter</v>
      </c>
      <c r="U22" s="330" t="str">
        <f>IFERROR(MATCH(T22,CoinCollection!O:O,0),"")</f>
        <v/>
      </c>
      <c r="V22" s="330" t="str">
        <f t="shared" si="4"/>
        <v>1988-S Proof Washington Quarter</v>
      </c>
      <c r="W22" s="330" t="str">
        <f>IFERROR(MATCH(V22,CoinCollection!O:O,0),"")</f>
        <v/>
      </c>
      <c r="X22" s="330" t="str">
        <f t="shared" si="11"/>
        <v>1997-S Proof Washington Quarter</v>
      </c>
      <c r="Y22" s="330" t="str">
        <f>IFERROR(MATCH(X22,CoinCollection!O:O,0),"")</f>
        <v/>
      </c>
      <c r="AA22" s="330" t="str">
        <v>1940-D</v>
      </c>
      <c r="AC22" s="330" t="str">
        <v>1940-D</v>
      </c>
    </row>
    <row r="23" spans="1:29">
      <c r="A23" s="334" t="b">
        <f t="shared" si="5"/>
        <v>0</v>
      </c>
      <c r="B23" s="361" t="s">
        <v>836</v>
      </c>
      <c r="C23" s="336" t="b">
        <f t="shared" si="6"/>
        <v>1</v>
      </c>
      <c r="D23" s="337" t="s">
        <v>2482</v>
      </c>
      <c r="E23" s="336" t="b">
        <f t="shared" si="7"/>
        <v>0</v>
      </c>
      <c r="F23" s="337" t="s">
        <v>4877</v>
      </c>
      <c r="G23" s="336" t="b">
        <f t="shared" si="8"/>
        <v>0</v>
      </c>
      <c r="H23" s="337" t="s">
        <v>1627</v>
      </c>
      <c r="I23" s="336" t="b">
        <f t="shared" si="9"/>
        <v>0</v>
      </c>
      <c r="J23" s="337" t="s">
        <v>913</v>
      </c>
      <c r="K23" s="336" t="b">
        <f t="shared" si="10"/>
        <v>0</v>
      </c>
      <c r="L23" s="345" t="s">
        <v>5110</v>
      </c>
      <c r="N23" t="str">
        <f t="shared" si="0"/>
        <v>1940-D Washington Quarter</v>
      </c>
      <c r="O23" s="330" t="str">
        <f>IFERROR(MATCH(N23,CoinCollection!O:O,0),"")</f>
        <v/>
      </c>
      <c r="P23" s="330" t="str">
        <f t="shared" si="1"/>
        <v>1952 Washington Quarter</v>
      </c>
      <c r="Q23" s="330">
        <f>IFERROR(MATCH(P23,CoinCollection!O:O,0),"")</f>
        <v>1850</v>
      </c>
      <c r="R23" s="330" t="str">
        <f t="shared" si="2"/>
        <v>1968-S Proof Washington Quarter</v>
      </c>
      <c r="S23" s="330" t="str">
        <f>IFERROR(MATCH(R23,CoinCollection!O:O,0),"")</f>
        <v/>
      </c>
      <c r="T23" s="330" t="str">
        <f t="shared" si="3"/>
        <v>1979 Washington Quarter</v>
      </c>
      <c r="U23" s="330" t="str">
        <f>IFERROR(MATCH(T23,CoinCollection!O:O,0),"")</f>
        <v/>
      </c>
      <c r="V23" s="330" t="str">
        <f t="shared" si="4"/>
        <v>1989-P Washington Quarter</v>
      </c>
      <c r="W23" s="330" t="str">
        <f>IFERROR(MATCH(V23,CoinCollection!O:O,0),"")</f>
        <v/>
      </c>
      <c r="X23" s="330" t="str">
        <f t="shared" si="11"/>
        <v>1997-S Silver Proof Washington Quarter</v>
      </c>
      <c r="Y23" s="330" t="str">
        <f>IFERROR(MATCH(X23,CoinCollection!O:O,0),"")</f>
        <v/>
      </c>
      <c r="AA23" s="330" t="str">
        <v>1940-S</v>
      </c>
      <c r="AC23" s="330" t="str">
        <v>1940-S</v>
      </c>
    </row>
    <row r="24" spans="1:29">
      <c r="A24" s="334" t="b">
        <f t="shared" si="5"/>
        <v>0</v>
      </c>
      <c r="B24" s="363" t="s">
        <v>837</v>
      </c>
      <c r="C24" s="336" t="b">
        <f t="shared" si="6"/>
        <v>0</v>
      </c>
      <c r="D24" s="342" t="s">
        <v>864</v>
      </c>
      <c r="E24" s="336" t="b">
        <f t="shared" si="7"/>
        <v>0</v>
      </c>
      <c r="F24" s="342" t="s">
        <v>4185</v>
      </c>
      <c r="G24" s="336" t="b">
        <f t="shared" si="8"/>
        <v>1</v>
      </c>
      <c r="H24" s="342" t="s">
        <v>894</v>
      </c>
      <c r="I24" s="336" t="b">
        <f t="shared" si="9"/>
        <v>1</v>
      </c>
      <c r="J24" s="342" t="s">
        <v>914</v>
      </c>
      <c r="K24" s="336" t="b">
        <f t="shared" si="10"/>
        <v>1</v>
      </c>
      <c r="L24" s="344" t="s">
        <v>931</v>
      </c>
      <c r="N24" t="str">
        <f t="shared" si="0"/>
        <v>1940-S Washington Quarter</v>
      </c>
      <c r="O24" s="330" t="str">
        <f>IFERROR(MATCH(N24,CoinCollection!O:O,0),"")</f>
        <v/>
      </c>
      <c r="P24" s="330" t="str">
        <f t="shared" si="1"/>
        <v>1952-D Washington Quarter</v>
      </c>
      <c r="Q24" s="330" t="str">
        <f>IFERROR(MATCH(P24,CoinCollection!O:O,0),"")</f>
        <v/>
      </c>
      <c r="R24" s="330" t="str">
        <f t="shared" si="2"/>
        <v>1969 Washington Quarter</v>
      </c>
      <c r="S24" s="330" t="str">
        <f>IFERROR(MATCH(R24,CoinCollection!O:O,0),"")</f>
        <v/>
      </c>
      <c r="T24" s="330" t="str">
        <f t="shared" si="3"/>
        <v>1979-D Washington Quarter</v>
      </c>
      <c r="U24" s="330">
        <f>IFERROR(MATCH(T24,CoinCollection!O:O,0),"")</f>
        <v>1872</v>
      </c>
      <c r="V24" s="330" t="str">
        <f t="shared" si="4"/>
        <v>1989-D Washington Quarter</v>
      </c>
      <c r="W24" s="330">
        <f>IFERROR(MATCH(V24,CoinCollection!O:O,0),"")</f>
        <v>1882</v>
      </c>
      <c r="X24" s="330" t="str">
        <f t="shared" si="11"/>
        <v>1998-P Washington Quarter</v>
      </c>
      <c r="Y24" s="330">
        <f>IFERROR(MATCH(X24,CoinCollection!O:O,0),"")</f>
        <v>1900</v>
      </c>
      <c r="AA24" s="330" t="str">
        <v>1941</v>
      </c>
      <c r="AC24" s="330" t="str">
        <v>1941</v>
      </c>
    </row>
    <row r="25" spans="1:29">
      <c r="A25" s="334" t="b">
        <f t="shared" si="5"/>
        <v>0</v>
      </c>
      <c r="B25" s="361" t="s">
        <v>2474</v>
      </c>
      <c r="C25" s="336" t="b">
        <f t="shared" si="6"/>
        <v>0</v>
      </c>
      <c r="D25" s="337" t="s">
        <v>865</v>
      </c>
      <c r="E25" s="336" t="b">
        <f t="shared" si="7"/>
        <v>0</v>
      </c>
      <c r="F25" s="337" t="s">
        <v>882</v>
      </c>
      <c r="G25" s="336" t="b">
        <f t="shared" si="8"/>
        <v>0</v>
      </c>
      <c r="H25" s="337" t="s">
        <v>5142</v>
      </c>
      <c r="I25" s="336" t="b">
        <f t="shared" si="9"/>
        <v>0</v>
      </c>
      <c r="J25" s="337" t="s">
        <v>2526</v>
      </c>
      <c r="K25" s="336" t="b">
        <f t="shared" si="10"/>
        <v>1</v>
      </c>
      <c r="L25" s="345" t="s">
        <v>932</v>
      </c>
      <c r="N25" t="str">
        <f t="shared" si="0"/>
        <v>1941 Washington Quarter</v>
      </c>
      <c r="O25" s="330" t="str">
        <f>IFERROR(MATCH(N25,CoinCollection!O:O,0),"")</f>
        <v/>
      </c>
      <c r="P25" s="330" t="str">
        <f t="shared" si="1"/>
        <v>1952-S Washington Quarter</v>
      </c>
      <c r="Q25" s="330" t="str">
        <f>IFERROR(MATCH(P25,CoinCollection!O:O,0),"")</f>
        <v/>
      </c>
      <c r="R25" s="330" t="str">
        <f t="shared" si="2"/>
        <v>1969-D Washington Quarter</v>
      </c>
      <c r="S25" s="330" t="str">
        <f>IFERROR(MATCH(R25,CoinCollection!O:O,0),"")</f>
        <v/>
      </c>
      <c r="T25" s="330" t="str">
        <f t="shared" si="3"/>
        <v>1979-S Proof Filled “S” Washington Quarter</v>
      </c>
      <c r="U25" s="330" t="str">
        <f>IFERROR(MATCH(T25,CoinCollection!O:O,0),"")</f>
        <v/>
      </c>
      <c r="V25" s="330" t="str">
        <f t="shared" si="4"/>
        <v>1989-S Proof Washington Quarter</v>
      </c>
      <c r="W25" s="330" t="str">
        <f>IFERROR(MATCH(V25,CoinCollection!O:O,0),"")</f>
        <v/>
      </c>
      <c r="X25" s="330" t="str">
        <f t="shared" si="11"/>
        <v>1998-D Washington Quarter</v>
      </c>
      <c r="Y25" s="330">
        <f>IFERROR(MATCH(X25,CoinCollection!O:O,0),"")</f>
        <v>1901</v>
      </c>
      <c r="AA25" s="330" t="str">
        <v>1941-D</v>
      </c>
      <c r="AC25" s="330" t="str">
        <v>1941-D</v>
      </c>
    </row>
    <row r="26" spans="1:29">
      <c r="A26" s="334" t="b">
        <f t="shared" si="5"/>
        <v>0</v>
      </c>
      <c r="B26" s="363" t="s">
        <v>838</v>
      </c>
      <c r="C26" s="336" t="b">
        <f t="shared" si="6"/>
        <v>0</v>
      </c>
      <c r="D26" s="342" t="s">
        <v>2483</v>
      </c>
      <c r="E26" s="336" t="b">
        <f t="shared" si="7"/>
        <v>0</v>
      </c>
      <c r="F26" s="342" t="s">
        <v>4881</v>
      </c>
      <c r="G26" s="336" t="b">
        <f t="shared" si="8"/>
        <v>0</v>
      </c>
      <c r="H26" s="342" t="s">
        <v>5143</v>
      </c>
      <c r="I26" s="336" t="b">
        <f t="shared" si="9"/>
        <v>0</v>
      </c>
      <c r="J26" s="342" t="s">
        <v>915</v>
      </c>
      <c r="K26" s="336" t="b">
        <f t="shared" si="10"/>
        <v>0</v>
      </c>
      <c r="L26" s="344" t="s">
        <v>2541</v>
      </c>
      <c r="N26" t="str">
        <f t="shared" si="0"/>
        <v>1941-D Washington Quarter</v>
      </c>
      <c r="O26" s="330" t="str">
        <f>IFERROR(MATCH(N26,CoinCollection!O:O,0),"")</f>
        <v/>
      </c>
      <c r="P26" s="330" t="str">
        <f t="shared" si="1"/>
        <v>1953 Washington Quarter</v>
      </c>
      <c r="Q26" s="330" t="str">
        <f>IFERROR(MATCH(P26,CoinCollection!O:O,0),"")</f>
        <v/>
      </c>
      <c r="R26" s="330" t="str">
        <f t="shared" si="2"/>
        <v>1969-S Proof Washington Quarter</v>
      </c>
      <c r="S26" s="330" t="str">
        <f>IFERROR(MATCH(R26,CoinCollection!O:O,0),"")</f>
        <v/>
      </c>
      <c r="T26" s="330" t="str">
        <f t="shared" si="3"/>
        <v>1979-S Proof Clear “S” Washington Quarter</v>
      </c>
      <c r="U26" s="330" t="str">
        <f>IFERROR(MATCH(T26,CoinCollection!O:O,0),"")</f>
        <v/>
      </c>
      <c r="V26" s="330" t="str">
        <f t="shared" si="4"/>
        <v>1990-P Washington Quarter</v>
      </c>
      <c r="W26" s="330" t="str">
        <f>IFERROR(MATCH(V26,CoinCollection!O:O,0),"")</f>
        <v/>
      </c>
      <c r="X26" s="330" t="str">
        <f t="shared" si="11"/>
        <v>1998-S Proof Washington Quarter</v>
      </c>
      <c r="Y26" s="330" t="str">
        <f>IFERROR(MATCH(X26,CoinCollection!O:O,0),"")</f>
        <v/>
      </c>
      <c r="AA26" s="330" t="str">
        <v>1941-S</v>
      </c>
      <c r="AC26" s="330" t="str">
        <v>1941-S</v>
      </c>
    </row>
    <row r="27" spans="1:29">
      <c r="A27" s="334" t="b">
        <f t="shared" si="5"/>
        <v>0</v>
      </c>
      <c r="B27" s="361" t="s">
        <v>839</v>
      </c>
      <c r="C27" s="336" t="b">
        <f t="shared" si="6"/>
        <v>0</v>
      </c>
      <c r="D27" s="337" t="s">
        <v>866</v>
      </c>
      <c r="E27" s="336" t="b">
        <f t="shared" si="7"/>
        <v>1</v>
      </c>
      <c r="F27" s="337" t="s">
        <v>4186</v>
      </c>
      <c r="G27" s="336" t="b">
        <f t="shared" si="8"/>
        <v>0</v>
      </c>
      <c r="H27" s="337" t="s">
        <v>895</v>
      </c>
      <c r="I27" s="336" t="b">
        <f t="shared" si="9"/>
        <v>1</v>
      </c>
      <c r="J27" s="337" t="s">
        <v>916</v>
      </c>
      <c r="K27" s="336" t="b">
        <f t="shared" si="10"/>
        <v>0</v>
      </c>
      <c r="L27" s="345" t="s">
        <v>5111</v>
      </c>
      <c r="N27" t="str">
        <f t="shared" si="0"/>
        <v>1941-S Washington Quarter</v>
      </c>
      <c r="O27" s="330" t="str">
        <f>IFERROR(MATCH(N27,CoinCollection!O:O,0),"")</f>
        <v/>
      </c>
      <c r="P27" s="330" t="str">
        <f t="shared" si="1"/>
        <v>1953-D Washington Quarter</v>
      </c>
      <c r="Q27" s="330" t="str">
        <f>IFERROR(MATCH(P27,CoinCollection!O:O,0),"")</f>
        <v/>
      </c>
      <c r="R27" s="330" t="str">
        <f t="shared" si="2"/>
        <v>1970 Washington Quarter</v>
      </c>
      <c r="S27" s="330">
        <f>IFERROR(MATCH(R27,CoinCollection!O:O,0),"")</f>
        <v>1856</v>
      </c>
      <c r="T27" s="330" t="str">
        <f t="shared" si="3"/>
        <v>1980-P Washington Quarter</v>
      </c>
      <c r="U27" s="330" t="str">
        <f>IFERROR(MATCH(T27,CoinCollection!O:O,0),"")</f>
        <v/>
      </c>
      <c r="V27" s="330" t="str">
        <f t="shared" si="4"/>
        <v>1990-D Washington Quarter</v>
      </c>
      <c r="W27" s="330">
        <f>IFERROR(MATCH(V27,CoinCollection!O:O,0),"")</f>
        <v>1884</v>
      </c>
      <c r="X27" s="330" t="str">
        <f t="shared" si="11"/>
        <v>1998-S Silver Proof Washington Quarter</v>
      </c>
      <c r="Y27" s="330" t="str">
        <f>IFERROR(MATCH(X27,CoinCollection!O:O,0),"")</f>
        <v/>
      </c>
      <c r="AA27" s="330" t="str">
        <v>1942-D</v>
      </c>
      <c r="AC27" s="330" t="str">
        <v>1942-D</v>
      </c>
    </row>
    <row r="28" spans="1:29">
      <c r="A28" s="334" t="b">
        <f t="shared" si="5"/>
        <v>1</v>
      </c>
      <c r="B28" s="363" t="s">
        <v>2475</v>
      </c>
      <c r="C28" s="336" t="b">
        <f t="shared" si="6"/>
        <v>0</v>
      </c>
      <c r="D28" s="342" t="s">
        <v>867</v>
      </c>
      <c r="E28" s="336" t="b">
        <f t="shared" si="7"/>
        <v>0</v>
      </c>
      <c r="F28" s="342" t="s">
        <v>884</v>
      </c>
      <c r="G28" s="336" t="b">
        <f t="shared" si="8"/>
        <v>0</v>
      </c>
      <c r="H28" s="342" t="s">
        <v>896</v>
      </c>
      <c r="I28" s="336" t="b">
        <f t="shared" si="9"/>
        <v>0</v>
      </c>
      <c r="J28" s="342" t="s">
        <v>2528</v>
      </c>
      <c r="K28" s="337"/>
      <c r="L28" s="380" t="s">
        <v>4885</v>
      </c>
      <c r="N28" t="str">
        <f t="shared" si="0"/>
        <v>1942 Washington Quarter</v>
      </c>
      <c r="O28" s="330">
        <f>IFERROR(MATCH(N28,CoinCollection!O:O,0),"")</f>
        <v>1848</v>
      </c>
      <c r="P28" s="330" t="str">
        <f t="shared" si="1"/>
        <v>1953-S Washington Quarter</v>
      </c>
      <c r="Q28" s="330" t="str">
        <f>IFERROR(MATCH(P28,CoinCollection!O:O,0),"")</f>
        <v/>
      </c>
      <c r="R28" s="330" t="str">
        <f t="shared" si="2"/>
        <v>1970-D Washington Quarter</v>
      </c>
      <c r="S28" s="330" t="str">
        <f>IFERROR(MATCH(R28,CoinCollection!O:O,0),"")</f>
        <v/>
      </c>
      <c r="T28" s="330" t="str">
        <f t="shared" si="3"/>
        <v>1980-D Washington Quarter</v>
      </c>
      <c r="U28" s="330" t="str">
        <f>IFERROR(MATCH(T28,CoinCollection!O:O,0),"")</f>
        <v/>
      </c>
      <c r="V28" s="330" t="str">
        <f t="shared" si="4"/>
        <v>1990-S Proof Washington Quarter</v>
      </c>
      <c r="W28" s="330" t="str">
        <f>IFERROR(MATCH(V28,CoinCollection!O:O,0),"")</f>
        <v/>
      </c>
      <c r="AA28" s="330" t="str">
        <v>1942-S</v>
      </c>
      <c r="AC28" s="330" t="str">
        <v>1942-S</v>
      </c>
    </row>
    <row r="29" spans="1:29">
      <c r="A29" s="334" t="b">
        <f t="shared" si="5"/>
        <v>0</v>
      </c>
      <c r="B29" s="361" t="s">
        <v>840</v>
      </c>
      <c r="C29" s="336" t="b">
        <f t="shared" si="6"/>
        <v>0</v>
      </c>
      <c r="D29" s="337" t="s">
        <v>2484</v>
      </c>
      <c r="E29" s="336" t="b">
        <f t="shared" si="7"/>
        <v>0</v>
      </c>
      <c r="F29" s="337" t="s">
        <v>4886</v>
      </c>
      <c r="G29" s="336" t="b">
        <f t="shared" si="8"/>
        <v>0</v>
      </c>
      <c r="H29" s="337" t="s">
        <v>2517</v>
      </c>
      <c r="I29" s="336" t="b">
        <f t="shared" si="9"/>
        <v>1</v>
      </c>
      <c r="J29" s="337" t="s">
        <v>917</v>
      </c>
      <c r="K29" s="337"/>
      <c r="L29" s="381" t="s">
        <v>4888</v>
      </c>
      <c r="N29" t="str">
        <f t="shared" si="0"/>
        <v>1942-D Washington Quarter</v>
      </c>
      <c r="O29" s="330" t="str">
        <f>IFERROR(MATCH(N29,CoinCollection!O:O,0),"")</f>
        <v/>
      </c>
      <c r="P29" s="330" t="str">
        <f t="shared" si="1"/>
        <v>1954 Washington Quarter</v>
      </c>
      <c r="Q29" s="330" t="str">
        <f>IFERROR(MATCH(P29,CoinCollection!O:O,0),"")</f>
        <v/>
      </c>
      <c r="R29" s="330" t="str">
        <f t="shared" si="2"/>
        <v>1970-S Proof Washington Quarter</v>
      </c>
      <c r="S29" s="330" t="str">
        <f>IFERROR(MATCH(R29,CoinCollection!O:O,0),"")</f>
        <v/>
      </c>
      <c r="T29" s="330" t="str">
        <f t="shared" si="3"/>
        <v>1980-S Proof Washington Quarter</v>
      </c>
      <c r="U29" s="330" t="str">
        <f>IFERROR(MATCH(T29,CoinCollection!O:O,0),"")</f>
        <v/>
      </c>
      <c r="V29" s="330" t="str">
        <f t="shared" si="4"/>
        <v>1991-P Washington Quarter</v>
      </c>
      <c r="W29" s="330">
        <f>IFERROR(MATCH(V29,CoinCollection!O:O,0),"")</f>
        <v>1889</v>
      </c>
      <c r="AA29" s="330" t="str">
        <v>1943</v>
      </c>
      <c r="AC29" s="330" t="str">
        <v>1943</v>
      </c>
    </row>
    <row r="30" spans="1:29">
      <c r="A30" s="334" t="b">
        <f t="shared" si="5"/>
        <v>0</v>
      </c>
      <c r="B30" s="363" t="s">
        <v>843</v>
      </c>
      <c r="C30" s="336" t="b">
        <f t="shared" si="6"/>
        <v>0</v>
      </c>
      <c r="D30" s="342" t="s">
        <v>868</v>
      </c>
      <c r="E30" s="336" t="b">
        <f t="shared" si="7"/>
        <v>0</v>
      </c>
      <c r="F30" s="342" t="s">
        <v>2498</v>
      </c>
      <c r="G30" s="336" t="b">
        <f t="shared" si="8"/>
        <v>0</v>
      </c>
      <c r="H30" s="342" t="s">
        <v>897</v>
      </c>
      <c r="I30" s="336" t="b">
        <f t="shared" si="9"/>
        <v>0</v>
      </c>
      <c r="J30" s="342" t="s">
        <v>918</v>
      </c>
      <c r="K30" s="336" t="b">
        <f t="shared" si="10"/>
        <v>1</v>
      </c>
      <c r="L30" s="344" t="s">
        <v>2564</v>
      </c>
      <c r="N30" t="str">
        <f t="shared" si="0"/>
        <v>1942-S Washington Quarter</v>
      </c>
      <c r="O30" s="330" t="str">
        <f>IFERROR(MATCH(N30,CoinCollection!O:O,0),"")</f>
        <v/>
      </c>
      <c r="P30" s="330" t="str">
        <f t="shared" si="1"/>
        <v>1954-D Washington Quarter</v>
      </c>
      <c r="Q30" s="330" t="str">
        <f>IFERROR(MATCH(P30,CoinCollection!O:O,0),"")</f>
        <v/>
      </c>
      <c r="R30" s="330" t="str">
        <f t="shared" si="2"/>
        <v>1971 Washington Quarter</v>
      </c>
      <c r="S30" s="330" t="str">
        <f>IFERROR(MATCH(R30,CoinCollection!O:O,0),"")</f>
        <v/>
      </c>
      <c r="T30" s="330" t="str">
        <f t="shared" si="3"/>
        <v>1981-P Washington Quarter</v>
      </c>
      <c r="U30" s="330" t="str">
        <f>IFERROR(MATCH(T30,CoinCollection!O:O,0),"")</f>
        <v/>
      </c>
      <c r="V30" s="330" t="str">
        <f t="shared" si="4"/>
        <v>1991-D Washington Quarter</v>
      </c>
      <c r="W30" s="330" t="str">
        <f>IFERROR(MATCH(V30,CoinCollection!O:O,0),"")</f>
        <v/>
      </c>
      <c r="X30" s="330" t="str">
        <f t="shared" si="11"/>
        <v>2021-P Washington Quarter</v>
      </c>
      <c r="Y30" s="330">
        <f>IFERROR(MATCH(X30,CoinCollection!O:O,0),"")</f>
        <v>2004</v>
      </c>
      <c r="AA30" s="330" t="str">
        <v>1943-D</v>
      </c>
      <c r="AC30" s="330" t="str">
        <v>1943-D</v>
      </c>
    </row>
    <row r="31" spans="1:29">
      <c r="A31" s="334" t="b">
        <f t="shared" si="5"/>
        <v>0</v>
      </c>
      <c r="B31" s="361" t="s">
        <v>4181</v>
      </c>
      <c r="C31" s="336" t="b">
        <f t="shared" si="6"/>
        <v>0</v>
      </c>
      <c r="D31" s="337" t="s">
        <v>869</v>
      </c>
      <c r="E31" s="336" t="b">
        <f t="shared" si="7"/>
        <v>0</v>
      </c>
      <c r="F31" s="337" t="s">
        <v>886</v>
      </c>
      <c r="G31" s="336" t="b">
        <f t="shared" si="8"/>
        <v>0</v>
      </c>
      <c r="H31" s="337" t="s">
        <v>898</v>
      </c>
      <c r="I31" s="336" t="b">
        <f t="shared" si="9"/>
        <v>0</v>
      </c>
      <c r="J31" s="337" t="s">
        <v>2530</v>
      </c>
      <c r="K31" s="336" t="b">
        <f t="shared" si="10"/>
        <v>1</v>
      </c>
      <c r="L31" s="345" t="s">
        <v>2565</v>
      </c>
      <c r="N31" t="str">
        <f t="shared" si="0"/>
        <v>1943 Washington Quarter</v>
      </c>
      <c r="O31" s="330" t="str">
        <f>IFERROR(MATCH(N31,CoinCollection!O:O,0),"")</f>
        <v/>
      </c>
      <c r="P31" s="330" t="str">
        <f t="shared" si="1"/>
        <v>1954-S Washington Quarter</v>
      </c>
      <c r="Q31" s="330" t="str">
        <f>IFERROR(MATCH(P31,CoinCollection!O:O,0),"")</f>
        <v/>
      </c>
      <c r="R31" s="330" t="str">
        <f t="shared" si="2"/>
        <v>1971-D Washington Quarter</v>
      </c>
      <c r="S31" s="330" t="str">
        <f>IFERROR(MATCH(R31,CoinCollection!O:O,0),"")</f>
        <v/>
      </c>
      <c r="T31" s="330" t="str">
        <f t="shared" si="3"/>
        <v>1981-D Washington Quarter</v>
      </c>
      <c r="U31" s="330" t="str">
        <f>IFERROR(MATCH(T31,CoinCollection!O:O,0),"")</f>
        <v/>
      </c>
      <c r="V31" s="330" t="str">
        <f t="shared" si="4"/>
        <v>1991-S Proof Washington Quarter</v>
      </c>
      <c r="W31" s="330" t="str">
        <f>IFERROR(MATCH(V31,CoinCollection!O:O,0),"")</f>
        <v/>
      </c>
      <c r="X31" s="330" t="str">
        <f t="shared" si="11"/>
        <v>2021-D Washington Quarter</v>
      </c>
      <c r="Y31" s="330">
        <f>IFERROR(MATCH(X31,CoinCollection!O:O,0),"")</f>
        <v>2008</v>
      </c>
      <c r="AA31" s="330" t="str">
        <v>1943-S</v>
      </c>
      <c r="AC31" s="330" t="str">
        <v>1943-S</v>
      </c>
    </row>
    <row r="32" spans="1:29">
      <c r="A32" s="334" t="b">
        <f t="shared" si="5"/>
        <v>0</v>
      </c>
      <c r="B32" s="363" t="s">
        <v>845</v>
      </c>
      <c r="C32" s="336" t="b">
        <f t="shared" si="6"/>
        <v>0</v>
      </c>
      <c r="D32" s="342" t="s">
        <v>2485</v>
      </c>
      <c r="E32" s="336" t="b">
        <f t="shared" si="7"/>
        <v>0</v>
      </c>
      <c r="F32" s="342" t="s">
        <v>2499</v>
      </c>
      <c r="G32" s="336" t="b">
        <f t="shared" si="8"/>
        <v>0</v>
      </c>
      <c r="H32" s="342" t="s">
        <v>2518</v>
      </c>
      <c r="I32" s="336" t="b">
        <f t="shared" si="9"/>
        <v>0</v>
      </c>
      <c r="J32" s="342" t="s">
        <v>919</v>
      </c>
      <c r="K32" s="336" t="b">
        <f t="shared" si="10"/>
        <v>0</v>
      </c>
      <c r="L32" s="344" t="s">
        <v>4946</v>
      </c>
      <c r="N32" t="str">
        <f t="shared" si="0"/>
        <v>1943-D Washington Quarter</v>
      </c>
      <c r="O32" s="330" t="str">
        <f>IFERROR(MATCH(N32,CoinCollection!O:O,0),"")</f>
        <v/>
      </c>
      <c r="P32" s="330" t="str">
        <f t="shared" si="1"/>
        <v>1955 Washington Quarter</v>
      </c>
      <c r="Q32" s="330" t="str">
        <f>IFERROR(MATCH(P32,CoinCollection!O:O,0),"")</f>
        <v/>
      </c>
      <c r="R32" s="330" t="str">
        <f t="shared" si="2"/>
        <v>1971-S Proof Washington Quarter</v>
      </c>
      <c r="S32" s="330" t="str">
        <f>IFERROR(MATCH(R32,CoinCollection!O:O,0),"")</f>
        <v/>
      </c>
      <c r="T32" s="330" t="str">
        <f t="shared" si="3"/>
        <v>1981-S Proof Washington Quarter</v>
      </c>
      <c r="U32" s="330" t="str">
        <f>IFERROR(MATCH(T32,CoinCollection!O:O,0),"")</f>
        <v/>
      </c>
      <c r="V32" s="330" t="str">
        <f t="shared" si="4"/>
        <v>1992-P Washington Quarter</v>
      </c>
      <c r="W32" s="330" t="str">
        <f>IFERROR(MATCH(V32,CoinCollection!O:O,0),"")</f>
        <v/>
      </c>
      <c r="X32" s="330" t="str">
        <f t="shared" si="11"/>
        <v>2021-S Proof Washington Quarter</v>
      </c>
      <c r="Y32" s="330" t="str">
        <f>IFERROR(MATCH(X32,CoinCollection!O:O,0),"")</f>
        <v/>
      </c>
      <c r="AA32" s="330" t="str">
        <v>1944</v>
      </c>
      <c r="AC32" s="330" t="str">
        <v>1944</v>
      </c>
    </row>
    <row r="33" spans="1:29">
      <c r="A33" s="334" t="b">
        <f t="shared" si="5"/>
        <v>0</v>
      </c>
      <c r="B33" s="361" t="s">
        <v>846</v>
      </c>
      <c r="C33" s="336" t="b">
        <f t="shared" si="6"/>
        <v>0</v>
      </c>
      <c r="D33" s="337" t="s">
        <v>870</v>
      </c>
      <c r="E33" s="336" t="b">
        <f t="shared" si="7"/>
        <v>1</v>
      </c>
      <c r="F33" s="337" t="s">
        <v>2500</v>
      </c>
      <c r="G33" s="336" t="b">
        <f t="shared" si="8"/>
        <v>0</v>
      </c>
      <c r="H33" s="337" t="s">
        <v>899</v>
      </c>
      <c r="I33" s="336" t="b">
        <f t="shared" si="9"/>
        <v>1</v>
      </c>
      <c r="J33" s="337" t="s">
        <v>920</v>
      </c>
      <c r="K33" s="336" t="b">
        <f t="shared" si="10"/>
        <v>0</v>
      </c>
      <c r="L33" s="345" t="s">
        <v>5134</v>
      </c>
      <c r="N33" t="str">
        <f t="shared" si="0"/>
        <v>1943-S Washington Quarter</v>
      </c>
      <c r="O33" s="330" t="str">
        <f>IFERROR(MATCH(N33,CoinCollection!O:O,0),"")</f>
        <v/>
      </c>
      <c r="P33" s="330" t="str">
        <f t="shared" si="1"/>
        <v>1955-D Washington Quarter</v>
      </c>
      <c r="Q33" s="330" t="str">
        <f>IFERROR(MATCH(P33,CoinCollection!O:O,0),"")</f>
        <v/>
      </c>
      <c r="R33" s="330" t="str">
        <f t="shared" si="2"/>
        <v>1972 Washington Quarter</v>
      </c>
      <c r="S33" s="330">
        <f>IFERROR(MATCH(R33,CoinCollection!O:O,0),"")</f>
        <v>1858</v>
      </c>
      <c r="T33" s="330" t="str">
        <f t="shared" si="3"/>
        <v>1982-P Washington Quarter</v>
      </c>
      <c r="U33" s="330" t="str">
        <f>IFERROR(MATCH(T33,CoinCollection!O:O,0),"")</f>
        <v/>
      </c>
      <c r="V33" s="330" t="str">
        <f t="shared" si="4"/>
        <v>1992-D Washington Quarter</v>
      </c>
      <c r="W33" s="330">
        <f>IFERROR(MATCH(V33,CoinCollection!O:O,0),"")</f>
        <v>1890</v>
      </c>
      <c r="X33" s="330" t="str">
        <f t="shared" si="11"/>
        <v>2021-S Silver Proof Washington Quarter</v>
      </c>
      <c r="Y33" s="330" t="str">
        <f>IFERROR(MATCH(X33,CoinCollection!O:O,0),"")</f>
        <v/>
      </c>
      <c r="AA33" s="330" t="str">
        <v>1944-D</v>
      </c>
      <c r="AC33" s="330" t="str">
        <v>1944-D</v>
      </c>
    </row>
    <row r="34" spans="1:29">
      <c r="A34" s="334" t="b">
        <f t="shared" si="5"/>
        <v>0</v>
      </c>
      <c r="B34" s="363" t="s">
        <v>4182</v>
      </c>
      <c r="C34" s="336" t="b">
        <f t="shared" si="6"/>
        <v>0</v>
      </c>
      <c r="D34" s="342" t="s">
        <v>2486</v>
      </c>
      <c r="E34" s="336" t="b">
        <f t="shared" si="7"/>
        <v>1</v>
      </c>
      <c r="F34" s="342" t="s">
        <v>887</v>
      </c>
      <c r="G34" s="336" t="b">
        <f t="shared" si="8"/>
        <v>0</v>
      </c>
      <c r="H34" s="342"/>
      <c r="I34" s="342"/>
      <c r="J34" s="342" t="s">
        <v>2532</v>
      </c>
      <c r="K34" s="342"/>
      <c r="L34" s="344"/>
      <c r="N34" t="str">
        <f t="shared" si="0"/>
        <v>1944 Washington Quarter</v>
      </c>
      <c r="O34" s="330" t="str">
        <f>IFERROR(MATCH(N34,CoinCollection!O:O,0),"")</f>
        <v/>
      </c>
      <c r="P34" s="330" t="str">
        <f t="shared" si="1"/>
        <v>1956 Washington Quarter</v>
      </c>
      <c r="Q34" s="330" t="str">
        <f>IFERROR(MATCH(P34,CoinCollection!O:O,0),"")</f>
        <v/>
      </c>
      <c r="R34" s="330" t="str">
        <f t="shared" si="2"/>
        <v>1972-D Washington Quarter</v>
      </c>
      <c r="S34" s="330">
        <f>IFERROR(MATCH(R34,CoinCollection!O:O,0),"")</f>
        <v>1857</v>
      </c>
      <c r="U34" s="330" t="str">
        <f>IFERROR(MATCH(T34,CoinCollection!O:O,0),"")</f>
        <v/>
      </c>
      <c r="V34" s="330" t="str">
        <f t="shared" si="4"/>
        <v>1992-S Proof Washington Quarter</v>
      </c>
      <c r="W34" s="330" t="str">
        <f>IFERROR(MATCH(V34,CoinCollection!O:O,0),"")</f>
        <v/>
      </c>
      <c r="Y34" s="330" t="str">
        <f>IFERROR(MATCH(X34,CoinCollection!O:O,0),"")</f>
        <v/>
      </c>
      <c r="AA34" s="330" t="str">
        <v>1944-S</v>
      </c>
      <c r="AC34" s="330" t="str">
        <v>1944-S</v>
      </c>
    </row>
    <row r="35" spans="1:29">
      <c r="A35" s="334" t="b">
        <f t="shared" si="5"/>
        <v>0</v>
      </c>
      <c r="B35" s="361" t="s">
        <v>848</v>
      </c>
      <c r="C35" s="336" t="b">
        <f t="shared" si="6"/>
        <v>0</v>
      </c>
      <c r="D35" s="337" t="s">
        <v>871</v>
      </c>
      <c r="E35" s="337"/>
      <c r="F35" s="337"/>
      <c r="G35" s="337"/>
      <c r="H35" s="337"/>
      <c r="I35" s="337"/>
      <c r="J35" s="337"/>
      <c r="K35" s="337"/>
      <c r="L35" s="345"/>
      <c r="N35" t="str">
        <f t="shared" si="0"/>
        <v>1944-D Washington Quarter</v>
      </c>
      <c r="O35" s="330" t="str">
        <f>IFERROR(MATCH(N35,CoinCollection!O:O,0),"")</f>
        <v/>
      </c>
      <c r="P35" s="330" t="str">
        <f t="shared" si="1"/>
        <v>1956-D Washington Quarter</v>
      </c>
      <c r="Q35" s="330" t="str">
        <f>IFERROR(MATCH(P35,CoinCollection!O:O,0),"")</f>
        <v/>
      </c>
      <c r="S35" s="330" t="str">
        <f>IFERROR(MATCH(R35,CoinCollection!O:O,0),"")</f>
        <v/>
      </c>
      <c r="U35" s="330" t="str">
        <f>IFERROR(MATCH(T35,CoinCollection!O:O,0),"")</f>
        <v/>
      </c>
      <c r="W35" s="330" t="str">
        <f>IFERROR(MATCH(V35,CoinCollection!O:O,0),"")</f>
        <v/>
      </c>
      <c r="Y35" s="330" t="str">
        <f>IFERROR(MATCH(X35,CoinCollection!O:O,0),"")</f>
        <v/>
      </c>
      <c r="AA35" s="330" t="str">
        <v>1945</v>
      </c>
      <c r="AC35" s="330" t="str">
        <v>1945</v>
      </c>
    </row>
    <row r="36" spans="1:29">
      <c r="A36" s="334" t="b">
        <f t="shared" si="5"/>
        <v>0</v>
      </c>
      <c r="B36" s="358" t="s">
        <v>849</v>
      </c>
      <c r="C36" s="336" t="b">
        <f t="shared" si="6"/>
        <v>0</v>
      </c>
      <c r="D36" s="359" t="s">
        <v>2487</v>
      </c>
      <c r="E36" s="359"/>
      <c r="F36" s="359"/>
      <c r="G36" s="359"/>
      <c r="H36" s="359"/>
      <c r="I36" s="359"/>
      <c r="J36" s="359"/>
      <c r="K36" s="359"/>
      <c r="L36" s="366"/>
      <c r="N36" t="str">
        <f t="shared" si="0"/>
        <v>1944-S Washington Quarter</v>
      </c>
      <c r="O36" s="330" t="str">
        <f>IFERROR(MATCH(N36,CoinCollection!O:O,0),"")</f>
        <v/>
      </c>
      <c r="P36" s="330" t="str">
        <f t="shared" si="1"/>
        <v>1957 Washington Quarter</v>
      </c>
      <c r="Q36" s="330" t="str">
        <f>IFERROR(MATCH(P36,CoinCollection!O:O,0),"")</f>
        <v/>
      </c>
      <c r="S36" s="330" t="str">
        <f>IFERROR(MATCH(R36,CoinCollection!O:O,0),"")</f>
        <v/>
      </c>
      <c r="U36" s="330" t="str">
        <f>IFERROR(MATCH(T36,CoinCollection!O:O,0),"")</f>
        <v/>
      </c>
      <c r="W36" s="330" t="str">
        <f>IFERROR(MATCH(V36,CoinCollection!O:O,0),"")</f>
        <v/>
      </c>
      <c r="Y36" s="330" t="str">
        <f>IFERROR(MATCH(X36,CoinCollection!O:O,0),"")</f>
        <v/>
      </c>
      <c r="AA36" s="330" t="str">
        <v>1945-D</v>
      </c>
      <c r="AC36" s="330" t="str">
        <v>1945-D</v>
      </c>
    </row>
    <row r="37" spans="1:29">
      <c r="AA37" s="330" t="str">
        <v>1945-S</v>
      </c>
      <c r="AC37" s="330" t="str">
        <v>1945-S</v>
      </c>
    </row>
    <row r="38" spans="1:29">
      <c r="AA38" s="330" t="str">
        <v>1946-D</v>
      </c>
      <c r="AC38" s="330" t="str">
        <v>1946-D</v>
      </c>
    </row>
    <row r="39" spans="1:29">
      <c r="B39" s="348" t="s">
        <v>4668</v>
      </c>
      <c r="C39" s="330">
        <f>COUNTIF(A3:L36,"=False")</f>
        <v>158</v>
      </c>
      <c r="F39" s="358" t="s">
        <v>4894</v>
      </c>
      <c r="G39" s="359"/>
      <c r="H39" s="359" t="s">
        <v>4838</v>
      </c>
      <c r="I39" s="359"/>
      <c r="J39" s="359" t="s">
        <v>4839</v>
      </c>
      <c r="K39" s="359"/>
      <c r="L39" s="359"/>
      <c r="AA39" s="330" t="str">
        <v>1946-S</v>
      </c>
      <c r="AC39" s="330" t="str">
        <v>1946-S</v>
      </c>
    </row>
    <row r="40" spans="1:29">
      <c r="B40" s="348" t="s">
        <v>4669</v>
      </c>
      <c r="C40" s="330">
        <f>COUNTIF(A3:L36,"=true")</f>
        <v>32</v>
      </c>
      <c r="AA40" s="330" t="str">
        <v>1947</v>
      </c>
      <c r="AC40" s="330" t="str">
        <v>1947</v>
      </c>
    </row>
    <row r="41" spans="1:29">
      <c r="AA41" s="330" t="str">
        <v>1947-D</v>
      </c>
      <c r="AC41" s="330" t="str">
        <v>1947-D</v>
      </c>
    </row>
    <row r="42" spans="1:29">
      <c r="AA42" s="330" t="str">
        <v>1947-S</v>
      </c>
      <c r="AC42" s="330" t="str">
        <v>1947-S</v>
      </c>
    </row>
    <row r="43" spans="1:29">
      <c r="AA43" s="330" t="str">
        <v>1948</v>
      </c>
      <c r="AC43" s="330" t="str">
        <v>1948</v>
      </c>
    </row>
    <row r="44" spans="1:29">
      <c r="AA44" s="330" t="str">
        <v>1948-D</v>
      </c>
      <c r="AC44" s="330" t="str">
        <v>1948-D</v>
      </c>
    </row>
    <row r="45" spans="1:29">
      <c r="AA45" s="330" t="str">
        <v>1948-S</v>
      </c>
      <c r="AC45" s="330" t="str">
        <v>1948-S</v>
      </c>
    </row>
    <row r="46" spans="1:29">
      <c r="AA46" s="330" t="str">
        <v>1949</v>
      </c>
      <c r="AC46" s="330" t="str">
        <v>1949</v>
      </c>
    </row>
    <row r="47" spans="1:29">
      <c r="AA47" s="330" t="str">
        <v>1949-D</v>
      </c>
      <c r="AC47" s="330" t="str">
        <v>1949-D</v>
      </c>
    </row>
    <row r="48" spans="1:29">
      <c r="AA48" s="330" t="str">
        <v>1950</v>
      </c>
      <c r="AC48" s="330" t="str">
        <v>1950</v>
      </c>
    </row>
    <row r="49" spans="1:29">
      <c r="AA49" s="330" t="str">
        <v>1950-D</v>
      </c>
      <c r="AC49" s="330" t="str">
        <v>1950-D</v>
      </c>
    </row>
    <row r="50" spans="1:29">
      <c r="A50" s="422"/>
      <c r="AA50" s="330" t="str">
        <v>1950-S</v>
      </c>
      <c r="AC50" s="330" t="str">
        <v>1950-S</v>
      </c>
    </row>
    <row r="51" spans="1:29">
      <c r="AA51" s="330" t="str">
        <v>1951</v>
      </c>
      <c r="AC51" s="330" t="str">
        <v>1951</v>
      </c>
    </row>
    <row r="52" spans="1:29">
      <c r="AA52" s="330" t="str">
        <v>1951-D</v>
      </c>
      <c r="AC52" s="330" t="str">
        <v>1951-D</v>
      </c>
    </row>
    <row r="53" spans="1:29">
      <c r="AA53" s="330" t="str">
        <v>1951-S</v>
      </c>
      <c r="AC53" s="330" t="str">
        <v>1951-S</v>
      </c>
    </row>
    <row r="54" spans="1:29">
      <c r="AA54" s="330" t="str">
        <v>1952-D</v>
      </c>
      <c r="AC54" s="330" t="str">
        <v>1952-D</v>
      </c>
    </row>
    <row r="55" spans="1:29">
      <c r="AA55" s="330" t="str">
        <v>1952-S</v>
      </c>
      <c r="AC55" s="330" t="str">
        <v>1952-S</v>
      </c>
    </row>
    <row r="56" spans="1:29">
      <c r="AA56" s="330" t="str">
        <v>1953</v>
      </c>
      <c r="AC56" s="330" t="str">
        <v>1953</v>
      </c>
    </row>
    <row r="57" spans="1:29">
      <c r="AA57" s="330" t="str">
        <v>1953-D</v>
      </c>
      <c r="AC57" s="330" t="str">
        <v>1953-D</v>
      </c>
    </row>
    <row r="58" spans="1:29">
      <c r="AA58" s="330" t="str">
        <v>1953-S</v>
      </c>
      <c r="AC58" s="330" t="str">
        <v>1953-S</v>
      </c>
    </row>
    <row r="59" spans="1:29">
      <c r="AA59" s="330" t="str">
        <v>1954</v>
      </c>
      <c r="AC59" s="330" t="str">
        <v>1954</v>
      </c>
    </row>
    <row r="60" spans="1:29">
      <c r="AA60" s="330" t="str">
        <v>1954-D</v>
      </c>
      <c r="AC60" s="330" t="str">
        <v>1954-D</v>
      </c>
    </row>
    <row r="61" spans="1:29">
      <c r="AA61" s="330" t="str">
        <v>1954-S</v>
      </c>
      <c r="AC61" s="330" t="str">
        <v>1954-S</v>
      </c>
    </row>
    <row r="62" spans="1:29">
      <c r="AA62" s="330" t="str">
        <v>1955</v>
      </c>
      <c r="AC62" s="330" t="str">
        <v>1955</v>
      </c>
    </row>
    <row r="63" spans="1:29">
      <c r="AA63" s="330" t="str">
        <v>1955-D</v>
      </c>
      <c r="AC63" s="330" t="str">
        <v>1955-D</v>
      </c>
    </row>
    <row r="64" spans="1:29">
      <c r="AA64" s="330" t="str">
        <v>1956</v>
      </c>
      <c r="AC64" s="330" t="str">
        <v>1956</v>
      </c>
    </row>
    <row r="65" spans="27:29">
      <c r="AA65" s="330" t="str">
        <v>1956-D</v>
      </c>
      <c r="AC65" s="330" t="str">
        <v>1956-D</v>
      </c>
    </row>
    <row r="66" spans="27:29">
      <c r="AA66" s="330" t="str">
        <v>1957</v>
      </c>
      <c r="AC66" s="330" t="str">
        <v>1957</v>
      </c>
    </row>
    <row r="67" spans="27:29">
      <c r="AA67" s="330" t="str">
        <v>1957-D</v>
      </c>
      <c r="AC67" s="330" t="str">
        <v>1957-D</v>
      </c>
    </row>
    <row r="68" spans="27:29">
      <c r="AA68" s="330" t="str">
        <v>1958</v>
      </c>
      <c r="AC68" s="330" t="str">
        <v>1958</v>
      </c>
    </row>
    <row r="69" spans="27:29">
      <c r="AA69" s="330" t="str">
        <v>1958-D</v>
      </c>
      <c r="AC69" s="330" t="str">
        <v>1958-D</v>
      </c>
    </row>
    <row r="70" spans="27:29">
      <c r="AA70" s="330" t="str">
        <v>1959</v>
      </c>
      <c r="AC70" s="330" t="str">
        <v>1959</v>
      </c>
    </row>
    <row r="71" spans="27:29">
      <c r="AA71" s="330" t="str">
        <v>1959-D</v>
      </c>
      <c r="AC71" s="330" t="str">
        <v>1959-D</v>
      </c>
    </row>
    <row r="72" spans="27:29">
      <c r="AA72" s="330" t="str">
        <v>1960</v>
      </c>
      <c r="AC72" s="330" t="str">
        <v>1960</v>
      </c>
    </row>
    <row r="73" spans="27:29">
      <c r="AA73" s="330" t="str">
        <v>1960-D</v>
      </c>
      <c r="AC73" s="330" t="str">
        <v>1960-D</v>
      </c>
    </row>
    <row r="74" spans="27:29">
      <c r="AA74" s="330" t="str">
        <v>1961</v>
      </c>
      <c r="AC74" s="330" t="str">
        <v>1961</v>
      </c>
    </row>
    <row r="75" spans="27:29">
      <c r="AA75" s="330" t="str">
        <v>1961-D</v>
      </c>
      <c r="AC75" s="330" t="str">
        <v>1961-D</v>
      </c>
    </row>
    <row r="76" spans="27:29">
      <c r="AA76" s="330" t="str">
        <v>1962</v>
      </c>
      <c r="AC76" s="330" t="str">
        <v>1962</v>
      </c>
    </row>
    <row r="77" spans="27:29">
      <c r="AA77" s="330" t="str">
        <v>1962-D</v>
      </c>
      <c r="AC77" s="330" t="str">
        <v>1962-D</v>
      </c>
    </row>
    <row r="78" spans="27:29">
      <c r="AA78" s="330" t="str">
        <v>1963</v>
      </c>
      <c r="AC78" s="330" t="str">
        <v>1963</v>
      </c>
    </row>
    <row r="79" spans="27:29">
      <c r="AA79" s="330" t="str">
        <v>1963-D</v>
      </c>
      <c r="AC79" s="330" t="str">
        <v>1963-D</v>
      </c>
    </row>
    <row r="80" spans="27:29">
      <c r="AA80" s="330" t="str">
        <v>1964</v>
      </c>
      <c r="AC80" s="330" t="str">
        <v>1964</v>
      </c>
    </row>
    <row r="81" spans="2:29">
      <c r="AA81" s="330" t="str">
        <v>1964-D</v>
      </c>
      <c r="AC81" s="330" t="str">
        <v>1964-D</v>
      </c>
    </row>
    <row r="82" spans="2:29">
      <c r="AA82" s="330" t="str">
        <v>1968</v>
      </c>
      <c r="AC82" s="330" t="str">
        <v>1968</v>
      </c>
    </row>
    <row r="83" spans="2:29">
      <c r="AA83" s="330" t="str">
        <v>1968-D</v>
      </c>
      <c r="AC83" s="330" t="str">
        <v>1968-D</v>
      </c>
    </row>
    <row r="84" spans="2:29">
      <c r="AA84" s="330" t="str">
        <v>1968-S Proof</v>
      </c>
      <c r="AC84" s="330" t="str">
        <v>1968-S Proof</v>
      </c>
    </row>
    <row r="85" spans="2:29">
      <c r="AA85" s="330" t="str">
        <v>1969</v>
      </c>
      <c r="AC85" s="330" t="str">
        <v>1969</v>
      </c>
    </row>
    <row r="86" spans="2:29">
      <c r="AA86" s="330" t="str">
        <v>1969-D</v>
      </c>
      <c r="AC86" s="330" t="str">
        <v>1969-D</v>
      </c>
    </row>
    <row r="87" spans="2:29">
      <c r="AA87" s="330" t="str">
        <v>1969-S Proof</v>
      </c>
      <c r="AC87" s="330" t="str">
        <v>1969-S Proof</v>
      </c>
    </row>
    <row r="88" spans="2:29">
      <c r="B88" s="348"/>
      <c r="F88" s="358"/>
      <c r="G88" s="359"/>
      <c r="H88" s="359"/>
      <c r="I88" s="359"/>
      <c r="J88" s="359"/>
      <c r="K88" s="359"/>
      <c r="L88" s="359"/>
      <c r="AA88" s="330" t="str">
        <v>1970-D</v>
      </c>
      <c r="AC88" s="330" t="str">
        <v>1970-D</v>
      </c>
    </row>
    <row r="89" spans="2:29">
      <c r="B89" s="348"/>
      <c r="AA89" s="330" t="str">
        <v>1970-S Proof</v>
      </c>
      <c r="AC89" s="330" t="str">
        <v>1970-S Proof</v>
      </c>
    </row>
    <row r="90" spans="2:29">
      <c r="AA90" s="330" t="str">
        <v>1971</v>
      </c>
      <c r="AC90" s="330" t="str">
        <v>1971</v>
      </c>
    </row>
    <row r="91" spans="2:29">
      <c r="AA91" s="330" t="str">
        <v>1971-D</v>
      </c>
      <c r="AC91" s="330" t="str">
        <v>1971-D</v>
      </c>
    </row>
    <row r="92" spans="2:29">
      <c r="AA92" s="330" t="str">
        <v>1971-S Proof</v>
      </c>
      <c r="AC92" s="330" t="str">
        <v>1971-S Proof</v>
      </c>
    </row>
    <row r="93" spans="2:29">
      <c r="AA93" s="330" t="str">
        <v>1972-S Proof</v>
      </c>
      <c r="AC93" s="330" t="str">
        <v>1972-S Proof</v>
      </c>
    </row>
    <row r="94" spans="2:29">
      <c r="AA94" s="330" t="str">
        <v>1973</v>
      </c>
      <c r="AC94" s="330" t="str">
        <v>1973</v>
      </c>
    </row>
    <row r="95" spans="2:29">
      <c r="AA95" s="330" t="str">
        <v>1973-D</v>
      </c>
      <c r="AC95" s="330" t="str">
        <v>1973-D</v>
      </c>
    </row>
    <row r="96" spans="2:29">
      <c r="AA96" s="330" t="str">
        <v>1973-S Proof</v>
      </c>
      <c r="AC96" s="330" t="str">
        <v>1973-S Proof</v>
      </c>
    </row>
    <row r="97" spans="27:29">
      <c r="AA97" s="330" t="str">
        <v>1974-D</v>
      </c>
      <c r="AC97" s="330" t="str">
        <v>1974-D</v>
      </c>
    </row>
    <row r="98" spans="27:29">
      <c r="AA98" s="330" t="str">
        <v>1974-S Proof</v>
      </c>
      <c r="AC98" s="330" t="str">
        <v>1974-S Proof</v>
      </c>
    </row>
    <row r="99" spans="27:29">
      <c r="AA99" s="330" t="str">
        <v>Bicentennial Coinage</v>
      </c>
      <c r="AC99" s="330" t="str">
        <v>Bicentennial Coinage</v>
      </c>
    </row>
    <row r="100" spans="27:29">
      <c r="AA100" s="330" t="str">
        <v>1976-S Proof</v>
      </c>
      <c r="AC100" s="330" t="str">
        <v>1976-S Proof</v>
      </c>
    </row>
    <row r="101" spans="27:29">
      <c r="AA101" s="330" t="str">
        <v>1976-S Silver</v>
      </c>
      <c r="AC101" s="330" t="str">
        <v>1976-S Silver</v>
      </c>
    </row>
    <row r="102" spans="27:29">
      <c r="AA102" s="330" t="str">
        <v>1976-S Silver Clad Proof</v>
      </c>
      <c r="AC102" s="330" t="str">
        <v>1976-S Silver Clad Proof</v>
      </c>
    </row>
    <row r="103" spans="27:29">
      <c r="AA103" s="330" t="str">
        <v>Eagle Reverse Resumed</v>
      </c>
      <c r="AC103" s="330" t="str">
        <v>Eagle Reverse Resumed</v>
      </c>
    </row>
    <row r="104" spans="27:29">
      <c r="AA104" s="330" t="str">
        <v>1977-D</v>
      </c>
      <c r="AC104" s="330" t="str">
        <v>1977-D</v>
      </c>
    </row>
    <row r="105" spans="27:29">
      <c r="AA105" s="330" t="str">
        <v>1977-S Proof</v>
      </c>
      <c r="AC105" s="330" t="str">
        <v>1977-S Proof</v>
      </c>
    </row>
    <row r="106" spans="27:29">
      <c r="AA106" s="330" t="str">
        <v>1978</v>
      </c>
      <c r="AC106" s="330" t="str">
        <v>1978</v>
      </c>
    </row>
    <row r="107" spans="27:29">
      <c r="AA107" s="330" t="str">
        <v>1978-S Proof</v>
      </c>
      <c r="AC107" s="330" t="str">
        <v>1978-S Proof</v>
      </c>
    </row>
    <row r="108" spans="27:29">
      <c r="AA108" s="330" t="str">
        <v>1979</v>
      </c>
      <c r="AC108" s="330" t="str">
        <v>1979</v>
      </c>
    </row>
    <row r="109" spans="27:29">
      <c r="AA109" s="330" t="str">
        <v>1979-S Proof Filled “S”</v>
      </c>
      <c r="AC109" s="330" t="str">
        <v>1979-S Proof Filled “S”</v>
      </c>
    </row>
    <row r="110" spans="27:29">
      <c r="AA110" s="330" t="str">
        <v>1979-S Proof Clear “S”</v>
      </c>
      <c r="AC110" s="330" t="str">
        <v>1979-S Proof Clear “S”</v>
      </c>
    </row>
    <row r="111" spans="27:29">
      <c r="AA111" s="330" t="str">
        <v>1980-P</v>
      </c>
      <c r="AC111" s="330" t="str">
        <v>1980-P</v>
      </c>
    </row>
    <row r="112" spans="27:29">
      <c r="AA112" s="330" t="str">
        <v>1980-D</v>
      </c>
      <c r="AC112" s="330" t="str">
        <v>1980-D</v>
      </c>
    </row>
    <row r="113" spans="27:29">
      <c r="AA113" s="330" t="str">
        <v>1980-S Proof</v>
      </c>
      <c r="AC113" s="330" t="str">
        <v>1980-S Proof</v>
      </c>
    </row>
    <row r="114" spans="27:29">
      <c r="AA114" s="330" t="str">
        <v>1981-P</v>
      </c>
      <c r="AC114" s="330" t="str">
        <v>1981-P</v>
      </c>
    </row>
    <row r="115" spans="27:29">
      <c r="AA115" s="330" t="str">
        <v>1981-D</v>
      </c>
      <c r="AC115" s="330" t="str">
        <v>1981-D</v>
      </c>
    </row>
    <row r="116" spans="27:29">
      <c r="AA116" s="330" t="str">
        <v>1981-S Proof</v>
      </c>
      <c r="AC116" s="330" t="str">
        <v>1981-S Proof</v>
      </c>
    </row>
    <row r="117" spans="27:29">
      <c r="AA117" s="330" t="str">
        <v>1982-P</v>
      </c>
      <c r="AC117" s="330" t="str">
        <v>1982-P</v>
      </c>
    </row>
    <row r="118" spans="27:29">
      <c r="AA118" s="330" t="str">
        <v>1982-D</v>
      </c>
      <c r="AC118" s="330" t="str">
        <v>1982-D</v>
      </c>
    </row>
    <row r="119" spans="27:29">
      <c r="AA119" s="330" t="str">
        <v>1982-S Proof</v>
      </c>
      <c r="AC119" s="330" t="str">
        <v>1982-S Proof</v>
      </c>
    </row>
    <row r="120" spans="27:29">
      <c r="AA120" s="330" t="str">
        <v>1983-P</v>
      </c>
      <c r="AC120" s="330" t="str">
        <v>1983-P</v>
      </c>
    </row>
    <row r="121" spans="27:29">
      <c r="AA121" s="330" t="str">
        <v>1983-D</v>
      </c>
      <c r="AC121" s="330" t="str">
        <v>1983-D</v>
      </c>
    </row>
    <row r="122" spans="27:29">
      <c r="AA122" s="330" t="str">
        <v>1983-S Proof</v>
      </c>
      <c r="AC122" s="330" t="str">
        <v>1983-S Proof</v>
      </c>
    </row>
    <row r="123" spans="27:29">
      <c r="AA123" s="330" t="str">
        <v>1984-P</v>
      </c>
      <c r="AC123" s="330" t="str">
        <v>1984-P</v>
      </c>
    </row>
    <row r="124" spans="27:29">
      <c r="AA124" s="330" t="str">
        <v>1984-D</v>
      </c>
      <c r="AC124" s="330" t="str">
        <v>1984-D</v>
      </c>
    </row>
    <row r="125" spans="27:29">
      <c r="AA125" s="330" t="str">
        <v>1984-S Proof</v>
      </c>
      <c r="AC125" s="330" t="str">
        <v>1984-S Proof</v>
      </c>
    </row>
    <row r="126" spans="27:29">
      <c r="AA126" s="330" t="str">
        <v>1985-D</v>
      </c>
      <c r="AC126" s="330" t="str">
        <v>1985-D</v>
      </c>
    </row>
    <row r="127" spans="27:29">
      <c r="AA127" s="330" t="str">
        <v>1985-S Proof</v>
      </c>
      <c r="AC127" s="330" t="str">
        <v>1985-S Proof</v>
      </c>
    </row>
    <row r="128" spans="27:29">
      <c r="AA128" s="330" t="str">
        <v>1986-D</v>
      </c>
      <c r="AC128" s="330" t="str">
        <v>1986-D</v>
      </c>
    </row>
    <row r="129" spans="27:29">
      <c r="AA129" s="330" t="str">
        <v>1986-S Proof</v>
      </c>
      <c r="AC129" s="330" t="str">
        <v>1986-S Proof</v>
      </c>
    </row>
    <row r="130" spans="27:29">
      <c r="AA130" s="330" t="str">
        <v>1987-P</v>
      </c>
      <c r="AC130" s="330" t="str">
        <v>1987-P</v>
      </c>
    </row>
    <row r="131" spans="27:29">
      <c r="AA131" s="330" t="str">
        <v>1987-S Proof</v>
      </c>
      <c r="AC131" s="330" t="str">
        <v>1987-S Proof</v>
      </c>
    </row>
    <row r="132" spans="27:29">
      <c r="AA132" s="330" t="str">
        <v>1988-D</v>
      </c>
      <c r="AC132" s="330" t="str">
        <v>1988-D</v>
      </c>
    </row>
    <row r="133" spans="27:29">
      <c r="AA133" s="330" t="str">
        <v>1988-S Proof</v>
      </c>
      <c r="AC133" s="330" t="str">
        <v>1988-S Proof</v>
      </c>
    </row>
    <row r="134" spans="27:29">
      <c r="AA134" s="330" t="str">
        <v>1989-P</v>
      </c>
      <c r="AC134" s="330" t="str">
        <v>1989-P</v>
      </c>
    </row>
    <row r="135" spans="27:29">
      <c r="AA135" s="330" t="str">
        <v>1989-S Proof</v>
      </c>
      <c r="AC135" s="330" t="str">
        <v>1989-S Proof</v>
      </c>
    </row>
    <row r="136" spans="27:29">
      <c r="AA136" s="330" t="str">
        <v>1990-P</v>
      </c>
      <c r="AC136" s="330" t="str">
        <v>1990-P</v>
      </c>
    </row>
    <row r="137" spans="27:29">
      <c r="AA137" s="330" t="str">
        <v>1990-S Proof</v>
      </c>
      <c r="AC137" s="330" t="str">
        <v>1990-S Proof</v>
      </c>
    </row>
    <row r="138" spans="27:29">
      <c r="AA138" s="330" t="str">
        <v>1991-D</v>
      </c>
      <c r="AC138" s="330" t="str">
        <v>1991-D</v>
      </c>
    </row>
    <row r="139" spans="27:29">
      <c r="AA139" s="330" t="str">
        <v>1991-S Proof</v>
      </c>
      <c r="AC139" s="330" t="str">
        <v>1991-S Proof</v>
      </c>
    </row>
    <row r="140" spans="27:29">
      <c r="AA140" s="330" t="str">
        <v>1992-P</v>
      </c>
      <c r="AC140" s="330" t="str">
        <v>1992-P</v>
      </c>
    </row>
    <row r="141" spans="27:29">
      <c r="AA141" s="330" t="str">
        <v>1992-S Proof</v>
      </c>
      <c r="AC141" s="330" t="str">
        <v>1992-S Proof</v>
      </c>
    </row>
    <row r="142" spans="27:29">
      <c r="AA142" s="330" t="str">
        <v>1992-S Silver Proof</v>
      </c>
      <c r="AC142" s="330" t="str">
        <v>1992-S Silver Proof</v>
      </c>
    </row>
    <row r="143" spans="27:29">
      <c r="AA143" s="330" t="str">
        <v>1993-D</v>
      </c>
      <c r="AC143" s="330" t="str">
        <v>1993-D</v>
      </c>
    </row>
    <row r="144" spans="27:29">
      <c r="AA144" s="330" t="str">
        <v>1993-S Proof</v>
      </c>
      <c r="AC144" s="330" t="str">
        <v>1993-S Proof</v>
      </c>
    </row>
    <row r="145" spans="27:29">
      <c r="AA145" s="330" t="str">
        <v>1993-S Silver Proof</v>
      </c>
      <c r="AC145" s="330" t="str">
        <v>1993-S Silver Proof</v>
      </c>
    </row>
    <row r="146" spans="27:29">
      <c r="AA146" s="330" t="str">
        <v>1994-P</v>
      </c>
      <c r="AC146" s="330" t="str">
        <v>1994-P</v>
      </c>
    </row>
    <row r="147" spans="27:29">
      <c r="AA147" s="330" t="str">
        <v>1994-D</v>
      </c>
      <c r="AC147" s="330" t="str">
        <v>1994-D</v>
      </c>
    </row>
    <row r="148" spans="27:29">
      <c r="AA148" s="330" t="str">
        <v>1994-S Proof</v>
      </c>
      <c r="AC148" s="330" t="str">
        <v>1994-S Proof</v>
      </c>
    </row>
    <row r="149" spans="27:29">
      <c r="AA149" s="330" t="str">
        <v>1994-S Silver Proof</v>
      </c>
      <c r="AC149" s="330" t="str">
        <v>1994-S Silver Proof</v>
      </c>
    </row>
    <row r="150" spans="27:29">
      <c r="AA150" s="330" t="str">
        <v>1995-P</v>
      </c>
      <c r="AC150" s="330" t="str">
        <v>1995-P</v>
      </c>
    </row>
    <row r="151" spans="27:29">
      <c r="AA151" s="330" t="str">
        <v>1995-S Proof</v>
      </c>
      <c r="AC151" s="330" t="str">
        <v>1995-S Proof</v>
      </c>
    </row>
    <row r="152" spans="27:29">
      <c r="AA152" s="330" t="str">
        <v>1995-S Silver Proof</v>
      </c>
      <c r="AC152" s="330" t="str">
        <v>1995-S Silver Proof</v>
      </c>
    </row>
    <row r="153" spans="27:29">
      <c r="AA153" s="330" t="str">
        <v>1996-S Proof</v>
      </c>
      <c r="AC153" s="330" t="str">
        <v>1996-S Proof</v>
      </c>
    </row>
    <row r="154" spans="27:29">
      <c r="AA154" s="330" t="str">
        <v>1996-S Silver Proof</v>
      </c>
      <c r="AC154" s="330" t="str">
        <v>1996-S Silver Proof</v>
      </c>
    </row>
    <row r="155" spans="27:29">
      <c r="AA155" s="330" t="str">
        <v>1997-P</v>
      </c>
      <c r="AC155" s="330" t="str">
        <v>1997-P</v>
      </c>
    </row>
    <row r="156" spans="27:29">
      <c r="AA156" s="330" t="str">
        <v>1997-D</v>
      </c>
      <c r="AC156" s="330" t="str">
        <v>1997-D</v>
      </c>
    </row>
    <row r="157" spans="27:29">
      <c r="AA157" s="330" t="str">
        <v>1997-S Proof</v>
      </c>
      <c r="AC157" s="330" t="str">
        <v>1997-S Proof</v>
      </c>
    </row>
    <row r="158" spans="27:29">
      <c r="AA158" s="330" t="str">
        <v>1997-S Silver Proof</v>
      </c>
      <c r="AC158" s="330" t="str">
        <v>1997-S Silver Proof</v>
      </c>
    </row>
    <row r="159" spans="27:29">
      <c r="AA159" s="330" t="str">
        <v>1998-S Proof</v>
      </c>
      <c r="AC159" s="330" t="str">
        <v>1998-S Proof</v>
      </c>
    </row>
    <row r="160" spans="27:29">
      <c r="AA160" s="330" t="str">
        <v>1998-S Silver Proof</v>
      </c>
      <c r="AC160" s="330" t="str">
        <v>1998-S Silver Proof</v>
      </c>
    </row>
    <row r="161" spans="27:29">
      <c r="AA161" s="330" t="str">
        <v>General George Washington</v>
      </c>
      <c r="AC161" s="330" t="str">
        <v>General George Washington</v>
      </c>
    </row>
    <row r="162" spans="27:29">
      <c r="AA162" s="330" t="str">
        <v>Crossing the Delaware</v>
      </c>
      <c r="AC162" s="330" t="str">
        <v>Crossing the Delaware</v>
      </c>
    </row>
    <row r="163" spans="27:29">
      <c r="AA163" s="330" t="str">
        <v>2021-S Proof</v>
      </c>
      <c r="AC163" s="330" t="str">
        <v>2021-S Proof</v>
      </c>
    </row>
    <row r="164" spans="27:29">
      <c r="AA164" s="330" t="str">
        <v>2021-S Silver Proof</v>
      </c>
      <c r="AC164" s="330" t="str">
        <v>2021-S Silver Proof</v>
      </c>
    </row>
    <row r="166" spans="27:29">
      <c r="AC166" s="330">
        <f>COUNTA(_xlfn.ANCHORARRAY(AC3))</f>
        <v>162</v>
      </c>
    </row>
  </sheetData>
  <pageMargins left="0.7" right="0.7" top="0.75" bottom="0.75" header="0.3" footer="0.3"/>
  <ignoredErrors>
    <ignoredError sqref="L34:L36 F35:F36 H34:H36 J35:J36" numberStoredAsText="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A58F-C9A9-4DDE-9C10-46897B436DF4}">
  <sheetPr codeName="Sheet35">
    <pageSetUpPr fitToPage="1"/>
  </sheetPr>
  <dimension ref="A1:U71"/>
  <sheetViews>
    <sheetView workbookViewId="0">
      <selection activeCell="D18" sqref="D18"/>
    </sheetView>
  </sheetViews>
  <sheetFormatPr defaultRowHeight="12.75"/>
  <cols>
    <col min="2" max="2" width="16.28515625" bestFit="1" customWidth="1"/>
    <col min="3" max="3" width="10" bestFit="1" customWidth="1"/>
    <col min="4" max="4" width="9" bestFit="1" customWidth="1"/>
    <col min="5" max="5" width="10" bestFit="1" customWidth="1"/>
    <col min="6" max="6" width="9" bestFit="1" customWidth="1"/>
    <col min="7" max="7" width="10" bestFit="1" customWidth="1"/>
    <col min="8" max="8" width="9" bestFit="1" customWidth="1"/>
    <col min="9" max="9" width="11.28515625" customWidth="1"/>
    <col min="10" max="10" width="9" bestFit="1" customWidth="1"/>
    <col min="12" max="12" width="32" hidden="1" customWidth="1"/>
    <col min="13" max="13" width="0" hidden="1" customWidth="1"/>
    <col min="14" max="14" width="24.42578125" hidden="1" customWidth="1"/>
    <col min="15" max="15" width="0" hidden="1" customWidth="1"/>
    <col min="16" max="16" width="24.42578125" hidden="1" customWidth="1"/>
    <col min="17" max="17" width="0" hidden="1" customWidth="1"/>
    <col min="18" max="18" width="24.42578125" hidden="1" customWidth="1"/>
    <col min="19" max="19" width="0" hidden="1" customWidth="1"/>
    <col min="20" max="20" width="25" hidden="1" customWidth="1"/>
    <col min="21" max="21" width="0" hidden="1" customWidth="1"/>
  </cols>
  <sheetData>
    <row r="1" spans="1:21">
      <c r="A1" s="135" t="s">
        <v>2609</v>
      </c>
    </row>
    <row r="2" spans="1:21">
      <c r="B2" s="457" t="s">
        <v>3</v>
      </c>
      <c r="C2" s="458" t="s">
        <v>1958</v>
      </c>
      <c r="D2" s="458" t="s">
        <v>4802</v>
      </c>
      <c r="E2" s="458" t="s">
        <v>4803</v>
      </c>
      <c r="F2" s="458" t="s">
        <v>4804</v>
      </c>
      <c r="G2" s="458" t="s">
        <v>4807</v>
      </c>
      <c r="H2" s="458" t="s">
        <v>4808</v>
      </c>
      <c r="I2" s="458" t="s">
        <v>4897</v>
      </c>
      <c r="J2" s="459" t="s">
        <v>4809</v>
      </c>
    </row>
    <row r="3" spans="1:21">
      <c r="A3" s="388" t="b">
        <f>IF(M3&lt;&gt;"",TRUE,FALSE)</f>
        <v>0</v>
      </c>
      <c r="B3" s="460">
        <v>1916</v>
      </c>
      <c r="C3" s="471" t="b">
        <f>IF(O3&lt;&gt;"",TRUE,FALSE)</f>
        <v>0</v>
      </c>
      <c r="D3" s="461" t="s">
        <v>2431</v>
      </c>
      <c r="E3" s="462" t="b">
        <f>IF(Q3&lt;&gt;"",TRUE,FALSE)</f>
        <v>0</v>
      </c>
      <c r="F3" s="461" t="s">
        <v>2460</v>
      </c>
      <c r="G3" s="462" t="b">
        <f>IF(S3&lt;&gt;"",TRUE,FALSE)</f>
        <v>0</v>
      </c>
      <c r="H3" s="461" t="s">
        <v>832</v>
      </c>
      <c r="I3" s="462" t="b">
        <f>IF(U3&lt;&gt;"",TRUE,FALSE)</f>
        <v>0</v>
      </c>
      <c r="J3" s="463" t="s">
        <v>845</v>
      </c>
      <c r="L3" t="str">
        <f>'Walking Liberty Half'!$B3&amp;" "&amp;$A$1</f>
        <v>1916 Standing Liberty Half</v>
      </c>
      <c r="M3" t="str">
        <f>IFERROR(MATCH(L3,CoinCollection!O:O,0),"")</f>
        <v/>
      </c>
      <c r="N3" t="str">
        <f>D3&amp;" "&amp;$A$1</f>
        <v>1919-S Standing Liberty Half</v>
      </c>
      <c r="O3" t="str">
        <f>IFERROR(MATCH(N3,CoinCollection!O:O,0),"")</f>
        <v/>
      </c>
      <c r="P3" t="str">
        <f>F3&amp;" "&amp;$A$1</f>
        <v>1934 Standing Liberty Half</v>
      </c>
      <c r="Q3" t="str">
        <f>IFERROR(MATCH(P3,CoinCollection!O:O,0),"")</f>
        <v/>
      </c>
      <c r="R3" t="str">
        <f>H3&amp;" "&amp;$A$1</f>
        <v>1938-D Standing Liberty Half</v>
      </c>
      <c r="S3" t="str">
        <f>IFERROR(MATCH(R3,CoinCollection!O:O,0),"")</f>
        <v/>
      </c>
      <c r="T3" t="str">
        <f>J3&amp;" "&amp;$A$1</f>
        <v>1943-D Standing Liberty Half</v>
      </c>
      <c r="U3" t="str">
        <f>IFERROR(MATCH(T3,CoinCollection!O:O,0),"")</f>
        <v/>
      </c>
    </row>
    <row r="4" spans="1:21">
      <c r="A4" s="388" t="b">
        <f t="shared" ref="A4:A15" si="0">IF(M4&lt;&gt;"",TRUE,FALSE)</f>
        <v>0</v>
      </c>
      <c r="B4" s="464" t="s">
        <v>2419</v>
      </c>
      <c r="C4" s="471" t="b">
        <f t="shared" ref="C4:C15" si="1">IF(O4&lt;&gt;"",TRUE,FALSE)</f>
        <v>0</v>
      </c>
      <c r="D4" s="465" t="s">
        <v>2432</v>
      </c>
      <c r="E4" s="462" t="b">
        <f t="shared" ref="E4:E15" si="2">IF(Q4&lt;&gt;"",TRUE,FALSE)</f>
        <v>0</v>
      </c>
      <c r="F4" s="465" t="s">
        <v>2461</v>
      </c>
      <c r="G4" s="462" t="b">
        <f t="shared" ref="G4:G15" si="3">IF(S4&lt;&gt;"",TRUE,FALSE)</f>
        <v>1</v>
      </c>
      <c r="H4" s="465" t="s">
        <v>2472</v>
      </c>
      <c r="I4" s="462" t="b">
        <f t="shared" ref="I4:I15" si="4">IF(U4&lt;&gt;"",TRUE,FALSE)</f>
        <v>1</v>
      </c>
      <c r="J4" s="466" t="s">
        <v>846</v>
      </c>
      <c r="L4" t="str">
        <f>'Walking Liberty Half'!$B4&amp;" "&amp;$A$1</f>
        <v>1916-D Standing Liberty Half</v>
      </c>
      <c r="M4" t="str">
        <f>IFERROR(MATCH(L4,CoinCollection!O:O,0),"")</f>
        <v/>
      </c>
      <c r="N4" t="str">
        <f t="shared" ref="N4:N15" si="5">D4&amp;" "&amp;$A$1</f>
        <v>1920 Standing Liberty Half</v>
      </c>
      <c r="O4" t="str">
        <f>IFERROR(MATCH(N4,CoinCollection!O:O,0),"")</f>
        <v/>
      </c>
      <c r="P4" t="str">
        <f t="shared" ref="P4:P15" si="6">F4&amp;" "&amp;$A$1</f>
        <v>1934-D Standing Liberty Half</v>
      </c>
      <c r="Q4" t="str">
        <f>IFERROR(MATCH(P4,CoinCollection!O:O,0),"")</f>
        <v/>
      </c>
      <c r="R4" t="str">
        <f t="shared" ref="R4:R15" si="7">H4&amp;" "&amp;$A$1</f>
        <v>1939 Standing Liberty Half</v>
      </c>
      <c r="S4">
        <f>IFERROR(MATCH(R4,CoinCollection!O:O,0),"")</f>
        <v>2041</v>
      </c>
      <c r="T4" t="str">
        <f t="shared" ref="T4:T15" si="8">J4&amp;" "&amp;$A$1</f>
        <v>1943-S Standing Liberty Half</v>
      </c>
      <c r="U4">
        <f>IFERROR(MATCH(T4,CoinCollection!O:O,0),"")</f>
        <v>2045</v>
      </c>
    </row>
    <row r="5" spans="1:21">
      <c r="A5" s="388" t="b">
        <f t="shared" si="0"/>
        <v>0</v>
      </c>
      <c r="B5" s="467" t="s">
        <v>2420</v>
      </c>
      <c r="C5" s="471" t="b">
        <f t="shared" si="1"/>
        <v>0</v>
      </c>
      <c r="D5" s="461" t="s">
        <v>2433</v>
      </c>
      <c r="E5" s="462" t="b">
        <f t="shared" si="2"/>
        <v>0</v>
      </c>
      <c r="F5" s="461" t="s">
        <v>5272</v>
      </c>
      <c r="G5" s="462" t="b">
        <f t="shared" si="3"/>
        <v>0</v>
      </c>
      <c r="H5" s="461" t="s">
        <v>834</v>
      </c>
      <c r="I5" s="462" t="b">
        <f t="shared" si="4"/>
        <v>1</v>
      </c>
      <c r="J5" s="463" t="s">
        <v>4182</v>
      </c>
      <c r="L5" t="str">
        <f>'Walking Liberty Half'!$B5&amp;" "&amp;$A$1</f>
        <v>1916-S Standing Liberty Half</v>
      </c>
      <c r="M5" t="str">
        <f>IFERROR(MATCH(L5,CoinCollection!O:O,0),"")</f>
        <v/>
      </c>
      <c r="N5" t="str">
        <f t="shared" si="5"/>
        <v>1920-D Standing Liberty Half</v>
      </c>
      <c r="O5" t="str">
        <f>IFERROR(MATCH(N5,CoinCollection!O:O,0),"")</f>
        <v/>
      </c>
      <c r="P5" t="str">
        <f t="shared" si="6"/>
        <v>1934-S Standing Liberty Half</v>
      </c>
      <c r="Q5" t="str">
        <f>IFERROR(MATCH(P5,CoinCollection!O:O,0),"")</f>
        <v/>
      </c>
      <c r="R5" t="str">
        <f t="shared" si="7"/>
        <v>1939-D Standing Liberty Half</v>
      </c>
      <c r="S5" t="str">
        <f>IFERROR(MATCH(R5,CoinCollection!O:O,0),"")</f>
        <v/>
      </c>
      <c r="T5" t="str">
        <f t="shared" si="8"/>
        <v>1944 Standing Liberty Half</v>
      </c>
      <c r="U5">
        <f>IFERROR(MATCH(T5,CoinCollection!O:O,0),"")</f>
        <v>2047</v>
      </c>
    </row>
    <row r="6" spans="1:21">
      <c r="A6" s="388" t="b">
        <f t="shared" si="0"/>
        <v>0</v>
      </c>
      <c r="B6" s="464" t="s">
        <v>2421</v>
      </c>
      <c r="C6" s="471" t="b">
        <f t="shared" si="1"/>
        <v>0</v>
      </c>
      <c r="D6" s="465" t="s">
        <v>2434</v>
      </c>
      <c r="E6" s="462" t="b">
        <f t="shared" si="2"/>
        <v>0</v>
      </c>
      <c r="F6" s="465" t="s">
        <v>2462</v>
      </c>
      <c r="G6" s="462" t="b">
        <f t="shared" si="3"/>
        <v>0</v>
      </c>
      <c r="H6" s="465" t="s">
        <v>835</v>
      </c>
      <c r="I6" s="462" t="b">
        <f t="shared" si="4"/>
        <v>0</v>
      </c>
      <c r="J6" s="466" t="s">
        <v>848</v>
      </c>
      <c r="L6" t="str">
        <f>'Walking Liberty Half'!$B6&amp;" "&amp;$A$1</f>
        <v>1917 Standing Liberty Half</v>
      </c>
      <c r="M6" t="str">
        <f>IFERROR(MATCH(L6,CoinCollection!O:O,0),"")</f>
        <v/>
      </c>
      <c r="N6" t="str">
        <f t="shared" si="5"/>
        <v>1920-S Standing Liberty Half</v>
      </c>
      <c r="O6" t="str">
        <f>IFERROR(MATCH(N6,CoinCollection!O:O,0),"")</f>
        <v/>
      </c>
      <c r="P6" t="str">
        <f t="shared" si="6"/>
        <v>1935 Standing Liberty Half</v>
      </c>
      <c r="Q6" t="str">
        <f>IFERROR(MATCH(P6,CoinCollection!O:O,0),"")</f>
        <v/>
      </c>
      <c r="R6" t="str">
        <f t="shared" si="7"/>
        <v>1939-S Standing Liberty Half</v>
      </c>
      <c r="S6" t="str">
        <f>IFERROR(MATCH(R6,CoinCollection!O:O,0),"")</f>
        <v/>
      </c>
      <c r="T6" t="str">
        <f t="shared" si="8"/>
        <v>1944-D Standing Liberty Half</v>
      </c>
      <c r="U6" t="str">
        <f>IFERROR(MATCH(T6,CoinCollection!O:O,0),"")</f>
        <v/>
      </c>
    </row>
    <row r="7" spans="1:21">
      <c r="A7" s="388" t="b">
        <f t="shared" si="0"/>
        <v>0</v>
      </c>
      <c r="B7" s="467" t="s">
        <v>5267</v>
      </c>
      <c r="C7" s="471" t="b">
        <f t="shared" si="1"/>
        <v>0</v>
      </c>
      <c r="D7" s="461" t="s">
        <v>2435</v>
      </c>
      <c r="E7" s="462" t="b">
        <f t="shared" si="2"/>
        <v>0</v>
      </c>
      <c r="F7" s="461" t="s">
        <v>2463</v>
      </c>
      <c r="G7" s="462" t="b">
        <f t="shared" si="3"/>
        <v>1</v>
      </c>
      <c r="H7" s="461" t="s">
        <v>2473</v>
      </c>
      <c r="I7" s="462" t="b">
        <f t="shared" si="4"/>
        <v>0</v>
      </c>
      <c r="J7" s="463" t="s">
        <v>849</v>
      </c>
      <c r="L7" t="str">
        <f>'Walking Liberty Half'!$B7&amp;" "&amp;$A$1</f>
        <v>1917-D Obverse Standing Liberty Half</v>
      </c>
      <c r="M7" t="str">
        <f>IFERROR(MATCH(L7,CoinCollection!O:O,0),"")</f>
        <v/>
      </c>
      <c r="N7" t="str">
        <f t="shared" si="5"/>
        <v>1921 Standing Liberty Half</v>
      </c>
      <c r="O7" t="str">
        <f>IFERROR(MATCH(N7,CoinCollection!O:O,0),"")</f>
        <v/>
      </c>
      <c r="P7" t="str">
        <f t="shared" si="6"/>
        <v>1935-D Standing Liberty Half</v>
      </c>
      <c r="Q7" t="str">
        <f>IFERROR(MATCH(P7,CoinCollection!O:O,0),"")</f>
        <v/>
      </c>
      <c r="R7" t="str">
        <f t="shared" si="7"/>
        <v>1940 Standing Liberty Half</v>
      </c>
      <c r="S7">
        <f>IFERROR(MATCH(R7,CoinCollection!O:O,0),"")</f>
        <v>2042</v>
      </c>
      <c r="T7" t="str">
        <f t="shared" si="8"/>
        <v>1944-S Standing Liberty Half</v>
      </c>
      <c r="U7" t="str">
        <f>IFERROR(MATCH(T7,CoinCollection!O:O,0),"")</f>
        <v/>
      </c>
    </row>
    <row r="8" spans="1:21">
      <c r="A8" s="388" t="b">
        <f t="shared" si="0"/>
        <v>0</v>
      </c>
      <c r="B8" s="464" t="s">
        <v>5268</v>
      </c>
      <c r="C8" s="471" t="b">
        <f t="shared" si="1"/>
        <v>0</v>
      </c>
      <c r="D8" s="465" t="s">
        <v>4953</v>
      </c>
      <c r="E8" s="462" t="b">
        <f t="shared" si="2"/>
        <v>0</v>
      </c>
      <c r="F8" s="465" t="s">
        <v>2464</v>
      </c>
      <c r="G8" s="462" t="b">
        <f t="shared" si="3"/>
        <v>0</v>
      </c>
      <c r="H8" s="465" t="s">
        <v>837</v>
      </c>
      <c r="I8" s="462" t="b">
        <f t="shared" si="4"/>
        <v>1</v>
      </c>
      <c r="J8" s="466" t="s">
        <v>4183</v>
      </c>
      <c r="L8" t="str">
        <f>'Walking Liberty Half'!$B8&amp;" "&amp;$A$1</f>
        <v>1917-D Reverse Standing Liberty Half</v>
      </c>
      <c r="M8" t="str">
        <f>IFERROR(MATCH(L8,CoinCollection!O:O,0),"")</f>
        <v/>
      </c>
      <c r="N8" t="str">
        <f t="shared" si="5"/>
        <v>1921-D Standing Liberty Half</v>
      </c>
      <c r="O8" t="str">
        <f>IFERROR(MATCH(N8,CoinCollection!O:O,0),"")</f>
        <v/>
      </c>
      <c r="P8" t="str">
        <f t="shared" si="6"/>
        <v>1935-S Standing Liberty Half</v>
      </c>
      <c r="Q8" t="str">
        <f>IFERROR(MATCH(P8,CoinCollection!O:O,0),"")</f>
        <v/>
      </c>
      <c r="R8" t="str">
        <f t="shared" si="7"/>
        <v>1940-S Standing Liberty Half</v>
      </c>
      <c r="S8" t="str">
        <f>IFERROR(MATCH(R8,CoinCollection!O:O,0),"")</f>
        <v/>
      </c>
      <c r="T8" t="str">
        <f t="shared" si="8"/>
        <v>1945 Standing Liberty Half</v>
      </c>
      <c r="U8">
        <f>IFERROR(MATCH(T8,CoinCollection!O:O,0),"")</f>
        <v>2048</v>
      </c>
    </row>
    <row r="9" spans="1:21">
      <c r="A9" s="388" t="b">
        <f t="shared" si="0"/>
        <v>0</v>
      </c>
      <c r="B9" s="467" t="s">
        <v>5269</v>
      </c>
      <c r="C9" s="471" t="b">
        <f t="shared" si="1"/>
        <v>0</v>
      </c>
      <c r="D9" s="461" t="s">
        <v>2436</v>
      </c>
      <c r="E9" s="462" t="b">
        <f t="shared" si="2"/>
        <v>1</v>
      </c>
      <c r="F9" s="461" t="s">
        <v>2465</v>
      </c>
      <c r="G9" s="462" t="b">
        <f t="shared" si="3"/>
        <v>0</v>
      </c>
      <c r="H9" s="461" t="s">
        <v>2474</v>
      </c>
      <c r="I9" s="462" t="b">
        <f t="shared" si="4"/>
        <v>0</v>
      </c>
      <c r="J9" s="463" t="s">
        <v>851</v>
      </c>
      <c r="L9" t="str">
        <f>'Walking Liberty Half'!$B9&amp;" "&amp;$A$1</f>
        <v>1917-S Obverse Standing Liberty Half</v>
      </c>
      <c r="M9" t="str">
        <f>IFERROR(MATCH(L9,CoinCollection!O:O,0),"")</f>
        <v/>
      </c>
      <c r="N9" t="str">
        <f t="shared" si="5"/>
        <v>1921-S Standing Liberty Half</v>
      </c>
      <c r="O9" t="str">
        <f>IFERROR(MATCH(N9,CoinCollection!O:O,0),"")</f>
        <v/>
      </c>
      <c r="P9" t="str">
        <f t="shared" si="6"/>
        <v>1936 Standing Liberty Half</v>
      </c>
      <c r="Q9">
        <f>IFERROR(MATCH(P9,CoinCollection!O:O,0),"")</f>
        <v>2037</v>
      </c>
      <c r="R9" t="str">
        <f t="shared" si="7"/>
        <v>1941 Standing Liberty Half</v>
      </c>
      <c r="S9" t="str">
        <f>IFERROR(MATCH(R9,CoinCollection!O:O,0),"")</f>
        <v/>
      </c>
      <c r="T9" t="str">
        <f t="shared" si="8"/>
        <v>1945-D Standing Liberty Half</v>
      </c>
      <c r="U9" t="str">
        <f>IFERROR(MATCH(T9,CoinCollection!O:O,0),"")</f>
        <v/>
      </c>
    </row>
    <row r="10" spans="1:21">
      <c r="A10" s="388" t="b">
        <f t="shared" si="0"/>
        <v>0</v>
      </c>
      <c r="B10" s="464" t="s">
        <v>5270</v>
      </c>
      <c r="C10" s="471" t="b">
        <f t="shared" si="1"/>
        <v>0</v>
      </c>
      <c r="D10" s="465" t="s">
        <v>2438</v>
      </c>
      <c r="E10" s="462" t="b">
        <f t="shared" si="2"/>
        <v>0</v>
      </c>
      <c r="F10" s="465" t="s">
        <v>2466</v>
      </c>
      <c r="G10" s="462" t="b">
        <f t="shared" si="3"/>
        <v>1</v>
      </c>
      <c r="H10" s="465" t="s">
        <v>838</v>
      </c>
      <c r="I10" s="462" t="b">
        <f t="shared" si="4"/>
        <v>0</v>
      </c>
      <c r="J10" s="466" t="s">
        <v>852</v>
      </c>
      <c r="L10" t="str">
        <f>'Walking Liberty Half'!$B10&amp;" "&amp;$A$1</f>
        <v>1917-S Reverse Standing Liberty Half</v>
      </c>
      <c r="M10" t="str">
        <f>IFERROR(MATCH(L10,CoinCollection!O:O,0),"")</f>
        <v/>
      </c>
      <c r="N10" t="str">
        <f t="shared" si="5"/>
        <v>1923-S Standing Liberty Half</v>
      </c>
      <c r="O10" t="str">
        <f>IFERROR(MATCH(N10,CoinCollection!O:O,0),"")</f>
        <v/>
      </c>
      <c r="P10" t="str">
        <f t="shared" si="6"/>
        <v>1936-D Standing Liberty Half</v>
      </c>
      <c r="Q10" t="str">
        <f>IFERROR(MATCH(P10,CoinCollection!O:O,0),"")</f>
        <v/>
      </c>
      <c r="R10" t="str">
        <f t="shared" si="7"/>
        <v>1941-D Standing Liberty Half</v>
      </c>
      <c r="S10">
        <f>IFERROR(MATCH(R10,CoinCollection!O:O,0),"")</f>
        <v>2043</v>
      </c>
      <c r="T10" t="str">
        <f t="shared" si="8"/>
        <v>1945-S Standing Liberty Half</v>
      </c>
      <c r="U10" t="str">
        <f>IFERROR(MATCH(T10,CoinCollection!O:O,0),"")</f>
        <v/>
      </c>
    </row>
    <row r="11" spans="1:21">
      <c r="A11" s="388" t="b">
        <f t="shared" si="0"/>
        <v>0</v>
      </c>
      <c r="B11" s="467" t="s">
        <v>2424</v>
      </c>
      <c r="C11" s="471" t="b">
        <f t="shared" si="1"/>
        <v>0</v>
      </c>
      <c r="D11" s="461" t="s">
        <v>2450</v>
      </c>
      <c r="E11" s="462" t="b">
        <f t="shared" si="2"/>
        <v>0</v>
      </c>
      <c r="F11" s="461" t="s">
        <v>2467</v>
      </c>
      <c r="G11" s="462" t="b">
        <f t="shared" si="3"/>
        <v>0</v>
      </c>
      <c r="H11" s="461" t="s">
        <v>839</v>
      </c>
      <c r="I11" s="462" t="b">
        <f t="shared" si="4"/>
        <v>1</v>
      </c>
      <c r="J11" s="463" t="s">
        <v>992</v>
      </c>
      <c r="L11" t="str">
        <f>'Walking Liberty Half'!$B11&amp;" "&amp;$A$1</f>
        <v>1918 Standing Liberty Half</v>
      </c>
      <c r="M11" t="str">
        <f>IFERROR(MATCH(L11,CoinCollection!O:O,0),"")</f>
        <v/>
      </c>
      <c r="N11" t="str">
        <f t="shared" si="5"/>
        <v>1927-S Standing Liberty Half</v>
      </c>
      <c r="O11" t="str">
        <f>IFERROR(MATCH(N11,CoinCollection!O:O,0),"")</f>
        <v/>
      </c>
      <c r="P11" t="str">
        <f t="shared" si="6"/>
        <v>1936-S Standing Liberty Half</v>
      </c>
      <c r="Q11" t="str">
        <f>IFERROR(MATCH(P11,CoinCollection!O:O,0),"")</f>
        <v/>
      </c>
      <c r="R11" t="str">
        <f t="shared" si="7"/>
        <v>1941-S Standing Liberty Half</v>
      </c>
      <c r="S11" t="str">
        <f>IFERROR(MATCH(R11,CoinCollection!O:O,0),"")</f>
        <v/>
      </c>
      <c r="T11" t="str">
        <f t="shared" si="8"/>
        <v>1946 Standing Liberty Half</v>
      </c>
      <c r="U11">
        <f>IFERROR(MATCH(T11,CoinCollection!O:O,0),"")</f>
        <v>2049</v>
      </c>
    </row>
    <row r="12" spans="1:21">
      <c r="A12" s="388" t="b">
        <f t="shared" si="0"/>
        <v>0</v>
      </c>
      <c r="B12" s="464" t="s">
        <v>2425</v>
      </c>
      <c r="C12" s="471" t="b">
        <f t="shared" si="1"/>
        <v>0</v>
      </c>
      <c r="D12" s="465" t="s">
        <v>2453</v>
      </c>
      <c r="E12" s="462" t="b">
        <f t="shared" si="2"/>
        <v>1</v>
      </c>
      <c r="F12" s="465" t="s">
        <v>2468</v>
      </c>
      <c r="G12" s="462" t="b">
        <f t="shared" si="3"/>
        <v>1</v>
      </c>
      <c r="H12" s="465" t="s">
        <v>2475</v>
      </c>
      <c r="I12" s="462" t="b">
        <f t="shared" si="4"/>
        <v>0</v>
      </c>
      <c r="J12" s="466" t="s">
        <v>853</v>
      </c>
      <c r="L12" t="str">
        <f>'Walking Liberty Half'!$B12&amp;" "&amp;$A$1</f>
        <v>1918-D Standing Liberty Half</v>
      </c>
      <c r="M12" t="str">
        <f>IFERROR(MATCH(L12,CoinCollection!O:O,0),"")</f>
        <v/>
      </c>
      <c r="N12" t="str">
        <f t="shared" si="5"/>
        <v>1928-S Standing Liberty Half</v>
      </c>
      <c r="O12" t="str">
        <f>IFERROR(MATCH(N12,CoinCollection!O:O,0),"")</f>
        <v/>
      </c>
      <c r="P12" t="str">
        <f t="shared" si="6"/>
        <v>1937 Standing Liberty Half</v>
      </c>
      <c r="Q12">
        <f>IFERROR(MATCH(P12,CoinCollection!O:O,0),"")</f>
        <v>2038</v>
      </c>
      <c r="R12" t="str">
        <f t="shared" si="7"/>
        <v>1942 Standing Liberty Half</v>
      </c>
      <c r="S12">
        <f>IFERROR(MATCH(R12,CoinCollection!O:O,0),"")</f>
        <v>2044</v>
      </c>
      <c r="T12" t="str">
        <f t="shared" si="8"/>
        <v>1946-D Standing Liberty Half</v>
      </c>
      <c r="U12" t="str">
        <f>IFERROR(MATCH(T12,CoinCollection!O:O,0),"")</f>
        <v/>
      </c>
    </row>
    <row r="13" spans="1:21">
      <c r="A13" s="388" t="b">
        <f t="shared" si="0"/>
        <v>0</v>
      </c>
      <c r="B13" s="467" t="s">
        <v>2428</v>
      </c>
      <c r="C13" s="471" t="b">
        <f t="shared" si="1"/>
        <v>0</v>
      </c>
      <c r="D13" s="461" t="s">
        <v>2455</v>
      </c>
      <c r="E13" s="462" t="b">
        <f t="shared" si="2"/>
        <v>0</v>
      </c>
      <c r="F13" s="461" t="s">
        <v>2469</v>
      </c>
      <c r="G13" s="462" t="b">
        <f t="shared" si="3"/>
        <v>0</v>
      </c>
      <c r="H13" s="461" t="s">
        <v>840</v>
      </c>
      <c r="I13" s="462" t="b">
        <f t="shared" si="4"/>
        <v>0</v>
      </c>
      <c r="J13" s="463" t="s">
        <v>854</v>
      </c>
      <c r="L13" t="str">
        <f>'Walking Liberty Half'!$B13&amp;" "&amp;$A$1</f>
        <v>1918-S Standing Liberty Half</v>
      </c>
      <c r="M13" t="str">
        <f>IFERROR(MATCH(L13,CoinCollection!O:O,0),"")</f>
        <v/>
      </c>
      <c r="N13" t="str">
        <f t="shared" si="5"/>
        <v>1929-D Standing Liberty Half</v>
      </c>
      <c r="O13" t="str">
        <f>IFERROR(MATCH(N13,CoinCollection!O:O,0),"")</f>
        <v/>
      </c>
      <c r="P13" t="str">
        <f t="shared" si="6"/>
        <v>1937-D Standing Liberty Half</v>
      </c>
      <c r="Q13" t="str">
        <f>IFERROR(MATCH(P13,CoinCollection!O:O,0),"")</f>
        <v/>
      </c>
      <c r="R13" t="str">
        <f t="shared" si="7"/>
        <v>1942-D Standing Liberty Half</v>
      </c>
      <c r="S13" t="str">
        <f>IFERROR(MATCH(R13,CoinCollection!O:O,0),"")</f>
        <v/>
      </c>
      <c r="T13" t="str">
        <f t="shared" si="8"/>
        <v>1946-S Standing Liberty Half</v>
      </c>
      <c r="U13" t="str">
        <f>IFERROR(MATCH(T13,CoinCollection!O:O,0),"")</f>
        <v/>
      </c>
    </row>
    <row r="14" spans="1:21">
      <c r="A14" s="388" t="b">
        <f t="shared" si="0"/>
        <v>0</v>
      </c>
      <c r="B14" s="464" t="s">
        <v>2429</v>
      </c>
      <c r="C14" s="471" t="b">
        <f t="shared" si="1"/>
        <v>0</v>
      </c>
      <c r="D14" s="465" t="s">
        <v>2456</v>
      </c>
      <c r="E14" s="462" t="b">
        <f t="shared" si="2"/>
        <v>0</v>
      </c>
      <c r="F14" s="465" t="s">
        <v>2470</v>
      </c>
      <c r="G14" s="462" t="b">
        <f t="shared" si="3"/>
        <v>0</v>
      </c>
      <c r="H14" s="465" t="s">
        <v>843</v>
      </c>
      <c r="I14" s="462" t="b">
        <f t="shared" si="4"/>
        <v>1</v>
      </c>
      <c r="J14" s="466" t="s">
        <v>2477</v>
      </c>
      <c r="L14" t="str">
        <f>'Walking Liberty Half'!$B14&amp;" "&amp;$A$1</f>
        <v>1919 Standing Liberty Half</v>
      </c>
      <c r="M14" t="str">
        <f>IFERROR(MATCH(L14,CoinCollection!O:O,0),"")</f>
        <v/>
      </c>
      <c r="N14" t="str">
        <f t="shared" si="5"/>
        <v>1929-S Standing Liberty Half</v>
      </c>
      <c r="O14" t="str">
        <f>IFERROR(MATCH(N14,CoinCollection!O:O,0),"")</f>
        <v/>
      </c>
      <c r="P14" t="str">
        <f t="shared" si="6"/>
        <v>1937-S Standing Liberty Half</v>
      </c>
      <c r="Q14" t="str">
        <f>IFERROR(MATCH(P14,CoinCollection!O:O,0),"")</f>
        <v/>
      </c>
      <c r="R14" t="str">
        <f t="shared" si="7"/>
        <v>1942-S Standing Liberty Half</v>
      </c>
      <c r="S14" t="str">
        <f>IFERROR(MATCH(R14,CoinCollection!O:O,0),"")</f>
        <v/>
      </c>
      <c r="T14" t="str">
        <f t="shared" si="8"/>
        <v>1947 Standing Liberty Half</v>
      </c>
      <c r="U14">
        <f>IFERROR(MATCH(T14,CoinCollection!O:O,0),"")</f>
        <v>2050</v>
      </c>
    </row>
    <row r="15" spans="1:21">
      <c r="A15" s="388" t="b">
        <f t="shared" si="0"/>
        <v>0</v>
      </c>
      <c r="B15" s="468" t="s">
        <v>2430</v>
      </c>
      <c r="C15" s="471" t="b">
        <f t="shared" si="1"/>
        <v>0</v>
      </c>
      <c r="D15" s="469" t="s">
        <v>5271</v>
      </c>
      <c r="E15" s="462" t="b">
        <f t="shared" si="2"/>
        <v>1</v>
      </c>
      <c r="F15" s="469" t="s">
        <v>2471</v>
      </c>
      <c r="G15" s="462" t="b">
        <f t="shared" si="3"/>
        <v>1</v>
      </c>
      <c r="H15" s="469" t="s">
        <v>4181</v>
      </c>
      <c r="I15" s="462" t="b">
        <f t="shared" si="4"/>
        <v>0</v>
      </c>
      <c r="J15" s="470" t="s">
        <v>855</v>
      </c>
      <c r="L15" t="str">
        <f>'Walking Liberty Half'!$B15&amp;" "&amp;$A$1</f>
        <v>1919-D Standing Liberty Half</v>
      </c>
      <c r="M15" t="str">
        <f>IFERROR(MATCH(L15,CoinCollection!O:O,0),"")</f>
        <v/>
      </c>
      <c r="N15" t="str">
        <f t="shared" si="5"/>
        <v>1933-S Standing Liberty Half</v>
      </c>
      <c r="O15" t="str">
        <f>IFERROR(MATCH(N15,CoinCollection!O:O,0),"")</f>
        <v/>
      </c>
      <c r="P15" t="str">
        <f t="shared" si="6"/>
        <v>1938 Standing Liberty Half</v>
      </c>
      <c r="Q15">
        <f>IFERROR(MATCH(P15,CoinCollection!O:O,0),"")</f>
        <v>2039</v>
      </c>
      <c r="R15" t="str">
        <f t="shared" si="7"/>
        <v>1943 Standing Liberty Half</v>
      </c>
      <c r="S15">
        <f>IFERROR(MATCH(R15,CoinCollection!O:O,0),"")</f>
        <v>2046</v>
      </c>
      <c r="T15" t="str">
        <f t="shared" si="8"/>
        <v>1947-D Standing Liberty Half</v>
      </c>
      <c r="U15" t="str">
        <f>IFERROR(MATCH(T15,CoinCollection!O:O,0),"")</f>
        <v/>
      </c>
    </row>
    <row r="18" spans="2:4">
      <c r="B18" s="3" cm="1">
        <f t="array" ref="B18:B69">_xlfn.LET(_xlpm.stacked_data,_xlfn.VSTACK(A3:B15,C3:D15,E3:F15,G3:H15,I3:J15),
_xlfn._xlws.FILTER(_xlfn.CHOOSECOLS(_xlpm.stacked_data,2),_xlfn.CHOOSECOLS(_xlpm.stacked_data,1)=FALSE)
)</f>
        <v>1916</v>
      </c>
      <c r="D18" s="136">
        <f>COUNTIF(A3:J15,"=False")</f>
        <v>52</v>
      </c>
    </row>
    <row r="19" spans="2:4">
      <c r="B19" t="str">
        <v>1916-D</v>
      </c>
    </row>
    <row r="20" spans="2:4">
      <c r="B20" t="str">
        <v>1916-S</v>
      </c>
    </row>
    <row r="21" spans="2:4">
      <c r="B21" t="str">
        <v>1917</v>
      </c>
    </row>
    <row r="22" spans="2:4">
      <c r="B22" t="str">
        <v>1917-D Obverse</v>
      </c>
    </row>
    <row r="23" spans="2:4">
      <c r="B23" t="str">
        <v>1917-D Reverse</v>
      </c>
    </row>
    <row r="24" spans="2:4">
      <c r="B24" t="str">
        <v>1917-S Obverse</v>
      </c>
    </row>
    <row r="25" spans="2:4">
      <c r="B25" t="str">
        <v>1917-S Reverse</v>
      </c>
    </row>
    <row r="26" spans="2:4">
      <c r="B26" t="str">
        <v>1918</v>
      </c>
    </row>
    <row r="27" spans="2:4">
      <c r="B27" t="str">
        <v>1918-D</v>
      </c>
    </row>
    <row r="28" spans="2:4">
      <c r="B28" t="str">
        <v>1918-S</v>
      </c>
    </row>
    <row r="29" spans="2:4">
      <c r="B29" t="str">
        <v>1919</v>
      </c>
    </row>
    <row r="30" spans="2:4">
      <c r="B30" t="str">
        <v>1919-D</v>
      </c>
    </row>
    <row r="31" spans="2:4">
      <c r="B31" t="str">
        <v>1919-S</v>
      </c>
    </row>
    <row r="32" spans="2:4">
      <c r="B32" t="str">
        <v>1920</v>
      </c>
    </row>
    <row r="33" spans="2:2">
      <c r="B33" t="str">
        <v>1920-D</v>
      </c>
    </row>
    <row r="34" spans="2:2">
      <c r="B34" t="str">
        <v>1920-S</v>
      </c>
    </row>
    <row r="35" spans="2:2">
      <c r="B35" t="str">
        <v>1921</v>
      </c>
    </row>
    <row r="36" spans="2:2">
      <c r="B36" t="str">
        <v>1921-D</v>
      </c>
    </row>
    <row r="37" spans="2:2">
      <c r="B37" t="str">
        <v>1921-S</v>
      </c>
    </row>
    <row r="38" spans="2:2">
      <c r="B38" t="str">
        <v>1923-S</v>
      </c>
    </row>
    <row r="39" spans="2:2">
      <c r="B39" t="str">
        <v>1927-S</v>
      </c>
    </row>
    <row r="40" spans="2:2">
      <c r="B40" t="str">
        <v>1928-S</v>
      </c>
    </row>
    <row r="41" spans="2:2">
      <c r="B41" t="str">
        <v>1929-D</v>
      </c>
    </row>
    <row r="42" spans="2:2">
      <c r="B42" t="str">
        <v>1929-S</v>
      </c>
    </row>
    <row r="43" spans="2:2">
      <c r="B43" t="str">
        <v>1933-S</v>
      </c>
    </row>
    <row r="44" spans="2:2">
      <c r="B44" t="str">
        <v>1934</v>
      </c>
    </row>
    <row r="45" spans="2:2">
      <c r="B45" t="str">
        <v>1934-D</v>
      </c>
    </row>
    <row r="46" spans="2:2">
      <c r="B46" t="str">
        <v>1934-S</v>
      </c>
    </row>
    <row r="47" spans="2:2">
      <c r="B47" t="str">
        <v>1935</v>
      </c>
    </row>
    <row r="48" spans="2:2">
      <c r="B48" t="str">
        <v>1935-D</v>
      </c>
    </row>
    <row r="49" spans="2:2">
      <c r="B49" t="str">
        <v>1935-S</v>
      </c>
    </row>
    <row r="50" spans="2:2">
      <c r="B50" t="str">
        <v>1936-D</v>
      </c>
    </row>
    <row r="51" spans="2:2">
      <c r="B51" t="str">
        <v>1936-S</v>
      </c>
    </row>
    <row r="52" spans="2:2">
      <c r="B52" t="str">
        <v>1937-D</v>
      </c>
    </row>
    <row r="53" spans="2:2">
      <c r="B53" t="str">
        <v>1937-S</v>
      </c>
    </row>
    <row r="54" spans="2:2">
      <c r="B54" t="str">
        <v>1938-D</v>
      </c>
    </row>
    <row r="55" spans="2:2">
      <c r="B55" t="str">
        <v>1939-D</v>
      </c>
    </row>
    <row r="56" spans="2:2">
      <c r="B56" t="str">
        <v>1939-S</v>
      </c>
    </row>
    <row r="57" spans="2:2">
      <c r="B57" t="str">
        <v>1940-S</v>
      </c>
    </row>
    <row r="58" spans="2:2">
      <c r="B58" t="str">
        <v>1941</v>
      </c>
    </row>
    <row r="59" spans="2:2">
      <c r="B59" t="str">
        <v>1941-S</v>
      </c>
    </row>
    <row r="60" spans="2:2">
      <c r="B60" t="str">
        <v>1942-D</v>
      </c>
    </row>
    <row r="61" spans="2:2">
      <c r="B61" t="str">
        <v>1942-S</v>
      </c>
    </row>
    <row r="62" spans="2:2">
      <c r="B62" t="str">
        <v>1943-D</v>
      </c>
    </row>
    <row r="63" spans="2:2">
      <c r="B63" t="str">
        <v>1944-D</v>
      </c>
    </row>
    <row r="64" spans="2:2">
      <c r="B64" t="str">
        <v>1944-S</v>
      </c>
    </row>
    <row r="65" spans="2:2">
      <c r="B65" t="str">
        <v>1945-D</v>
      </c>
    </row>
    <row r="66" spans="2:2">
      <c r="B66" t="str">
        <v>1945-S</v>
      </c>
    </row>
    <row r="67" spans="2:2">
      <c r="B67" t="str">
        <v>1946-D</v>
      </c>
    </row>
    <row r="68" spans="2:2">
      <c r="B68" t="str">
        <v>1946-S</v>
      </c>
    </row>
    <row r="69" spans="2:2">
      <c r="B69" t="str">
        <v>1947-D</v>
      </c>
    </row>
    <row r="71" spans="2:2">
      <c r="B71" s="136">
        <f>COUNTA(_xlfn.ANCHORARRAY(B18))</f>
        <v>52</v>
      </c>
    </row>
  </sheetData>
  <phoneticPr fontId="19" type="noConversion"/>
  <pageMargins left="0.7" right="0.7" top="0.75" bottom="0.75" header="0.3" footer="0.3"/>
  <pageSetup scale="78"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A1523-01A8-4A35-9461-50B83D4DA4D2}">
  <sheetPr codeName="Sheet36"/>
  <dimension ref="A1:Y33"/>
  <sheetViews>
    <sheetView workbookViewId="0">
      <selection activeCell="Y33" sqref="Y33"/>
    </sheetView>
  </sheetViews>
  <sheetFormatPr defaultRowHeight="15"/>
  <cols>
    <col min="1" max="1" width="8" style="330" customWidth="1"/>
    <col min="2" max="2" width="14" style="339" bestFit="1" customWidth="1"/>
    <col min="3" max="3" width="7.85546875" style="330" bestFit="1" customWidth="1"/>
    <col min="4" max="4" width="10.140625" style="330" bestFit="1" customWidth="1"/>
    <col min="5" max="5" width="7.85546875" style="330" bestFit="1" customWidth="1"/>
    <col min="6" max="6" width="10.140625" style="330" bestFit="1" customWidth="1"/>
    <col min="7" max="7" width="7.85546875" style="330" bestFit="1" customWidth="1"/>
    <col min="8" max="8" width="10.28515625" style="330" bestFit="1" customWidth="1"/>
    <col min="9" max="9" width="7.85546875" style="330" bestFit="1" customWidth="1"/>
    <col min="10" max="10" width="10.140625" style="330" bestFit="1" customWidth="1"/>
    <col min="11" max="11" width="9.140625" style="330"/>
    <col min="12" max="12" width="26.5703125" hidden="1" customWidth="1"/>
    <col min="13" max="13" width="0" style="330" hidden="1" customWidth="1"/>
    <col min="14" max="14" width="28.28515625" style="330" hidden="1" customWidth="1"/>
    <col min="15" max="15" width="0" style="330" hidden="1" customWidth="1"/>
    <col min="16" max="16" width="28.28515625" style="330" hidden="1" customWidth="1"/>
    <col min="17" max="17" width="0" style="330" hidden="1" customWidth="1"/>
    <col min="18" max="18" width="28.28515625" style="330" hidden="1" customWidth="1"/>
    <col min="19" max="19" width="0" style="330" hidden="1" customWidth="1"/>
    <col min="20" max="20" width="22.28515625" style="330" hidden="1" customWidth="1"/>
    <col min="21" max="21" width="0" style="330" hidden="1" customWidth="1"/>
    <col min="22" max="22" width="3.7109375" style="330" customWidth="1"/>
    <col min="23" max="24" width="9.140625" style="330"/>
    <col min="25" max="25" width="22.5703125" style="330" customWidth="1"/>
    <col min="26" max="16384" width="9.140625" style="330"/>
  </cols>
  <sheetData>
    <row r="1" spans="1:25">
      <c r="A1" s="258" t="s">
        <v>2590</v>
      </c>
    </row>
    <row r="2" spans="1:25">
      <c r="A2" s="331" t="s">
        <v>4646</v>
      </c>
      <c r="B2" s="332" t="s">
        <v>4824</v>
      </c>
      <c r="C2" s="332" t="s">
        <v>4647</v>
      </c>
      <c r="D2" s="332" t="s">
        <v>4825</v>
      </c>
      <c r="E2" s="332" t="s">
        <v>4649</v>
      </c>
      <c r="F2" s="332" t="s">
        <v>4826</v>
      </c>
      <c r="G2" s="332" t="s">
        <v>4670</v>
      </c>
      <c r="H2" s="332" t="s">
        <v>4827</v>
      </c>
      <c r="I2" s="332" t="s">
        <v>4672</v>
      </c>
      <c r="J2" s="333" t="s">
        <v>4828</v>
      </c>
      <c r="Y2" s="360" t="s">
        <v>4840</v>
      </c>
    </row>
    <row r="3" spans="1:25">
      <c r="A3" s="336" t="b">
        <f>IF(M3&lt;&gt;"",TRUE,FALSE)</f>
        <v>0</v>
      </c>
      <c r="B3" s="362">
        <v>1948</v>
      </c>
      <c r="C3" s="336" t="b">
        <f>IF(O3&lt;&gt;"",TRUE,FALSE)</f>
        <v>1</v>
      </c>
      <c r="D3" s="337" t="s">
        <v>863</v>
      </c>
      <c r="E3" s="336" t="b">
        <f>IF(Q3&lt;&gt;"",TRUE,FALSE)</f>
        <v>1</v>
      </c>
      <c r="F3" s="362">
        <v>1954</v>
      </c>
      <c r="G3" s="336" t="b">
        <f>IF(S3&lt;&gt;"",TRUE,FALSE)</f>
        <v>0</v>
      </c>
      <c r="H3" s="337" t="s">
        <v>4841</v>
      </c>
      <c r="I3" s="336" t="b">
        <f>IF(U3&lt;&gt;"",TRUE,FALSE)</f>
        <v>1</v>
      </c>
      <c r="J3" s="373">
        <v>1961</v>
      </c>
      <c r="L3" t="str">
        <f>B3&amp;" "&amp;$A$1</f>
        <v>1948 Franklin Half</v>
      </c>
      <c r="M3" s="330" t="str">
        <f>IFERROR(MATCH(L3,CoinCollection!O:O,0),"")</f>
        <v/>
      </c>
      <c r="N3" s="330" t="str">
        <f>D3&amp;" "&amp;$A$1</f>
        <v>1951-S Franklin Half</v>
      </c>
      <c r="O3" s="330">
        <f>IFERROR(MATCH(N3,CoinCollection!O:O,0),"")</f>
        <v>2058</v>
      </c>
      <c r="P3" s="330" t="str">
        <f>F3&amp;" "&amp;$A$1</f>
        <v>1954 Franklin Half</v>
      </c>
      <c r="Q3" s="330">
        <f>IFERROR(MATCH(P3,CoinCollection!O:O,0),"")</f>
        <v>2061</v>
      </c>
      <c r="R3" s="330" t="str">
        <f>H3&amp;" "&amp;$A$1</f>
        <v>1957 Proof Franklin Half</v>
      </c>
      <c r="S3" s="330" t="str">
        <f>IFERROR(MATCH(R3,CoinCollection!O:O,0),"")</f>
        <v/>
      </c>
      <c r="T3" s="330" t="str">
        <f>J3&amp;" "&amp;$A$1</f>
        <v>1961 Franklin Half</v>
      </c>
      <c r="U3" s="330">
        <f>IFERROR(MATCH(T3,CoinCollection!O:O,0),"")</f>
        <v>2072</v>
      </c>
      <c r="W3" s="339" cm="1">
        <f t="array" ref="W3:W30">_xlfn.LET(_xlpm.stacked_data,_xlfn.VSTACK(A3:B12,C3:D12,E3:F12,G3:H12,I3:J11),
_xlfn._xlws.FILTER(_xlfn.CHOOSECOLS(_xlpm.stacked_data,2),_xlfn.CHOOSECOLS(_xlpm.stacked_data,1)=FALSE)
)</f>
        <v>1948</v>
      </c>
      <c r="Y3" s="339" cm="1">
        <f t="array" ref="Y3:Y30">_xlfn.LET(_xlpm.stacked_data,_xlfn.VSTACK(A3:B12,C3:D12,E3:F12,G3:H12,I3:J11),
_xlfn._xlws.FILTER(_xlfn.CHOOSECOLS(_xlpm.stacked_data,2),_xlfn.CHOOSECOLS(_xlpm.stacked_data,1)=FALSE)
)</f>
        <v>1948</v>
      </c>
    </row>
    <row r="4" spans="1:25">
      <c r="A4" s="336" t="b">
        <f t="shared" ref="A4:A12" si="0">IF(M4&lt;&gt;"",TRUE,FALSE)</f>
        <v>1</v>
      </c>
      <c r="B4" s="364" t="s">
        <v>857</v>
      </c>
      <c r="C4" s="336" t="b">
        <f t="shared" ref="C4:C12" si="1">IF(O4&lt;&gt;"",TRUE,FALSE)</f>
        <v>0</v>
      </c>
      <c r="D4" s="342" t="s">
        <v>4842</v>
      </c>
      <c r="E4" s="341" t="b">
        <v>0</v>
      </c>
      <c r="F4" s="342" t="s">
        <v>868</v>
      </c>
      <c r="G4" s="336" t="b">
        <f t="shared" ref="G4:G12" si="2">IF(S4&lt;&gt;"",TRUE,FALSE)</f>
        <v>0</v>
      </c>
      <c r="H4" s="342" t="s">
        <v>2488</v>
      </c>
      <c r="I4" s="336" t="b">
        <f t="shared" ref="I4:I11" si="3">IF(U4&lt;&gt;"",TRUE,FALSE)</f>
        <v>0</v>
      </c>
      <c r="J4" s="374" t="s">
        <v>876</v>
      </c>
      <c r="L4" t="str">
        <f t="shared" ref="L4:L12" si="4">B4&amp;" "&amp;$A$1</f>
        <v>1948-D Franklin Half</v>
      </c>
      <c r="M4" s="330">
        <f>IFERROR(MATCH(L4,CoinCollection!O:O,0),"")</f>
        <v>2051</v>
      </c>
      <c r="N4" s="330" t="str">
        <f t="shared" ref="N4:N12" si="5">D4&amp;" "&amp;$A$1</f>
        <v>1951 Proof Franklin Half</v>
      </c>
      <c r="O4" s="330" t="str">
        <f>IFERROR(MATCH(N4,CoinCollection!O:O,0),"")</f>
        <v/>
      </c>
      <c r="P4" s="330" t="str">
        <f t="shared" ref="P4:P12" si="6">F4&amp;" "&amp;$A$1</f>
        <v>1954-D Franklin Half</v>
      </c>
      <c r="Q4" s="330" t="str">
        <f>IFERROR(MATCH(P4,CoinCollection!O:O,0),"")</f>
        <v/>
      </c>
      <c r="R4" s="330" t="str">
        <f t="shared" ref="R4:R12" si="7">H4&amp;" "&amp;$A$1</f>
        <v>1958 Franklin Half</v>
      </c>
      <c r="S4" s="330" t="str">
        <f>IFERROR(MATCH(R4,CoinCollection!O:O,0),"")</f>
        <v/>
      </c>
      <c r="T4" s="330" t="str">
        <f t="shared" ref="T4:T11" si="8">J4&amp;" "&amp;$A$1</f>
        <v>1961-D Franklin Half</v>
      </c>
      <c r="U4" s="330" t="str">
        <f>IFERROR(MATCH(T4,CoinCollection!O:O,0),"")</f>
        <v/>
      </c>
      <c r="W4" s="330" t="str">
        <v>1949-D</v>
      </c>
      <c r="Y4" s="339" t="str">
        <v>1949-D</v>
      </c>
    </row>
    <row r="5" spans="1:25">
      <c r="A5" s="336" t="b">
        <f t="shared" si="0"/>
        <v>1</v>
      </c>
      <c r="B5" s="362">
        <v>1949</v>
      </c>
      <c r="C5" s="336" t="b">
        <f t="shared" si="1"/>
        <v>1</v>
      </c>
      <c r="D5" s="337" t="s">
        <v>2482</v>
      </c>
      <c r="E5" s="336" t="b">
        <v>0</v>
      </c>
      <c r="F5" s="337" t="s">
        <v>869</v>
      </c>
      <c r="G5" s="336" t="b">
        <f t="shared" si="2"/>
        <v>1</v>
      </c>
      <c r="H5" s="337" t="s">
        <v>873</v>
      </c>
      <c r="I5" s="336" t="b">
        <f t="shared" si="3"/>
        <v>0</v>
      </c>
      <c r="J5" s="373" t="s">
        <v>4843</v>
      </c>
      <c r="L5" t="str">
        <f t="shared" si="4"/>
        <v>1949 Franklin Half</v>
      </c>
      <c r="M5" s="330">
        <f>IFERROR(MATCH(L5,CoinCollection!O:O,0),"")</f>
        <v>2052</v>
      </c>
      <c r="N5" s="330" t="str">
        <f t="shared" si="5"/>
        <v>1952 Franklin Half</v>
      </c>
      <c r="O5" s="330">
        <f>IFERROR(MATCH(N5,CoinCollection!O:O,0),"")</f>
        <v>2059</v>
      </c>
      <c r="P5" s="330" t="str">
        <f t="shared" si="6"/>
        <v>1954-S Franklin Half</v>
      </c>
      <c r="Q5" s="330" t="str">
        <f>IFERROR(MATCH(P5,CoinCollection!O:O,0),"")</f>
        <v/>
      </c>
      <c r="R5" s="330" t="str">
        <f t="shared" si="7"/>
        <v>1958-D Franklin Half</v>
      </c>
      <c r="S5" s="330">
        <f>IFERROR(MATCH(R5,CoinCollection!O:O,0),"")</f>
        <v>2067</v>
      </c>
      <c r="T5" s="330" t="str">
        <f t="shared" si="8"/>
        <v>1961 Proof Franklin Half</v>
      </c>
      <c r="U5" s="330" t="str">
        <f>IFERROR(MATCH(T5,CoinCollection!O:O,0),"")</f>
        <v/>
      </c>
      <c r="W5" s="330" t="str">
        <v>1949-S</v>
      </c>
      <c r="Y5" s="339" t="str">
        <v>1949-S</v>
      </c>
    </row>
    <row r="6" spans="1:25">
      <c r="A6" s="336" t="b">
        <f t="shared" si="0"/>
        <v>0</v>
      </c>
      <c r="B6" s="364" t="s">
        <v>859</v>
      </c>
      <c r="C6" s="336" t="b">
        <f t="shared" si="1"/>
        <v>0</v>
      </c>
      <c r="D6" s="342" t="s">
        <v>864</v>
      </c>
      <c r="E6" s="341" t="b">
        <v>0</v>
      </c>
      <c r="F6" s="342" t="s">
        <v>4844</v>
      </c>
      <c r="G6" s="336" t="b">
        <f t="shared" si="2"/>
        <v>0</v>
      </c>
      <c r="H6" s="342" t="s">
        <v>4845</v>
      </c>
      <c r="I6" s="336" t="b">
        <f t="shared" si="3"/>
        <v>1</v>
      </c>
      <c r="J6" s="374">
        <v>1962</v>
      </c>
      <c r="L6" t="str">
        <f t="shared" si="4"/>
        <v>1949-D Franklin Half</v>
      </c>
      <c r="M6" s="330" t="str">
        <f>IFERROR(MATCH(L6,CoinCollection!O:O,0),"")</f>
        <v/>
      </c>
      <c r="N6" s="330" t="str">
        <f t="shared" si="5"/>
        <v>1952-D Franklin Half</v>
      </c>
      <c r="O6" s="330" t="str">
        <f>IFERROR(MATCH(N6,CoinCollection!O:O,0),"")</f>
        <v/>
      </c>
      <c r="P6" s="330" t="str">
        <f t="shared" si="6"/>
        <v>1954 Proof Franklin Half</v>
      </c>
      <c r="Q6" s="330" t="str">
        <f>IFERROR(MATCH(P6,CoinCollection!O:O,0),"")</f>
        <v/>
      </c>
      <c r="R6" s="330" t="str">
        <f t="shared" si="7"/>
        <v>1958 Proof Franklin Half</v>
      </c>
      <c r="S6" s="330" t="str">
        <f>IFERROR(MATCH(R6,CoinCollection!O:O,0),"")</f>
        <v/>
      </c>
      <c r="T6" s="330" t="str">
        <f t="shared" si="8"/>
        <v>1962 Franklin Half</v>
      </c>
      <c r="U6" s="330">
        <f>IFERROR(MATCH(T6,CoinCollection!O:O,0),"")</f>
        <v>2073</v>
      </c>
      <c r="W6" s="330" t="str">
        <v>1950 Proof</v>
      </c>
      <c r="Y6" s="339" t="str">
        <v>1950 Proof</v>
      </c>
    </row>
    <row r="7" spans="1:25">
      <c r="A7" s="336" t="b">
        <f t="shared" si="0"/>
        <v>0</v>
      </c>
      <c r="B7" s="362" t="s">
        <v>860</v>
      </c>
      <c r="C7" s="336" t="b">
        <f t="shared" si="1"/>
        <v>0</v>
      </c>
      <c r="D7" s="337" t="s">
        <v>865</v>
      </c>
      <c r="E7" s="336" t="b">
        <v>1</v>
      </c>
      <c r="F7" s="337" t="s">
        <v>2485</v>
      </c>
      <c r="G7" s="336" t="b">
        <f t="shared" si="2"/>
        <v>1</v>
      </c>
      <c r="H7" s="337" t="s">
        <v>2489</v>
      </c>
      <c r="I7" s="336" t="b">
        <f t="shared" si="3"/>
        <v>0</v>
      </c>
      <c r="J7" s="373" t="s">
        <v>877</v>
      </c>
      <c r="L7" t="str">
        <f t="shared" si="4"/>
        <v>1949-S Franklin Half</v>
      </c>
      <c r="M7" s="330" t="str">
        <f>IFERROR(MATCH(L7,CoinCollection!O:O,0),"")</f>
        <v/>
      </c>
      <c r="N7" s="330" t="str">
        <f t="shared" si="5"/>
        <v>1952-S Franklin Half</v>
      </c>
      <c r="O7" s="330" t="str">
        <f>IFERROR(MATCH(N7,CoinCollection!O:O,0),"")</f>
        <v/>
      </c>
      <c r="P7" s="330" t="str">
        <f t="shared" si="6"/>
        <v>1955 Franklin Half</v>
      </c>
      <c r="Q7" s="330">
        <f>IFERROR(MATCH(P7,CoinCollection!O:O,0),"")</f>
        <v>2062</v>
      </c>
      <c r="R7" s="330" t="str">
        <f t="shared" si="7"/>
        <v>1959 Franklin Half</v>
      </c>
      <c r="S7" s="330">
        <f>IFERROR(MATCH(R7,CoinCollection!O:O,0),"")</f>
        <v>2068</v>
      </c>
      <c r="T7" s="330" t="str">
        <f t="shared" si="8"/>
        <v>1962-D Franklin Half</v>
      </c>
      <c r="U7" s="330" t="str">
        <f>IFERROR(MATCH(T7,CoinCollection!O:O,0),"")</f>
        <v/>
      </c>
      <c r="W7" s="330" t="str">
        <v>1951 Proof</v>
      </c>
      <c r="Y7" s="339" t="str">
        <v>1951 Proof</v>
      </c>
    </row>
    <row r="8" spans="1:25">
      <c r="A8" s="336" t="b">
        <f t="shared" si="0"/>
        <v>1</v>
      </c>
      <c r="B8" s="364">
        <v>1950</v>
      </c>
      <c r="C8" s="336" t="b">
        <f t="shared" si="1"/>
        <v>0</v>
      </c>
      <c r="D8" s="342" t="s">
        <v>4846</v>
      </c>
      <c r="E8" s="341" t="b">
        <v>0</v>
      </c>
      <c r="F8" s="342" t="s">
        <v>4847</v>
      </c>
      <c r="G8" s="336" t="b">
        <f t="shared" si="2"/>
        <v>0</v>
      </c>
      <c r="H8" s="342" t="s">
        <v>874</v>
      </c>
      <c r="I8" s="336" t="b">
        <f t="shared" si="3"/>
        <v>0</v>
      </c>
      <c r="J8" s="374" t="s">
        <v>4848</v>
      </c>
      <c r="L8" t="str">
        <f t="shared" si="4"/>
        <v>1950 Franklin Half</v>
      </c>
      <c r="M8" s="330">
        <f>IFERROR(MATCH(L8,CoinCollection!O:O,0),"")</f>
        <v>2054</v>
      </c>
      <c r="N8" s="330" t="str">
        <f t="shared" si="5"/>
        <v>1952 Proof Franklin Half</v>
      </c>
      <c r="O8" s="330" t="str">
        <f>IFERROR(MATCH(N8,CoinCollection!O:O,0),"")</f>
        <v/>
      </c>
      <c r="P8" s="330" t="str">
        <f t="shared" si="6"/>
        <v>1955 Proof Franklin Half</v>
      </c>
      <c r="Q8" s="330" t="str">
        <f>IFERROR(MATCH(P8,CoinCollection!O:O,0),"")</f>
        <v/>
      </c>
      <c r="R8" s="330" t="str">
        <f t="shared" si="7"/>
        <v>1959-D Franklin Half</v>
      </c>
      <c r="S8" s="330" t="str">
        <f>IFERROR(MATCH(R8,CoinCollection!O:O,0),"")</f>
        <v/>
      </c>
      <c r="T8" s="330" t="str">
        <f t="shared" si="8"/>
        <v>1962 Proof Franklin Half</v>
      </c>
      <c r="U8" s="330" t="str">
        <f>IFERROR(MATCH(T8,CoinCollection!O:O,0),"")</f>
        <v/>
      </c>
      <c r="W8" s="330" t="str">
        <v>1952-D</v>
      </c>
      <c r="Y8" s="339" t="str">
        <v>1952-D</v>
      </c>
    </row>
    <row r="9" spans="1:25">
      <c r="A9" s="336" t="b">
        <f t="shared" si="0"/>
        <v>1</v>
      </c>
      <c r="B9" s="362" t="s">
        <v>861</v>
      </c>
      <c r="C9" s="336" t="b">
        <f t="shared" si="1"/>
        <v>0</v>
      </c>
      <c r="D9" s="337" t="s">
        <v>2483</v>
      </c>
      <c r="E9" s="336" t="b">
        <v>1</v>
      </c>
      <c r="F9" s="337" t="s">
        <v>2486</v>
      </c>
      <c r="G9" s="336" t="b">
        <f t="shared" si="2"/>
        <v>0</v>
      </c>
      <c r="H9" s="337" t="s">
        <v>4849</v>
      </c>
      <c r="I9" s="336" t="b">
        <f t="shared" si="3"/>
        <v>1</v>
      </c>
      <c r="J9" s="373">
        <v>1963</v>
      </c>
      <c r="L9" t="str">
        <f t="shared" si="4"/>
        <v>1950-D Franklin Half</v>
      </c>
      <c r="M9" s="330">
        <f>IFERROR(MATCH(L9,CoinCollection!O:O,0),"")</f>
        <v>2055</v>
      </c>
      <c r="N9" s="330" t="str">
        <f t="shared" si="5"/>
        <v>1953 Franklin Half</v>
      </c>
      <c r="O9" s="330" t="str">
        <f>IFERROR(MATCH(N9,CoinCollection!O:O,0),"")</f>
        <v/>
      </c>
      <c r="P9" s="330" t="str">
        <f t="shared" si="6"/>
        <v>1956 Franklin Half</v>
      </c>
      <c r="Q9" s="330">
        <f>IFERROR(MATCH(P9,CoinCollection!O:O,0),"")</f>
        <v>2063</v>
      </c>
      <c r="R9" s="330" t="str">
        <f t="shared" si="7"/>
        <v>1959 Proof Franklin Half</v>
      </c>
      <c r="S9" s="330" t="str">
        <f>IFERROR(MATCH(R9,CoinCollection!O:O,0),"")</f>
        <v/>
      </c>
      <c r="T9" s="330" t="str">
        <f t="shared" si="8"/>
        <v>1963 Franklin Half</v>
      </c>
      <c r="U9" s="330">
        <f>IFERROR(MATCH(T9,CoinCollection!O:O,0),"")</f>
        <v>2076</v>
      </c>
      <c r="W9" s="330" t="str">
        <v>1952-S</v>
      </c>
      <c r="Y9" s="339" t="str">
        <v>1952-S</v>
      </c>
    </row>
    <row r="10" spans="1:25">
      <c r="A10" s="336" t="b">
        <f t="shared" si="0"/>
        <v>0</v>
      </c>
      <c r="B10" s="364" t="s">
        <v>4850</v>
      </c>
      <c r="C10" s="336" t="b">
        <f t="shared" si="1"/>
        <v>1</v>
      </c>
      <c r="D10" s="342" t="s">
        <v>866</v>
      </c>
      <c r="E10" s="341" t="b">
        <v>0</v>
      </c>
      <c r="F10" s="342" t="s">
        <v>4851</v>
      </c>
      <c r="G10" s="336" t="b">
        <f t="shared" si="2"/>
        <v>1</v>
      </c>
      <c r="H10" s="342" t="s">
        <v>2490</v>
      </c>
      <c r="I10" s="336" t="b">
        <f t="shared" si="3"/>
        <v>1</v>
      </c>
      <c r="J10" s="374" t="s">
        <v>878</v>
      </c>
      <c r="L10" t="str">
        <f t="shared" si="4"/>
        <v>1950 Proof Franklin Half</v>
      </c>
      <c r="M10" s="330" t="str">
        <f>IFERROR(MATCH(L10,CoinCollection!O:O,0),"")</f>
        <v/>
      </c>
      <c r="N10" s="330" t="str">
        <f t="shared" si="5"/>
        <v>1953-D Franklin Half</v>
      </c>
      <c r="O10" s="330">
        <f>IFERROR(MATCH(N10,CoinCollection!O:O,0),"")</f>
        <v>2060</v>
      </c>
      <c r="P10" s="330" t="str">
        <f t="shared" si="6"/>
        <v>1956 Proof Franklin Half</v>
      </c>
      <c r="Q10" s="330" t="str">
        <f>IFERROR(MATCH(P10,CoinCollection!O:O,0),"")</f>
        <v/>
      </c>
      <c r="R10" s="330" t="str">
        <f t="shared" si="7"/>
        <v>1960 Franklin Half</v>
      </c>
      <c r="S10" s="330">
        <f>IFERROR(MATCH(R10,CoinCollection!O:O,0),"")</f>
        <v>2070</v>
      </c>
      <c r="T10" s="330" t="str">
        <f t="shared" si="8"/>
        <v>1963-D Franklin Half</v>
      </c>
      <c r="U10" s="330">
        <f>IFERROR(MATCH(T10,CoinCollection!O:O,0),"")</f>
        <v>2077</v>
      </c>
      <c r="W10" s="330" t="str">
        <v>1952 Proof</v>
      </c>
      <c r="Y10" s="339" t="str">
        <v>1952 Proof</v>
      </c>
    </row>
    <row r="11" spans="1:25">
      <c r="A11" s="336" t="b">
        <f t="shared" si="0"/>
        <v>1</v>
      </c>
      <c r="B11" s="362">
        <v>1951</v>
      </c>
      <c r="C11" s="336" t="b">
        <f t="shared" si="1"/>
        <v>0</v>
      </c>
      <c r="D11" s="337" t="s">
        <v>867</v>
      </c>
      <c r="E11" s="336" t="b">
        <v>1</v>
      </c>
      <c r="F11" s="337" t="s">
        <v>2487</v>
      </c>
      <c r="G11" s="336" t="b">
        <f t="shared" si="2"/>
        <v>0</v>
      </c>
      <c r="H11" s="337" t="s">
        <v>875</v>
      </c>
      <c r="I11" s="336" t="b">
        <f t="shared" si="3"/>
        <v>0</v>
      </c>
      <c r="J11" s="373" t="s">
        <v>4852</v>
      </c>
      <c r="L11" t="str">
        <f t="shared" si="4"/>
        <v>1951 Franklin Half</v>
      </c>
      <c r="M11" s="330">
        <f>IFERROR(MATCH(L11,CoinCollection!O:O,0),"")</f>
        <v>2056</v>
      </c>
      <c r="N11" s="330" t="str">
        <f t="shared" si="5"/>
        <v>1953-S Franklin Half</v>
      </c>
      <c r="O11" s="330" t="str">
        <f>IFERROR(MATCH(N11,CoinCollection!O:O,0),"")</f>
        <v/>
      </c>
      <c r="P11" s="330" t="str">
        <f t="shared" si="6"/>
        <v>1957 Franklin Half</v>
      </c>
      <c r="Q11" s="330">
        <f>IFERROR(MATCH(P11,CoinCollection!O:O,0),"")</f>
        <v>2066</v>
      </c>
      <c r="R11" s="330" t="str">
        <f t="shared" si="7"/>
        <v>1960-D Franklin Half</v>
      </c>
      <c r="S11" s="330" t="str">
        <f>IFERROR(MATCH(R11,CoinCollection!O:O,0),"")</f>
        <v/>
      </c>
      <c r="T11" s="330" t="str">
        <f t="shared" si="8"/>
        <v>1963 Proof Franklin Half</v>
      </c>
      <c r="U11" s="330" t="str">
        <f>IFERROR(MATCH(T11,CoinCollection!O:O,0),"")</f>
        <v/>
      </c>
      <c r="W11" s="330" t="str">
        <v>1953</v>
      </c>
      <c r="Y11" s="339" t="str">
        <v>1953</v>
      </c>
    </row>
    <row r="12" spans="1:25">
      <c r="A12" s="336" t="b">
        <f t="shared" si="0"/>
        <v>1</v>
      </c>
      <c r="B12" s="376" t="s">
        <v>862</v>
      </c>
      <c r="C12" s="336" t="b">
        <f t="shared" si="1"/>
        <v>0</v>
      </c>
      <c r="D12" s="359" t="s">
        <v>4853</v>
      </c>
      <c r="E12" s="375" t="b">
        <v>1</v>
      </c>
      <c r="F12" s="359" t="s">
        <v>872</v>
      </c>
      <c r="G12" s="336" t="b">
        <f t="shared" si="2"/>
        <v>0</v>
      </c>
      <c r="H12" s="359" t="s">
        <v>4854</v>
      </c>
      <c r="I12" s="359" t="s">
        <v>53</v>
      </c>
      <c r="J12" s="377"/>
      <c r="L12" t="str">
        <f t="shared" si="4"/>
        <v>1951-D Franklin Half</v>
      </c>
      <c r="M12" s="330">
        <f>IFERROR(MATCH(L12,CoinCollection!O:O,0),"")</f>
        <v>2057</v>
      </c>
      <c r="N12" s="330" t="str">
        <f t="shared" si="5"/>
        <v>1953 Proof Franklin Half</v>
      </c>
      <c r="O12" s="330" t="str">
        <f>IFERROR(MATCH(N12,CoinCollection!O:O,0),"")</f>
        <v/>
      </c>
      <c r="P12" s="330" t="str">
        <f t="shared" si="6"/>
        <v>1957-D Franklin Half</v>
      </c>
      <c r="Q12" s="330">
        <f>IFERROR(MATCH(P12,CoinCollection!O:O,0),"")</f>
        <v>2065</v>
      </c>
      <c r="R12" s="330" t="str">
        <f t="shared" si="7"/>
        <v>1960 Proof Franklin Half</v>
      </c>
      <c r="S12" s="330" t="str">
        <f>IFERROR(MATCH(R12,CoinCollection!O:O,0),"")</f>
        <v/>
      </c>
      <c r="W12" s="330" t="str">
        <v>1953-S</v>
      </c>
      <c r="Y12" s="339" t="str">
        <v>1953-S</v>
      </c>
    </row>
    <row r="13" spans="1:25">
      <c r="W13" s="330" t="str">
        <v>1953 Proof</v>
      </c>
      <c r="Y13" s="339" t="str">
        <v>1953 Proof</v>
      </c>
    </row>
    <row r="14" spans="1:25">
      <c r="A14" s="378"/>
      <c r="B14" s="348" t="s">
        <v>4668</v>
      </c>
      <c r="C14" s="330">
        <f>COUNTIF(A3:J12,"=False")</f>
        <v>28</v>
      </c>
      <c r="E14" s="378"/>
      <c r="G14" s="378"/>
      <c r="I14" s="378"/>
      <c r="J14" s="378"/>
      <c r="W14" s="330" t="str">
        <v>1954-D</v>
      </c>
      <c r="Y14" s="339" t="str">
        <v>1954-D</v>
      </c>
    </row>
    <row r="15" spans="1:25">
      <c r="A15" s="378"/>
      <c r="B15" s="348" t="s">
        <v>4669</v>
      </c>
      <c r="C15" s="330">
        <f>COUNTIF(A3:J12,"=true")</f>
        <v>21</v>
      </c>
      <c r="E15" s="378"/>
      <c r="G15" s="378"/>
      <c r="I15" s="378"/>
      <c r="J15" s="378"/>
      <c r="W15" s="330" t="str">
        <v>1954-S</v>
      </c>
      <c r="Y15" s="339" t="str">
        <v>1954-S</v>
      </c>
    </row>
    <row r="16" spans="1:25">
      <c r="A16" s="378"/>
      <c r="C16" s="379"/>
      <c r="W16" s="330" t="str">
        <v>1954 Proof</v>
      </c>
      <c r="Y16" s="339" t="str">
        <v>1954 Proof</v>
      </c>
    </row>
    <row r="17" spans="1:25">
      <c r="A17" s="378"/>
      <c r="B17" s="378"/>
      <c r="C17" s="378"/>
      <c r="W17" s="330" t="str">
        <v>1955 Proof</v>
      </c>
      <c r="Y17" s="339" t="str">
        <v>1955 Proof</v>
      </c>
    </row>
    <row r="18" spans="1:25">
      <c r="A18" s="378"/>
      <c r="B18" s="378"/>
      <c r="C18" s="378"/>
      <c r="W18" s="330" t="str">
        <v>1956 Proof</v>
      </c>
      <c r="Y18" s="339" t="str">
        <v>1956 Proof</v>
      </c>
    </row>
    <row r="19" spans="1:25">
      <c r="W19" s="330" t="str">
        <v>1957 Proof</v>
      </c>
      <c r="Y19" s="339" t="str">
        <v>1957 Proof</v>
      </c>
    </row>
    <row r="20" spans="1:25">
      <c r="W20" s="330" t="str">
        <v>1958</v>
      </c>
      <c r="Y20" s="339" t="str">
        <v>1958</v>
      </c>
    </row>
    <row r="21" spans="1:25">
      <c r="W21" s="330" t="str">
        <v>1958 Proof</v>
      </c>
      <c r="Y21" s="339" t="str">
        <v>1958 Proof</v>
      </c>
    </row>
    <row r="22" spans="1:25">
      <c r="W22" s="330" t="str">
        <v>1959-D</v>
      </c>
      <c r="Y22" s="339" t="str">
        <v>1959-D</v>
      </c>
    </row>
    <row r="23" spans="1:25">
      <c r="W23" s="330" t="str">
        <v>1959 Proof</v>
      </c>
      <c r="Y23" s="339" t="str">
        <v>1959 Proof</v>
      </c>
    </row>
    <row r="24" spans="1:25">
      <c r="W24" s="330" t="str">
        <v>1960-D</v>
      </c>
      <c r="Y24" s="339" t="str">
        <v>1960-D</v>
      </c>
    </row>
    <row r="25" spans="1:25">
      <c r="W25" s="330" t="str">
        <v>1960 Proof</v>
      </c>
      <c r="Y25" s="339" t="str">
        <v>1960 Proof</v>
      </c>
    </row>
    <row r="26" spans="1:25">
      <c r="W26" s="330" t="str">
        <v>1961-D</v>
      </c>
      <c r="Y26" s="339" t="str">
        <v>1961-D</v>
      </c>
    </row>
    <row r="27" spans="1:25">
      <c r="W27" s="330" t="str">
        <v>1961 Proof</v>
      </c>
      <c r="Y27" s="339" t="str">
        <v>1961 Proof</v>
      </c>
    </row>
    <row r="28" spans="1:25">
      <c r="W28" s="330" t="str">
        <v>1962-D</v>
      </c>
      <c r="Y28" s="339" t="str">
        <v>1962-D</v>
      </c>
    </row>
    <row r="29" spans="1:25">
      <c r="W29" s="330" t="str">
        <v>1962 Proof</v>
      </c>
      <c r="Y29" s="339" t="str">
        <v>1962 Proof</v>
      </c>
    </row>
    <row r="30" spans="1:25">
      <c r="W30" s="330" t="str">
        <v>1963 Proof</v>
      </c>
      <c r="Y30" s="339" t="str">
        <v>1963 Proof</v>
      </c>
    </row>
    <row r="33" spans="25:25">
      <c r="Y33" s="378">
        <f>COUNTA(_xlfn.ANCHORARRAY(Y3))</f>
        <v>28</v>
      </c>
    </row>
  </sheetData>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DCDD-0379-4261-968E-115ACA94788F}">
  <sheetPr codeName="Sheet37"/>
  <dimension ref="A1:AH191"/>
  <sheetViews>
    <sheetView topLeftCell="B1" workbookViewId="0">
      <selection activeCell="AH3" sqref="AH3"/>
    </sheetView>
  </sheetViews>
  <sheetFormatPr defaultRowHeight="15"/>
  <cols>
    <col min="1" max="1" width="9.140625" style="330"/>
    <col min="2" max="2" width="22.28515625" style="330" bestFit="1" customWidth="1"/>
    <col min="3" max="3" width="9.140625" style="330"/>
    <col min="4" max="4" width="21.85546875" style="330" bestFit="1" customWidth="1"/>
    <col min="5" max="5" width="9.140625" style="330"/>
    <col min="6" max="6" width="17.7109375" style="330" bestFit="1" customWidth="1"/>
    <col min="7" max="7" width="9.140625" style="330"/>
    <col min="8" max="8" width="17.7109375" style="330" bestFit="1" customWidth="1"/>
    <col min="9" max="9" width="7.7109375" style="330" customWidth="1"/>
    <col min="10" max="10" width="17.7109375" style="330" bestFit="1" customWidth="1"/>
    <col min="11" max="11" width="8.28515625" style="330" customWidth="1"/>
    <col min="12" max="12" width="17.7109375" style="330" bestFit="1" customWidth="1"/>
    <col min="13" max="13" width="5.5703125" style="330" bestFit="1" customWidth="1"/>
    <col min="14" max="14" width="17.7109375" style="330" bestFit="1" customWidth="1"/>
    <col min="15" max="15" width="9.140625" style="330"/>
    <col min="16" max="16" width="28.85546875" hidden="1" customWidth="1"/>
    <col min="17" max="17" width="9.140625" style="330" hidden="1" customWidth="1"/>
    <col min="18" max="18" width="31.85546875" style="330" hidden="1" customWidth="1"/>
    <col min="19" max="19" width="9.140625" style="330" hidden="1" customWidth="1"/>
    <col min="20" max="20" width="28.7109375" hidden="1" customWidth="1"/>
    <col min="21" max="21" width="9.140625" style="330" hidden="1" customWidth="1"/>
    <col min="22" max="22" width="29.85546875" style="330" hidden="1" customWidth="1"/>
    <col min="23" max="23" width="9.140625" style="330" hidden="1" customWidth="1"/>
    <col min="24" max="24" width="29.85546875" style="330" hidden="1" customWidth="1"/>
    <col min="25" max="25" width="9.140625" style="330" hidden="1" customWidth="1"/>
    <col min="26" max="26" width="29.85546875" style="330" hidden="1" customWidth="1"/>
    <col min="27" max="27" width="9.140625" style="330" hidden="1" customWidth="1"/>
    <col min="28" max="28" width="29.85546875" style="330" hidden="1" customWidth="1"/>
    <col min="29" max="29" width="5" style="330" hidden="1" customWidth="1"/>
    <col min="30" max="30" width="3.42578125" style="330" customWidth="1"/>
    <col min="31" max="31" width="23.42578125" style="330" bestFit="1" customWidth="1"/>
    <col min="32" max="33" width="9.140625" style="330"/>
    <col min="34" max="34" width="34.140625" style="330" bestFit="1" customWidth="1"/>
    <col min="35" max="16384" width="9.140625" style="330"/>
  </cols>
  <sheetData>
    <row r="1" spans="1:34">
      <c r="A1" s="258" t="s">
        <v>2041</v>
      </c>
    </row>
    <row r="2" spans="1:34">
      <c r="A2" s="330" t="s">
        <v>4646</v>
      </c>
      <c r="B2" s="331" t="s">
        <v>4823</v>
      </c>
      <c r="C2" s="332" t="s">
        <v>4647</v>
      </c>
      <c r="D2" s="332" t="s">
        <v>4824</v>
      </c>
      <c r="E2" s="332" t="s">
        <v>4649</v>
      </c>
      <c r="F2" s="332" t="s">
        <v>4825</v>
      </c>
      <c r="G2" s="332" t="s">
        <v>4670</v>
      </c>
      <c r="H2" s="332" t="s">
        <v>4826</v>
      </c>
      <c r="I2" s="332" t="s">
        <v>4672</v>
      </c>
      <c r="J2" s="332" t="s">
        <v>4827</v>
      </c>
      <c r="K2" s="332" t="s">
        <v>4674</v>
      </c>
      <c r="L2" s="332" t="s">
        <v>4828</v>
      </c>
      <c r="M2" s="332" t="s">
        <v>4676</v>
      </c>
      <c r="N2" s="333" t="s">
        <v>4829</v>
      </c>
      <c r="AE2" s="360" t="s">
        <v>4830</v>
      </c>
    </row>
    <row r="3" spans="1:34">
      <c r="A3" s="330" t="s">
        <v>53</v>
      </c>
      <c r="B3" s="369" t="s">
        <v>4831</v>
      </c>
      <c r="C3" s="337" t="s">
        <v>53</v>
      </c>
      <c r="D3" s="353" t="s">
        <v>4832</v>
      </c>
      <c r="E3" s="341" t="b">
        <f>IF(U4&lt;&gt;"",TRUE,FALSE)</f>
        <v>0</v>
      </c>
      <c r="F3" s="337" t="s">
        <v>912</v>
      </c>
      <c r="G3" s="336" t="b">
        <f>IF(W4&lt;&gt;"",TRUE,FALSE)</f>
        <v>0</v>
      </c>
      <c r="H3" s="337" t="s">
        <v>2540</v>
      </c>
      <c r="I3" s="336" t="b">
        <f>IF(Y4&lt;&gt;"",TRUE,FALSE)</f>
        <v>0</v>
      </c>
      <c r="J3" s="337" t="s">
        <v>5118</v>
      </c>
      <c r="K3" s="336" t="b">
        <f>IF(AA4&lt;&gt;"",TRUE,FALSE)</f>
        <v>0</v>
      </c>
      <c r="L3" s="337" t="s">
        <v>967</v>
      </c>
      <c r="M3" s="336" t="b">
        <f>IF(AC4&lt;&gt;"",TRUE,FALSE)</f>
        <v>0</v>
      </c>
      <c r="N3" s="345" t="s">
        <v>2566</v>
      </c>
      <c r="AE3" s="330" t="str" cm="1">
        <f t="array" ref="AE3:AE188">_xlfn.LET(_xlpm.stacked_data,_xlfn.VSTACK(A3:B38,C3:D38,E3:F35,G3:H35,I3:J35,K3:L35,M3:N17),
_xlfn._xlws.FILTER(_xlfn.CHOOSECOLS(_xlpm.stacked_data,2),_xlfn.CHOOSECOLS(_xlpm.stacked_data,1)=FALSE)
)</f>
        <v>1964-D</v>
      </c>
      <c r="AH3" s="330" t="str" cm="1">
        <f t="array" ref="AH3:AH188">_xlfn.LET(_xlpm.stacked_data,_xlfn.VSTACK(A3:B38,C3:D38,E3:F35,G3:H35,I3:J35,K3:L35,M3:N17),
_xlfn._xlws.FILTER(_xlfn.CHOOSECOLS(_xlpm.stacked_data,2),_xlfn.CHOOSECOLS(_xlpm.stacked_data,1)=FALSE)
)</f>
        <v>1964-D</v>
      </c>
    </row>
    <row r="4" spans="1:34">
      <c r="A4" s="334" t="b">
        <f>IF(Q4&lt;&gt;"",TRUE,FALSE)</f>
        <v>1</v>
      </c>
      <c r="B4" s="394" t="s">
        <v>2494</v>
      </c>
      <c r="C4" s="341" t="b">
        <f>IF(Q4&lt;&gt;"",TRUE,FALSE)</f>
        <v>1</v>
      </c>
      <c r="D4" s="423" t="s">
        <v>4833</v>
      </c>
      <c r="E4" s="341" t="b">
        <f t="shared" ref="E4:E35" si="0">IF(U5&lt;&gt;"",TRUE,FALSE)</f>
        <v>0</v>
      </c>
      <c r="F4" s="342" t="s">
        <v>2525</v>
      </c>
      <c r="G4" s="336" t="b">
        <f t="shared" ref="G4:G35" si="1">IF(W5&lt;&gt;"",TRUE,FALSE)</f>
        <v>0</v>
      </c>
      <c r="H4" s="342" t="s">
        <v>5110</v>
      </c>
      <c r="I4" s="336" t="b">
        <f t="shared" ref="I4:I35" si="2">IF(Y5&lt;&gt;"",TRUE,FALSE)</f>
        <v>0</v>
      </c>
      <c r="J4" s="342" t="s">
        <v>951</v>
      </c>
      <c r="K4" s="336" t="b">
        <f t="shared" ref="K4:K35" si="3">IF(AA5&lt;&gt;"",TRUE,FALSE)</f>
        <v>0</v>
      </c>
      <c r="L4" s="342" t="s">
        <v>968</v>
      </c>
      <c r="M4" s="336" t="b">
        <f t="shared" ref="M4:M17" si="4">IF(AC5&lt;&gt;"",TRUE,FALSE)</f>
        <v>0</v>
      </c>
      <c r="N4" s="344" t="s">
        <v>4947</v>
      </c>
      <c r="P4" t="str">
        <f>B4&amp;" "&amp;$A$1</f>
        <v>1964 Kennedy Half Dollar</v>
      </c>
      <c r="Q4" s="330">
        <f>IFERROR(MATCH(P4,CoinCollection!O:O,0),"")</f>
        <v>2079</v>
      </c>
      <c r="R4" s="330" t="str">
        <f t="shared" ref="R4:R38" si="5">D4&amp;" "&amp;$A$1</f>
        <v> 1977 Kennedy Half Dollar</v>
      </c>
      <c r="S4" s="330" t="str">
        <f>IFERROR(MATCH(R4,CoinCollection!O:O,0),"")</f>
        <v/>
      </c>
      <c r="T4" t="str">
        <f t="shared" ref="T4:T36" si="6">F3&amp;" "&amp;$A$1</f>
        <v>1988-D Kennedy Half Dollar</v>
      </c>
      <c r="U4" s="330" t="str">
        <f>IFERROR(MATCH(T4,CoinCollection!O:O,0),"")</f>
        <v/>
      </c>
      <c r="V4" s="330" t="str">
        <f t="shared" ref="V4:V36" si="7">H3&amp;" "&amp;$A$1</f>
        <v>1997-S Proof Kennedy Half Dollar</v>
      </c>
      <c r="W4" s="330" t="str">
        <f>IFERROR(MATCH(V4,CoinCollection!O:O,0),"")</f>
        <v/>
      </c>
      <c r="X4" s="330" t="str">
        <f t="shared" ref="X4:X36" si="8">J3&amp;" "&amp;$A$1</f>
        <v>2005-S Silver Proof Kennedy Half Dollar</v>
      </c>
      <c r="Y4" s="330" t="str">
        <f>IFERROR(MATCH(X4,CoinCollection!O:O,0),"")</f>
        <v/>
      </c>
      <c r="Z4" s="330" t="str">
        <f t="shared" ref="Z4:Z36" si="9">L3&amp;" "&amp;$A$1</f>
        <v>2014-P Kennedy Half Dollar</v>
      </c>
      <c r="AA4" s="330" t="str">
        <f>IFERROR(MATCH(Z4,CoinCollection!O:O,0),"")</f>
        <v/>
      </c>
      <c r="AB4" s="330" t="str">
        <f>N3&amp;" "&amp;$A$1</f>
        <v>2022-D Kennedy Half Dollar</v>
      </c>
      <c r="AC4" s="330" t="str">
        <f>IFERROR(MATCH(AB4,CoinCollection!O:O,0),"")</f>
        <v/>
      </c>
      <c r="AE4" s="330" t="str">
        <v>1964 Proof</v>
      </c>
      <c r="AH4" s="330" t="str">
        <v>1964 Proof</v>
      </c>
    </row>
    <row r="5" spans="1:34">
      <c r="A5" s="334" t="b">
        <f t="shared" ref="A5:A38" si="10">IF(Q5&lt;&gt;"",TRUE,FALSE)</f>
        <v>0</v>
      </c>
      <c r="B5" s="424" t="s">
        <v>879</v>
      </c>
      <c r="C5" s="341" t="b">
        <f t="shared" ref="C5:C38" si="11">IF(Q5&lt;&gt;"",TRUE,FALSE)</f>
        <v>0</v>
      </c>
      <c r="D5" s="337" t="s">
        <v>892</v>
      </c>
      <c r="E5" s="341" t="b">
        <f t="shared" si="0"/>
        <v>0</v>
      </c>
      <c r="F5" s="337" t="s">
        <v>913</v>
      </c>
      <c r="G5" s="336" t="b">
        <f t="shared" si="1"/>
        <v>0</v>
      </c>
      <c r="H5" s="337" t="s">
        <v>931</v>
      </c>
      <c r="I5" s="336" t="b">
        <f t="shared" si="2"/>
        <v>0</v>
      </c>
      <c r="J5" s="337" t="s">
        <v>952</v>
      </c>
      <c r="K5" s="336" t="b">
        <f t="shared" si="3"/>
        <v>0</v>
      </c>
      <c r="L5" s="337" t="s">
        <v>2557</v>
      </c>
      <c r="M5" s="336" t="b">
        <f t="shared" si="4"/>
        <v>0</v>
      </c>
      <c r="N5" s="345" t="s">
        <v>5135</v>
      </c>
      <c r="P5" t="str">
        <f>B5&amp;" "&amp;$A$1</f>
        <v>1964-D Kennedy Half Dollar</v>
      </c>
      <c r="Q5" s="330" t="str">
        <f>IFERROR(MATCH(P5,CoinCollection!O:O,0),"")</f>
        <v/>
      </c>
      <c r="R5" s="330" t="str">
        <f t="shared" si="5"/>
        <v>1977-D Kennedy Half Dollar</v>
      </c>
      <c r="S5" s="330" t="str">
        <f>IFERROR(MATCH(R5,CoinCollection!O:O,0),"")</f>
        <v/>
      </c>
      <c r="T5" t="str">
        <f t="shared" si="6"/>
        <v>1988-S Proof Kennedy Half Dollar</v>
      </c>
      <c r="U5" s="330" t="str">
        <f>IFERROR(MATCH(T5,CoinCollection!O:O,0),"")</f>
        <v/>
      </c>
      <c r="V5" s="330" t="str">
        <f t="shared" si="7"/>
        <v>1997-S Silver Proof Kennedy Half Dollar</v>
      </c>
      <c r="W5" s="330" t="str">
        <f>IFERROR(MATCH(V5,CoinCollection!O:O,0),"")</f>
        <v/>
      </c>
      <c r="X5" s="330" t="str">
        <f t="shared" si="8"/>
        <v>2006-P Kennedy Half Dollar</v>
      </c>
      <c r="Y5" s="330" t="str">
        <f>IFERROR(MATCH(X5,CoinCollection!O:O,0),"")</f>
        <v/>
      </c>
      <c r="Z5" s="330" t="str">
        <f t="shared" si="9"/>
        <v>2014-D Kennedy Half Dollar</v>
      </c>
      <c r="AA5" s="330" t="str">
        <f>IFERROR(MATCH(Z5,CoinCollection!O:O,0),"")</f>
        <v/>
      </c>
      <c r="AB5" s="330" t="str">
        <f t="shared" ref="AB5:AB17" si="12">N4&amp;" "&amp;$A$1</f>
        <v>2022-S Proof Kennedy Half Dollar</v>
      </c>
      <c r="AC5" s="330" t="str">
        <f>IFERROR(MATCH(AB5,CoinCollection!O:O,0),"")</f>
        <v/>
      </c>
      <c r="AE5" s="330" t="str">
        <v>Silver Clad</v>
      </c>
      <c r="AH5" s="426" t="str">
        <v>Silver Clad</v>
      </c>
    </row>
    <row r="6" spans="1:34">
      <c r="A6" s="334" t="b">
        <f t="shared" si="10"/>
        <v>0</v>
      </c>
      <c r="B6" s="425" t="s">
        <v>5190</v>
      </c>
      <c r="C6" s="341" t="b">
        <f t="shared" si="11"/>
        <v>0</v>
      </c>
      <c r="D6" s="342" t="s">
        <v>2511</v>
      </c>
      <c r="E6" s="341" t="b">
        <f t="shared" si="0"/>
        <v>1</v>
      </c>
      <c r="F6" s="342" t="s">
        <v>914</v>
      </c>
      <c r="G6" s="336" t="b">
        <f t="shared" si="1"/>
        <v>0</v>
      </c>
      <c r="H6" s="342" t="s">
        <v>932</v>
      </c>
      <c r="I6" s="336" t="b">
        <f t="shared" si="2"/>
        <v>0</v>
      </c>
      <c r="J6" s="342" t="s">
        <v>2549</v>
      </c>
      <c r="K6" s="336" t="b">
        <f t="shared" si="3"/>
        <v>0</v>
      </c>
      <c r="L6" s="342" t="s">
        <v>5127</v>
      </c>
      <c r="M6" s="336" t="b">
        <f t="shared" si="4"/>
        <v>0</v>
      </c>
      <c r="N6" s="344" t="s">
        <v>2568</v>
      </c>
      <c r="P6" t="str">
        <f>B6&amp;" "&amp;$A$1</f>
        <v>1964 Proof Kennedy Half Dollar</v>
      </c>
      <c r="Q6" s="330" t="str">
        <f>IFERROR(MATCH(P6,CoinCollection!O:O,0),"")</f>
        <v/>
      </c>
      <c r="R6" s="330" t="str">
        <f t="shared" si="5"/>
        <v>1977-S Proof Kennedy Half Dollar</v>
      </c>
      <c r="S6" s="330" t="str">
        <f>IFERROR(MATCH(R6,CoinCollection!O:O,0),"")</f>
        <v/>
      </c>
      <c r="T6" t="str">
        <f t="shared" si="6"/>
        <v>1989-P Kennedy Half Dollar</v>
      </c>
      <c r="U6" s="330" t="str">
        <f>IFERROR(MATCH(T6,CoinCollection!O:O,0),"")</f>
        <v/>
      </c>
      <c r="V6" s="330" t="str">
        <f t="shared" si="7"/>
        <v>1998-P Kennedy Half Dollar</v>
      </c>
      <c r="W6" s="330" t="str">
        <f>IFERROR(MATCH(V6,CoinCollection!O:O,0),"")</f>
        <v/>
      </c>
      <c r="X6" s="330" t="str">
        <f t="shared" si="8"/>
        <v>2006-D Kennedy Half Dollar</v>
      </c>
      <c r="Y6" s="330" t="str">
        <f>IFERROR(MATCH(X6,CoinCollection!O:O,0),"")</f>
        <v/>
      </c>
      <c r="Z6" s="330" t="str">
        <f t="shared" si="9"/>
        <v>2014-S Proof Kennedy Half Dollar</v>
      </c>
      <c r="AA6" s="330" t="str">
        <f>IFERROR(MATCH(Z6,CoinCollection!O:O,0),"")</f>
        <v/>
      </c>
      <c r="AB6" s="330" t="str">
        <f t="shared" si="12"/>
        <v>2022-S Silver Proof Kennedy Half Dollar</v>
      </c>
      <c r="AC6" s="330" t="str">
        <f>IFERROR(MATCH(AB6,CoinCollection!O:O,0),"")</f>
        <v/>
      </c>
      <c r="AE6" s="330" t="str">
        <v>1965 SMS</v>
      </c>
      <c r="AH6" s="330" t="str">
        <v>1965 SMS</v>
      </c>
    </row>
    <row r="7" spans="1:34">
      <c r="A7" s="334" t="b">
        <f t="shared" si="10"/>
        <v>0</v>
      </c>
      <c r="B7" s="369" t="s">
        <v>4834</v>
      </c>
      <c r="C7" s="341" t="b">
        <f t="shared" si="11"/>
        <v>0</v>
      </c>
      <c r="D7" s="337" t="s">
        <v>2512</v>
      </c>
      <c r="E7" s="341" t="b">
        <f t="shared" si="0"/>
        <v>0</v>
      </c>
      <c r="F7" s="337" t="s">
        <v>2526</v>
      </c>
      <c r="G7" s="336" t="b">
        <f t="shared" si="1"/>
        <v>0</v>
      </c>
      <c r="H7" s="337" t="s">
        <v>2541</v>
      </c>
      <c r="I7" s="336" t="b">
        <f t="shared" si="2"/>
        <v>0</v>
      </c>
      <c r="J7" s="337" t="s">
        <v>5119</v>
      </c>
      <c r="K7" s="336" t="b">
        <f t="shared" si="3"/>
        <v>0</v>
      </c>
      <c r="L7" s="337" t="s">
        <v>969</v>
      </c>
      <c r="M7" s="336" t="b">
        <f t="shared" si="4"/>
        <v>0</v>
      </c>
      <c r="N7" s="345" t="s">
        <v>2569</v>
      </c>
      <c r="Q7" s="330" t="str">
        <f>IFERROR(MATCH(P7,CoinCollection!O:O,0),"")</f>
        <v/>
      </c>
      <c r="R7" s="330" t="str">
        <f t="shared" si="5"/>
        <v>1978 Kennedy Half Dollar</v>
      </c>
      <c r="S7" s="330">
        <f>IFERROR(MATCH(R7,CoinCollection!O:O,0),"")</f>
        <v>2178</v>
      </c>
      <c r="T7" t="str">
        <f t="shared" si="6"/>
        <v>1989-D Kennedy Half Dollar</v>
      </c>
      <c r="U7" s="330">
        <f>IFERROR(MATCH(T7,CoinCollection!O:O,0),"")</f>
        <v>2209</v>
      </c>
      <c r="V7" s="330" t="str">
        <f t="shared" si="7"/>
        <v>1998-D Kennedy Half Dollar</v>
      </c>
      <c r="W7" s="330" t="str">
        <f>IFERROR(MATCH(V7,CoinCollection!O:O,0),"")</f>
        <v/>
      </c>
      <c r="X7" s="330" t="str">
        <f t="shared" si="8"/>
        <v>2006-S Proof Kennedy Half Dollar</v>
      </c>
      <c r="Y7" s="330" t="str">
        <f>IFERROR(MATCH(X7,CoinCollection!O:O,0),"")</f>
        <v/>
      </c>
      <c r="Z7" s="330" t="str">
        <f t="shared" si="9"/>
        <v>2014-S Silver Proof Kennedy Half Dollar</v>
      </c>
      <c r="AA7" s="330" t="str">
        <f>IFERROR(MATCH(Z7,CoinCollection!O:O,0),"")</f>
        <v/>
      </c>
      <c r="AB7" s="330" t="str">
        <f t="shared" si="12"/>
        <v>2023-P Kennedy Half Dollar</v>
      </c>
      <c r="AC7" s="330" t="str">
        <f>IFERROR(MATCH(AB7,CoinCollection!O:O,0),"")</f>
        <v/>
      </c>
      <c r="AE7" s="330" t="str">
        <v>1966 SMS</v>
      </c>
      <c r="AH7" s="330" t="str">
        <v>1966 SMS</v>
      </c>
    </row>
    <row r="8" spans="1:34">
      <c r="A8" s="334" t="b">
        <f t="shared" si="10"/>
        <v>1</v>
      </c>
      <c r="B8" s="394">
        <v>1965</v>
      </c>
      <c r="C8" s="341" t="b">
        <f t="shared" si="11"/>
        <v>1</v>
      </c>
      <c r="D8" s="342" t="s">
        <v>893</v>
      </c>
      <c r="E8" s="341" t="b">
        <f t="shared" si="0"/>
        <v>1</v>
      </c>
      <c r="F8" s="342" t="s">
        <v>915</v>
      </c>
      <c r="G8" s="336" t="b">
        <f t="shared" si="1"/>
        <v>0</v>
      </c>
      <c r="H8" s="342" t="s">
        <v>5111</v>
      </c>
      <c r="I8" s="336" t="b">
        <f t="shared" si="2"/>
        <v>0</v>
      </c>
      <c r="J8" s="342" t="s">
        <v>953</v>
      </c>
      <c r="K8" s="336" t="b">
        <f t="shared" si="3"/>
        <v>0</v>
      </c>
      <c r="L8" s="342" t="s">
        <v>970</v>
      </c>
      <c r="M8" s="336" t="b">
        <f t="shared" si="4"/>
        <v>0</v>
      </c>
      <c r="N8" s="344" t="s">
        <v>4948</v>
      </c>
      <c r="P8" t="str">
        <f t="shared" ref="P8:P19" si="13">B8&amp;" "&amp;$A$1</f>
        <v>1965 Kennedy Half Dollar</v>
      </c>
      <c r="Q8" s="330">
        <f>IFERROR(MATCH(P8,CoinCollection!O:O,0),"")</f>
        <v>2084</v>
      </c>
      <c r="R8" s="330" t="str">
        <f t="shared" si="5"/>
        <v>1978-D Kennedy Half Dollar</v>
      </c>
      <c r="S8" s="330">
        <f>IFERROR(MATCH(R8,CoinCollection!O:O,0),"")</f>
        <v>2177</v>
      </c>
      <c r="T8" t="str">
        <f t="shared" si="6"/>
        <v>1989-S Proof Kennedy Half Dollar</v>
      </c>
      <c r="U8" s="330" t="str">
        <f>IFERROR(MATCH(T8,CoinCollection!O:O,0),"")</f>
        <v/>
      </c>
      <c r="V8" s="330" t="str">
        <f t="shared" si="7"/>
        <v>1998-S Proof Kennedy Half Dollar</v>
      </c>
      <c r="W8" s="330" t="str">
        <f>IFERROR(MATCH(V8,CoinCollection!O:O,0),"")</f>
        <v/>
      </c>
      <c r="X8" s="330" t="str">
        <f t="shared" si="8"/>
        <v>2006-S Silver Proof Kennedy Half Dollar</v>
      </c>
      <c r="Y8" s="330" t="str">
        <f>IFERROR(MATCH(X8,CoinCollection!O:O,0),"")</f>
        <v/>
      </c>
      <c r="Z8" s="330" t="str">
        <f t="shared" si="9"/>
        <v>2015-P Kennedy Half Dollar</v>
      </c>
      <c r="AA8" s="330" t="str">
        <f>IFERROR(MATCH(Z8,CoinCollection!O:O,0),"")</f>
        <v/>
      </c>
      <c r="AB8" s="330" t="str">
        <f t="shared" si="12"/>
        <v>2023-D Kennedy Half Dollar</v>
      </c>
      <c r="AC8" s="330" t="str">
        <f>IFERROR(MATCH(AB8,CoinCollection!O:O,0),"")</f>
        <v/>
      </c>
      <c r="AE8" s="330" t="str">
        <v>1967 SMS</v>
      </c>
      <c r="AH8" s="330" t="str">
        <v>1967 SMS</v>
      </c>
    </row>
    <row r="9" spans="1:34">
      <c r="A9" s="334" t="b">
        <f t="shared" si="10"/>
        <v>0</v>
      </c>
      <c r="B9" s="424" t="s">
        <v>5191</v>
      </c>
      <c r="C9" s="341" t="b">
        <f t="shared" si="11"/>
        <v>0</v>
      </c>
      <c r="D9" s="337" t="s">
        <v>2513</v>
      </c>
      <c r="E9" s="341" t="b">
        <f t="shared" si="0"/>
        <v>0</v>
      </c>
      <c r="F9" s="337" t="s">
        <v>916</v>
      </c>
      <c r="G9" s="336" t="b">
        <f t="shared" si="1"/>
        <v>0</v>
      </c>
      <c r="H9" s="337" t="s">
        <v>933</v>
      </c>
      <c r="I9" s="336" t="b">
        <f t="shared" si="2"/>
        <v>0</v>
      </c>
      <c r="J9" s="337" t="s">
        <v>954</v>
      </c>
      <c r="K9" s="336" t="b">
        <f t="shared" si="3"/>
        <v>0</v>
      </c>
      <c r="L9" s="337" t="s">
        <v>2558</v>
      </c>
      <c r="M9" s="336" t="b">
        <f t="shared" si="4"/>
        <v>0</v>
      </c>
      <c r="N9" s="345" t="s">
        <v>5136</v>
      </c>
      <c r="P9" t="str">
        <f t="shared" si="13"/>
        <v>1965 SMS Kennedy Half Dollar</v>
      </c>
      <c r="Q9" s="330" t="str">
        <f>IFERROR(MATCH(P9,CoinCollection!O:O,0),"")</f>
        <v/>
      </c>
      <c r="R9" s="330" t="str">
        <f t="shared" si="5"/>
        <v>1978-S Proof Kennedy Half Dollar</v>
      </c>
      <c r="S9" s="330" t="str">
        <f>IFERROR(MATCH(R9,CoinCollection!O:O,0),"")</f>
        <v/>
      </c>
      <c r="T9" t="str">
        <f t="shared" si="6"/>
        <v>1990-P Kennedy Half Dollar</v>
      </c>
      <c r="U9" s="330">
        <f>IFERROR(MATCH(T9,CoinCollection!O:O,0),"")</f>
        <v>2210</v>
      </c>
      <c r="V9" s="330" t="str">
        <f t="shared" si="7"/>
        <v>1998-S Silver Proof Kennedy Half Dollar</v>
      </c>
      <c r="W9" s="330" t="str">
        <f>IFERROR(MATCH(V9,CoinCollection!O:O,0),"")</f>
        <v/>
      </c>
      <c r="X9" s="330" t="str">
        <f t="shared" si="8"/>
        <v>2007-P Kennedy Half Dollar</v>
      </c>
      <c r="Y9" s="330" t="str">
        <f>IFERROR(MATCH(X9,CoinCollection!O:O,0),"")</f>
        <v/>
      </c>
      <c r="Z9" s="330" t="str">
        <f t="shared" si="9"/>
        <v>2015-D Kennedy Half Dollar</v>
      </c>
      <c r="AA9" s="330" t="str">
        <f>IFERROR(MATCH(Z9,CoinCollection!O:O,0),"")</f>
        <v/>
      </c>
      <c r="AB9" s="330" t="str">
        <f t="shared" si="12"/>
        <v>2023-S Proof Kennedy Half Dollar</v>
      </c>
      <c r="AC9" s="330" t="str">
        <f>IFERROR(MATCH(AB9,CoinCollection!O:O,0),"")</f>
        <v/>
      </c>
      <c r="AE9" s="330" t="str">
        <v>1968-S Proof</v>
      </c>
      <c r="AH9" s="330" t="str">
        <v>1968-S Proof</v>
      </c>
    </row>
    <row r="10" spans="1:34">
      <c r="A10" s="334" t="b">
        <f t="shared" si="10"/>
        <v>1</v>
      </c>
      <c r="B10" s="421">
        <v>1966</v>
      </c>
      <c r="C10" s="341" t="b">
        <f t="shared" si="11"/>
        <v>1</v>
      </c>
      <c r="D10" s="342" t="s">
        <v>1627</v>
      </c>
      <c r="E10" s="341" t="b">
        <f t="shared" si="0"/>
        <v>0</v>
      </c>
      <c r="F10" s="342" t="s">
        <v>2528</v>
      </c>
      <c r="G10" s="336" t="b">
        <f t="shared" si="1"/>
        <v>0</v>
      </c>
      <c r="H10" s="342" t="s">
        <v>934</v>
      </c>
      <c r="I10" s="336" t="b">
        <f t="shared" si="2"/>
        <v>0</v>
      </c>
      <c r="J10" s="342" t="s">
        <v>2550</v>
      </c>
      <c r="K10" s="336" t="b">
        <f t="shared" si="3"/>
        <v>0</v>
      </c>
      <c r="L10" s="342" t="s">
        <v>5128</v>
      </c>
      <c r="M10" s="336" t="b">
        <f t="shared" si="4"/>
        <v>0</v>
      </c>
      <c r="N10" s="344" t="s">
        <v>2571</v>
      </c>
      <c r="P10" t="str">
        <f t="shared" si="13"/>
        <v>1966 Kennedy Half Dollar</v>
      </c>
      <c r="Q10" s="330">
        <f>IFERROR(MATCH(P10,CoinCollection!O:O,0),"")</f>
        <v>2087</v>
      </c>
      <c r="R10" s="330" t="str">
        <f t="shared" si="5"/>
        <v>1979 Kennedy Half Dollar</v>
      </c>
      <c r="S10" s="330">
        <f>IFERROR(MATCH(R10,CoinCollection!O:O,0),"")</f>
        <v>2179</v>
      </c>
      <c r="T10" t="str">
        <f t="shared" si="6"/>
        <v>1990-D Kennedy Half Dollar</v>
      </c>
      <c r="U10" s="330" t="str">
        <f>IFERROR(MATCH(T10,CoinCollection!O:O,0),"")</f>
        <v/>
      </c>
      <c r="V10" s="330" t="str">
        <f t="shared" si="7"/>
        <v>1999-P Kennedy Half Dollar</v>
      </c>
      <c r="W10" s="330" t="str">
        <f>IFERROR(MATCH(V10,CoinCollection!O:O,0),"")</f>
        <v/>
      </c>
      <c r="X10" s="330" t="str">
        <f t="shared" si="8"/>
        <v>2007-D Kennedy Half Dollar</v>
      </c>
      <c r="Y10" s="330" t="str">
        <f>IFERROR(MATCH(X10,CoinCollection!O:O,0),"")</f>
        <v/>
      </c>
      <c r="Z10" s="330" t="str">
        <f t="shared" si="9"/>
        <v>2015-S Proof Kennedy Half Dollar</v>
      </c>
      <c r="AA10" s="330" t="str">
        <f>IFERROR(MATCH(Z10,CoinCollection!O:O,0),"")</f>
        <v/>
      </c>
      <c r="AB10" s="330" t="str">
        <f t="shared" si="12"/>
        <v>2023-S Silver Proof Kennedy Half Dollar</v>
      </c>
      <c r="AC10" s="330" t="str">
        <f>IFERROR(MATCH(AB10,CoinCollection!O:O,0),"")</f>
        <v/>
      </c>
      <c r="AE10" s="330" t="str">
        <v>1969-S Proof</v>
      </c>
      <c r="AH10" s="330" t="str">
        <v>1969-S Proof</v>
      </c>
    </row>
    <row r="11" spans="1:34">
      <c r="A11" s="334" t="b">
        <f t="shared" si="10"/>
        <v>0</v>
      </c>
      <c r="B11" s="424" t="s">
        <v>5192</v>
      </c>
      <c r="C11" s="341" t="b">
        <f t="shared" si="11"/>
        <v>0</v>
      </c>
      <c r="D11" s="337" t="s">
        <v>894</v>
      </c>
      <c r="E11" s="341" t="b">
        <f t="shared" si="0"/>
        <v>0</v>
      </c>
      <c r="F11" s="337" t="s">
        <v>917</v>
      </c>
      <c r="G11" s="336" t="b">
        <f t="shared" si="1"/>
        <v>0</v>
      </c>
      <c r="H11" s="337" t="s">
        <v>2542</v>
      </c>
      <c r="I11" s="336" t="b">
        <f t="shared" si="2"/>
        <v>0</v>
      </c>
      <c r="J11" s="337" t="s">
        <v>5120</v>
      </c>
      <c r="K11" s="336" t="b">
        <f t="shared" si="3"/>
        <v>0</v>
      </c>
      <c r="L11" s="337" t="s">
        <v>971</v>
      </c>
      <c r="M11" s="336" t="b">
        <f t="shared" si="4"/>
        <v>0</v>
      </c>
      <c r="N11" s="345" t="s">
        <v>2572</v>
      </c>
      <c r="P11" t="str">
        <f t="shared" si="13"/>
        <v>1966 SMS Kennedy Half Dollar</v>
      </c>
      <c r="Q11" s="330" t="str">
        <f>IFERROR(MATCH(P11,CoinCollection!O:O,0),"")</f>
        <v/>
      </c>
      <c r="R11" s="330" t="str">
        <f t="shared" si="5"/>
        <v>1979-D Kennedy Half Dollar</v>
      </c>
      <c r="S11" s="330" t="str">
        <f>IFERROR(MATCH(R11,CoinCollection!O:O,0),"")</f>
        <v/>
      </c>
      <c r="T11" t="str">
        <f t="shared" si="6"/>
        <v>1990-S Proof Kennedy Half Dollar</v>
      </c>
      <c r="U11" s="330" t="str">
        <f>IFERROR(MATCH(T11,CoinCollection!O:O,0),"")</f>
        <v/>
      </c>
      <c r="V11" s="330" t="str">
        <f t="shared" si="7"/>
        <v>1999-D Kennedy Half Dollar</v>
      </c>
      <c r="W11" s="330" t="str">
        <f>IFERROR(MATCH(V11,CoinCollection!O:O,0),"")</f>
        <v/>
      </c>
      <c r="X11" s="330" t="str">
        <f t="shared" si="8"/>
        <v>2007-S Proof Kennedy Half Dollar</v>
      </c>
      <c r="Y11" s="330" t="str">
        <f>IFERROR(MATCH(X11,CoinCollection!O:O,0),"")</f>
        <v/>
      </c>
      <c r="Z11" s="330" t="str">
        <f t="shared" si="9"/>
        <v>2015-S Silver Proof Kennedy Half Dollar</v>
      </c>
      <c r="AA11" s="330" t="str">
        <f>IFERROR(MATCH(Z11,CoinCollection!O:O,0),"")</f>
        <v/>
      </c>
      <c r="AB11" s="330" t="str">
        <f t="shared" si="12"/>
        <v>2024-P Kennedy Half Dollar</v>
      </c>
      <c r="AC11" s="330" t="str">
        <f>IFERROR(MATCH(AB11,CoinCollection!O:O,0),"")</f>
        <v/>
      </c>
      <c r="AE11" s="330" t="str">
        <v>1970-D</v>
      </c>
      <c r="AH11" s="330" t="str">
        <v>1970-D</v>
      </c>
    </row>
    <row r="12" spans="1:34">
      <c r="A12" s="334" t="b">
        <f t="shared" si="10"/>
        <v>1</v>
      </c>
      <c r="B12" s="394">
        <v>1967</v>
      </c>
      <c r="C12" s="341" t="b">
        <f t="shared" si="11"/>
        <v>1</v>
      </c>
      <c r="D12" s="342" t="s">
        <v>5198</v>
      </c>
      <c r="E12" s="341" t="b">
        <f t="shared" si="0"/>
        <v>1</v>
      </c>
      <c r="F12" s="342" t="s">
        <v>918</v>
      </c>
      <c r="G12" s="336" t="b">
        <f t="shared" si="1"/>
        <v>0</v>
      </c>
      <c r="H12" s="342" t="s">
        <v>5112</v>
      </c>
      <c r="I12" s="336" t="b">
        <f t="shared" si="2"/>
        <v>0</v>
      </c>
      <c r="J12" s="342" t="s">
        <v>955</v>
      </c>
      <c r="K12" s="336" t="b">
        <f t="shared" si="3"/>
        <v>0</v>
      </c>
      <c r="L12" s="342" t="s">
        <v>972</v>
      </c>
      <c r="M12" s="336" t="b">
        <f t="shared" si="4"/>
        <v>0</v>
      </c>
      <c r="N12" s="344" t="s">
        <v>4949</v>
      </c>
      <c r="P12" t="str">
        <f t="shared" si="13"/>
        <v>1967 Kennedy Half Dollar</v>
      </c>
      <c r="Q12" s="330">
        <f>IFERROR(MATCH(P12,CoinCollection!O:O,0),"")</f>
        <v>2090</v>
      </c>
      <c r="R12" s="330" t="str">
        <f t="shared" si="5"/>
        <v>1979-S Proof, Filled S Kennedy Half Dollar</v>
      </c>
      <c r="S12" s="330" t="str">
        <f>IFERROR(MATCH(R12,CoinCollection!O:O,0),"")</f>
        <v/>
      </c>
      <c r="T12" t="str">
        <f t="shared" si="6"/>
        <v>1991-P Kennedy Half Dollar</v>
      </c>
      <c r="U12" s="330" t="str">
        <f>IFERROR(MATCH(T12,CoinCollection!O:O,0),"")</f>
        <v/>
      </c>
      <c r="V12" s="330" t="str">
        <f t="shared" si="7"/>
        <v>1999-S Proof Kennedy Half Dollar</v>
      </c>
      <c r="W12" s="330" t="str">
        <f>IFERROR(MATCH(V12,CoinCollection!O:O,0),"")</f>
        <v/>
      </c>
      <c r="X12" s="330" t="str">
        <f t="shared" si="8"/>
        <v>2007-S Silver Proof Kennedy Half Dollar</v>
      </c>
      <c r="Y12" s="330" t="str">
        <f>IFERROR(MATCH(X12,CoinCollection!O:O,0),"")</f>
        <v/>
      </c>
      <c r="Z12" s="330" t="str">
        <f t="shared" si="9"/>
        <v>2016-P Kennedy Half Dollar</v>
      </c>
      <c r="AA12" s="330" t="str">
        <f>IFERROR(MATCH(Z12,CoinCollection!O:O,0),"")</f>
        <v/>
      </c>
      <c r="AB12" s="330" t="str">
        <f t="shared" si="12"/>
        <v>2024-D Kennedy Half Dollar</v>
      </c>
      <c r="AC12" s="330" t="str">
        <f>IFERROR(MATCH(AB12,CoinCollection!O:O,0),"")</f>
        <v/>
      </c>
      <c r="AE12" s="330" t="str">
        <v>1970-S Proof</v>
      </c>
      <c r="AH12" s="330" t="str">
        <v>1970-S Proof</v>
      </c>
    </row>
    <row r="13" spans="1:34">
      <c r="A13" s="334" t="b">
        <f t="shared" si="10"/>
        <v>0</v>
      </c>
      <c r="B13" s="424" t="s">
        <v>5193</v>
      </c>
      <c r="C13" s="341" t="b">
        <f t="shared" si="11"/>
        <v>0</v>
      </c>
      <c r="D13" s="337" t="s">
        <v>5199</v>
      </c>
      <c r="E13" s="341" t="b">
        <f t="shared" si="0"/>
        <v>0</v>
      </c>
      <c r="F13" s="337" t="s">
        <v>2530</v>
      </c>
      <c r="G13" s="336" t="b">
        <f t="shared" si="1"/>
        <v>0</v>
      </c>
      <c r="H13" s="337" t="s">
        <v>935</v>
      </c>
      <c r="I13" s="336" t="b">
        <f t="shared" si="2"/>
        <v>0</v>
      </c>
      <c r="J13" s="337" t="s">
        <v>956</v>
      </c>
      <c r="K13" s="336" t="b">
        <f t="shared" si="3"/>
        <v>0</v>
      </c>
      <c r="L13" s="337" t="s">
        <v>2559</v>
      </c>
      <c r="M13" s="336" t="b">
        <f t="shared" si="4"/>
        <v>0</v>
      </c>
      <c r="N13" s="345" t="s">
        <v>5137</v>
      </c>
      <c r="P13" t="str">
        <f t="shared" si="13"/>
        <v>1967 SMS Kennedy Half Dollar</v>
      </c>
      <c r="Q13" s="330" t="str">
        <f>IFERROR(MATCH(P13,CoinCollection!O:O,0),"")</f>
        <v/>
      </c>
      <c r="R13" s="330" t="str">
        <f t="shared" si="5"/>
        <v>1979-S Proof, Clear S Kennedy Half Dollar</v>
      </c>
      <c r="S13" s="330" t="str">
        <f>IFERROR(MATCH(R13,CoinCollection!O:O,0),"")</f>
        <v/>
      </c>
      <c r="T13" t="str">
        <f t="shared" si="6"/>
        <v>1991-D Kennedy Half Dollar</v>
      </c>
      <c r="U13" s="330">
        <f>IFERROR(MATCH(T13,CoinCollection!O:O,0),"")</f>
        <v>2213</v>
      </c>
      <c r="V13" s="330" t="str">
        <f t="shared" si="7"/>
        <v>1999-S Silver Proof Kennedy Half Dollar</v>
      </c>
      <c r="W13" s="330" t="str">
        <f>IFERROR(MATCH(V13,CoinCollection!O:O,0),"")</f>
        <v/>
      </c>
      <c r="X13" s="330" t="str">
        <f t="shared" si="8"/>
        <v>2008-P Kennedy Half Dollar</v>
      </c>
      <c r="Y13" s="330" t="str">
        <f>IFERROR(MATCH(X13,CoinCollection!O:O,0),"")</f>
        <v/>
      </c>
      <c r="Z13" s="330" t="str">
        <f t="shared" si="9"/>
        <v>2016-D Kennedy Half Dollar</v>
      </c>
      <c r="AA13" s="330" t="str">
        <f>IFERROR(MATCH(Z13,CoinCollection!O:O,0),"")</f>
        <v/>
      </c>
      <c r="AB13" s="330" t="str">
        <f t="shared" si="12"/>
        <v>2024-S Proof Kennedy Half Dollar</v>
      </c>
      <c r="AC13" s="330" t="str">
        <f>IFERROR(MATCH(AB13,CoinCollection!O:O,0),"")</f>
        <v/>
      </c>
      <c r="AE13" s="330" t="str">
        <v>1971-S Proof</v>
      </c>
      <c r="AH13" s="426" t="str">
        <v>1971-S Proof</v>
      </c>
    </row>
    <row r="14" spans="1:34">
      <c r="A14" s="334" t="b">
        <f t="shared" si="10"/>
        <v>1</v>
      </c>
      <c r="B14" s="425" t="s">
        <v>880</v>
      </c>
      <c r="C14" s="341" t="b">
        <f t="shared" si="11"/>
        <v>1</v>
      </c>
      <c r="D14" s="342" t="s">
        <v>895</v>
      </c>
      <c r="E14" s="341" t="b">
        <f t="shared" si="0"/>
        <v>1</v>
      </c>
      <c r="F14" s="342" t="s">
        <v>919</v>
      </c>
      <c r="G14" s="336" t="b">
        <f t="shared" si="1"/>
        <v>0</v>
      </c>
      <c r="H14" s="342" t="s">
        <v>936</v>
      </c>
      <c r="I14" s="336" t="b">
        <f t="shared" si="2"/>
        <v>0</v>
      </c>
      <c r="J14" s="342" t="s">
        <v>2551</v>
      </c>
      <c r="K14" s="336" t="b">
        <f t="shared" si="3"/>
        <v>0</v>
      </c>
      <c r="L14" s="342" t="s">
        <v>5129</v>
      </c>
      <c r="M14" s="336" t="b">
        <f t="shared" si="4"/>
        <v>0</v>
      </c>
      <c r="N14" s="344" t="s">
        <v>3981</v>
      </c>
      <c r="P14" t="str">
        <f t="shared" si="13"/>
        <v>1968-D Kennedy Half Dollar</v>
      </c>
      <c r="Q14" s="330">
        <f>IFERROR(MATCH(P14,CoinCollection!O:O,0),"")</f>
        <v>2097</v>
      </c>
      <c r="R14" s="330" t="str">
        <f t="shared" si="5"/>
        <v>1980-P Kennedy Half Dollar</v>
      </c>
      <c r="S14" s="330">
        <f>IFERROR(MATCH(R14,CoinCollection!O:O,0),"")</f>
        <v>2187</v>
      </c>
      <c r="T14" t="str">
        <f t="shared" si="6"/>
        <v>1991-S Proof Kennedy Half Dollar</v>
      </c>
      <c r="U14" s="330" t="str">
        <f>IFERROR(MATCH(T14,CoinCollection!O:O,0),"")</f>
        <v/>
      </c>
      <c r="V14" s="330" t="str">
        <f t="shared" si="7"/>
        <v>2000-P Kennedy Half Dollar</v>
      </c>
      <c r="W14" s="330" t="str">
        <f>IFERROR(MATCH(V14,CoinCollection!O:O,0),"")</f>
        <v/>
      </c>
      <c r="X14" s="330" t="str">
        <f t="shared" si="8"/>
        <v>2008-D Kennedy Half Dollar</v>
      </c>
      <c r="Y14" s="330" t="str">
        <f>IFERROR(MATCH(X14,CoinCollection!O:O,0),"")</f>
        <v/>
      </c>
      <c r="Z14" s="330" t="str">
        <f t="shared" si="9"/>
        <v>2016-S Proof Kennedy Half Dollar</v>
      </c>
      <c r="AA14" s="330" t="str">
        <f>IFERROR(MATCH(Z14,CoinCollection!O:O,0),"")</f>
        <v/>
      </c>
      <c r="AB14" s="330" t="str">
        <f t="shared" si="12"/>
        <v>2024-S Silver Proof Kennedy Half Dollar</v>
      </c>
      <c r="AC14" s="330" t="str">
        <f>IFERROR(MATCH(AB14,CoinCollection!O:O,0),"")</f>
        <v/>
      </c>
      <c r="AE14" s="330" t="str">
        <v>1972-D</v>
      </c>
      <c r="AH14" s="330" t="str">
        <v>1972-D</v>
      </c>
    </row>
    <row r="15" spans="1:34">
      <c r="A15" s="334" t="b">
        <f t="shared" si="10"/>
        <v>0</v>
      </c>
      <c r="B15" s="424" t="s">
        <v>4877</v>
      </c>
      <c r="C15" s="341" t="b">
        <f t="shared" si="11"/>
        <v>0</v>
      </c>
      <c r="D15" s="337" t="s">
        <v>896</v>
      </c>
      <c r="E15" s="341" t="b">
        <f t="shared" si="0"/>
        <v>0</v>
      </c>
      <c r="F15" s="337" t="s">
        <v>920</v>
      </c>
      <c r="G15" s="336" t="b">
        <f t="shared" si="1"/>
        <v>0</v>
      </c>
      <c r="H15" s="337" t="s">
        <v>2543</v>
      </c>
      <c r="I15" s="336" t="b">
        <f t="shared" si="2"/>
        <v>0</v>
      </c>
      <c r="J15" s="337" t="s">
        <v>5121</v>
      </c>
      <c r="K15" s="336" t="b">
        <f t="shared" si="3"/>
        <v>0</v>
      </c>
      <c r="L15" s="337" t="s">
        <v>973</v>
      </c>
      <c r="M15" s="336" t="b">
        <f t="shared" si="4"/>
        <v>0</v>
      </c>
      <c r="N15" s="345" t="s">
        <v>3982</v>
      </c>
      <c r="P15" t="str">
        <f t="shared" si="13"/>
        <v>1968-S Proof Kennedy Half Dollar</v>
      </c>
      <c r="Q15" s="330" t="str">
        <f>IFERROR(MATCH(P15,CoinCollection!O:O,0),"")</f>
        <v/>
      </c>
      <c r="R15" s="330" t="str">
        <f t="shared" si="5"/>
        <v>1980-D Kennedy Half Dollar</v>
      </c>
      <c r="S15" s="330" t="str">
        <f>IFERROR(MATCH(R15,CoinCollection!O:O,0),"")</f>
        <v/>
      </c>
      <c r="T15" t="str">
        <f t="shared" si="6"/>
        <v>1992-P Kennedy Half Dollar</v>
      </c>
      <c r="U15" s="330">
        <f>IFERROR(MATCH(T15,CoinCollection!O:O,0),"")</f>
        <v>2214</v>
      </c>
      <c r="V15" s="330" t="str">
        <f t="shared" si="7"/>
        <v>2000-D Kennedy Half Dollar</v>
      </c>
      <c r="W15" s="330" t="str">
        <f>IFERROR(MATCH(V15,CoinCollection!O:O,0),"")</f>
        <v/>
      </c>
      <c r="X15" s="330" t="str">
        <f t="shared" si="8"/>
        <v>2008-S Proof Kennedy Half Dollar</v>
      </c>
      <c r="Y15" s="330" t="str">
        <f>IFERROR(MATCH(X15,CoinCollection!O:O,0),"")</f>
        <v/>
      </c>
      <c r="Z15" s="330" t="str">
        <f t="shared" si="9"/>
        <v>2016-S Silver Proof Kennedy Half Dollar</v>
      </c>
      <c r="AA15" s="330" t="str">
        <f>IFERROR(MATCH(Z15,CoinCollection!O:O,0),"")</f>
        <v/>
      </c>
      <c r="AB15" s="330" t="str">
        <f t="shared" si="12"/>
        <v>2025-P Kennedy Half Dollar</v>
      </c>
      <c r="AC15" s="330" t="str">
        <f>IFERROR(MATCH(AB15,CoinCollection!O:O,0),"")</f>
        <v/>
      </c>
      <c r="AE15" s="330" t="str">
        <v>1972-S Proof</v>
      </c>
      <c r="AH15" s="330" t="str">
        <v>1972-S Proof</v>
      </c>
    </row>
    <row r="16" spans="1:34">
      <c r="A16" s="334" t="b">
        <f t="shared" si="10"/>
        <v>1</v>
      </c>
      <c r="B16" s="425" t="s">
        <v>882</v>
      </c>
      <c r="C16" s="341" t="b">
        <f t="shared" si="11"/>
        <v>1</v>
      </c>
      <c r="D16" s="342" t="s">
        <v>2517</v>
      </c>
      <c r="E16" s="341" t="b">
        <f t="shared" si="0"/>
        <v>0</v>
      </c>
      <c r="F16" s="342" t="s">
        <v>2532</v>
      </c>
      <c r="G16" s="336" t="b">
        <f t="shared" si="1"/>
        <v>0</v>
      </c>
      <c r="H16" s="342" t="s">
        <v>5113</v>
      </c>
      <c r="I16" s="336" t="b">
        <f t="shared" si="2"/>
        <v>0</v>
      </c>
      <c r="J16" s="342" t="s">
        <v>957</v>
      </c>
      <c r="K16" s="336" t="b">
        <f t="shared" si="3"/>
        <v>0</v>
      </c>
      <c r="L16" s="342" t="s">
        <v>974</v>
      </c>
      <c r="M16" s="336" t="b">
        <f t="shared" si="4"/>
        <v>0</v>
      </c>
      <c r="N16" s="344" t="s">
        <v>4950</v>
      </c>
      <c r="P16" t="str">
        <f t="shared" si="13"/>
        <v>1969-D Kennedy Half Dollar</v>
      </c>
      <c r="Q16" s="330">
        <f>IFERROR(MATCH(P16,CoinCollection!O:O,0),"")</f>
        <v>2100</v>
      </c>
      <c r="R16" s="330" t="str">
        <f t="shared" si="5"/>
        <v>1980-S Proof Kennedy Half Dollar</v>
      </c>
      <c r="S16" s="330" t="str">
        <f>IFERROR(MATCH(R16,CoinCollection!O:O,0),"")</f>
        <v/>
      </c>
      <c r="T16" t="str">
        <f t="shared" si="6"/>
        <v>1992-D Kennedy Half Dollar</v>
      </c>
      <c r="U16" s="330" t="str">
        <f>IFERROR(MATCH(T16,CoinCollection!O:O,0),"")</f>
        <v/>
      </c>
      <c r="V16" s="330" t="str">
        <f t="shared" si="7"/>
        <v>2000-S Proof Kennedy Half Dollar</v>
      </c>
      <c r="W16" s="330" t="str">
        <f>IFERROR(MATCH(V16,CoinCollection!O:O,0),"")</f>
        <v/>
      </c>
      <c r="X16" s="330" t="str">
        <f t="shared" si="8"/>
        <v>2008-S Silver Proof Kennedy Half Dollar</v>
      </c>
      <c r="Y16" s="330" t="str">
        <f>IFERROR(MATCH(X16,CoinCollection!O:O,0),"")</f>
        <v/>
      </c>
      <c r="Z16" s="330" t="str">
        <f t="shared" si="9"/>
        <v>2017-P Kennedy Half Dollar</v>
      </c>
      <c r="AA16" s="330" t="str">
        <f>IFERROR(MATCH(Z16,CoinCollection!O:O,0),"")</f>
        <v/>
      </c>
      <c r="AB16" s="330" t="str">
        <f t="shared" si="12"/>
        <v>2025-D Kennedy Half Dollar</v>
      </c>
      <c r="AC16" s="330" t="str">
        <f>IFERROR(MATCH(AB16,CoinCollection!O:O,0),"")</f>
        <v/>
      </c>
      <c r="AE16" s="330" t="str">
        <v>1973-D</v>
      </c>
      <c r="AH16" s="330" t="str">
        <v>1973-D</v>
      </c>
    </row>
    <row r="17" spans="1:34">
      <c r="A17" s="334" t="b">
        <f t="shared" si="10"/>
        <v>0</v>
      </c>
      <c r="B17" s="424" t="s">
        <v>4881</v>
      </c>
      <c r="C17" s="341" t="b">
        <f>IF(Q17&lt;&gt;"",TRUE,FALSE)</f>
        <v>0</v>
      </c>
      <c r="D17" s="337" t="s">
        <v>897</v>
      </c>
      <c r="E17" s="341" t="b">
        <f t="shared" si="0"/>
        <v>0</v>
      </c>
      <c r="F17" s="337" t="s">
        <v>5104</v>
      </c>
      <c r="G17" s="336" t="b">
        <f t="shared" si="1"/>
        <v>0</v>
      </c>
      <c r="H17" s="337" t="s">
        <v>937</v>
      </c>
      <c r="I17" s="336" t="b">
        <f t="shared" si="2"/>
        <v>0</v>
      </c>
      <c r="J17" s="337" t="s">
        <v>958</v>
      </c>
      <c r="K17" s="336" t="b">
        <f t="shared" si="3"/>
        <v>0</v>
      </c>
      <c r="L17" s="337" t="s">
        <v>2560</v>
      </c>
      <c r="M17" s="336" t="b">
        <f t="shared" si="4"/>
        <v>1</v>
      </c>
      <c r="N17" s="456" t="s">
        <v>5266</v>
      </c>
      <c r="P17" t="str">
        <f t="shared" si="13"/>
        <v>1969-S Proof Kennedy Half Dollar</v>
      </c>
      <c r="Q17" s="330" t="str">
        <f>IFERROR(MATCH(P17,CoinCollection!O:O,0),"")</f>
        <v/>
      </c>
      <c r="R17" s="330" t="str">
        <f t="shared" si="5"/>
        <v>1981-P Kennedy Half Dollar</v>
      </c>
      <c r="S17" s="330">
        <f>IFERROR(MATCH(R17,CoinCollection!O:O,0),"")</f>
        <v>2191</v>
      </c>
      <c r="T17" t="str">
        <f t="shared" si="6"/>
        <v>1992-S Proof Kennedy Half Dollar</v>
      </c>
      <c r="U17" s="330" t="str">
        <f>IFERROR(MATCH(T17,CoinCollection!O:O,0),"")</f>
        <v/>
      </c>
      <c r="V17" s="330" t="str">
        <f t="shared" si="7"/>
        <v>2000-S Silver Proof Kennedy Half Dollar</v>
      </c>
      <c r="W17" s="330" t="str">
        <f>IFERROR(MATCH(V17,CoinCollection!O:O,0),"")</f>
        <v/>
      </c>
      <c r="X17" s="330" t="str">
        <f t="shared" si="8"/>
        <v>2009-P Kennedy Half Dollar</v>
      </c>
      <c r="Y17" s="330" t="str">
        <f>IFERROR(MATCH(X17,CoinCollection!O:O,0),"")</f>
        <v/>
      </c>
      <c r="Z17" s="330" t="str">
        <f t="shared" si="9"/>
        <v>2017-D Kennedy Half Dollar</v>
      </c>
      <c r="AA17" s="330" t="str">
        <f>IFERROR(MATCH(Z17,CoinCollection!O:O,0),"")</f>
        <v/>
      </c>
      <c r="AB17" s="330" t="str">
        <f t="shared" si="12"/>
        <v>2025-S Proof Kennedy Half Dollar</v>
      </c>
      <c r="AC17" s="330" t="str">
        <f>IFERROR(MATCH(AB17,CoinCollection!O:O,0),"")</f>
        <v/>
      </c>
      <c r="AE17" s="330" t="str">
        <v>1973-S Proof</v>
      </c>
      <c r="AH17" s="330" t="str">
        <v>1973-S Proof</v>
      </c>
    </row>
    <row r="18" spans="1:34">
      <c r="A18" s="334" t="b">
        <f t="shared" si="10"/>
        <v>0</v>
      </c>
      <c r="B18" s="425" t="s">
        <v>884</v>
      </c>
      <c r="C18" s="341" t="b">
        <f t="shared" si="11"/>
        <v>0</v>
      </c>
      <c r="D18" s="342" t="s">
        <v>898</v>
      </c>
      <c r="E18" s="341" t="b">
        <f t="shared" si="0"/>
        <v>0</v>
      </c>
      <c r="F18" s="342" t="s">
        <v>921</v>
      </c>
      <c r="G18" s="336" t="b">
        <f t="shared" si="1"/>
        <v>0</v>
      </c>
      <c r="H18" s="342" t="s">
        <v>938</v>
      </c>
      <c r="I18" s="336" t="b">
        <f t="shared" si="2"/>
        <v>0</v>
      </c>
      <c r="J18" s="342" t="s">
        <v>2552</v>
      </c>
      <c r="K18" s="336" t="b">
        <f t="shared" si="3"/>
        <v>0</v>
      </c>
      <c r="L18" s="342" t="s">
        <v>5130</v>
      </c>
      <c r="M18" s="342"/>
      <c r="N18" s="344"/>
      <c r="P18" t="str">
        <f t="shared" si="13"/>
        <v>1970-D Kennedy Half Dollar</v>
      </c>
      <c r="Q18" s="330" t="str">
        <f>IFERROR(MATCH(P18,CoinCollection!O:O,0),"")</f>
        <v/>
      </c>
      <c r="R18" s="330" t="str">
        <f t="shared" si="5"/>
        <v>1981-D Kennedy Half Dollar</v>
      </c>
      <c r="S18" s="330" t="str">
        <f>IFERROR(MATCH(R18,CoinCollection!O:O,0),"")</f>
        <v/>
      </c>
      <c r="T18" t="str">
        <f t="shared" si="6"/>
        <v>1992-S Silver Proof Kennedy Half Dollar</v>
      </c>
      <c r="U18" s="330" t="str">
        <f>IFERROR(MATCH(T18,CoinCollection!O:O,0),"")</f>
        <v/>
      </c>
      <c r="V18" s="330" t="str">
        <f t="shared" si="7"/>
        <v>2001-P Kennedy Half Dollar</v>
      </c>
      <c r="W18" s="330" t="str">
        <f>IFERROR(MATCH(V18,CoinCollection!O:O,0),"")</f>
        <v/>
      </c>
      <c r="X18" s="330" t="str">
        <f t="shared" si="8"/>
        <v>2009-D Kennedy Half Dollar</v>
      </c>
      <c r="Y18" s="330" t="str">
        <f>IFERROR(MATCH(X18,CoinCollection!O:O,0),"")</f>
        <v/>
      </c>
      <c r="Z18" s="330" t="str">
        <f t="shared" si="9"/>
        <v>2017-S Proof Kennedy Half Dollar</v>
      </c>
      <c r="AA18" s="330" t="str">
        <f>IFERROR(MATCH(Z18,CoinCollection!O:O,0),"")</f>
        <v/>
      </c>
      <c r="AB18" s="330" t="str">
        <f>N17</f>
        <v>2025-S Kennedy Half Dollar Proof</v>
      </c>
      <c r="AC18" s="330">
        <f>IFERROR(MATCH(AB18,CoinCollection!O:O,0),"")</f>
        <v>2219</v>
      </c>
      <c r="AE18" s="330" t="str">
        <v>1974-S Proof</v>
      </c>
      <c r="AH18" s="330" t="str">
        <v>1974-S Proof</v>
      </c>
    </row>
    <row r="19" spans="1:34">
      <c r="A19" s="334" t="b">
        <f t="shared" si="10"/>
        <v>0</v>
      </c>
      <c r="B19" s="424" t="s">
        <v>4886</v>
      </c>
      <c r="C19" s="341" t="b">
        <f t="shared" si="11"/>
        <v>0</v>
      </c>
      <c r="D19" s="337" t="s">
        <v>2518</v>
      </c>
      <c r="E19" s="341" t="b">
        <f t="shared" si="0"/>
        <v>0</v>
      </c>
      <c r="F19" s="337" t="s">
        <v>922</v>
      </c>
      <c r="G19" s="336" t="b">
        <f t="shared" si="1"/>
        <v>0</v>
      </c>
      <c r="H19" s="337" t="s">
        <v>2544</v>
      </c>
      <c r="I19" s="336" t="b">
        <f t="shared" si="2"/>
        <v>0</v>
      </c>
      <c r="J19" s="337" t="s">
        <v>5122</v>
      </c>
      <c r="K19" s="336" t="b">
        <f t="shared" si="3"/>
        <v>0</v>
      </c>
      <c r="L19" s="337" t="s">
        <v>975</v>
      </c>
      <c r="M19" s="337"/>
      <c r="N19" s="345"/>
      <c r="P19" t="str">
        <f t="shared" si="13"/>
        <v>1970-S Proof Kennedy Half Dollar</v>
      </c>
      <c r="Q19" s="330" t="str">
        <f>IFERROR(MATCH(P19,CoinCollection!O:O,0),"")</f>
        <v/>
      </c>
      <c r="R19" s="330" t="str">
        <f t="shared" si="5"/>
        <v>1981-S Proof Kennedy Half Dollar</v>
      </c>
      <c r="S19" s="330" t="str">
        <f>IFERROR(MATCH(R19,CoinCollection!O:O,0),"")</f>
        <v/>
      </c>
      <c r="T19" t="str">
        <f t="shared" si="6"/>
        <v>1993-P Kennedy Half Dollar</v>
      </c>
      <c r="U19" s="330" t="str">
        <f>IFERROR(MATCH(T19,CoinCollection!O:O,0),"")</f>
        <v/>
      </c>
      <c r="V19" s="330" t="str">
        <f t="shared" si="7"/>
        <v>2001-D Kennedy Half Dollar</v>
      </c>
      <c r="W19" s="330" t="str">
        <f>IFERROR(MATCH(V19,CoinCollection!O:O,0),"")</f>
        <v/>
      </c>
      <c r="X19" s="330" t="str">
        <f t="shared" si="8"/>
        <v>2009-S Proof Kennedy Half Dollar</v>
      </c>
      <c r="Y19" s="330" t="str">
        <f>IFERROR(MATCH(X19,CoinCollection!O:O,0),"")</f>
        <v/>
      </c>
      <c r="Z19" s="330" t="str">
        <f t="shared" si="9"/>
        <v>2017-S Silver Proof Kennedy Half Dollar</v>
      </c>
      <c r="AA19" s="330" t="str">
        <f>IFERROR(MATCH(Z19,CoinCollection!O:O,0),"")</f>
        <v/>
      </c>
      <c r="AE19" s="330" t="str">
        <v>1976 CN</v>
      </c>
      <c r="AH19" s="330" t="str">
        <v>1976 CN</v>
      </c>
    </row>
    <row r="20" spans="1:34">
      <c r="A20" s="455" t="s">
        <v>53</v>
      </c>
      <c r="B20" s="370" t="s">
        <v>4835</v>
      </c>
      <c r="C20" s="341" t="b">
        <f t="shared" si="11"/>
        <v>0</v>
      </c>
      <c r="D20" s="342" t="s">
        <v>899</v>
      </c>
      <c r="E20" s="341" t="b">
        <f t="shared" si="0"/>
        <v>0</v>
      </c>
      <c r="F20" s="342" t="s">
        <v>2533</v>
      </c>
      <c r="G20" s="336" t="b">
        <f t="shared" si="1"/>
        <v>0</v>
      </c>
      <c r="H20" s="342" t="s">
        <v>5114</v>
      </c>
      <c r="I20" s="336" t="b">
        <f t="shared" si="2"/>
        <v>0</v>
      </c>
      <c r="J20" s="342" t="s">
        <v>959</v>
      </c>
      <c r="K20" s="336" t="b">
        <f t="shared" si="3"/>
        <v>0</v>
      </c>
      <c r="L20" s="342" t="s">
        <v>976</v>
      </c>
      <c r="M20" s="342"/>
      <c r="N20" s="344"/>
      <c r="Q20" s="330" t="str">
        <f>IFERROR(MATCH(P20,CoinCollection!O:O,0),"")</f>
        <v/>
      </c>
      <c r="R20" s="330" t="str">
        <f t="shared" si="5"/>
        <v>1982-P Kennedy Half Dollar</v>
      </c>
      <c r="S20" s="330" t="str">
        <f>IFERROR(MATCH(R20,CoinCollection!O:O,0),"")</f>
        <v/>
      </c>
      <c r="T20" t="str">
        <f t="shared" si="6"/>
        <v>1993-D Kennedy Half Dollar</v>
      </c>
      <c r="U20" s="330" t="str">
        <f>IFERROR(MATCH(T20,CoinCollection!O:O,0),"")</f>
        <v/>
      </c>
      <c r="V20" s="330" t="str">
        <f t="shared" si="7"/>
        <v>2001-S Proof Kennedy Half Dollar</v>
      </c>
      <c r="W20" s="330" t="str">
        <f>IFERROR(MATCH(V20,CoinCollection!O:O,0),"")</f>
        <v/>
      </c>
      <c r="X20" s="330" t="str">
        <f t="shared" si="8"/>
        <v>2009-S Silver Proof Kennedy Half Dollar</v>
      </c>
      <c r="Y20" s="330" t="str">
        <f>IFERROR(MATCH(X20,CoinCollection!O:O,0),"")</f>
        <v/>
      </c>
      <c r="Z20" s="330" t="str">
        <f t="shared" si="9"/>
        <v>2018-P Kennedy Half Dollar</v>
      </c>
      <c r="AA20" s="330" t="str">
        <f>IFERROR(MATCH(Z20,CoinCollection!O:O,0),"")</f>
        <v/>
      </c>
      <c r="AE20" s="330" t="str">
        <v>1976-D CN</v>
      </c>
      <c r="AH20" s="426" t="str">
        <v>1976-D CN</v>
      </c>
    </row>
    <row r="21" spans="1:34">
      <c r="A21" s="334" t="b">
        <f t="shared" si="10"/>
        <v>1</v>
      </c>
      <c r="B21" s="365">
        <v>1971</v>
      </c>
      <c r="C21" s="341" t="b">
        <f t="shared" si="11"/>
        <v>1</v>
      </c>
      <c r="D21" s="337" t="s">
        <v>900</v>
      </c>
      <c r="E21" s="341" t="b">
        <f t="shared" si="0"/>
        <v>0</v>
      </c>
      <c r="F21" s="337" t="s">
        <v>5105</v>
      </c>
      <c r="G21" s="336" t="b">
        <f t="shared" si="1"/>
        <v>0</v>
      </c>
      <c r="H21" s="337" t="s">
        <v>939</v>
      </c>
      <c r="I21" s="336" t="b">
        <f t="shared" si="2"/>
        <v>0</v>
      </c>
      <c r="J21" s="337" t="s">
        <v>960</v>
      </c>
      <c r="K21" s="336" t="b">
        <f t="shared" si="3"/>
        <v>0</v>
      </c>
      <c r="L21" s="337" t="s">
        <v>2561</v>
      </c>
      <c r="M21" s="337"/>
      <c r="N21" s="345"/>
      <c r="P21" t="str">
        <f t="shared" ref="P21:P32" si="14">B21&amp;" "&amp;$A$1</f>
        <v>1971 Kennedy Half Dollar</v>
      </c>
      <c r="Q21" s="330">
        <f>IFERROR(MATCH(P21,CoinCollection!O:O,0),"")</f>
        <v>2108</v>
      </c>
      <c r="R21" s="330" t="str">
        <f t="shared" si="5"/>
        <v>1982-D Kennedy Half Dollar</v>
      </c>
      <c r="S21" s="330" t="str">
        <f>IFERROR(MATCH(R21,CoinCollection!O:O,0),"")</f>
        <v/>
      </c>
      <c r="T21" t="str">
        <f t="shared" si="6"/>
        <v>1993-S Proof Kennedy Half Dollar</v>
      </c>
      <c r="U21" s="330" t="str">
        <f>IFERROR(MATCH(T21,CoinCollection!O:O,0),"")</f>
        <v/>
      </c>
      <c r="V21" s="330" t="str">
        <f t="shared" si="7"/>
        <v>2001-S Silver Proof Kennedy Half Dollar</v>
      </c>
      <c r="W21" s="330" t="str">
        <f>IFERROR(MATCH(V21,CoinCollection!O:O,0),"")</f>
        <v/>
      </c>
      <c r="X21" s="330" t="str">
        <f t="shared" si="8"/>
        <v>2010-P Kennedy Half Dollar</v>
      </c>
      <c r="Y21" s="330" t="str">
        <f>IFERROR(MATCH(X21,CoinCollection!O:O,0),"")</f>
        <v/>
      </c>
      <c r="Z21" s="330" t="str">
        <f t="shared" si="9"/>
        <v>2018-D Kennedy Half Dollar</v>
      </c>
      <c r="AA21" s="330" t="str">
        <f>IFERROR(MATCH(Z21,CoinCollection!O:O,0),"")</f>
        <v/>
      </c>
      <c r="AE21" s="330" t="str">
        <v>1976-S Half CN Proof</v>
      </c>
      <c r="AH21" s="330" t="str">
        <v>1976-S Half CN Proof</v>
      </c>
    </row>
    <row r="22" spans="1:34">
      <c r="A22" s="334" t="b">
        <f t="shared" si="10"/>
        <v>1</v>
      </c>
      <c r="B22" s="421" t="s">
        <v>886</v>
      </c>
      <c r="C22" s="341" t="b">
        <f t="shared" si="11"/>
        <v>1</v>
      </c>
      <c r="D22" s="342" t="s">
        <v>2519</v>
      </c>
      <c r="E22" s="341" t="b">
        <f t="shared" si="0"/>
        <v>0</v>
      </c>
      <c r="F22" s="342" t="s">
        <v>923</v>
      </c>
      <c r="G22" s="336" t="b">
        <f t="shared" si="1"/>
        <v>0</v>
      </c>
      <c r="H22" s="342" t="s">
        <v>940</v>
      </c>
      <c r="I22" s="336" t="b">
        <f t="shared" si="2"/>
        <v>0</v>
      </c>
      <c r="J22" s="342" t="s">
        <v>2553</v>
      </c>
      <c r="K22" s="336" t="b">
        <f t="shared" si="3"/>
        <v>0</v>
      </c>
      <c r="L22" s="342" t="s">
        <v>5131</v>
      </c>
      <c r="M22" s="342"/>
      <c r="N22" s="344"/>
      <c r="P22" t="str">
        <f t="shared" si="14"/>
        <v>1971-D Kennedy Half Dollar</v>
      </c>
      <c r="Q22" s="330">
        <f>IFERROR(MATCH(P22,CoinCollection!O:O,0),"")</f>
        <v>2112</v>
      </c>
      <c r="R22" s="330" t="str">
        <f t="shared" si="5"/>
        <v>1982-S Proof Kennedy Half Dollar</v>
      </c>
      <c r="S22" s="330" t="str">
        <f>IFERROR(MATCH(R22,CoinCollection!O:O,0),"")</f>
        <v/>
      </c>
      <c r="T22" t="str">
        <f t="shared" si="6"/>
        <v>1993-S Silver Proof Kennedy Half Dollar</v>
      </c>
      <c r="U22" s="330" t="str">
        <f>IFERROR(MATCH(T22,CoinCollection!O:O,0),"")</f>
        <v/>
      </c>
      <c r="V22" s="330" t="str">
        <f t="shared" si="7"/>
        <v>2002-P Kennedy Half Dollar</v>
      </c>
      <c r="W22" s="330" t="str">
        <f>IFERROR(MATCH(V22,CoinCollection!O:O,0),"")</f>
        <v/>
      </c>
      <c r="X22" s="330" t="str">
        <f t="shared" si="8"/>
        <v>2010-D Kennedy Half Dollar</v>
      </c>
      <c r="Y22" s="330" t="str">
        <f>IFERROR(MATCH(X22,CoinCollection!O:O,0),"")</f>
        <v/>
      </c>
      <c r="Z22" s="330" t="str">
        <f t="shared" si="9"/>
        <v>2018-S Proof Kennedy Half Dollar</v>
      </c>
      <c r="AA22" s="330" t="str">
        <f>IFERROR(MATCH(Z22,CoinCollection!O:O,0),"")</f>
        <v/>
      </c>
      <c r="AE22" s="330" t="str">
        <v>1976-S Kennedy Half Silver Clad</v>
      </c>
      <c r="AH22" s="330" t="str">
        <v>1976-S Kennedy Half Silver Clad</v>
      </c>
    </row>
    <row r="23" spans="1:34">
      <c r="A23" s="334" t="b">
        <f t="shared" si="10"/>
        <v>0</v>
      </c>
      <c r="B23" s="420" t="s">
        <v>2499</v>
      </c>
      <c r="C23" s="341" t="b">
        <f t="shared" si="11"/>
        <v>0</v>
      </c>
      <c r="D23" s="337" t="s">
        <v>901</v>
      </c>
      <c r="E23" s="341" t="b">
        <f t="shared" si="0"/>
        <v>0</v>
      </c>
      <c r="F23" s="337" t="s">
        <v>924</v>
      </c>
      <c r="G23" s="336" t="b">
        <f t="shared" si="1"/>
        <v>0</v>
      </c>
      <c r="H23" s="337" t="s">
        <v>2545</v>
      </c>
      <c r="I23" s="336" t="b">
        <f t="shared" si="2"/>
        <v>0</v>
      </c>
      <c r="J23" s="337" t="s">
        <v>5123</v>
      </c>
      <c r="K23" s="336" t="b">
        <f t="shared" si="3"/>
        <v>0</v>
      </c>
      <c r="L23" s="337" t="s">
        <v>977</v>
      </c>
      <c r="M23" s="337"/>
      <c r="N23" s="345"/>
      <c r="P23" t="str">
        <f t="shared" si="14"/>
        <v>1971-S Proof Kennedy Half Dollar</v>
      </c>
      <c r="Q23" s="330" t="str">
        <f>IFERROR(MATCH(P23,CoinCollection!O:O,0),"")</f>
        <v/>
      </c>
      <c r="R23" s="330" t="str">
        <f t="shared" si="5"/>
        <v>1983-P Kennedy Half Dollar</v>
      </c>
      <c r="S23" s="330">
        <f>IFERROR(MATCH(R23,CoinCollection!O:O,0),"")</f>
        <v>2194</v>
      </c>
      <c r="T23" t="str">
        <f t="shared" si="6"/>
        <v>1994-P Kennedy Half Dollar</v>
      </c>
      <c r="U23" s="330" t="str">
        <f>IFERROR(MATCH(T23,CoinCollection!O:O,0),"")</f>
        <v/>
      </c>
      <c r="V23" s="330" t="str">
        <f t="shared" si="7"/>
        <v>2002-D Kennedy Half Dollar</v>
      </c>
      <c r="W23" s="330" t="str">
        <f>IFERROR(MATCH(V23,CoinCollection!O:O,0),"")</f>
        <v/>
      </c>
      <c r="X23" s="330" t="str">
        <f t="shared" si="8"/>
        <v>2010-S Proof Kennedy Half Dollar</v>
      </c>
      <c r="Y23" s="330" t="str">
        <f>IFERROR(MATCH(X23,CoinCollection!O:O,0),"")</f>
        <v/>
      </c>
      <c r="Z23" s="330" t="str">
        <f t="shared" si="9"/>
        <v>2018-S Silver Proof Kennedy Half Dollar</v>
      </c>
      <c r="AA23" s="330" t="str">
        <f>IFERROR(MATCH(Z23,CoinCollection!O:O,0),"")</f>
        <v/>
      </c>
      <c r="AE23" s="330" t="str">
        <v>1976-S Kennedy Half Silver Clad Proof</v>
      </c>
      <c r="AH23" s="330" t="str">
        <v>1976-S Kennedy Half Silver Clad Proof</v>
      </c>
    </row>
    <row r="24" spans="1:34">
      <c r="A24" s="334" t="b">
        <f t="shared" si="10"/>
        <v>1</v>
      </c>
      <c r="B24" s="394">
        <v>1972</v>
      </c>
      <c r="C24" s="341" t="b">
        <f t="shared" si="11"/>
        <v>1</v>
      </c>
      <c r="D24" s="342" t="s">
        <v>902</v>
      </c>
      <c r="E24" s="341" t="b">
        <f t="shared" si="0"/>
        <v>0</v>
      </c>
      <c r="F24" s="342" t="s">
        <v>2534</v>
      </c>
      <c r="G24" s="336" t="b">
        <f t="shared" si="1"/>
        <v>0</v>
      </c>
      <c r="H24" s="342" t="s">
        <v>5115</v>
      </c>
      <c r="I24" s="336" t="b">
        <f t="shared" si="2"/>
        <v>0</v>
      </c>
      <c r="J24" s="342" t="s">
        <v>961</v>
      </c>
      <c r="K24" s="336" t="b">
        <f t="shared" si="3"/>
        <v>0</v>
      </c>
      <c r="L24" s="342" t="s">
        <v>978</v>
      </c>
      <c r="M24" s="342"/>
      <c r="N24" s="344"/>
      <c r="P24" t="str">
        <f t="shared" si="14"/>
        <v>1972 Kennedy Half Dollar</v>
      </c>
      <c r="Q24" s="330">
        <f>IFERROR(MATCH(P24,CoinCollection!O:O,0),"")</f>
        <v>2128</v>
      </c>
      <c r="R24" s="330" t="str">
        <f t="shared" si="5"/>
        <v>1983-D Kennedy Half Dollar</v>
      </c>
      <c r="S24" s="330">
        <f>IFERROR(MATCH(R24,CoinCollection!O:O,0),"")</f>
        <v>2200</v>
      </c>
      <c r="T24" t="str">
        <f t="shared" si="6"/>
        <v>1994-D Kennedy Half Dollar</v>
      </c>
      <c r="U24" s="330" t="str">
        <f>IFERROR(MATCH(T24,CoinCollection!O:O,0),"")</f>
        <v/>
      </c>
      <c r="V24" s="330" t="str">
        <f t="shared" si="7"/>
        <v>2002-S Proof Kennedy Half Dollar</v>
      </c>
      <c r="W24" s="330" t="str">
        <f>IFERROR(MATCH(V24,CoinCollection!O:O,0),"")</f>
        <v/>
      </c>
      <c r="X24" s="330" t="str">
        <f t="shared" si="8"/>
        <v>2010-S Silver Proof Kennedy Half Dollar</v>
      </c>
      <c r="Y24" s="330" t="str">
        <f>IFERROR(MATCH(X24,CoinCollection!O:O,0),"")</f>
        <v/>
      </c>
      <c r="Z24" s="330" t="str">
        <f t="shared" si="9"/>
        <v>2019-P Kennedy Half Dollar</v>
      </c>
      <c r="AA24" s="330" t="str">
        <f>IFERROR(MATCH(Z24,CoinCollection!O:O,0),"")</f>
        <v/>
      </c>
      <c r="AE24" s="330" t="str">
        <v>1977-D</v>
      </c>
      <c r="AH24" s="330" t="str">
        <v>1977-D</v>
      </c>
    </row>
    <row r="25" spans="1:34">
      <c r="A25" s="334" t="b">
        <f t="shared" si="10"/>
        <v>0</v>
      </c>
      <c r="B25" s="424" t="s">
        <v>887</v>
      </c>
      <c r="C25" s="341" t="b">
        <f t="shared" si="11"/>
        <v>0</v>
      </c>
      <c r="D25" s="337" t="s">
        <v>2520</v>
      </c>
      <c r="E25" s="341" t="b">
        <f t="shared" si="0"/>
        <v>0</v>
      </c>
      <c r="F25" s="337" t="s">
        <v>5106</v>
      </c>
      <c r="G25" s="336" t="b">
        <f t="shared" si="1"/>
        <v>0</v>
      </c>
      <c r="H25" s="337" t="s">
        <v>941</v>
      </c>
      <c r="I25" s="336" t="b">
        <f t="shared" si="2"/>
        <v>0</v>
      </c>
      <c r="J25" s="337" t="s">
        <v>962</v>
      </c>
      <c r="K25" s="336" t="b">
        <f t="shared" si="3"/>
        <v>0</v>
      </c>
      <c r="L25" s="337" t="s">
        <v>2562</v>
      </c>
      <c r="M25" s="337"/>
      <c r="N25" s="345"/>
      <c r="P25" t="str">
        <f t="shared" si="14"/>
        <v>1972-D Kennedy Half Dollar</v>
      </c>
      <c r="Q25" s="330" t="str">
        <f>IFERROR(MATCH(P25,CoinCollection!O:O,0),"")</f>
        <v/>
      </c>
      <c r="R25" s="330" t="str">
        <f t="shared" si="5"/>
        <v>1983-S Proof Kennedy Half Dollar</v>
      </c>
      <c r="S25" s="330" t="str">
        <f>IFERROR(MATCH(R25,CoinCollection!O:O,0),"")</f>
        <v/>
      </c>
      <c r="T25" t="str">
        <f t="shared" si="6"/>
        <v>1994-S Proof Kennedy Half Dollar</v>
      </c>
      <c r="U25" s="330" t="str">
        <f>IFERROR(MATCH(T25,CoinCollection!O:O,0),"")</f>
        <v/>
      </c>
      <c r="V25" s="330" t="str">
        <f t="shared" si="7"/>
        <v>2002-S Silver Proof Kennedy Half Dollar</v>
      </c>
      <c r="W25" s="330" t="str">
        <f>IFERROR(MATCH(V25,CoinCollection!O:O,0),"")</f>
        <v/>
      </c>
      <c r="X25" s="330" t="str">
        <f t="shared" si="8"/>
        <v>2011-P Kennedy Half Dollar</v>
      </c>
      <c r="Y25" s="330" t="str">
        <f>IFERROR(MATCH(X25,CoinCollection!O:O,0),"")</f>
        <v/>
      </c>
      <c r="Z25" s="330" t="str">
        <f t="shared" si="9"/>
        <v>2019-D Kennedy Half Dollar</v>
      </c>
      <c r="AA25" s="330" t="str">
        <f>IFERROR(MATCH(Z25,CoinCollection!O:O,0),"")</f>
        <v/>
      </c>
      <c r="AE25" s="330" t="str">
        <v>1977-S Proof</v>
      </c>
      <c r="AH25" s="330" t="str">
        <v>1977-S Proof</v>
      </c>
    </row>
    <row r="26" spans="1:34">
      <c r="A26" s="334" t="b">
        <f t="shared" si="10"/>
        <v>0</v>
      </c>
      <c r="B26" s="425" t="s">
        <v>2501</v>
      </c>
      <c r="C26" s="341" t="b">
        <f t="shared" si="11"/>
        <v>0</v>
      </c>
      <c r="D26" s="342" t="s">
        <v>903</v>
      </c>
      <c r="E26" s="341" t="b">
        <f t="shared" si="0"/>
        <v>0</v>
      </c>
      <c r="F26" s="342" t="s">
        <v>925</v>
      </c>
      <c r="G26" s="336" t="b">
        <f t="shared" si="1"/>
        <v>0</v>
      </c>
      <c r="H26" s="342" t="s">
        <v>942</v>
      </c>
      <c r="I26" s="336" t="b">
        <f t="shared" si="2"/>
        <v>0</v>
      </c>
      <c r="J26" s="342" t="s">
        <v>2554</v>
      </c>
      <c r="K26" s="336" t="b">
        <f t="shared" si="3"/>
        <v>0</v>
      </c>
      <c r="L26" s="342" t="s">
        <v>5132</v>
      </c>
      <c r="M26" s="342"/>
      <c r="N26" s="344"/>
      <c r="P26" t="str">
        <f t="shared" si="14"/>
        <v>1972-S Proof Kennedy Half Dollar</v>
      </c>
      <c r="Q26" s="330" t="str">
        <f>IFERROR(MATCH(P26,CoinCollection!O:O,0),"")</f>
        <v/>
      </c>
      <c r="R26" s="330" t="str">
        <f t="shared" si="5"/>
        <v>1984-P Kennedy Half Dollar</v>
      </c>
      <c r="S26" s="330">
        <f>IFERROR(MATCH(R26,CoinCollection!O:O,0),"")</f>
        <v>2201</v>
      </c>
      <c r="T26" t="str">
        <f t="shared" si="6"/>
        <v>1994-S Silver Proof Kennedy Half Dollar</v>
      </c>
      <c r="U26" s="330" t="str">
        <f>IFERROR(MATCH(T26,CoinCollection!O:O,0),"")</f>
        <v/>
      </c>
      <c r="V26" s="330" t="str">
        <f t="shared" si="7"/>
        <v>2003-P Kennedy Half Dollar</v>
      </c>
      <c r="W26" s="330" t="str">
        <f>IFERROR(MATCH(V26,CoinCollection!O:O,0),"")</f>
        <v/>
      </c>
      <c r="X26" s="330" t="str">
        <f t="shared" si="8"/>
        <v>2011-D Kennedy Half Dollar</v>
      </c>
      <c r="Y26" s="330" t="str">
        <f>IFERROR(MATCH(X26,CoinCollection!O:O,0),"")</f>
        <v/>
      </c>
      <c r="Z26" s="330" t="str">
        <f t="shared" si="9"/>
        <v>2019-S Proof Kennedy Half Dollar</v>
      </c>
      <c r="AA26" s="330" t="str">
        <f>IFERROR(MATCH(Z26,CoinCollection!O:O,0),"")</f>
        <v/>
      </c>
      <c r="AE26" s="330" t="str">
        <v>1978</v>
      </c>
      <c r="AH26" s="330" t="str">
        <v>1978</v>
      </c>
    </row>
    <row r="27" spans="1:34">
      <c r="A27" s="334" t="b">
        <f t="shared" si="10"/>
        <v>1</v>
      </c>
      <c r="B27" s="365">
        <v>1973</v>
      </c>
      <c r="C27" s="341" t="b">
        <f t="shared" si="11"/>
        <v>1</v>
      </c>
      <c r="D27" s="337" t="s">
        <v>904</v>
      </c>
      <c r="E27" s="341" t="b">
        <f t="shared" si="0"/>
        <v>0</v>
      </c>
      <c r="F27" s="337" t="s">
        <v>926</v>
      </c>
      <c r="G27" s="336" t="b">
        <f t="shared" si="1"/>
        <v>0</v>
      </c>
      <c r="H27" s="337" t="s">
        <v>2546</v>
      </c>
      <c r="I27" s="336" t="b">
        <f t="shared" si="2"/>
        <v>0</v>
      </c>
      <c r="J27" s="337" t="s">
        <v>5124</v>
      </c>
      <c r="K27" s="336" t="b">
        <f t="shared" si="3"/>
        <v>0</v>
      </c>
      <c r="L27" s="337" t="s">
        <v>979</v>
      </c>
      <c r="M27" s="337"/>
      <c r="N27" s="345"/>
      <c r="P27" t="str">
        <f t="shared" si="14"/>
        <v>1973 Kennedy Half Dollar</v>
      </c>
      <c r="Q27" s="330">
        <f>IFERROR(MATCH(P27,CoinCollection!O:O,0),"")</f>
        <v>2134</v>
      </c>
      <c r="R27" s="330" t="str">
        <f t="shared" si="5"/>
        <v>1984-D Kennedy Half Dollar</v>
      </c>
      <c r="S27" s="330" t="str">
        <f>IFERROR(MATCH(R27,CoinCollection!O:O,0),"")</f>
        <v/>
      </c>
      <c r="T27" t="str">
        <f t="shared" si="6"/>
        <v>1995-P Kennedy Half Dollar</v>
      </c>
      <c r="U27" s="330" t="str">
        <f>IFERROR(MATCH(T27,CoinCollection!O:O,0),"")</f>
        <v/>
      </c>
      <c r="V27" s="330" t="str">
        <f t="shared" si="7"/>
        <v>2003-D Kennedy Half Dollar</v>
      </c>
      <c r="W27" s="330" t="str">
        <f>IFERROR(MATCH(V27,CoinCollection!O:O,0),"")</f>
        <v/>
      </c>
      <c r="X27" s="330" t="str">
        <f t="shared" si="8"/>
        <v>2011-S Proof Kennedy Half Dollar</v>
      </c>
      <c r="Y27" s="330" t="str">
        <f>IFERROR(MATCH(X27,CoinCollection!O:O,0),"")</f>
        <v/>
      </c>
      <c r="Z27" s="330" t="str">
        <f t="shared" si="9"/>
        <v>2019-S Silver Proof Kennedy Half Dollar</v>
      </c>
      <c r="AA27" s="330" t="str">
        <f>IFERROR(MATCH(Z27,CoinCollection!O:O,0),"")</f>
        <v/>
      </c>
      <c r="AE27" s="330" t="str">
        <v>1978-S Proof</v>
      </c>
      <c r="AH27" s="330" t="str">
        <v>1978-S Proof</v>
      </c>
    </row>
    <row r="28" spans="1:34">
      <c r="A28" s="334" t="b">
        <f t="shared" si="10"/>
        <v>0</v>
      </c>
      <c r="B28" s="425" t="s">
        <v>888</v>
      </c>
      <c r="C28" s="341" t="b">
        <f t="shared" si="11"/>
        <v>0</v>
      </c>
      <c r="D28" s="342" t="s">
        <v>2521</v>
      </c>
      <c r="E28" s="341" t="b">
        <f t="shared" si="0"/>
        <v>0</v>
      </c>
      <c r="F28" s="342" t="s">
        <v>2537</v>
      </c>
      <c r="G28" s="336" t="b">
        <f t="shared" si="1"/>
        <v>0</v>
      </c>
      <c r="H28" s="342" t="s">
        <v>5116</v>
      </c>
      <c r="I28" s="336" t="b">
        <f t="shared" si="2"/>
        <v>0</v>
      </c>
      <c r="J28" s="342" t="s">
        <v>963</v>
      </c>
      <c r="K28" s="336" t="b">
        <f t="shared" si="3"/>
        <v>0</v>
      </c>
      <c r="L28" s="342" t="s">
        <v>980</v>
      </c>
      <c r="M28" s="342"/>
      <c r="N28" s="344"/>
      <c r="P28" t="str">
        <f t="shared" si="14"/>
        <v>1973-D Kennedy Half Dollar</v>
      </c>
      <c r="Q28" s="330" t="str">
        <f>IFERROR(MATCH(P28,CoinCollection!O:O,0),"")</f>
        <v/>
      </c>
      <c r="R28" s="330" t="str">
        <f t="shared" si="5"/>
        <v>1984-S Proof Kennedy Half Dollar</v>
      </c>
      <c r="S28" s="330" t="str">
        <f>IFERROR(MATCH(R28,CoinCollection!O:O,0),"")</f>
        <v/>
      </c>
      <c r="T28" t="str">
        <f t="shared" si="6"/>
        <v>1995-D Kennedy Half Dollar</v>
      </c>
      <c r="U28" s="330" t="str">
        <f>IFERROR(MATCH(T28,CoinCollection!O:O,0),"")</f>
        <v/>
      </c>
      <c r="V28" s="330" t="str">
        <f t="shared" si="7"/>
        <v>2003-S Proof Kennedy Half Dollar</v>
      </c>
      <c r="W28" s="330" t="str">
        <f>IFERROR(MATCH(V28,CoinCollection!O:O,0),"")</f>
        <v/>
      </c>
      <c r="X28" s="330" t="str">
        <f t="shared" si="8"/>
        <v>2011-S Silver Proof Kennedy Half Dollar</v>
      </c>
      <c r="Y28" s="330" t="str">
        <f>IFERROR(MATCH(X28,CoinCollection!O:O,0),"")</f>
        <v/>
      </c>
      <c r="Z28" s="330" t="str">
        <f t="shared" si="9"/>
        <v>2020-P Kennedy Half Dollar</v>
      </c>
      <c r="AA28" s="330" t="str">
        <f>IFERROR(MATCH(Z28,CoinCollection!O:O,0),"")</f>
        <v/>
      </c>
      <c r="AE28" s="330" t="str">
        <v>1979-D</v>
      </c>
      <c r="AH28" s="330" t="str">
        <v>1979-D</v>
      </c>
    </row>
    <row r="29" spans="1:34">
      <c r="A29" s="334" t="b">
        <f t="shared" si="10"/>
        <v>0</v>
      </c>
      <c r="B29" s="424" t="s">
        <v>2503</v>
      </c>
      <c r="C29" s="341" t="b">
        <f t="shared" si="11"/>
        <v>0</v>
      </c>
      <c r="D29" s="337" t="s">
        <v>905</v>
      </c>
      <c r="E29" s="341" t="b">
        <f t="shared" si="0"/>
        <v>0</v>
      </c>
      <c r="F29" s="337" t="s">
        <v>5107</v>
      </c>
      <c r="G29" s="336" t="b">
        <f t="shared" si="1"/>
        <v>0</v>
      </c>
      <c r="H29" s="337" t="s">
        <v>943</v>
      </c>
      <c r="I29" s="336" t="b">
        <f t="shared" si="2"/>
        <v>0</v>
      </c>
      <c r="J29" s="337" t="s">
        <v>964</v>
      </c>
      <c r="K29" s="336" t="b">
        <f t="shared" si="3"/>
        <v>0</v>
      </c>
      <c r="L29" s="337" t="s">
        <v>2563</v>
      </c>
      <c r="M29" s="337"/>
      <c r="N29" s="345"/>
      <c r="P29" t="str">
        <f t="shared" si="14"/>
        <v>1973-S Proof Kennedy Half Dollar</v>
      </c>
      <c r="Q29" s="330" t="str">
        <f>IFERROR(MATCH(P29,CoinCollection!O:O,0),"")</f>
        <v/>
      </c>
      <c r="R29" s="330" t="str">
        <f t="shared" si="5"/>
        <v>1985-P Kennedy Half Dollar</v>
      </c>
      <c r="S29" s="330" t="str">
        <f>IFERROR(MATCH(R29,CoinCollection!O:O,0),"")</f>
        <v/>
      </c>
      <c r="T29" t="str">
        <f t="shared" si="6"/>
        <v>1995-S Proof Kennedy Half Dollar</v>
      </c>
      <c r="U29" s="330" t="str">
        <f>IFERROR(MATCH(T29,CoinCollection!O:O,0),"")</f>
        <v/>
      </c>
      <c r="V29" s="330" t="str">
        <f t="shared" si="7"/>
        <v>2003-S Silver Proof Kennedy Half Dollar</v>
      </c>
      <c r="W29" s="330" t="str">
        <f>IFERROR(MATCH(V29,CoinCollection!O:O,0),"")</f>
        <v/>
      </c>
      <c r="X29" s="330" t="str">
        <f t="shared" si="8"/>
        <v>2012-P Kennedy Half Dollar</v>
      </c>
      <c r="Y29" s="330" t="str">
        <f>IFERROR(MATCH(X29,CoinCollection!O:O,0),"")</f>
        <v/>
      </c>
      <c r="Z29" s="330" t="str">
        <f t="shared" si="9"/>
        <v>2020-D Kennedy Half Dollar</v>
      </c>
      <c r="AA29" s="330" t="str">
        <f>IFERROR(MATCH(Z29,CoinCollection!O:O,0),"")</f>
        <v/>
      </c>
      <c r="AE29" s="330" t="str">
        <v>1979-S Proof, Clear S</v>
      </c>
      <c r="AH29" s="330" t="str">
        <v>1979-S Proof, Clear S</v>
      </c>
    </row>
    <row r="30" spans="1:34">
      <c r="A30" s="334" t="b">
        <f t="shared" si="10"/>
        <v>1</v>
      </c>
      <c r="B30" s="394">
        <v>1974</v>
      </c>
      <c r="C30" s="341" t="b">
        <f t="shared" si="11"/>
        <v>1</v>
      </c>
      <c r="D30" s="342" t="s">
        <v>906</v>
      </c>
      <c r="E30" s="341" t="b">
        <f t="shared" si="0"/>
        <v>0</v>
      </c>
      <c r="F30" s="342" t="s">
        <v>927</v>
      </c>
      <c r="G30" s="336" t="b">
        <f t="shared" si="1"/>
        <v>0</v>
      </c>
      <c r="H30" s="342" t="s">
        <v>945</v>
      </c>
      <c r="I30" s="336" t="b">
        <f t="shared" si="2"/>
        <v>0</v>
      </c>
      <c r="J30" s="342" t="s">
        <v>2555</v>
      </c>
      <c r="K30" s="336" t="b">
        <f t="shared" si="3"/>
        <v>0</v>
      </c>
      <c r="L30" s="342" t="s">
        <v>5133</v>
      </c>
      <c r="M30" s="342"/>
      <c r="N30" s="344"/>
      <c r="P30" t="str">
        <f t="shared" si="14"/>
        <v>1974 Kennedy Half Dollar</v>
      </c>
      <c r="Q30" s="330">
        <f>IFERROR(MATCH(P30,CoinCollection!O:O,0),"")</f>
        <v>2140</v>
      </c>
      <c r="R30" s="330" t="str">
        <f t="shared" si="5"/>
        <v>1985-D Kennedy Half Dollar</v>
      </c>
      <c r="S30" s="330">
        <f>IFERROR(MATCH(R30,CoinCollection!O:O,0),"")</f>
        <v>2204</v>
      </c>
      <c r="T30" t="str">
        <f t="shared" si="6"/>
        <v>1995-S Silver Proof Kennedy Half Dollar</v>
      </c>
      <c r="U30" s="330" t="str">
        <f>IFERROR(MATCH(T30,CoinCollection!O:O,0),"")</f>
        <v/>
      </c>
      <c r="V30" s="330" t="str">
        <f t="shared" si="7"/>
        <v>2004-P Kennedy Half Dollar</v>
      </c>
      <c r="W30" s="330" t="str">
        <f>IFERROR(MATCH(V30,CoinCollection!O:O,0),"")</f>
        <v/>
      </c>
      <c r="X30" s="330" t="str">
        <f t="shared" si="8"/>
        <v>2012-D Kennedy Half Dollar</v>
      </c>
      <c r="Y30" s="330" t="str">
        <f>IFERROR(MATCH(X30,CoinCollection!O:O,0),"")</f>
        <v/>
      </c>
      <c r="Z30" s="330" t="str">
        <f t="shared" si="9"/>
        <v>2020-S Proof Kennedy Half Dollar</v>
      </c>
      <c r="AA30" s="330" t="str">
        <f>IFERROR(MATCH(Z30,CoinCollection!O:O,0),"")</f>
        <v/>
      </c>
      <c r="AE30" s="330" t="str">
        <v>1980-D</v>
      </c>
      <c r="AH30" s="330" t="str">
        <v>1980-D</v>
      </c>
    </row>
    <row r="31" spans="1:34">
      <c r="A31" s="334" t="b">
        <f t="shared" si="10"/>
        <v>1</v>
      </c>
      <c r="B31" s="424" t="s">
        <v>889</v>
      </c>
      <c r="C31" s="341" t="b">
        <f t="shared" si="11"/>
        <v>1</v>
      </c>
      <c r="D31" s="337" t="s">
        <v>2522</v>
      </c>
      <c r="E31" s="341" t="b">
        <f t="shared" si="0"/>
        <v>0</v>
      </c>
      <c r="F31" s="337" t="s">
        <v>928</v>
      </c>
      <c r="G31" s="336" t="b">
        <f t="shared" si="1"/>
        <v>0</v>
      </c>
      <c r="H31" s="337" t="s">
        <v>2547</v>
      </c>
      <c r="I31" s="336" t="b">
        <f t="shared" si="2"/>
        <v>0</v>
      </c>
      <c r="J31" s="337" t="s">
        <v>5125</v>
      </c>
      <c r="K31" s="336" t="b">
        <f t="shared" si="3"/>
        <v>0</v>
      </c>
      <c r="L31" s="337" t="s">
        <v>2564</v>
      </c>
      <c r="M31" s="337"/>
      <c r="N31" s="345"/>
      <c r="P31" t="str">
        <f t="shared" si="14"/>
        <v>1974-D Kennedy Half Dollar</v>
      </c>
      <c r="Q31" s="330">
        <f>IFERROR(MATCH(P31,CoinCollection!O:O,0),"")</f>
        <v>2147</v>
      </c>
      <c r="R31" s="330" t="str">
        <f t="shared" si="5"/>
        <v>1985-S Proof Kennedy Half Dollar</v>
      </c>
      <c r="S31" s="330" t="str">
        <f>IFERROR(MATCH(R31,CoinCollection!O:O,0),"")</f>
        <v/>
      </c>
      <c r="T31" t="str">
        <f t="shared" si="6"/>
        <v>1996-P Kennedy Half Dollar</v>
      </c>
      <c r="U31" s="330" t="str">
        <f>IFERROR(MATCH(T31,CoinCollection!O:O,0),"")</f>
        <v/>
      </c>
      <c r="V31" s="330" t="str">
        <f t="shared" si="7"/>
        <v>2004-D Kennedy Half Dollar</v>
      </c>
      <c r="W31" s="330" t="str">
        <f>IFERROR(MATCH(V31,CoinCollection!O:O,0),"")</f>
        <v/>
      </c>
      <c r="X31" s="330" t="str">
        <f t="shared" si="8"/>
        <v>2012-S Proof Kennedy Half Dollar</v>
      </c>
      <c r="Y31" s="330" t="str">
        <f>IFERROR(MATCH(X31,CoinCollection!O:O,0),"")</f>
        <v/>
      </c>
      <c r="Z31" s="330" t="str">
        <f t="shared" si="9"/>
        <v>2020-S Silver Proof Kennedy Half Dollar</v>
      </c>
      <c r="AA31" s="330" t="str">
        <f>IFERROR(MATCH(Z31,CoinCollection!O:O,0),"")</f>
        <v/>
      </c>
      <c r="AE31" s="330" t="str">
        <v>1981-P</v>
      </c>
      <c r="AH31" s="330" t="str">
        <v>1981-P</v>
      </c>
    </row>
    <row r="32" spans="1:34">
      <c r="A32" s="334" t="b">
        <f t="shared" si="10"/>
        <v>0</v>
      </c>
      <c r="B32" s="425" t="s">
        <v>2505</v>
      </c>
      <c r="C32" s="341" t="b">
        <f t="shared" si="11"/>
        <v>0</v>
      </c>
      <c r="D32" s="342" t="s">
        <v>907</v>
      </c>
      <c r="E32" s="341" t="b">
        <f t="shared" si="0"/>
        <v>0</v>
      </c>
      <c r="F32" s="342" t="s">
        <v>2538</v>
      </c>
      <c r="G32" s="336" t="b">
        <f t="shared" si="1"/>
        <v>0</v>
      </c>
      <c r="H32" s="342" t="s">
        <v>5117</v>
      </c>
      <c r="I32" s="336" t="b">
        <f t="shared" si="2"/>
        <v>0</v>
      </c>
      <c r="J32" s="342" t="s">
        <v>965</v>
      </c>
      <c r="K32" s="336" t="b">
        <f t="shared" si="3"/>
        <v>0</v>
      </c>
      <c r="L32" s="342" t="s">
        <v>2565</v>
      </c>
      <c r="M32" s="342"/>
      <c r="N32" s="344"/>
      <c r="P32" t="str">
        <f t="shared" si="14"/>
        <v>1974-S Proof Kennedy Half Dollar</v>
      </c>
      <c r="Q32" s="330" t="str">
        <f>IFERROR(MATCH(P32,CoinCollection!O:O,0),"")</f>
        <v/>
      </c>
      <c r="R32" s="330" t="str">
        <f t="shared" si="5"/>
        <v>1986-P Kennedy Half Dollar</v>
      </c>
      <c r="S32" s="330" t="str">
        <f>IFERROR(MATCH(R32,CoinCollection!O:O,0),"")</f>
        <v/>
      </c>
      <c r="T32" t="str">
        <f t="shared" si="6"/>
        <v>1996-D Kennedy Half Dollar</v>
      </c>
      <c r="U32" s="330" t="str">
        <f>IFERROR(MATCH(T32,CoinCollection!O:O,0),"")</f>
        <v/>
      </c>
      <c r="V32" s="330" t="str">
        <f t="shared" si="7"/>
        <v>2004-S Proof Kennedy Half Dollar</v>
      </c>
      <c r="W32" s="330" t="str">
        <f>IFERROR(MATCH(V32,CoinCollection!O:O,0),"")</f>
        <v/>
      </c>
      <c r="X32" s="330" t="str">
        <f t="shared" si="8"/>
        <v>2012-S Silver Proof Kennedy Half Dollar</v>
      </c>
      <c r="Y32" s="330" t="str">
        <f>IFERROR(MATCH(X32,CoinCollection!O:O,0),"")</f>
        <v/>
      </c>
      <c r="Z32" s="330" t="str">
        <f t="shared" si="9"/>
        <v>2021-P Kennedy Half Dollar</v>
      </c>
      <c r="AA32" s="330" t="str">
        <f>IFERROR(MATCH(Z32,CoinCollection!O:O,0),"")</f>
        <v/>
      </c>
      <c r="AE32" s="330" t="str">
        <v>1981-D</v>
      </c>
      <c r="AH32" s="330" t="str">
        <v>1981-D</v>
      </c>
    </row>
    <row r="33" spans="1:34">
      <c r="A33" s="455" t="s">
        <v>53</v>
      </c>
      <c r="B33" s="369" t="s">
        <v>4700</v>
      </c>
      <c r="C33" s="341" t="b">
        <f t="shared" si="11"/>
        <v>0</v>
      </c>
      <c r="D33" s="337" t="s">
        <v>908</v>
      </c>
      <c r="E33" s="341" t="b">
        <f t="shared" si="0"/>
        <v>0</v>
      </c>
      <c r="F33" s="337" t="s">
        <v>5108</v>
      </c>
      <c r="G33" s="336" t="b">
        <f t="shared" si="1"/>
        <v>0</v>
      </c>
      <c r="H33" s="337" t="s">
        <v>947</v>
      </c>
      <c r="I33" s="336" t="b">
        <f t="shared" si="2"/>
        <v>0</v>
      </c>
      <c r="J33" s="337" t="s">
        <v>966</v>
      </c>
      <c r="K33" s="336" t="b">
        <f t="shared" si="3"/>
        <v>0</v>
      </c>
      <c r="L33" s="337" t="s">
        <v>4946</v>
      </c>
      <c r="M33" s="337"/>
      <c r="N33" s="345"/>
      <c r="Q33" s="330" t="str">
        <f>IFERROR(MATCH(P33,CoinCollection!O:O,0),"")</f>
        <v/>
      </c>
      <c r="R33" s="330" t="str">
        <f t="shared" si="5"/>
        <v>1986-D Kennedy Half Dollar</v>
      </c>
      <c r="S33" s="330" t="str">
        <f>IFERROR(MATCH(R33,CoinCollection!O:O,0),"")</f>
        <v/>
      </c>
      <c r="T33" t="str">
        <f t="shared" si="6"/>
        <v>1996-S Proof Kennedy Half Dollar</v>
      </c>
      <c r="U33" s="330" t="str">
        <f>IFERROR(MATCH(T33,CoinCollection!O:O,0),"")</f>
        <v/>
      </c>
      <c r="V33" s="330" t="str">
        <f t="shared" si="7"/>
        <v>2004-S Silver Proof Kennedy Half Dollar</v>
      </c>
      <c r="W33" s="330" t="str">
        <f>IFERROR(MATCH(V33,CoinCollection!O:O,0),"")</f>
        <v/>
      </c>
      <c r="X33" s="330" t="str">
        <f t="shared" si="8"/>
        <v>2013-P Kennedy Half Dollar</v>
      </c>
      <c r="Y33" s="330" t="str">
        <f>IFERROR(MATCH(X33,CoinCollection!O:O,0),"")</f>
        <v/>
      </c>
      <c r="Z33" s="330" t="str">
        <f t="shared" si="9"/>
        <v>2021-D Kennedy Half Dollar</v>
      </c>
      <c r="AA33" s="330" t="str">
        <f>IFERROR(MATCH(Z33,CoinCollection!O:O,0),"")</f>
        <v/>
      </c>
      <c r="AE33" s="330" t="str">
        <v>1981-S Proof</v>
      </c>
      <c r="AH33" s="330" t="str">
        <v>1981-S Proof</v>
      </c>
    </row>
    <row r="34" spans="1:34">
      <c r="A34" s="334" t="b">
        <f t="shared" si="10"/>
        <v>0</v>
      </c>
      <c r="B34" s="425" t="s">
        <v>2337</v>
      </c>
      <c r="C34" s="341" t="b">
        <f t="shared" si="11"/>
        <v>0</v>
      </c>
      <c r="D34" s="342" t="s">
        <v>2523</v>
      </c>
      <c r="E34" s="341" t="b">
        <f t="shared" si="0"/>
        <v>0</v>
      </c>
      <c r="F34" s="342" t="s">
        <v>929</v>
      </c>
      <c r="G34" s="336" t="b">
        <f t="shared" si="1"/>
        <v>0</v>
      </c>
      <c r="H34" s="342" t="s">
        <v>949</v>
      </c>
      <c r="I34" s="336" t="b">
        <f t="shared" si="2"/>
        <v>0</v>
      </c>
      <c r="J34" s="342" t="s">
        <v>2556</v>
      </c>
      <c r="K34" s="336" t="b">
        <f t="shared" si="3"/>
        <v>0</v>
      </c>
      <c r="L34" s="342" t="s">
        <v>5134</v>
      </c>
      <c r="M34" s="342"/>
      <c r="N34" s="344"/>
      <c r="P34" t="str">
        <f>B34&amp;" "&amp;$A$1</f>
        <v>1976 CN Kennedy Half Dollar</v>
      </c>
      <c r="Q34" s="330" t="str">
        <f>IFERROR(MATCH(P34,CoinCollection!O:O,0),"")</f>
        <v/>
      </c>
      <c r="R34" s="330" t="str">
        <f t="shared" si="5"/>
        <v>1986-S Proof Kennedy Half Dollar</v>
      </c>
      <c r="S34" s="330" t="str">
        <f>IFERROR(MATCH(R34,CoinCollection!O:O,0),"")</f>
        <v/>
      </c>
      <c r="T34" t="str">
        <f t="shared" si="6"/>
        <v>1996-S Silver Proof Kennedy Half Dollar</v>
      </c>
      <c r="U34" s="330" t="str">
        <f>IFERROR(MATCH(T34,CoinCollection!O:O,0),"")</f>
        <v/>
      </c>
      <c r="V34" s="330" t="str">
        <f t="shared" si="7"/>
        <v>2005-P Kennedy Half Dollar</v>
      </c>
      <c r="W34" s="330" t="str">
        <f>IFERROR(MATCH(V34,CoinCollection!O:O,0),"")</f>
        <v/>
      </c>
      <c r="X34" s="330" t="str">
        <f t="shared" si="8"/>
        <v>2013-D Kennedy Half Dollar</v>
      </c>
      <c r="Y34" s="330" t="str">
        <f>IFERROR(MATCH(X34,CoinCollection!O:O,0),"")</f>
        <v/>
      </c>
      <c r="Z34" s="330" t="str">
        <f t="shared" si="9"/>
        <v>2021-S Proof Kennedy Half Dollar</v>
      </c>
      <c r="AA34" s="330" t="str">
        <f>IFERROR(MATCH(Z34,CoinCollection!O:O,0),"")</f>
        <v/>
      </c>
      <c r="AE34" s="330" t="str">
        <v>1982-P</v>
      </c>
      <c r="AH34" s="330" t="str">
        <v>1982-P</v>
      </c>
    </row>
    <row r="35" spans="1:34">
      <c r="A35" s="334" t="b">
        <f t="shared" si="10"/>
        <v>0</v>
      </c>
      <c r="B35" s="424" t="s">
        <v>5194</v>
      </c>
      <c r="C35" s="341" t="b">
        <f t="shared" si="11"/>
        <v>0</v>
      </c>
      <c r="D35" s="337" t="s">
        <v>909</v>
      </c>
      <c r="E35" s="341" t="b">
        <f t="shared" si="0"/>
        <v>0</v>
      </c>
      <c r="F35" s="337" t="s">
        <v>930</v>
      </c>
      <c r="G35" s="336" t="b">
        <f t="shared" si="1"/>
        <v>0</v>
      </c>
      <c r="H35" s="337" t="s">
        <v>2548</v>
      </c>
      <c r="I35" s="336" t="b">
        <f t="shared" si="2"/>
        <v>0</v>
      </c>
      <c r="J35" s="337" t="s">
        <v>5126</v>
      </c>
      <c r="K35" s="336" t="b">
        <f t="shared" si="3"/>
        <v>0</v>
      </c>
      <c r="L35" s="337" t="s">
        <v>2567</v>
      </c>
      <c r="M35" s="337"/>
      <c r="N35" s="345"/>
      <c r="P35" t="str">
        <f>B35&amp;" "&amp;$A$1</f>
        <v>1976-D CN Kennedy Half Dollar</v>
      </c>
      <c r="Q35" s="330" t="str">
        <f>IFERROR(MATCH(P35,CoinCollection!O:O,0),"")</f>
        <v/>
      </c>
      <c r="R35" s="330" t="str">
        <f t="shared" si="5"/>
        <v>1987-P Kennedy Half Dollar</v>
      </c>
      <c r="S35" s="330" t="str">
        <f>IFERROR(MATCH(R35,CoinCollection!O:O,0),"")</f>
        <v/>
      </c>
      <c r="T35" t="str">
        <f t="shared" si="6"/>
        <v>1997-P Kennedy Half Dollar</v>
      </c>
      <c r="U35" s="330" t="str">
        <f>IFERROR(MATCH(T35,CoinCollection!O:O,0),"")</f>
        <v/>
      </c>
      <c r="V35" s="330" t="str">
        <f t="shared" si="7"/>
        <v>2005-D Kennedy Half Dollar</v>
      </c>
      <c r="W35" s="330" t="str">
        <f>IFERROR(MATCH(V35,CoinCollection!O:O,0),"")</f>
        <v/>
      </c>
      <c r="X35" s="330" t="str">
        <f t="shared" si="8"/>
        <v>2013-S Proof Kennedy Half Dollar</v>
      </c>
      <c r="Y35" s="330" t="str">
        <f>IFERROR(MATCH(X35,CoinCollection!O:O,0),"")</f>
        <v/>
      </c>
      <c r="Z35" s="330" t="str">
        <f t="shared" si="9"/>
        <v>2021-S Silver Proof Kennedy Half Dollar</v>
      </c>
      <c r="AA35" s="330" t="str">
        <f>IFERROR(MATCH(Z35,CoinCollection!O:O,0),"")</f>
        <v/>
      </c>
      <c r="AE35" s="330" t="str">
        <v>1983-P</v>
      </c>
      <c r="AH35" s="330" t="str">
        <v>1983-P</v>
      </c>
    </row>
    <row r="36" spans="1:34">
      <c r="A36" s="334" t="b">
        <f t="shared" si="10"/>
        <v>0</v>
      </c>
      <c r="B36" s="425" t="s">
        <v>5195</v>
      </c>
      <c r="C36" s="341" t="b">
        <f t="shared" si="11"/>
        <v>0</v>
      </c>
      <c r="D36" s="342" t="s">
        <v>910</v>
      </c>
      <c r="E36" s="530" t="s">
        <v>53</v>
      </c>
      <c r="F36" s="530" t="s">
        <v>53</v>
      </c>
      <c r="G36" s="530" t="s">
        <v>53</v>
      </c>
      <c r="H36" s="530" t="s">
        <v>53</v>
      </c>
      <c r="I36" s="530" t="s">
        <v>53</v>
      </c>
      <c r="J36" s="530" t="s">
        <v>53</v>
      </c>
      <c r="K36" s="530" t="s">
        <v>53</v>
      </c>
      <c r="L36" s="530" t="s">
        <v>53</v>
      </c>
      <c r="M36" s="342"/>
      <c r="N36" s="344"/>
      <c r="P36" t="str">
        <f>B36&amp;" "&amp;$A$1</f>
        <v>1976-S Half CN Proof Kennedy Half Dollar</v>
      </c>
      <c r="Q36" s="330" t="str">
        <f>IFERROR(MATCH(P36,CoinCollection!O:O,0),"")</f>
        <v/>
      </c>
      <c r="R36" s="330" t="str">
        <f t="shared" si="5"/>
        <v>1987-D Kennedy Half Dollar</v>
      </c>
      <c r="S36" s="330" t="str">
        <f>IFERROR(MATCH(R36,CoinCollection!O:O,0),"")</f>
        <v/>
      </c>
      <c r="T36" t="str">
        <f t="shared" si="6"/>
        <v>1997-D Kennedy Half Dollar</v>
      </c>
      <c r="U36" s="330" t="str">
        <f>IFERROR(MATCH(T36,CoinCollection!O:O,0),"")</f>
        <v/>
      </c>
      <c r="V36" s="330" t="str">
        <f t="shared" si="7"/>
        <v>2005-S Proof Kennedy Half Dollar</v>
      </c>
      <c r="W36" s="330" t="str">
        <f>IFERROR(MATCH(V36,CoinCollection!O:O,0),"")</f>
        <v/>
      </c>
      <c r="X36" s="330" t="str">
        <f t="shared" si="8"/>
        <v>2013-S Silver Proof Kennedy Half Dollar</v>
      </c>
      <c r="Y36" s="330" t="str">
        <f>IFERROR(MATCH(X36,CoinCollection!O:O,0),"")</f>
        <v/>
      </c>
      <c r="Z36" s="330" t="str">
        <f t="shared" si="9"/>
        <v>2022-P Kennedy Half Dollar</v>
      </c>
      <c r="AA36" s="330" t="str">
        <f>IFERROR(MATCH(Z36,CoinCollection!O:O,0),"")</f>
        <v/>
      </c>
      <c r="AE36" s="330" t="str">
        <v>1983-S Proof</v>
      </c>
      <c r="AH36" s="330" t="str">
        <v>1983-S Proof</v>
      </c>
    </row>
    <row r="37" spans="1:34">
      <c r="A37" s="334" t="b">
        <f t="shared" si="10"/>
        <v>0</v>
      </c>
      <c r="B37" s="424" t="s">
        <v>5196</v>
      </c>
      <c r="C37" s="341" t="b">
        <f t="shared" si="11"/>
        <v>0</v>
      </c>
      <c r="D37" s="337" t="s">
        <v>2524</v>
      </c>
      <c r="E37" s="533" t="s">
        <v>53</v>
      </c>
      <c r="F37" s="533" t="s">
        <v>53</v>
      </c>
      <c r="G37" s="533" t="s">
        <v>53</v>
      </c>
      <c r="H37" s="533" t="s">
        <v>53</v>
      </c>
      <c r="I37" s="533" t="s">
        <v>53</v>
      </c>
      <c r="J37" s="533" t="s">
        <v>53</v>
      </c>
      <c r="K37" s="533" t="s">
        <v>53</v>
      </c>
      <c r="L37" s="533" t="s">
        <v>53</v>
      </c>
      <c r="M37" s="337"/>
      <c r="N37" s="345"/>
      <c r="P37" t="str">
        <f>B37&amp;" "&amp;$A$1</f>
        <v>1976-S Kennedy Half Silver Clad Kennedy Half Dollar</v>
      </c>
      <c r="Q37" s="330" t="str">
        <f>IFERROR(MATCH(P37,CoinCollection!O:O,0),"")</f>
        <v/>
      </c>
      <c r="R37" s="330" t="str">
        <f t="shared" si="5"/>
        <v>1987-S Proof Kennedy Half Dollar</v>
      </c>
      <c r="S37" s="330" t="str">
        <f>IFERROR(MATCH(R37,CoinCollection!O:O,0),"")</f>
        <v/>
      </c>
      <c r="AE37" s="330" t="str">
        <v>1984-P</v>
      </c>
      <c r="AH37" s="330" t="str">
        <v>1984-P</v>
      </c>
    </row>
    <row r="38" spans="1:34">
      <c r="A38" s="334" t="b">
        <f t="shared" si="10"/>
        <v>0</v>
      </c>
      <c r="B38" s="425" t="s">
        <v>5197</v>
      </c>
      <c r="C38" s="341" t="b">
        <f t="shared" si="11"/>
        <v>0</v>
      </c>
      <c r="D38" s="342" t="s">
        <v>911</v>
      </c>
      <c r="E38" s="530" t="s">
        <v>53</v>
      </c>
      <c r="F38" s="530" t="s">
        <v>53</v>
      </c>
      <c r="G38" s="530" t="s">
        <v>53</v>
      </c>
      <c r="H38" s="530" t="s">
        <v>53</v>
      </c>
      <c r="I38" s="530" t="s">
        <v>53</v>
      </c>
      <c r="J38" s="530" t="s">
        <v>53</v>
      </c>
      <c r="K38" s="530" t="s">
        <v>53</v>
      </c>
      <c r="L38" s="530" t="s">
        <v>53</v>
      </c>
      <c r="M38" s="342"/>
      <c r="N38" s="344"/>
      <c r="P38" t="str">
        <f>B38&amp;" "&amp;$A$1</f>
        <v>1976-S Kennedy Half Silver Clad Proof Kennedy Half Dollar</v>
      </c>
      <c r="Q38" s="330" t="str">
        <f>IFERROR(MATCH(P38,CoinCollection!O:O,0),"")</f>
        <v/>
      </c>
      <c r="R38" s="330" t="str">
        <f t="shared" si="5"/>
        <v>1988-P Kennedy Half Dollar</v>
      </c>
      <c r="S38" s="330">
        <f>IFERROR(MATCH(R38,CoinCollection!O:O,0),"")</f>
        <v>2206</v>
      </c>
      <c r="AE38" s="330" t="str">
        <v>1984-S Proof</v>
      </c>
      <c r="AH38" s="330" t="str">
        <v>1984-S Proof</v>
      </c>
    </row>
    <row r="39" spans="1:34">
      <c r="B39" s="367"/>
      <c r="C39" s="347"/>
      <c r="D39" s="347"/>
      <c r="E39" s="347"/>
      <c r="F39" s="371" t="s">
        <v>4836</v>
      </c>
      <c r="G39" s="371"/>
      <c r="H39" s="371" t="s">
        <v>4837</v>
      </c>
      <c r="I39" s="371"/>
      <c r="J39" s="371" t="s">
        <v>4838</v>
      </c>
      <c r="K39" s="372" t="s">
        <v>4839</v>
      </c>
      <c r="L39" s="371"/>
      <c r="M39" s="347"/>
      <c r="N39" s="368"/>
      <c r="AE39" s="330" t="str">
        <v>1985-P</v>
      </c>
      <c r="AH39" s="330" t="str">
        <v>1985-P</v>
      </c>
    </row>
    <row r="40" spans="1:34">
      <c r="AE40" s="330" t="str">
        <v>1986-P</v>
      </c>
      <c r="AH40" s="330" t="str">
        <v>1986-P</v>
      </c>
    </row>
    <row r="41" spans="1:34">
      <c r="AE41" s="330" t="str">
        <v>1986-D</v>
      </c>
      <c r="AH41" s="330" t="str">
        <v>1986-D</v>
      </c>
    </row>
    <row r="42" spans="1:34">
      <c r="B42" s="348" t="s">
        <v>4668</v>
      </c>
      <c r="C42" s="330">
        <f>COUNTIF(A3:N38,"=False")</f>
        <v>186</v>
      </c>
      <c r="AE42" s="330" t="str">
        <v>1986-S Proof</v>
      </c>
      <c r="AH42" s="330" t="str">
        <v>1986-S Proof</v>
      </c>
    </row>
    <row r="43" spans="1:34">
      <c r="B43" s="348" t="s">
        <v>4669</v>
      </c>
      <c r="C43" s="330">
        <f>COUNTIF(A3:N38,"=true")</f>
        <v>29</v>
      </c>
      <c r="AE43" s="330" t="str">
        <v>1987-P</v>
      </c>
      <c r="AH43" s="330" t="str">
        <v>1987-P</v>
      </c>
    </row>
    <row r="44" spans="1:34">
      <c r="AE44" s="330" t="str">
        <v>1987-D</v>
      </c>
      <c r="AH44" s="330" t="str">
        <v>1987-D</v>
      </c>
    </row>
    <row r="45" spans="1:34">
      <c r="AE45" s="330" t="str">
        <v>1987-S Proof</v>
      </c>
      <c r="AH45" s="330" t="str">
        <v>1987-S Proof</v>
      </c>
    </row>
    <row r="46" spans="1:34">
      <c r="C46" s="532" t="s">
        <v>53</v>
      </c>
      <c r="AE46" s="330" t="str">
        <v>1988-P</v>
      </c>
      <c r="AH46" s="330" t="str">
        <v>1988-P</v>
      </c>
    </row>
    <row r="47" spans="1:34">
      <c r="AE47" s="330" t="str">
        <v>1988-D</v>
      </c>
      <c r="AH47" s="330" t="str">
        <v>1988-D</v>
      </c>
    </row>
    <row r="48" spans="1:34">
      <c r="AE48" s="330" t="str">
        <v>1988-S Proof</v>
      </c>
      <c r="AH48" s="330" t="str">
        <v>1988-S Proof</v>
      </c>
    </row>
    <row r="49" spans="31:34">
      <c r="AE49" s="330" t="str">
        <v>1989-P</v>
      </c>
      <c r="AH49" s="330" t="str">
        <v>1989-P</v>
      </c>
    </row>
    <row r="50" spans="31:34">
      <c r="AE50" s="330" t="str">
        <v>1989-S Proof</v>
      </c>
      <c r="AH50" s="330" t="str">
        <v>1989-S Proof</v>
      </c>
    </row>
    <row r="51" spans="31:34">
      <c r="AE51" s="330" t="str">
        <v>1990-D</v>
      </c>
      <c r="AH51" s="330" t="str">
        <v>1990-D</v>
      </c>
    </row>
    <row r="52" spans="31:34">
      <c r="AE52" s="330" t="str">
        <v>1990-S Proof</v>
      </c>
      <c r="AH52" s="330" t="str">
        <v>1990-S Proof</v>
      </c>
    </row>
    <row r="53" spans="31:34">
      <c r="AE53" s="330" t="str">
        <v>1991-P</v>
      </c>
      <c r="AH53" s="330" t="str">
        <v>1991-P</v>
      </c>
    </row>
    <row r="54" spans="31:34">
      <c r="AE54" s="330" t="str">
        <v>1991-S Proof</v>
      </c>
      <c r="AH54" s="330" t="str">
        <v>1991-S Proof</v>
      </c>
    </row>
    <row r="55" spans="31:34">
      <c r="AE55" s="330" t="str">
        <v>1992-D</v>
      </c>
      <c r="AH55" s="330" t="str">
        <v>1992-D</v>
      </c>
    </row>
    <row r="56" spans="31:34">
      <c r="AE56" s="330" t="str">
        <v>1992-S Proof</v>
      </c>
      <c r="AH56" s="330" t="str">
        <v>1992-S Proof</v>
      </c>
    </row>
    <row r="57" spans="31:34">
      <c r="AE57" s="330" t="str">
        <v>1992-S Silver Proof</v>
      </c>
      <c r="AH57" s="330" t="str">
        <v>1992-S Silver Proof</v>
      </c>
    </row>
    <row r="58" spans="31:34">
      <c r="AE58" s="330" t="str">
        <v>1993-P</v>
      </c>
      <c r="AH58" s="330" t="str">
        <v>1993-P</v>
      </c>
    </row>
    <row r="59" spans="31:34">
      <c r="AE59" s="330" t="str">
        <v>1993-D</v>
      </c>
      <c r="AH59" s="330" t="str">
        <v>1993-D</v>
      </c>
    </row>
    <row r="60" spans="31:34">
      <c r="AE60" s="330" t="str">
        <v>1993-S Proof</v>
      </c>
      <c r="AH60" s="330" t="str">
        <v>1993-S Proof</v>
      </c>
    </row>
    <row r="61" spans="31:34">
      <c r="AE61" s="330" t="str">
        <v>1993-S Silver Proof</v>
      </c>
      <c r="AH61" s="330" t="str">
        <v>1993-S Silver Proof</v>
      </c>
    </row>
    <row r="62" spans="31:34">
      <c r="AE62" s="330" t="str">
        <v>1994-P</v>
      </c>
      <c r="AH62" s="330" t="str">
        <v>1994-P</v>
      </c>
    </row>
    <row r="63" spans="31:34">
      <c r="AE63" s="330" t="str">
        <v>1994-D</v>
      </c>
      <c r="AH63" s="330" t="str">
        <v>1994-D</v>
      </c>
    </row>
    <row r="64" spans="31:34">
      <c r="AE64" s="330" t="str">
        <v>1994-S Proof</v>
      </c>
      <c r="AH64" s="330" t="str">
        <v>1994-S Proof</v>
      </c>
    </row>
    <row r="65" spans="31:34">
      <c r="AE65" s="330" t="str">
        <v>1994-S Silver Proof</v>
      </c>
      <c r="AH65" s="330" t="str">
        <v>1994-S Silver Proof</v>
      </c>
    </row>
    <row r="66" spans="31:34">
      <c r="AE66" s="330" t="str">
        <v>1995-P</v>
      </c>
      <c r="AH66" s="330" t="str">
        <v>1995-P</v>
      </c>
    </row>
    <row r="67" spans="31:34">
      <c r="AE67" s="330" t="str">
        <v>1995-D</v>
      </c>
      <c r="AH67" s="330" t="str">
        <v>1995-D</v>
      </c>
    </row>
    <row r="68" spans="31:34">
      <c r="AE68" s="330" t="str">
        <v>1995-S Proof</v>
      </c>
      <c r="AH68" s="330" t="str">
        <v>1995-S Proof</v>
      </c>
    </row>
    <row r="69" spans="31:34">
      <c r="AE69" s="330" t="str">
        <v>1995-S Silver Proof</v>
      </c>
      <c r="AH69" s="330" t="str">
        <v>1995-S Silver Proof</v>
      </c>
    </row>
    <row r="70" spans="31:34">
      <c r="AE70" s="330" t="str">
        <v>1996-P</v>
      </c>
      <c r="AH70" s="330" t="str">
        <v>1996-P</v>
      </c>
    </row>
    <row r="71" spans="31:34">
      <c r="AE71" s="330" t="str">
        <v>1996-D</v>
      </c>
      <c r="AH71" s="330" t="str">
        <v>1996-D</v>
      </c>
    </row>
    <row r="72" spans="31:34">
      <c r="AE72" s="330" t="str">
        <v>1996-S Proof</v>
      </c>
      <c r="AH72" s="330" t="str">
        <v>1996-S Proof</v>
      </c>
    </row>
    <row r="73" spans="31:34">
      <c r="AE73" s="330" t="str">
        <v>1996-S Silver Proof</v>
      </c>
      <c r="AH73" s="330" t="str">
        <v>1996-S Silver Proof</v>
      </c>
    </row>
    <row r="74" spans="31:34">
      <c r="AE74" s="330" t="str">
        <v>1997-P</v>
      </c>
      <c r="AH74" s="330" t="str">
        <v>1997-P</v>
      </c>
    </row>
    <row r="75" spans="31:34">
      <c r="AE75" s="330" t="str">
        <v>1997-D</v>
      </c>
      <c r="AH75" s="330" t="str">
        <v>1997-D</v>
      </c>
    </row>
    <row r="76" spans="31:34">
      <c r="AE76" s="330" t="str">
        <v>1997-S Proof</v>
      </c>
      <c r="AH76" s="330" t="str">
        <v>1997-S Proof</v>
      </c>
    </row>
    <row r="77" spans="31:34">
      <c r="AE77" s="330" t="str">
        <v>1997-S Silver Proof</v>
      </c>
      <c r="AH77" s="330" t="str">
        <v>1997-S Silver Proof</v>
      </c>
    </row>
    <row r="78" spans="31:34">
      <c r="AE78" s="330" t="str">
        <v>1998-P</v>
      </c>
      <c r="AH78" s="330" t="str">
        <v>1998-P</v>
      </c>
    </row>
    <row r="79" spans="31:34">
      <c r="AE79" s="330" t="str">
        <v>1998-D</v>
      </c>
      <c r="AH79" s="330" t="str">
        <v>1998-D</v>
      </c>
    </row>
    <row r="80" spans="31:34">
      <c r="AE80" s="330" t="str">
        <v>1998-S Proof</v>
      </c>
      <c r="AH80" s="330" t="str">
        <v>1998-S Proof</v>
      </c>
    </row>
    <row r="81" spans="31:34">
      <c r="AE81" s="330" t="str">
        <v>1998-S Silver Proof</v>
      </c>
      <c r="AH81" s="330" t="str">
        <v>1998-S Silver Proof</v>
      </c>
    </row>
    <row r="82" spans="31:34">
      <c r="AE82" s="330" t="str">
        <v>1999-P</v>
      </c>
      <c r="AH82" s="330" t="str">
        <v>1999-P</v>
      </c>
    </row>
    <row r="83" spans="31:34">
      <c r="AE83" s="330" t="str">
        <v>1999-D</v>
      </c>
      <c r="AH83" s="330" t="str">
        <v>1999-D</v>
      </c>
    </row>
    <row r="84" spans="31:34">
      <c r="AE84" s="330" t="str">
        <v>1999-S Proof</v>
      </c>
      <c r="AH84" s="330" t="str">
        <v>1999-S Proof</v>
      </c>
    </row>
    <row r="85" spans="31:34">
      <c r="AE85" s="330" t="str">
        <v>1999-S Silver Proof</v>
      </c>
      <c r="AH85" s="330" t="str">
        <v>1999-S Silver Proof</v>
      </c>
    </row>
    <row r="86" spans="31:34">
      <c r="AE86" s="330" t="str">
        <v>2000-P</v>
      </c>
      <c r="AH86" s="330" t="str">
        <v>2000-P</v>
      </c>
    </row>
    <row r="87" spans="31:34">
      <c r="AE87" s="330" t="str">
        <v>2000-D</v>
      </c>
      <c r="AH87" s="330" t="str">
        <v>2000-D</v>
      </c>
    </row>
    <row r="88" spans="31:34">
      <c r="AE88" s="330" t="str">
        <v>2000-S Proof</v>
      </c>
      <c r="AH88" s="330" t="str">
        <v>2000-S Proof</v>
      </c>
    </row>
    <row r="89" spans="31:34">
      <c r="AE89" s="330" t="str">
        <v>2000-S Silver Proof</v>
      </c>
      <c r="AH89" s="330" t="str">
        <v>2000-S Silver Proof</v>
      </c>
    </row>
    <row r="90" spans="31:34">
      <c r="AE90" s="330" t="str">
        <v>2001-P</v>
      </c>
      <c r="AH90" s="330" t="str">
        <v>2001-P</v>
      </c>
    </row>
    <row r="91" spans="31:34">
      <c r="AE91" s="330" t="str">
        <v>2001-D</v>
      </c>
      <c r="AH91" s="330" t="str">
        <v>2001-D</v>
      </c>
    </row>
    <row r="92" spans="31:34">
      <c r="AE92" s="330" t="str">
        <v>2001-S Proof</v>
      </c>
      <c r="AH92" s="330" t="str">
        <v>2001-S Proof</v>
      </c>
    </row>
    <row r="93" spans="31:34">
      <c r="AE93" s="330" t="str">
        <v>2001-S Silver Proof</v>
      </c>
      <c r="AH93" s="330" t="str">
        <v>2001-S Silver Proof</v>
      </c>
    </row>
    <row r="94" spans="31:34">
      <c r="AE94" s="330" t="str">
        <v>2002-P</v>
      </c>
      <c r="AH94" s="330" t="str">
        <v>2002-P</v>
      </c>
    </row>
    <row r="95" spans="31:34">
      <c r="AE95" s="330" t="str">
        <v>2002-D</v>
      </c>
      <c r="AH95" s="330" t="str">
        <v>2002-D</v>
      </c>
    </row>
    <row r="96" spans="31:34">
      <c r="AE96" s="330" t="str">
        <v>2002-S Proof</v>
      </c>
      <c r="AH96" s="330" t="str">
        <v>2002-S Proof</v>
      </c>
    </row>
    <row r="97" spans="31:34">
      <c r="AE97" s="330" t="str">
        <v>2002-S Silver Proof</v>
      </c>
      <c r="AH97" s="330" t="str">
        <v>2002-S Silver Proof</v>
      </c>
    </row>
    <row r="98" spans="31:34">
      <c r="AE98" s="330" t="str">
        <v>2003-P</v>
      </c>
      <c r="AH98" s="330" t="str">
        <v>2003-P</v>
      </c>
    </row>
    <row r="99" spans="31:34">
      <c r="AE99" s="330" t="str">
        <v>2003-D</v>
      </c>
      <c r="AH99" s="330" t="str">
        <v>2003-D</v>
      </c>
    </row>
    <row r="100" spans="31:34">
      <c r="AE100" s="330" t="str">
        <v>2003-S Proof</v>
      </c>
      <c r="AH100" s="330" t="str">
        <v>2003-S Proof</v>
      </c>
    </row>
    <row r="101" spans="31:34">
      <c r="AE101" s="330" t="str">
        <v>2003-S Silver Proof</v>
      </c>
      <c r="AH101" s="330" t="str">
        <v>2003-S Silver Proof</v>
      </c>
    </row>
    <row r="102" spans="31:34">
      <c r="AE102" s="330" t="str">
        <v>2004-P</v>
      </c>
      <c r="AH102" s="330" t="str">
        <v>2004-P</v>
      </c>
    </row>
    <row r="103" spans="31:34">
      <c r="AE103" s="330" t="str">
        <v>2004-D</v>
      </c>
      <c r="AH103" s="330" t="str">
        <v>2004-D</v>
      </c>
    </row>
    <row r="104" spans="31:34">
      <c r="AE104" s="330" t="str">
        <v>2004-S Proof</v>
      </c>
      <c r="AH104" s="330" t="str">
        <v>2004-S Proof</v>
      </c>
    </row>
    <row r="105" spans="31:34">
      <c r="AE105" s="330" t="str">
        <v>2004-S Silver Proof</v>
      </c>
      <c r="AH105" s="330" t="str">
        <v>2004-S Silver Proof</v>
      </c>
    </row>
    <row r="106" spans="31:34">
      <c r="AE106" s="330" t="str">
        <v>2005-P</v>
      </c>
      <c r="AH106" s="330" t="str">
        <v>2005-P</v>
      </c>
    </row>
    <row r="107" spans="31:34">
      <c r="AE107" s="330" t="str">
        <v>2005-D</v>
      </c>
      <c r="AH107" s="330" t="str">
        <v>2005-D</v>
      </c>
    </row>
    <row r="108" spans="31:34">
      <c r="AE108" s="330" t="str">
        <v>2005-S Proof</v>
      </c>
      <c r="AH108" s="330" t="str">
        <v>2005-S Proof</v>
      </c>
    </row>
    <row r="109" spans="31:34">
      <c r="AE109" s="330" t="str">
        <v>2005-S Silver Proof</v>
      </c>
      <c r="AH109" s="330" t="str">
        <v>2005-S Silver Proof</v>
      </c>
    </row>
    <row r="110" spans="31:34">
      <c r="AE110" s="330" t="str">
        <v>2006-P</v>
      </c>
      <c r="AH110" s="330" t="str">
        <v>2006-P</v>
      </c>
    </row>
    <row r="111" spans="31:34">
      <c r="AE111" s="330" t="str">
        <v>2006-D</v>
      </c>
      <c r="AH111" s="330" t="str">
        <v>2006-D</v>
      </c>
    </row>
    <row r="112" spans="31:34">
      <c r="AE112" s="330" t="str">
        <v>2006-S Proof</v>
      </c>
      <c r="AH112" s="330" t="str">
        <v>2006-S Proof</v>
      </c>
    </row>
    <row r="113" spans="31:34">
      <c r="AE113" s="330" t="str">
        <v>2006-S Silver Proof</v>
      </c>
      <c r="AH113" s="330" t="str">
        <v>2006-S Silver Proof</v>
      </c>
    </row>
    <row r="114" spans="31:34">
      <c r="AE114" s="330" t="str">
        <v>2007-P</v>
      </c>
      <c r="AH114" s="330" t="str">
        <v>2007-P</v>
      </c>
    </row>
    <row r="115" spans="31:34">
      <c r="AE115" s="330" t="str">
        <v>2007-D</v>
      </c>
      <c r="AH115" s="330" t="str">
        <v>2007-D</v>
      </c>
    </row>
    <row r="116" spans="31:34">
      <c r="AE116" s="330" t="str">
        <v>2007-S Proof</v>
      </c>
      <c r="AH116" s="330" t="str">
        <v>2007-S Proof</v>
      </c>
    </row>
    <row r="117" spans="31:34">
      <c r="AE117" s="330" t="str">
        <v>2007-S Silver Proof</v>
      </c>
      <c r="AH117" s="330" t="str">
        <v>2007-S Silver Proof</v>
      </c>
    </row>
    <row r="118" spans="31:34">
      <c r="AE118" s="330" t="str">
        <v>2008-P</v>
      </c>
      <c r="AH118" s="330" t="str">
        <v>2008-P</v>
      </c>
    </row>
    <row r="119" spans="31:34">
      <c r="AE119" s="330" t="str">
        <v>2008-D</v>
      </c>
      <c r="AH119" s="330" t="str">
        <v>2008-D</v>
      </c>
    </row>
    <row r="120" spans="31:34">
      <c r="AE120" s="330" t="str">
        <v>2008-S Proof</v>
      </c>
      <c r="AH120" s="330" t="str">
        <v>2008-S Proof</v>
      </c>
    </row>
    <row r="121" spans="31:34">
      <c r="AE121" s="330" t="str">
        <v>2008-S Silver Proof</v>
      </c>
      <c r="AH121" s="330" t="str">
        <v>2008-S Silver Proof</v>
      </c>
    </row>
    <row r="122" spans="31:34">
      <c r="AE122" s="330" t="str">
        <v>2009-P</v>
      </c>
      <c r="AH122" s="330" t="str">
        <v>2009-P</v>
      </c>
    </row>
    <row r="123" spans="31:34">
      <c r="AE123" s="330" t="str">
        <v>2009-D</v>
      </c>
      <c r="AH123" s="330" t="str">
        <v>2009-D</v>
      </c>
    </row>
    <row r="124" spans="31:34">
      <c r="AE124" s="330" t="str">
        <v>2009-S Proof</v>
      </c>
      <c r="AH124" s="330" t="str">
        <v>2009-S Proof</v>
      </c>
    </row>
    <row r="125" spans="31:34">
      <c r="AE125" s="330" t="str">
        <v>2009-S Silver Proof</v>
      </c>
      <c r="AH125" s="330" t="str">
        <v>2009-S Silver Proof</v>
      </c>
    </row>
    <row r="126" spans="31:34">
      <c r="AE126" s="330" t="str">
        <v>2010-P</v>
      </c>
      <c r="AH126" s="330" t="str">
        <v>2010-P</v>
      </c>
    </row>
    <row r="127" spans="31:34">
      <c r="AE127" s="330" t="str">
        <v>2010-D</v>
      </c>
      <c r="AH127" s="330" t="str">
        <v>2010-D</v>
      </c>
    </row>
    <row r="128" spans="31:34">
      <c r="AE128" s="330" t="str">
        <v>2010-S Proof</v>
      </c>
      <c r="AH128" s="330" t="str">
        <v>2010-S Proof</v>
      </c>
    </row>
    <row r="129" spans="31:34">
      <c r="AE129" s="330" t="str">
        <v>2010-S Silver Proof</v>
      </c>
      <c r="AH129" s="330" t="str">
        <v>2010-S Silver Proof</v>
      </c>
    </row>
    <row r="130" spans="31:34">
      <c r="AE130" s="330" t="str">
        <v>2011-P</v>
      </c>
      <c r="AH130" s="330" t="str">
        <v>2011-P</v>
      </c>
    </row>
    <row r="131" spans="31:34">
      <c r="AE131" s="330" t="str">
        <v>2011-D</v>
      </c>
      <c r="AH131" s="330" t="str">
        <v>2011-D</v>
      </c>
    </row>
    <row r="132" spans="31:34">
      <c r="AE132" s="330" t="str">
        <v>2011-S Proof</v>
      </c>
      <c r="AH132" s="330" t="str">
        <v>2011-S Proof</v>
      </c>
    </row>
    <row r="133" spans="31:34">
      <c r="AE133" s="330" t="str">
        <v>2011-S Silver Proof</v>
      </c>
      <c r="AH133" s="330" t="str">
        <v>2011-S Silver Proof</v>
      </c>
    </row>
    <row r="134" spans="31:34">
      <c r="AE134" s="330" t="str">
        <v>2012-P</v>
      </c>
      <c r="AH134" s="330" t="str">
        <v>2012-P</v>
      </c>
    </row>
    <row r="135" spans="31:34">
      <c r="AE135" s="330" t="str">
        <v>2012-D</v>
      </c>
      <c r="AH135" s="330" t="str">
        <v>2012-D</v>
      </c>
    </row>
    <row r="136" spans="31:34">
      <c r="AE136" s="330" t="str">
        <v>2012-S Proof</v>
      </c>
      <c r="AH136" s="330" t="str">
        <v>2012-S Proof</v>
      </c>
    </row>
    <row r="137" spans="31:34">
      <c r="AE137" s="330" t="str">
        <v>2012-S Silver Proof</v>
      </c>
      <c r="AH137" s="330" t="str">
        <v>2012-S Silver Proof</v>
      </c>
    </row>
    <row r="138" spans="31:34">
      <c r="AE138" s="330" t="str">
        <v>2013-P</v>
      </c>
      <c r="AH138" s="330" t="str">
        <v>2013-P</v>
      </c>
    </row>
    <row r="139" spans="31:34">
      <c r="AE139" s="330" t="str">
        <v>2013-D</v>
      </c>
      <c r="AH139" s="330" t="str">
        <v>2013-D</v>
      </c>
    </row>
    <row r="140" spans="31:34">
      <c r="AE140" s="330" t="str">
        <v>2013-S Proof</v>
      </c>
      <c r="AH140" s="330" t="str">
        <v>2013-S Proof</v>
      </c>
    </row>
    <row r="141" spans="31:34">
      <c r="AE141" s="330" t="str">
        <v>2013-S Silver Proof</v>
      </c>
      <c r="AH141" s="330" t="str">
        <v>2013-S Silver Proof</v>
      </c>
    </row>
    <row r="142" spans="31:34">
      <c r="AE142" s="330" t="str">
        <v>2014-P</v>
      </c>
      <c r="AH142" s="330" t="str">
        <v>2014-P</v>
      </c>
    </row>
    <row r="143" spans="31:34">
      <c r="AE143" s="330" t="str">
        <v>2014-D</v>
      </c>
      <c r="AH143" s="330" t="str">
        <v>2014-D</v>
      </c>
    </row>
    <row r="144" spans="31:34">
      <c r="AE144" s="330" t="str">
        <v>2014-S Proof</v>
      </c>
      <c r="AH144" s="330" t="str">
        <v>2014-S Proof</v>
      </c>
    </row>
    <row r="145" spans="31:34">
      <c r="AE145" s="330" t="str">
        <v>2014-S Silver Proof</v>
      </c>
      <c r="AH145" s="330" t="str">
        <v>2014-S Silver Proof</v>
      </c>
    </row>
    <row r="146" spans="31:34">
      <c r="AE146" s="330" t="str">
        <v>2015-P</v>
      </c>
      <c r="AH146" s="330" t="str">
        <v>2015-P</v>
      </c>
    </row>
    <row r="147" spans="31:34">
      <c r="AE147" s="330" t="str">
        <v>2015-D</v>
      </c>
      <c r="AH147" s="330" t="str">
        <v>2015-D</v>
      </c>
    </row>
    <row r="148" spans="31:34">
      <c r="AE148" s="330" t="str">
        <v>2015-S Proof</v>
      </c>
      <c r="AH148" s="330" t="str">
        <v>2015-S Proof</v>
      </c>
    </row>
    <row r="149" spans="31:34">
      <c r="AE149" s="330" t="str">
        <v>2015-S Silver Proof</v>
      </c>
      <c r="AH149" s="330" t="str">
        <v>2015-S Silver Proof</v>
      </c>
    </row>
    <row r="150" spans="31:34">
      <c r="AE150" s="330" t="str">
        <v>2016-P</v>
      </c>
      <c r="AH150" s="330" t="str">
        <v>2016-P</v>
      </c>
    </row>
    <row r="151" spans="31:34">
      <c r="AE151" s="330" t="str">
        <v>2016-D</v>
      </c>
      <c r="AH151" s="330" t="str">
        <v>2016-D</v>
      </c>
    </row>
    <row r="152" spans="31:34">
      <c r="AE152" s="330" t="str">
        <v>2016-S Proof</v>
      </c>
      <c r="AH152" s="330" t="str">
        <v>2016-S Proof</v>
      </c>
    </row>
    <row r="153" spans="31:34">
      <c r="AE153" s="330" t="str">
        <v>2016-S Silver Proof</v>
      </c>
      <c r="AH153" s="330" t="str">
        <v>2016-S Silver Proof</v>
      </c>
    </row>
    <row r="154" spans="31:34">
      <c r="AE154" s="330" t="str">
        <v>2017-P</v>
      </c>
      <c r="AH154" s="330" t="str">
        <v>2017-P</v>
      </c>
    </row>
    <row r="155" spans="31:34">
      <c r="AE155" s="330" t="str">
        <v>2017-D</v>
      </c>
      <c r="AH155" s="330" t="str">
        <v>2017-D</v>
      </c>
    </row>
    <row r="156" spans="31:34">
      <c r="AE156" s="330" t="str">
        <v>2017-S Proof</v>
      </c>
      <c r="AH156" s="330" t="str">
        <v>2017-S Proof</v>
      </c>
    </row>
    <row r="157" spans="31:34">
      <c r="AE157" s="330" t="str">
        <v>2017-S Silver Proof</v>
      </c>
      <c r="AH157" s="330" t="str">
        <v>2017-S Silver Proof</v>
      </c>
    </row>
    <row r="158" spans="31:34">
      <c r="AE158" s="330" t="str">
        <v>2018-P</v>
      </c>
      <c r="AH158" s="330" t="str">
        <v>2018-P</v>
      </c>
    </row>
    <row r="159" spans="31:34">
      <c r="AE159" s="330" t="str">
        <v>2018-D</v>
      </c>
      <c r="AH159" s="330" t="str">
        <v>2018-D</v>
      </c>
    </row>
    <row r="160" spans="31:34">
      <c r="AE160" s="330" t="str">
        <v>2018-S Proof</v>
      </c>
      <c r="AH160" s="330" t="str">
        <v>2018-S Proof</v>
      </c>
    </row>
    <row r="161" spans="31:34">
      <c r="AE161" s="330" t="str">
        <v>2018-S Silver Proof</v>
      </c>
      <c r="AH161" s="330" t="str">
        <v>2018-S Silver Proof</v>
      </c>
    </row>
    <row r="162" spans="31:34">
      <c r="AE162" s="330" t="str">
        <v>2019-P</v>
      </c>
      <c r="AH162" s="330" t="str">
        <v>2019-P</v>
      </c>
    </row>
    <row r="163" spans="31:34">
      <c r="AE163" s="330" t="str">
        <v>2019-D</v>
      </c>
      <c r="AH163" s="330" t="str">
        <v>2019-D</v>
      </c>
    </row>
    <row r="164" spans="31:34">
      <c r="AE164" s="330" t="str">
        <v>2019-S Proof</v>
      </c>
      <c r="AH164" s="330" t="str">
        <v>2019-S Proof</v>
      </c>
    </row>
    <row r="165" spans="31:34">
      <c r="AE165" s="330" t="str">
        <v>2019-S Silver Proof</v>
      </c>
      <c r="AH165" s="330" t="str">
        <v>2019-S Silver Proof</v>
      </c>
    </row>
    <row r="166" spans="31:34">
      <c r="AE166" s="330" t="str">
        <v>2020-P</v>
      </c>
      <c r="AH166" s="330" t="str">
        <v>2020-P</v>
      </c>
    </row>
    <row r="167" spans="31:34">
      <c r="AE167" s="330" t="str">
        <v>2020-D</v>
      </c>
      <c r="AH167" s="330" t="str">
        <v>2020-D</v>
      </c>
    </row>
    <row r="168" spans="31:34">
      <c r="AE168" s="330" t="str">
        <v>2020-S Proof</v>
      </c>
      <c r="AH168" s="330" t="str">
        <v>2020-S Proof</v>
      </c>
    </row>
    <row r="169" spans="31:34">
      <c r="AE169" s="330" t="str">
        <v>2020-S Silver Proof</v>
      </c>
      <c r="AH169" s="330" t="str">
        <v>2020-S Silver Proof</v>
      </c>
    </row>
    <row r="170" spans="31:34">
      <c r="AE170" s="330" t="str">
        <v>2021-P</v>
      </c>
      <c r="AH170" s="330" t="str">
        <v>2021-P</v>
      </c>
    </row>
    <row r="171" spans="31:34">
      <c r="AE171" s="330" t="str">
        <v>2021-D</v>
      </c>
      <c r="AH171" s="330" t="str">
        <v>2021-D</v>
      </c>
    </row>
    <row r="172" spans="31:34">
      <c r="AE172" s="330" t="str">
        <v>2021-S Proof</v>
      </c>
      <c r="AH172" s="330" t="str">
        <v>2021-S Proof</v>
      </c>
    </row>
    <row r="173" spans="31:34">
      <c r="AE173" s="330" t="str">
        <v>2021-S Silver Proof</v>
      </c>
      <c r="AH173" s="330" t="str">
        <v>2021-S Silver Proof</v>
      </c>
    </row>
    <row r="174" spans="31:34">
      <c r="AE174" s="330" t="str">
        <v>2022-P</v>
      </c>
      <c r="AH174" s="330" t="str">
        <v>2022-P</v>
      </c>
    </row>
    <row r="175" spans="31:34">
      <c r="AE175" s="330" t="str">
        <v>2022-D</v>
      </c>
      <c r="AH175" s="330" t="str">
        <v>2022-D</v>
      </c>
    </row>
    <row r="176" spans="31:34">
      <c r="AE176" s="330" t="str">
        <v>2022-S Proof</v>
      </c>
      <c r="AH176" s="330" t="str">
        <v>2022-S Proof</v>
      </c>
    </row>
    <row r="177" spans="31:34">
      <c r="AE177" s="330" t="str">
        <v>2022-S Silver Proof</v>
      </c>
      <c r="AH177" s="330" t="str">
        <v>2022-S Silver Proof</v>
      </c>
    </row>
    <row r="178" spans="31:34">
      <c r="AE178" s="330" t="str">
        <v>2023-P</v>
      </c>
      <c r="AH178" s="330" t="str">
        <v>2023-P</v>
      </c>
    </row>
    <row r="179" spans="31:34">
      <c r="AE179" s="330" t="str">
        <v>2023-D</v>
      </c>
      <c r="AH179" s="330" t="str">
        <v>2023-D</v>
      </c>
    </row>
    <row r="180" spans="31:34">
      <c r="AE180" s="330" t="str">
        <v>2023-S Proof</v>
      </c>
      <c r="AH180" s="330" t="str">
        <v>2023-S Proof</v>
      </c>
    </row>
    <row r="181" spans="31:34">
      <c r="AE181" s="330" t="str">
        <v>2023-S Silver Proof</v>
      </c>
      <c r="AH181" s="330" t="str">
        <v>2023-S Silver Proof</v>
      </c>
    </row>
    <row r="182" spans="31:34">
      <c r="AE182" s="330" t="str">
        <v>2024-P</v>
      </c>
      <c r="AH182" s="330" t="str">
        <v>2024-P</v>
      </c>
    </row>
    <row r="183" spans="31:34">
      <c r="AE183" s="330" t="str">
        <v>2024-D</v>
      </c>
      <c r="AH183" s="330" t="str">
        <v>2024-D</v>
      </c>
    </row>
    <row r="184" spans="31:34">
      <c r="AE184" s="330" t="str">
        <v>2024-S Proof</v>
      </c>
      <c r="AH184" s="330" t="str">
        <v>2024-S Proof</v>
      </c>
    </row>
    <row r="185" spans="31:34">
      <c r="AE185" s="330" t="str">
        <v>2024-S Silver Proof</v>
      </c>
      <c r="AH185" s="330" t="str">
        <v>2024-S Silver Proof</v>
      </c>
    </row>
    <row r="186" spans="31:34">
      <c r="AE186" s="330" t="str">
        <v>2025-P</v>
      </c>
      <c r="AH186" s="330" t="str">
        <v>2025-P</v>
      </c>
    </row>
    <row r="187" spans="31:34">
      <c r="AE187" s="330" t="str">
        <v>2025-D</v>
      </c>
      <c r="AH187" s="330" t="str">
        <v>2025-D</v>
      </c>
    </row>
    <row r="188" spans="31:34">
      <c r="AE188" s="330" t="str">
        <v>2025-S Proof</v>
      </c>
      <c r="AH188" s="330" t="str">
        <v>2025-S Proof</v>
      </c>
    </row>
    <row r="191" spans="31:34">
      <c r="AH191" s="378">
        <f>COUNTA(_xlfn.ANCHORARRAY(AH3))</f>
        <v>186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16E5C-8054-4FA4-9F2E-1116C4BC424D}">
  <sheetPr codeName="Sheet38"/>
  <dimension ref="A1:K25"/>
  <sheetViews>
    <sheetView workbookViewId="0">
      <selection activeCell="A3" sqref="A3"/>
    </sheetView>
  </sheetViews>
  <sheetFormatPr defaultRowHeight="12.75"/>
  <cols>
    <col min="1" max="1" width="4.42578125" bestFit="1" customWidth="1"/>
    <col min="2" max="2" width="22.140625" bestFit="1" customWidth="1"/>
    <col min="3" max="3" width="14" bestFit="1" customWidth="1"/>
    <col min="4" max="4" width="4.42578125" bestFit="1" customWidth="1"/>
    <col min="5" max="5" width="11.7109375" bestFit="1" customWidth="1"/>
    <col min="6" max="6" width="8.42578125" bestFit="1" customWidth="1"/>
    <col min="8" max="8" width="20" hidden="1" customWidth="1"/>
    <col min="9" max="9" width="0" hidden="1" customWidth="1"/>
    <col min="10" max="10" width="27.42578125" hidden="1" customWidth="1"/>
  </cols>
  <sheetData>
    <row r="1" spans="1:11">
      <c r="B1" s="135" t="s">
        <v>1783</v>
      </c>
      <c r="C1" s="135"/>
      <c r="D1" s="135"/>
    </row>
    <row r="2" spans="1:11">
      <c r="B2" s="457" t="s">
        <v>3</v>
      </c>
      <c r="C2" s="458"/>
      <c r="D2" s="458"/>
      <c r="E2" s="459" t="s">
        <v>4802</v>
      </c>
      <c r="F2" s="479"/>
    </row>
    <row r="3" spans="1:11">
      <c r="A3" s="388" t="b">
        <f>IF(I3&lt;&gt;"",TRUE,FALSE)</f>
        <v>1</v>
      </c>
      <c r="B3" s="467" t="s">
        <v>5409</v>
      </c>
      <c r="C3" s="461" t="s">
        <v>5410</v>
      </c>
      <c r="D3" s="462" t="b">
        <f>IF(I3&lt;&gt;"",TRUE,FALSE)</f>
        <v>1</v>
      </c>
      <c r="E3" s="463" t="s">
        <v>2517</v>
      </c>
      <c r="F3" s="480"/>
      <c r="H3" s="467" t="s">
        <v>5415</v>
      </c>
      <c r="I3">
        <f>IFERROR(MATCH(H3,CoinCollection!O:O,0),"")</f>
        <v>2252</v>
      </c>
      <c r="J3" t="s">
        <v>5422</v>
      </c>
      <c r="K3" t="str">
        <f>IFERROR(MATCH(J3,CoinCollection!O:O,0),"")</f>
        <v/>
      </c>
    </row>
    <row r="4" spans="1:11">
      <c r="A4" s="388" t="b">
        <f t="shared" ref="A4:A11" si="0">IF(I4&lt;&gt;"",TRUE,FALSE)</f>
        <v>1</v>
      </c>
      <c r="B4" s="464" t="s">
        <v>5409</v>
      </c>
      <c r="C4" s="465" t="s">
        <v>5411</v>
      </c>
      <c r="D4" s="462" t="b">
        <f t="shared" ref="D4:D11" si="1">IF(I4&lt;&gt;"",TRUE,FALSE)</f>
        <v>1</v>
      </c>
      <c r="E4" s="466" t="s">
        <v>897</v>
      </c>
      <c r="F4" s="244"/>
      <c r="H4" s="464" t="s">
        <v>5415</v>
      </c>
      <c r="I4">
        <f>IFERROR(MATCH(H4,CoinCollection!O:O,0),"")</f>
        <v>2252</v>
      </c>
      <c r="J4" t="s">
        <v>5423</v>
      </c>
      <c r="K4" t="str">
        <f>IFERROR(MATCH(J4,CoinCollection!O:O,0),"")</f>
        <v/>
      </c>
    </row>
    <row r="5" spans="1:11">
      <c r="A5" s="388" t="b">
        <f t="shared" si="0"/>
        <v>0</v>
      </c>
      <c r="B5" s="467" t="s">
        <v>894</v>
      </c>
      <c r="C5" s="461" t="s">
        <v>53</v>
      </c>
      <c r="D5" s="462" t="b">
        <f t="shared" si="1"/>
        <v>0</v>
      </c>
      <c r="E5" s="463" t="s">
        <v>898</v>
      </c>
      <c r="F5" s="480"/>
      <c r="H5" s="467" t="s">
        <v>5416</v>
      </c>
      <c r="I5" t="str">
        <f>IFERROR(MATCH(H5,CoinCollection!O:O,0),"")</f>
        <v/>
      </c>
      <c r="J5" t="s">
        <v>5424</v>
      </c>
      <c r="K5" t="str">
        <f>IFERROR(MATCH(J5,CoinCollection!O:O,0),"")</f>
        <v/>
      </c>
    </row>
    <row r="6" spans="1:11">
      <c r="A6" s="388" t="b">
        <f t="shared" si="0"/>
        <v>0</v>
      </c>
      <c r="B6" s="464" t="s">
        <v>5282</v>
      </c>
      <c r="C6" s="465" t="s">
        <v>53</v>
      </c>
      <c r="D6" s="462" t="b">
        <f t="shared" si="1"/>
        <v>0</v>
      </c>
      <c r="E6" s="466" t="s">
        <v>5284</v>
      </c>
      <c r="F6" s="244"/>
      <c r="H6" s="464" t="s">
        <v>5417</v>
      </c>
      <c r="I6" t="str">
        <f>IFERROR(MATCH(H6,CoinCollection!O:O,0),"")</f>
        <v/>
      </c>
      <c r="J6" t="s">
        <v>5425</v>
      </c>
      <c r="K6" t="str">
        <f>IFERROR(MATCH(J6,CoinCollection!O:O,0),"")</f>
        <v/>
      </c>
    </row>
    <row r="7" spans="1:11">
      <c r="A7" s="388" t="b">
        <f t="shared" si="0"/>
        <v>0</v>
      </c>
      <c r="B7" s="467" t="s">
        <v>5412</v>
      </c>
      <c r="C7" s="461" t="s">
        <v>5413</v>
      </c>
      <c r="D7" s="462" t="b">
        <f t="shared" si="1"/>
        <v>0</v>
      </c>
      <c r="E7" s="463" t="s">
        <v>2518</v>
      </c>
      <c r="F7" s="480" t="s">
        <v>5413</v>
      </c>
      <c r="H7" s="467" t="s">
        <v>5418</v>
      </c>
      <c r="I7" t="str">
        <f>IFERROR(MATCH(H7,CoinCollection!O:O,0),"")</f>
        <v/>
      </c>
      <c r="J7" t="s">
        <v>5425</v>
      </c>
      <c r="K7" t="str">
        <f>IFERROR(MATCH(J7,CoinCollection!O:O,0),"")</f>
        <v/>
      </c>
    </row>
    <row r="8" spans="1:11">
      <c r="A8" s="388" t="b">
        <f t="shared" si="0"/>
        <v>0</v>
      </c>
      <c r="B8" s="464" t="s">
        <v>5412</v>
      </c>
      <c r="C8" s="465" t="s">
        <v>5414</v>
      </c>
      <c r="D8" s="462" t="b">
        <f t="shared" si="1"/>
        <v>0</v>
      </c>
      <c r="E8" s="466" t="s">
        <v>2518</v>
      </c>
      <c r="F8" s="244" t="s">
        <v>5414</v>
      </c>
      <c r="H8" s="464" t="s">
        <v>5418</v>
      </c>
      <c r="I8" t="str">
        <f>IFERROR(MATCH(H8,CoinCollection!O:O,0),"")</f>
        <v/>
      </c>
      <c r="J8" t="s">
        <v>5425</v>
      </c>
      <c r="K8" t="str">
        <f>IFERROR(MATCH(J8,CoinCollection!O:O,0),"")</f>
        <v/>
      </c>
    </row>
    <row r="9" spans="1:11">
      <c r="A9" s="388" t="b">
        <f t="shared" si="0"/>
        <v>1</v>
      </c>
      <c r="B9" s="467" t="s">
        <v>895</v>
      </c>
      <c r="C9" s="461" t="s">
        <v>53</v>
      </c>
      <c r="D9" s="462" t="b">
        <f t="shared" si="1"/>
        <v>1</v>
      </c>
      <c r="E9" s="463" t="s">
        <v>933</v>
      </c>
      <c r="F9" s="480"/>
      <c r="H9" s="467" t="s">
        <v>5419</v>
      </c>
      <c r="I9">
        <f>IFERROR(MATCH(H9,CoinCollection!O:O,0),"")</f>
        <v>2275</v>
      </c>
      <c r="J9" t="s">
        <v>5426</v>
      </c>
      <c r="K9" t="str">
        <f>IFERROR(MATCH(J9,CoinCollection!O:O,0),"")</f>
        <v/>
      </c>
    </row>
    <row r="10" spans="1:11">
      <c r="A10" s="388" t="b">
        <f t="shared" si="0"/>
        <v>1</v>
      </c>
      <c r="B10" s="464" t="s">
        <v>896</v>
      </c>
      <c r="C10" s="465" t="s">
        <v>53</v>
      </c>
      <c r="D10" s="462" t="b">
        <f t="shared" si="1"/>
        <v>1</v>
      </c>
      <c r="E10" s="466" t="s">
        <v>5285</v>
      </c>
      <c r="F10" s="244"/>
      <c r="H10" s="464" t="s">
        <v>5420</v>
      </c>
      <c r="I10">
        <f>IFERROR(MATCH(H10,CoinCollection!O:O,0),"")</f>
        <v>2280</v>
      </c>
      <c r="J10" t="s">
        <v>5427</v>
      </c>
      <c r="K10" t="str">
        <f>IFERROR(MATCH(J10,CoinCollection!O:O,0),"")</f>
        <v/>
      </c>
    </row>
    <row r="11" spans="1:11">
      <c r="A11" s="388" t="b">
        <f t="shared" si="0"/>
        <v>0</v>
      </c>
      <c r="B11" s="468" t="s">
        <v>5283</v>
      </c>
      <c r="C11" s="469" t="s">
        <v>53</v>
      </c>
      <c r="D11" s="462" t="b">
        <f t="shared" si="1"/>
        <v>0</v>
      </c>
      <c r="E11" s="470" t="s">
        <v>934</v>
      </c>
      <c r="F11" s="480"/>
      <c r="H11" s="468" t="s">
        <v>5421</v>
      </c>
      <c r="I11" t="str">
        <f>IFERROR(MATCH(H11,CoinCollection!O:O,0),"")</f>
        <v/>
      </c>
      <c r="J11" t="s">
        <v>5428</v>
      </c>
      <c r="K11" t="str">
        <f>IFERROR(MATCH(J11,CoinCollection!O:O,0),"")</f>
        <v/>
      </c>
    </row>
    <row r="16" spans="1:11" ht="15">
      <c r="B16" t="str" cm="1">
        <f t="array" ref="B16:B25">_xlfn.LET(_xlpm.stacked_data,_xlfn.VSTACK(A3:B11,D3:E11),
_xlfn._xlws.FILTER(_xlfn.CHOOSECOLS(_xlpm.stacked_data,2),_xlfn.CHOOSECOLS(_xlpm.stacked_data,1)=FALSE)
)</f>
        <v>1979-D</v>
      </c>
      <c r="C16" s="348" t="s">
        <v>4668</v>
      </c>
      <c r="D16" s="330">
        <f>COUNTIF(A3:H11,"=False")</f>
        <v>10</v>
      </c>
    </row>
    <row r="17" spans="2:4" ht="15">
      <c r="B17" t="str">
        <v>1979-S</v>
      </c>
      <c r="C17" s="348" t="s">
        <v>4669</v>
      </c>
      <c r="D17" s="330">
        <f>COUNTIF(A3:H11,"=true")</f>
        <v>8</v>
      </c>
    </row>
    <row r="18" spans="2:4">
      <c r="B18" t="str">
        <v>1979-S Proof</v>
      </c>
    </row>
    <row r="19" spans="2:4">
      <c r="B19" t="str">
        <v>1979-S Proof</v>
      </c>
    </row>
    <row r="20" spans="2:4">
      <c r="B20" t="str">
        <v>1980-S</v>
      </c>
    </row>
    <row r="21" spans="2:4">
      <c r="B21" t="str">
        <v>1981-D</v>
      </c>
    </row>
    <row r="22" spans="2:4">
      <c r="B22" t="str">
        <v>1981-S</v>
      </c>
    </row>
    <row r="23" spans="2:4">
      <c r="B23" t="str">
        <v>1981-S Proof</v>
      </c>
    </row>
    <row r="24" spans="2:4">
      <c r="B24" t="str">
        <v>1981-S Proof</v>
      </c>
    </row>
    <row r="25" spans="2:4">
      <c r="B25" t="str">
        <v>1999-D</v>
      </c>
      <c r="C25">
        <f>COUNTA(_xlfn.ANCHORARRAY(B16))</f>
        <v>10</v>
      </c>
    </row>
  </sheetData>
  <phoneticPr fontId="1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B35B2-3BB6-4A89-BA45-27BCCE84437D}">
  <sheetPr codeName="Sheet39"/>
  <dimension ref="A1:X143"/>
  <sheetViews>
    <sheetView workbookViewId="0">
      <selection activeCell="B38" sqref="B38"/>
    </sheetView>
  </sheetViews>
  <sheetFormatPr defaultRowHeight="12.75"/>
  <cols>
    <col min="1" max="1" width="4.42578125" bestFit="1" customWidth="1"/>
    <col min="2" max="2" width="26.5703125" bestFit="1" customWidth="1"/>
    <col min="3" max="3" width="5.85546875" bestFit="1" customWidth="1"/>
    <col min="4" max="4" width="30.7109375" bestFit="1" customWidth="1"/>
    <col min="5" max="5" width="4.42578125" bestFit="1" customWidth="1"/>
    <col min="6" max="6" width="31.28515625" bestFit="1" customWidth="1"/>
    <col min="7" max="7" width="4.42578125" bestFit="1" customWidth="1"/>
    <col min="8" max="8" width="30.7109375" bestFit="1" customWidth="1"/>
    <col min="9" max="9" width="4.42578125" bestFit="1" customWidth="1"/>
    <col min="10" max="10" width="37" bestFit="1" customWidth="1"/>
    <col min="15" max="15" width="31" hidden="1" customWidth="1"/>
    <col min="16" max="16" width="5" hidden="1" customWidth="1"/>
    <col min="17" max="17" width="30.7109375" hidden="1" customWidth="1"/>
    <col min="18" max="18" width="0" hidden="1" customWidth="1"/>
    <col min="19" max="19" width="31.28515625" hidden="1" customWidth="1"/>
    <col min="20" max="20" width="0" hidden="1" customWidth="1"/>
    <col min="21" max="21" width="30.7109375" hidden="1" customWidth="1"/>
    <col min="22" max="22" width="0" hidden="1" customWidth="1"/>
    <col min="23" max="23" width="40.28515625" hidden="1" customWidth="1"/>
    <col min="24" max="24" width="0" hidden="1" customWidth="1"/>
  </cols>
  <sheetData>
    <row r="1" spans="1:24">
      <c r="A1" s="135" t="s">
        <v>1772</v>
      </c>
    </row>
    <row r="2" spans="1:24">
      <c r="B2" s="457" t="s">
        <v>3</v>
      </c>
      <c r="C2" s="458"/>
      <c r="D2" s="458" t="s">
        <v>4802</v>
      </c>
      <c r="E2" s="458"/>
      <c r="F2" s="458" t="s">
        <v>4804</v>
      </c>
      <c r="G2" s="458"/>
      <c r="H2" s="458" t="s">
        <v>4808</v>
      </c>
      <c r="I2" s="458"/>
      <c r="J2" s="459" t="s">
        <v>4809</v>
      </c>
    </row>
    <row r="3" spans="1:24">
      <c r="A3" s="388" t="b">
        <f>IF(P3&lt;&gt;"",TRUE,FALSE)</f>
        <v>0</v>
      </c>
      <c r="B3" s="467" t="s">
        <v>5317</v>
      </c>
      <c r="C3" s="462" t="b">
        <f>IF(R3&lt;&gt;"",TRUE,FALSE)</f>
        <v>0</v>
      </c>
      <c r="D3" s="461" t="s">
        <v>5323</v>
      </c>
      <c r="E3" s="462" t="b">
        <f>IF(T3&lt;&gt;"",TRUE,FALSE)</f>
        <v>0</v>
      </c>
      <c r="F3" s="461" t="s">
        <v>5343</v>
      </c>
      <c r="G3" s="462" t="b">
        <f>IF(V3&lt;&gt;"",TRUE,FALSE)</f>
        <v>0</v>
      </c>
      <c r="H3" s="461" t="s">
        <v>5364</v>
      </c>
      <c r="I3" s="462" t="b">
        <f>IF(X3&lt;&gt;"",TRUE,FALSE)</f>
        <v>0</v>
      </c>
      <c r="J3" s="463" t="s">
        <v>5322</v>
      </c>
      <c r="O3" t="s">
        <v>5317</v>
      </c>
      <c r="P3" t="str">
        <f>IFERROR(MATCH(O3,CoinCollection!O:O,0),"")</f>
        <v/>
      </c>
      <c r="Q3" t="s">
        <v>5323</v>
      </c>
      <c r="R3" t="str">
        <f>IFERROR(MATCH(Q3,CoinCollection!O:O,0),"")</f>
        <v/>
      </c>
      <c r="S3" t="s">
        <v>5343</v>
      </c>
      <c r="T3" t="str">
        <f>IFERROR(MATCH(S3,CoinCollection!O:O,0),"")</f>
        <v/>
      </c>
      <c r="U3" t="s">
        <v>5364</v>
      </c>
      <c r="V3" t="str">
        <f>IFERROR(MATCH(U3,CoinCollection!O:O,0),"")</f>
        <v/>
      </c>
      <c r="W3" t="s">
        <v>5322</v>
      </c>
      <c r="X3" t="str">
        <f>IFERROR(MATCH(W3,CoinCollection!O:O,0),"")</f>
        <v/>
      </c>
    </row>
    <row r="4" spans="1:24">
      <c r="A4" s="388" t="b">
        <f t="shared" ref="A4:A31" si="0">IF(P4&lt;&gt;"",TRUE,FALSE)</f>
        <v>1</v>
      </c>
      <c r="B4" t="s">
        <v>5294</v>
      </c>
      <c r="C4" s="462" t="b">
        <f t="shared" ref="C4:C23" si="1">IF(R4&lt;&gt;"",TRUE,FALSE)</f>
        <v>0</v>
      </c>
      <c r="D4" s="465" t="s">
        <v>5324</v>
      </c>
      <c r="E4" s="462" t="b">
        <f t="shared" ref="E4:E23" si="2">IF(T4&lt;&gt;"",TRUE,FALSE)</f>
        <v>0</v>
      </c>
      <c r="F4" s="465" t="s">
        <v>5344</v>
      </c>
      <c r="G4" s="462" t="b">
        <f t="shared" ref="G4:G23" si="3">IF(V4&lt;&gt;"",TRUE,FALSE)</f>
        <v>0</v>
      </c>
      <c r="H4" s="465" t="s">
        <v>5365</v>
      </c>
      <c r="I4" s="462" t="b">
        <f t="shared" ref="I4:I28" si="4">IF(X4&lt;&gt;"",TRUE,FALSE)</f>
        <v>1</v>
      </c>
      <c r="J4" t="s">
        <v>5406</v>
      </c>
      <c r="O4" t="s">
        <v>5294</v>
      </c>
      <c r="P4">
        <f>IFERROR(MATCH(O4,CoinCollection!O:O,0),"")</f>
        <v>2283</v>
      </c>
      <c r="Q4" t="s">
        <v>5324</v>
      </c>
      <c r="R4" t="str">
        <f>IFERROR(MATCH(Q4,CoinCollection!O:O,0),"")</f>
        <v/>
      </c>
      <c r="S4" t="s">
        <v>5344</v>
      </c>
      <c r="T4" t="str">
        <f>IFERROR(MATCH(S4,CoinCollection!O:O,0),"")</f>
        <v/>
      </c>
      <c r="U4" t="s">
        <v>5365</v>
      </c>
      <c r="V4" t="str">
        <f>IFERROR(MATCH(U4,CoinCollection!O:O,0),"")</f>
        <v/>
      </c>
      <c r="W4" t="s">
        <v>5406</v>
      </c>
      <c r="X4">
        <f>IFERROR(MATCH(W4,CoinCollection!O:O,0),"")</f>
        <v>2318</v>
      </c>
    </row>
    <row r="5" spans="1:24">
      <c r="A5" s="388" t="b">
        <f t="shared" si="0"/>
        <v>0</v>
      </c>
      <c r="B5" s="464" t="s">
        <v>5297</v>
      </c>
      <c r="C5" s="462" t="b">
        <f t="shared" si="1"/>
        <v>0</v>
      </c>
      <c r="D5" s="461" t="s">
        <v>5325</v>
      </c>
      <c r="E5" s="462" t="b">
        <f t="shared" si="2"/>
        <v>0</v>
      </c>
      <c r="F5" s="461" t="s">
        <v>5345</v>
      </c>
      <c r="G5" s="462" t="b">
        <f t="shared" si="3"/>
        <v>0</v>
      </c>
      <c r="H5" s="461" t="s">
        <v>5366</v>
      </c>
      <c r="I5" s="462" t="b">
        <f t="shared" si="4"/>
        <v>0</v>
      </c>
      <c r="J5" s="466" t="s">
        <v>5385</v>
      </c>
      <c r="O5" t="s">
        <v>5297</v>
      </c>
      <c r="P5" t="str">
        <f>IFERROR(MATCH(O5,CoinCollection!O:O,0),"")</f>
        <v/>
      </c>
      <c r="Q5" t="s">
        <v>5325</v>
      </c>
      <c r="R5" t="str">
        <f>IFERROR(MATCH(Q5,CoinCollection!O:O,0),"")</f>
        <v/>
      </c>
      <c r="S5" t="s">
        <v>5345</v>
      </c>
      <c r="T5" t="str">
        <f>IFERROR(MATCH(S5,CoinCollection!O:O,0),"")</f>
        <v/>
      </c>
      <c r="U5" t="s">
        <v>5366</v>
      </c>
      <c r="V5" t="str">
        <f>IFERROR(MATCH(U5,CoinCollection!O:O,0),"")</f>
        <v/>
      </c>
      <c r="W5" t="s">
        <v>5385</v>
      </c>
      <c r="X5" t="str">
        <f>IFERROR(MATCH(W5,CoinCollection!O:O,0),"")</f>
        <v/>
      </c>
    </row>
    <row r="6" spans="1:24">
      <c r="A6" s="388" t="b">
        <f t="shared" si="0"/>
        <v>0</v>
      </c>
      <c r="B6" s="467" t="s">
        <v>5298</v>
      </c>
      <c r="C6" s="462" t="b">
        <f t="shared" si="1"/>
        <v>0</v>
      </c>
      <c r="D6" s="465" t="s">
        <v>5326</v>
      </c>
      <c r="E6" s="462" t="b">
        <f t="shared" si="2"/>
        <v>0</v>
      </c>
      <c r="F6" s="465" t="s">
        <v>5346</v>
      </c>
      <c r="G6" s="462" t="b">
        <f t="shared" si="3"/>
        <v>0</v>
      </c>
      <c r="H6" s="465" t="s">
        <v>5367</v>
      </c>
      <c r="I6" s="462" t="b">
        <f t="shared" si="4"/>
        <v>0</v>
      </c>
      <c r="J6" s="463" t="s">
        <v>5386</v>
      </c>
      <c r="O6" t="s">
        <v>5298</v>
      </c>
      <c r="P6" t="str">
        <f>IFERROR(MATCH(O6,CoinCollection!O:O,0),"")</f>
        <v/>
      </c>
      <c r="Q6" t="s">
        <v>5326</v>
      </c>
      <c r="R6" t="str">
        <f>IFERROR(MATCH(Q6,CoinCollection!O:O,0),"")</f>
        <v/>
      </c>
      <c r="S6" t="s">
        <v>5346</v>
      </c>
      <c r="T6" t="str">
        <f>IFERROR(MATCH(S6,CoinCollection!O:O,0),"")</f>
        <v/>
      </c>
      <c r="U6" t="s">
        <v>5367</v>
      </c>
      <c r="V6" t="str">
        <f>IFERROR(MATCH(U6,CoinCollection!O:O,0),"")</f>
        <v/>
      </c>
      <c r="W6" t="s">
        <v>5386</v>
      </c>
      <c r="X6" t="str">
        <f>IFERROR(MATCH(W6,CoinCollection!O:O,0),"")</f>
        <v/>
      </c>
    </row>
    <row r="7" spans="1:24">
      <c r="A7" s="388" t="b">
        <f t="shared" si="0"/>
        <v>1</v>
      </c>
      <c r="B7" t="s">
        <v>5295</v>
      </c>
      <c r="C7" s="462" t="b">
        <f t="shared" si="1"/>
        <v>0</v>
      </c>
      <c r="D7" s="461" t="s">
        <v>5327</v>
      </c>
      <c r="E7" s="462" t="b">
        <f t="shared" si="2"/>
        <v>0</v>
      </c>
      <c r="F7" s="461" t="s">
        <v>5347</v>
      </c>
      <c r="G7" s="462" t="b">
        <f t="shared" si="3"/>
        <v>0</v>
      </c>
      <c r="H7" s="461" t="s">
        <v>5368</v>
      </c>
      <c r="I7" s="462" t="b">
        <f t="shared" si="4"/>
        <v>0</v>
      </c>
      <c r="J7" s="466" t="s">
        <v>5387</v>
      </c>
      <c r="O7" t="s">
        <v>5295</v>
      </c>
      <c r="P7">
        <f>IFERROR(MATCH(O7,CoinCollection!O:O,0),"")</f>
        <v>2285</v>
      </c>
      <c r="Q7" t="s">
        <v>5327</v>
      </c>
      <c r="R7" t="str">
        <f>IFERROR(MATCH(Q7,CoinCollection!O:O,0),"")</f>
        <v/>
      </c>
      <c r="S7" t="s">
        <v>5347</v>
      </c>
      <c r="T7" t="str">
        <f>IFERROR(MATCH(S7,CoinCollection!O:O,0),"")</f>
        <v/>
      </c>
      <c r="U7" t="s">
        <v>5368</v>
      </c>
      <c r="V7" t="str">
        <f>IFERROR(MATCH(U7,CoinCollection!O:O,0),"")</f>
        <v/>
      </c>
      <c r="W7" t="s">
        <v>5387</v>
      </c>
      <c r="X7" t="str">
        <f>IFERROR(MATCH(W7,CoinCollection!O:O,0),"")</f>
        <v/>
      </c>
    </row>
    <row r="8" spans="1:24">
      <c r="A8" s="388" t="b">
        <f t="shared" si="0"/>
        <v>0</v>
      </c>
      <c r="B8" s="464" t="s">
        <v>5299</v>
      </c>
      <c r="C8" s="462" t="b">
        <f t="shared" si="1"/>
        <v>0</v>
      </c>
      <c r="D8" s="465" t="s">
        <v>5328</v>
      </c>
      <c r="E8" s="462" t="b">
        <f t="shared" si="2"/>
        <v>0</v>
      </c>
      <c r="F8" s="465" t="s">
        <v>5348</v>
      </c>
      <c r="G8" s="462" t="b">
        <f t="shared" si="3"/>
        <v>0</v>
      </c>
      <c r="H8" s="465" t="s">
        <v>5369</v>
      </c>
      <c r="I8" s="462" t="b">
        <f t="shared" si="4"/>
        <v>0</v>
      </c>
      <c r="J8" s="463" t="s">
        <v>5388</v>
      </c>
      <c r="O8" t="s">
        <v>5299</v>
      </c>
      <c r="P8" t="str">
        <f>IFERROR(MATCH(O8,CoinCollection!O:O,0),"")</f>
        <v/>
      </c>
      <c r="Q8" t="s">
        <v>5328</v>
      </c>
      <c r="R8" t="str">
        <f>IFERROR(MATCH(Q8,CoinCollection!O:O,0),"")</f>
        <v/>
      </c>
      <c r="S8" t="s">
        <v>5348</v>
      </c>
      <c r="T8" t="str">
        <f>IFERROR(MATCH(S8,CoinCollection!O:O,0),"")</f>
        <v/>
      </c>
      <c r="U8" t="s">
        <v>5369</v>
      </c>
      <c r="V8" t="str">
        <f>IFERROR(MATCH(U8,CoinCollection!O:O,0),"")</f>
        <v/>
      </c>
      <c r="W8" t="s">
        <v>5388</v>
      </c>
      <c r="X8" t="str">
        <f>IFERROR(MATCH(W8,CoinCollection!O:O,0),"")</f>
        <v/>
      </c>
    </row>
    <row r="9" spans="1:24">
      <c r="A9" s="388" t="b">
        <f t="shared" si="0"/>
        <v>0</v>
      </c>
      <c r="B9" s="467" t="s">
        <v>5300</v>
      </c>
      <c r="C9" s="462" t="b">
        <f t="shared" si="1"/>
        <v>0</v>
      </c>
      <c r="D9" s="461" t="s">
        <v>5329</v>
      </c>
      <c r="E9" s="462" t="b">
        <f t="shared" si="2"/>
        <v>0</v>
      </c>
      <c r="F9" s="461" t="s">
        <v>5349</v>
      </c>
      <c r="G9" s="462" t="b">
        <f t="shared" si="3"/>
        <v>0</v>
      </c>
      <c r="H9" s="461" t="s">
        <v>5370</v>
      </c>
      <c r="I9" s="462" t="b">
        <f t="shared" si="4"/>
        <v>0</v>
      </c>
      <c r="J9" s="466" t="s">
        <v>5389</v>
      </c>
      <c r="O9" t="s">
        <v>5300</v>
      </c>
      <c r="P9" t="str">
        <f>IFERROR(MATCH(O9,CoinCollection!O:O,0),"")</f>
        <v/>
      </c>
      <c r="Q9" t="s">
        <v>5329</v>
      </c>
      <c r="R9" t="str">
        <f>IFERROR(MATCH(Q9,CoinCollection!O:O,0),"")</f>
        <v/>
      </c>
      <c r="S9" t="s">
        <v>5349</v>
      </c>
      <c r="T9" t="str">
        <f>IFERROR(MATCH(S9,CoinCollection!O:O,0),"")</f>
        <v/>
      </c>
      <c r="U9" t="s">
        <v>5370</v>
      </c>
      <c r="V9" t="str">
        <f>IFERROR(MATCH(U9,CoinCollection!O:O,0),"")</f>
        <v/>
      </c>
      <c r="W9" t="s">
        <v>5389</v>
      </c>
      <c r="X9" t="str">
        <f>IFERROR(MATCH(W9,CoinCollection!O:O,0),"")</f>
        <v/>
      </c>
    </row>
    <row r="10" spans="1:24">
      <c r="A10" s="388" t="b">
        <f t="shared" si="0"/>
        <v>1</v>
      </c>
      <c r="B10" t="s">
        <v>5296</v>
      </c>
      <c r="C10" s="462" t="b">
        <f t="shared" si="1"/>
        <v>1</v>
      </c>
      <c r="D10" s="465" t="s">
        <v>5293</v>
      </c>
      <c r="E10" s="462" t="b">
        <f t="shared" si="2"/>
        <v>0</v>
      </c>
      <c r="F10" s="465" t="s">
        <v>5350</v>
      </c>
      <c r="G10" s="462" t="b">
        <f t="shared" si="3"/>
        <v>0</v>
      </c>
      <c r="H10" s="465" t="s">
        <v>5371</v>
      </c>
      <c r="I10" s="462" t="b">
        <f t="shared" si="4"/>
        <v>0</v>
      </c>
      <c r="J10" s="463" t="s">
        <v>5390</v>
      </c>
      <c r="O10" t="s">
        <v>5296</v>
      </c>
      <c r="P10">
        <f>IFERROR(MATCH(O10,CoinCollection!O:O,0),"")</f>
        <v>2287</v>
      </c>
      <c r="Q10" t="s">
        <v>5293</v>
      </c>
      <c r="R10">
        <f>IFERROR(MATCH(Q10,CoinCollection!O:O,0),"")</f>
        <v>2218</v>
      </c>
      <c r="S10" t="s">
        <v>5350</v>
      </c>
      <c r="T10" t="str">
        <f>IFERROR(MATCH(S10,CoinCollection!O:O,0),"")</f>
        <v/>
      </c>
      <c r="U10" t="s">
        <v>5371</v>
      </c>
      <c r="V10" t="str">
        <f>IFERROR(MATCH(U10,CoinCollection!O:O,0),"")</f>
        <v/>
      </c>
      <c r="W10" t="s">
        <v>5390</v>
      </c>
      <c r="X10" t="str">
        <f>IFERROR(MATCH(W10,CoinCollection!O:O,0),"")</f>
        <v/>
      </c>
    </row>
    <row r="11" spans="1:24">
      <c r="A11" s="388" t="b">
        <f t="shared" si="0"/>
        <v>0</v>
      </c>
      <c r="B11" s="464" t="s">
        <v>5301</v>
      </c>
      <c r="C11" s="462" t="b">
        <f t="shared" si="1"/>
        <v>0</v>
      </c>
      <c r="D11" s="461" t="s">
        <v>5330</v>
      </c>
      <c r="E11" s="462" t="b">
        <f t="shared" si="2"/>
        <v>0</v>
      </c>
      <c r="F11" s="461" t="s">
        <v>5351</v>
      </c>
      <c r="G11" s="462" t="b">
        <f t="shared" si="3"/>
        <v>0</v>
      </c>
      <c r="H11" s="461" t="s">
        <v>5372</v>
      </c>
      <c r="I11" s="462" t="b">
        <f t="shared" si="4"/>
        <v>0</v>
      </c>
      <c r="J11" s="466" t="s">
        <v>5391</v>
      </c>
      <c r="O11" t="s">
        <v>5301</v>
      </c>
      <c r="P11" t="str">
        <f>IFERROR(MATCH(O11,CoinCollection!O:O,0),"")</f>
        <v/>
      </c>
      <c r="Q11" t="s">
        <v>5330</v>
      </c>
      <c r="R11" t="str">
        <f>IFERROR(MATCH(Q11,CoinCollection!O:O,0),"")</f>
        <v/>
      </c>
      <c r="S11" t="s">
        <v>5351</v>
      </c>
      <c r="T11" t="str">
        <f>IFERROR(MATCH(S11,CoinCollection!O:O,0),"")</f>
        <v/>
      </c>
      <c r="U11" t="s">
        <v>5372</v>
      </c>
      <c r="V11" t="str">
        <f>IFERROR(MATCH(U11,CoinCollection!O:O,0),"")</f>
        <v/>
      </c>
      <c r="W11" t="s">
        <v>5391</v>
      </c>
      <c r="X11" t="str">
        <f>IFERROR(MATCH(W11,CoinCollection!O:O,0),"")</f>
        <v/>
      </c>
    </row>
    <row r="12" spans="1:24">
      <c r="A12" s="388" t="b">
        <f t="shared" si="0"/>
        <v>0</v>
      </c>
      <c r="B12" s="467" t="s">
        <v>5302</v>
      </c>
      <c r="C12" s="462" t="b">
        <f t="shared" si="1"/>
        <v>0</v>
      </c>
      <c r="D12" s="465" t="s">
        <v>5331</v>
      </c>
      <c r="E12" s="462" t="b">
        <f t="shared" si="2"/>
        <v>0</v>
      </c>
      <c r="F12" s="465" t="s">
        <v>5352</v>
      </c>
      <c r="G12" s="462" t="b">
        <f t="shared" si="3"/>
        <v>0</v>
      </c>
      <c r="H12" s="465" t="s">
        <v>5373</v>
      </c>
      <c r="I12" s="462" t="b">
        <f t="shared" si="4"/>
        <v>0</v>
      </c>
      <c r="J12" s="463" t="s">
        <v>5392</v>
      </c>
      <c r="O12" t="s">
        <v>5302</v>
      </c>
      <c r="P12" t="str">
        <f>IFERROR(MATCH(O12,CoinCollection!O:O,0),"")</f>
        <v/>
      </c>
      <c r="Q12" t="s">
        <v>5331</v>
      </c>
      <c r="R12" t="str">
        <f>IFERROR(MATCH(Q12,CoinCollection!O:O,0),"")</f>
        <v/>
      </c>
      <c r="S12" t="s">
        <v>5352</v>
      </c>
      <c r="T12" t="str">
        <f>IFERROR(MATCH(S12,CoinCollection!O:O,0),"")</f>
        <v/>
      </c>
      <c r="U12" t="s">
        <v>5373</v>
      </c>
      <c r="V12" t="str">
        <f>IFERROR(MATCH(U12,CoinCollection!O:O,0),"")</f>
        <v/>
      </c>
      <c r="W12" t="s">
        <v>5392</v>
      </c>
      <c r="X12" t="str">
        <f>IFERROR(MATCH(W12,CoinCollection!O:O,0),"")</f>
        <v/>
      </c>
    </row>
    <row r="13" spans="1:24">
      <c r="A13" s="388" t="b">
        <f t="shared" si="0"/>
        <v>1</v>
      </c>
      <c r="B13" t="s">
        <v>5318</v>
      </c>
      <c r="C13" s="462" t="b">
        <f t="shared" si="1"/>
        <v>0</v>
      </c>
      <c r="D13" s="461" t="s">
        <v>5332</v>
      </c>
      <c r="E13" s="462" t="b">
        <f t="shared" si="2"/>
        <v>0</v>
      </c>
      <c r="F13" s="461" t="s">
        <v>5353</v>
      </c>
      <c r="G13" s="462" t="b">
        <f t="shared" si="3"/>
        <v>0</v>
      </c>
      <c r="H13" s="461" t="s">
        <v>5374</v>
      </c>
      <c r="I13" s="462" t="b">
        <f t="shared" si="4"/>
        <v>1</v>
      </c>
      <c r="J13" s="477" t="s">
        <v>5291</v>
      </c>
      <c r="O13" t="s">
        <v>5318</v>
      </c>
      <c r="P13">
        <f>IFERROR(MATCH(O13,CoinCollection!O:O,0),"")</f>
        <v>2288</v>
      </c>
      <c r="Q13" t="s">
        <v>5332</v>
      </c>
      <c r="R13" t="str">
        <f>IFERROR(MATCH(Q13,CoinCollection!O:O,0),"")</f>
        <v/>
      </c>
      <c r="S13" t="s">
        <v>5353</v>
      </c>
      <c r="T13" t="str">
        <f>IFERROR(MATCH(S13,CoinCollection!O:O,0),"")</f>
        <v/>
      </c>
      <c r="U13" t="s">
        <v>5374</v>
      </c>
      <c r="V13" t="str">
        <f>IFERROR(MATCH(U13,CoinCollection!O:O,0),"")</f>
        <v/>
      </c>
      <c r="W13" t="s">
        <v>5291</v>
      </c>
      <c r="X13">
        <f>IFERROR(MATCH(W13,CoinCollection!O:O,0),"")</f>
        <v>2319</v>
      </c>
    </row>
    <row r="14" spans="1:24">
      <c r="A14" s="388" t="b">
        <f t="shared" si="0"/>
        <v>0</v>
      </c>
      <c r="B14" s="464" t="s">
        <v>5303</v>
      </c>
      <c r="C14" s="462" t="b">
        <f t="shared" si="1"/>
        <v>0</v>
      </c>
      <c r="D14" s="465" t="s">
        <v>5333</v>
      </c>
      <c r="E14" s="462" t="b">
        <f t="shared" si="2"/>
        <v>0</v>
      </c>
      <c r="F14" s="465" t="s">
        <v>5354</v>
      </c>
      <c r="G14" s="462" t="b">
        <f t="shared" si="3"/>
        <v>0</v>
      </c>
      <c r="H14" s="465" t="s">
        <v>5375</v>
      </c>
      <c r="I14" s="462" t="b">
        <f t="shared" si="4"/>
        <v>1</v>
      </c>
      <c r="J14" s="476" t="s">
        <v>5292</v>
      </c>
      <c r="O14" t="s">
        <v>5303</v>
      </c>
      <c r="P14" t="str">
        <f>IFERROR(MATCH(O14,CoinCollection!O:O,0),"")</f>
        <v/>
      </c>
      <c r="Q14" t="s">
        <v>5333</v>
      </c>
      <c r="R14" t="str">
        <f>IFERROR(MATCH(Q14,CoinCollection!O:O,0),"")</f>
        <v/>
      </c>
      <c r="S14" t="s">
        <v>5354</v>
      </c>
      <c r="T14" t="str">
        <f>IFERROR(MATCH(S14,CoinCollection!O:O,0),"")</f>
        <v/>
      </c>
      <c r="U14" t="s">
        <v>5375</v>
      </c>
      <c r="V14" t="str">
        <f>IFERROR(MATCH(U14,CoinCollection!O:O,0),"")</f>
        <v/>
      </c>
      <c r="W14" t="s">
        <v>5292</v>
      </c>
      <c r="X14">
        <f>IFERROR(MATCH(W14,CoinCollection!O:O,0),"")</f>
        <v>2239</v>
      </c>
    </row>
    <row r="15" spans="1:24">
      <c r="A15" s="388" t="b">
        <f t="shared" si="0"/>
        <v>1</v>
      </c>
      <c r="B15" s="467" t="s">
        <v>5304</v>
      </c>
      <c r="C15" s="462" t="b">
        <f t="shared" si="1"/>
        <v>0</v>
      </c>
      <c r="D15" s="461" t="s">
        <v>5334</v>
      </c>
      <c r="E15" s="462" t="b">
        <f t="shared" si="2"/>
        <v>0</v>
      </c>
      <c r="F15" s="461" t="s">
        <v>5355</v>
      </c>
      <c r="G15" s="462" t="b">
        <f t="shared" si="3"/>
        <v>0</v>
      </c>
      <c r="H15" s="461" t="s">
        <v>5376</v>
      </c>
      <c r="I15" s="462" t="b">
        <f t="shared" si="4"/>
        <v>0</v>
      </c>
      <c r="J15" s="476" t="s">
        <v>5393</v>
      </c>
      <c r="O15" t="s">
        <v>5319</v>
      </c>
      <c r="P15">
        <f>IFERROR(MATCH(O15,CoinCollection!O:O,0),"")</f>
        <v>2289</v>
      </c>
      <c r="Q15" t="s">
        <v>5334</v>
      </c>
      <c r="R15" t="str">
        <f>IFERROR(MATCH(Q15,CoinCollection!O:O,0),"")</f>
        <v/>
      </c>
      <c r="S15" t="s">
        <v>5355</v>
      </c>
      <c r="T15" t="str">
        <f>IFERROR(MATCH(S15,CoinCollection!O:O,0),"")</f>
        <v/>
      </c>
      <c r="U15" t="s">
        <v>5376</v>
      </c>
      <c r="V15" t="str">
        <f>IFERROR(MATCH(U15,CoinCollection!O:O,0),"")</f>
        <v/>
      </c>
      <c r="W15" t="s">
        <v>5393</v>
      </c>
      <c r="X15" t="str">
        <f>IFERROR(MATCH(W15,CoinCollection!O:O,0),"")</f>
        <v/>
      </c>
    </row>
    <row r="16" spans="1:24">
      <c r="A16" s="388" t="b">
        <f t="shared" si="0"/>
        <v>0</v>
      </c>
      <c r="B16" t="s">
        <v>5319</v>
      </c>
      <c r="C16" s="462" t="b">
        <f t="shared" si="1"/>
        <v>0</v>
      </c>
      <c r="D16" s="465" t="s">
        <v>5335</v>
      </c>
      <c r="E16" s="462" t="b">
        <f t="shared" si="2"/>
        <v>0</v>
      </c>
      <c r="F16" s="465" t="s">
        <v>5356</v>
      </c>
      <c r="G16" s="462" t="b">
        <f t="shared" si="3"/>
        <v>0</v>
      </c>
      <c r="H16" s="465" t="s">
        <v>5377</v>
      </c>
      <c r="I16" s="462" t="b">
        <f t="shared" si="4"/>
        <v>0</v>
      </c>
      <c r="J16" s="476" t="s">
        <v>5405</v>
      </c>
      <c r="O16" t="s">
        <v>5305</v>
      </c>
      <c r="P16" t="str">
        <f>IFERROR(MATCH(O16,CoinCollection!O:O,0),"")</f>
        <v/>
      </c>
      <c r="Q16" t="s">
        <v>5335</v>
      </c>
      <c r="R16" t="str">
        <f>IFERROR(MATCH(Q16,CoinCollection!O:O,0),"")</f>
        <v/>
      </c>
      <c r="S16" t="s">
        <v>5356</v>
      </c>
      <c r="T16" t="str">
        <f>IFERROR(MATCH(S16,CoinCollection!O:O,0),"")</f>
        <v/>
      </c>
      <c r="U16" t="s">
        <v>5377</v>
      </c>
      <c r="V16" t="str">
        <f>IFERROR(MATCH(U16,CoinCollection!O:O,0),"")</f>
        <v/>
      </c>
      <c r="W16" t="s">
        <v>5394</v>
      </c>
      <c r="X16" t="str">
        <f>IFERROR(MATCH(W16,CoinCollection!O:O,0),"")</f>
        <v/>
      </c>
    </row>
    <row r="17" spans="1:24">
      <c r="A17" s="388" t="b">
        <f t="shared" si="0"/>
        <v>0</v>
      </c>
      <c r="B17" s="464" t="s">
        <v>5305</v>
      </c>
      <c r="C17" s="462" t="b">
        <f t="shared" si="1"/>
        <v>0</v>
      </c>
      <c r="D17" s="461" t="s">
        <v>5336</v>
      </c>
      <c r="E17" s="462" t="b">
        <f t="shared" si="2"/>
        <v>0</v>
      </c>
      <c r="F17" s="461" t="s">
        <v>5357</v>
      </c>
      <c r="G17" s="462" t="b">
        <f t="shared" si="3"/>
        <v>0</v>
      </c>
      <c r="H17" s="461" t="s">
        <v>5378</v>
      </c>
      <c r="I17" s="462" t="b">
        <f t="shared" si="4"/>
        <v>1</v>
      </c>
      <c r="J17" s="463" t="s">
        <v>5394</v>
      </c>
      <c r="O17" t="s">
        <v>5306</v>
      </c>
      <c r="P17" t="str">
        <f>IFERROR(MATCH(O17,CoinCollection!O:O,0),"")</f>
        <v/>
      </c>
      <c r="Q17" t="s">
        <v>5336</v>
      </c>
      <c r="R17" t="str">
        <f>IFERROR(MATCH(Q17,CoinCollection!O:O,0),"")</f>
        <v/>
      </c>
      <c r="S17" t="s">
        <v>5357</v>
      </c>
      <c r="T17" t="str">
        <f>IFERROR(MATCH(S17,CoinCollection!O:O,0),"")</f>
        <v/>
      </c>
      <c r="U17" t="s">
        <v>5378</v>
      </c>
      <c r="V17" t="str">
        <f>IFERROR(MATCH(U17,CoinCollection!O:O,0),"")</f>
        <v/>
      </c>
      <c r="W17" t="s">
        <v>5408</v>
      </c>
      <c r="X17">
        <f>IFERROR(MATCH(W17,CoinCollection!O:O,0),"")</f>
        <v>2321</v>
      </c>
    </row>
    <row r="18" spans="1:24">
      <c r="A18" s="388" t="b">
        <f t="shared" si="0"/>
        <v>1</v>
      </c>
      <c r="B18" s="467" t="s">
        <v>5306</v>
      </c>
      <c r="C18" s="462" t="b">
        <f t="shared" si="1"/>
        <v>0</v>
      </c>
      <c r="D18" s="465" t="s">
        <v>5337</v>
      </c>
      <c r="E18" s="462" t="b">
        <f t="shared" si="2"/>
        <v>0</v>
      </c>
      <c r="F18" s="465" t="s">
        <v>5358</v>
      </c>
      <c r="G18" s="462" t="b">
        <f t="shared" si="3"/>
        <v>0</v>
      </c>
      <c r="H18" s="465" t="s">
        <v>5379</v>
      </c>
      <c r="I18" s="462" t="b">
        <f t="shared" si="4"/>
        <v>1</v>
      </c>
      <c r="J18" s="466" t="s">
        <v>5408</v>
      </c>
      <c r="O18" t="s">
        <v>5320</v>
      </c>
      <c r="P18">
        <f>IFERROR(MATCH(O18,CoinCollection!O:O,0),"")</f>
        <v>2290</v>
      </c>
      <c r="Q18" t="s">
        <v>5337</v>
      </c>
      <c r="R18" t="str">
        <f>IFERROR(MATCH(Q18,CoinCollection!O:O,0),"")</f>
        <v/>
      </c>
      <c r="S18" t="s">
        <v>5358</v>
      </c>
      <c r="T18" t="str">
        <f>IFERROR(MATCH(S18,CoinCollection!O:O,0),"")</f>
        <v/>
      </c>
      <c r="U18" t="s">
        <v>5379</v>
      </c>
      <c r="V18" t="str">
        <f>IFERROR(MATCH(U18,CoinCollection!O:O,0),"")</f>
        <v/>
      </c>
      <c r="W18" t="s">
        <v>5405</v>
      </c>
      <c r="X18">
        <f>IFERROR(MATCH(W18,CoinCollection!O:O,0),"")</f>
        <v>2320</v>
      </c>
    </row>
    <row r="19" spans="1:24">
      <c r="A19" s="388" t="b">
        <f t="shared" si="0"/>
        <v>0</v>
      </c>
      <c r="B19" t="s">
        <v>5320</v>
      </c>
      <c r="C19" s="462" t="b">
        <f t="shared" si="1"/>
        <v>0</v>
      </c>
      <c r="D19" s="461" t="s">
        <v>5338</v>
      </c>
      <c r="E19" s="462" t="b">
        <f t="shared" si="2"/>
        <v>0</v>
      </c>
      <c r="F19" s="461" t="s">
        <v>5359</v>
      </c>
      <c r="G19" s="462" t="b">
        <f t="shared" si="3"/>
        <v>0</v>
      </c>
      <c r="H19" s="461" t="s">
        <v>5380</v>
      </c>
      <c r="I19" s="462" t="b">
        <f t="shared" si="4"/>
        <v>0</v>
      </c>
      <c r="J19" s="463" t="s">
        <v>5395</v>
      </c>
      <c r="O19" t="s">
        <v>5307</v>
      </c>
      <c r="P19" t="str">
        <f>IFERROR(MATCH(O19,CoinCollection!O:O,0),"")</f>
        <v/>
      </c>
      <c r="Q19" t="s">
        <v>5338</v>
      </c>
      <c r="R19" t="str">
        <f>IFERROR(MATCH(Q19,CoinCollection!O:O,0),"")</f>
        <v/>
      </c>
      <c r="S19" t="s">
        <v>5359</v>
      </c>
      <c r="T19" t="str">
        <f>IFERROR(MATCH(S19,CoinCollection!O:O,0),"")</f>
        <v/>
      </c>
      <c r="U19" t="s">
        <v>5380</v>
      </c>
      <c r="V19" t="str">
        <f>IFERROR(MATCH(U19,CoinCollection!O:O,0),"")</f>
        <v/>
      </c>
      <c r="W19" t="s">
        <v>5395</v>
      </c>
      <c r="X19" t="str">
        <f>IFERROR(MATCH(W19,CoinCollection!O:O,0),"")</f>
        <v/>
      </c>
    </row>
    <row r="20" spans="1:24">
      <c r="A20" s="388" t="b">
        <f t="shared" si="0"/>
        <v>0</v>
      </c>
      <c r="B20" s="464" t="s">
        <v>5307</v>
      </c>
      <c r="C20" s="462" t="b">
        <f t="shared" si="1"/>
        <v>0</v>
      </c>
      <c r="D20" s="465" t="s">
        <v>5339</v>
      </c>
      <c r="E20" s="462" t="b">
        <f t="shared" si="2"/>
        <v>0</v>
      </c>
      <c r="F20" s="465" t="s">
        <v>5360</v>
      </c>
      <c r="G20" s="462" t="b">
        <f t="shared" si="3"/>
        <v>0</v>
      </c>
      <c r="H20" s="465" t="s">
        <v>5381</v>
      </c>
      <c r="I20" s="462" t="b">
        <f t="shared" si="4"/>
        <v>0</v>
      </c>
      <c r="J20" s="466" t="s">
        <v>5396</v>
      </c>
      <c r="O20" t="s">
        <v>5308</v>
      </c>
      <c r="P20" t="str">
        <f>IFERROR(MATCH(O20,CoinCollection!O:O,0),"")</f>
        <v/>
      </c>
      <c r="Q20" t="s">
        <v>5339</v>
      </c>
      <c r="R20" t="str">
        <f>IFERROR(MATCH(Q20,CoinCollection!O:O,0),"")</f>
        <v/>
      </c>
      <c r="S20" t="s">
        <v>5360</v>
      </c>
      <c r="T20" t="str">
        <f>IFERROR(MATCH(S20,CoinCollection!O:O,0),"")</f>
        <v/>
      </c>
      <c r="U20" t="s">
        <v>5381</v>
      </c>
      <c r="V20" t="str">
        <f>IFERROR(MATCH(U20,CoinCollection!O:O,0),"")</f>
        <v/>
      </c>
      <c r="W20" t="s">
        <v>5396</v>
      </c>
      <c r="X20" t="str">
        <f>IFERROR(MATCH(W20,CoinCollection!O:O,0),"")</f>
        <v/>
      </c>
    </row>
    <row r="21" spans="1:24">
      <c r="A21" s="388" t="b">
        <f t="shared" si="0"/>
        <v>1</v>
      </c>
      <c r="B21" t="s">
        <v>5404</v>
      </c>
      <c r="C21" s="462" t="b">
        <f t="shared" si="1"/>
        <v>0</v>
      </c>
      <c r="D21" s="461" t="s">
        <v>5340</v>
      </c>
      <c r="E21" s="462" t="b">
        <f t="shared" si="2"/>
        <v>0</v>
      </c>
      <c r="F21" s="461" t="s">
        <v>5361</v>
      </c>
      <c r="G21" s="462" t="b">
        <f t="shared" si="3"/>
        <v>0</v>
      </c>
      <c r="H21" s="461" t="s">
        <v>5382</v>
      </c>
      <c r="I21" s="462" t="b">
        <f t="shared" si="4"/>
        <v>0</v>
      </c>
      <c r="J21" s="463" t="s">
        <v>5397</v>
      </c>
      <c r="O21" t="s">
        <v>5404</v>
      </c>
      <c r="P21">
        <f>IFERROR(MATCH(O21,CoinCollection!O:O,0),"")</f>
        <v>2295</v>
      </c>
      <c r="Q21" t="s">
        <v>5340</v>
      </c>
      <c r="R21" t="str">
        <f>IFERROR(MATCH(Q21,CoinCollection!O:O,0),"")</f>
        <v/>
      </c>
      <c r="S21" t="s">
        <v>5361</v>
      </c>
      <c r="T21" t="str">
        <f>IFERROR(MATCH(S21,CoinCollection!O:O,0),"")</f>
        <v/>
      </c>
      <c r="U21" t="s">
        <v>5382</v>
      </c>
      <c r="V21" t="str">
        <f>IFERROR(MATCH(U21,CoinCollection!O:O,0),"")</f>
        <v/>
      </c>
      <c r="W21" t="s">
        <v>5397</v>
      </c>
      <c r="X21" t="str">
        <f>IFERROR(MATCH(W21,CoinCollection!O:O,0),"")</f>
        <v/>
      </c>
    </row>
    <row r="22" spans="1:24">
      <c r="A22" s="388" t="b">
        <f t="shared" si="0"/>
        <v>0</v>
      </c>
      <c r="B22" s="467" t="s">
        <v>5308</v>
      </c>
      <c r="C22" s="462" t="b">
        <f t="shared" si="1"/>
        <v>0</v>
      </c>
      <c r="D22" s="465" t="s">
        <v>5341</v>
      </c>
      <c r="E22" s="462" t="b">
        <f t="shared" si="2"/>
        <v>0</v>
      </c>
      <c r="F22" s="465" t="s">
        <v>5362</v>
      </c>
      <c r="G22" s="462" t="b">
        <f t="shared" si="3"/>
        <v>0</v>
      </c>
      <c r="H22" s="465" t="s">
        <v>5383</v>
      </c>
      <c r="I22" s="462" t="b">
        <f t="shared" si="4"/>
        <v>0</v>
      </c>
      <c r="J22" s="466" t="s">
        <v>5398</v>
      </c>
      <c r="O22" t="s">
        <v>5309</v>
      </c>
      <c r="P22" t="str">
        <f>IFERROR(MATCH(O22,CoinCollection!O:O,0),"")</f>
        <v/>
      </c>
      <c r="Q22" t="s">
        <v>5341</v>
      </c>
      <c r="R22" t="str">
        <f>IFERROR(MATCH(Q22,CoinCollection!O:O,0),"")</f>
        <v/>
      </c>
      <c r="S22" t="s">
        <v>5362</v>
      </c>
      <c r="T22" t="str">
        <f>IFERROR(MATCH(S22,CoinCollection!O:O,0),"")</f>
        <v/>
      </c>
      <c r="U22" t="s">
        <v>5383</v>
      </c>
      <c r="V22" t="str">
        <f>IFERROR(MATCH(U22,CoinCollection!O:O,0),"")</f>
        <v/>
      </c>
      <c r="W22" t="s">
        <v>5398</v>
      </c>
      <c r="X22" t="str">
        <f>IFERROR(MATCH(W22,CoinCollection!O:O,0),"")</f>
        <v/>
      </c>
    </row>
    <row r="23" spans="1:24">
      <c r="A23" s="388" t="b">
        <f t="shared" si="0"/>
        <v>0</v>
      </c>
      <c r="B23" s="464" t="s">
        <v>5309</v>
      </c>
      <c r="C23" s="462" t="b">
        <f t="shared" si="1"/>
        <v>0</v>
      </c>
      <c r="D23" s="469" t="s">
        <v>5342</v>
      </c>
      <c r="E23" s="462" t="b">
        <f t="shared" si="2"/>
        <v>0</v>
      </c>
      <c r="F23" s="469" t="s">
        <v>5363</v>
      </c>
      <c r="G23" s="462" t="b">
        <f t="shared" si="3"/>
        <v>0</v>
      </c>
      <c r="H23" s="469" t="s">
        <v>5384</v>
      </c>
      <c r="I23" s="462" t="b">
        <f t="shared" si="4"/>
        <v>0</v>
      </c>
      <c r="J23" s="463" t="s">
        <v>5399</v>
      </c>
      <c r="O23" t="s">
        <v>5310</v>
      </c>
      <c r="P23" t="str">
        <f>IFERROR(MATCH(O23,CoinCollection!O:O,0),"")</f>
        <v/>
      </c>
      <c r="Q23" t="s">
        <v>5342</v>
      </c>
      <c r="R23" t="str">
        <f>IFERROR(MATCH(Q23,CoinCollection!O:O,0),"")</f>
        <v/>
      </c>
      <c r="S23" t="s">
        <v>5363</v>
      </c>
      <c r="T23" t="str">
        <f>IFERROR(MATCH(S23,CoinCollection!O:O,0),"")</f>
        <v/>
      </c>
      <c r="U23" t="s">
        <v>5384</v>
      </c>
      <c r="V23" t="str">
        <f>IFERROR(MATCH(U23,CoinCollection!O:O,0),"")</f>
        <v/>
      </c>
      <c r="W23" t="s">
        <v>5399</v>
      </c>
      <c r="X23" t="str">
        <f>IFERROR(MATCH(W23,CoinCollection!O:O,0),"")</f>
        <v/>
      </c>
    </row>
    <row r="24" spans="1:24">
      <c r="A24" s="388" t="b">
        <f t="shared" si="0"/>
        <v>1</v>
      </c>
      <c r="B24" s="467" t="s">
        <v>5310</v>
      </c>
      <c r="I24" s="462" t="b">
        <f t="shared" si="4"/>
        <v>0</v>
      </c>
      <c r="J24" s="466" t="s">
        <v>5400</v>
      </c>
      <c r="O24" t="s">
        <v>5311</v>
      </c>
      <c r="P24">
        <f>IFERROR(MATCH(O24,CoinCollection!O:O,0),"")</f>
        <v>2298</v>
      </c>
      <c r="W24" t="s">
        <v>5400</v>
      </c>
      <c r="X24" t="str">
        <f>IFERROR(MATCH(W24,CoinCollection!O:O,0),"")</f>
        <v/>
      </c>
    </row>
    <row r="25" spans="1:24">
      <c r="A25" s="388" t="b">
        <f t="shared" si="0"/>
        <v>0</v>
      </c>
      <c r="B25" s="464" t="s">
        <v>5311</v>
      </c>
      <c r="I25" s="462" t="b">
        <f t="shared" si="4"/>
        <v>0</v>
      </c>
      <c r="J25" s="463" t="s">
        <v>5401</v>
      </c>
      <c r="O25" t="s">
        <v>5312</v>
      </c>
      <c r="P25" t="str">
        <f>IFERROR(MATCH(O25,CoinCollection!O:O,0),"")</f>
        <v/>
      </c>
      <c r="W25" t="s">
        <v>5401</v>
      </c>
      <c r="X25" t="str">
        <f>IFERROR(MATCH(W25,CoinCollection!O:O,0),"")</f>
        <v/>
      </c>
    </row>
    <row r="26" spans="1:24">
      <c r="A26" s="388" t="b">
        <f t="shared" si="0"/>
        <v>0</v>
      </c>
      <c r="B26" s="467" t="s">
        <v>5312</v>
      </c>
      <c r="I26" s="462" t="b">
        <f t="shared" si="4"/>
        <v>0</v>
      </c>
      <c r="J26" s="477" t="s">
        <v>5407</v>
      </c>
      <c r="O26" t="s">
        <v>5313</v>
      </c>
      <c r="P26" t="str">
        <f>IFERROR(MATCH(O26,CoinCollection!O:O,0),"")</f>
        <v/>
      </c>
      <c r="W26" t="s">
        <v>5402</v>
      </c>
      <c r="X26" t="str">
        <f>IFERROR(MATCH(W26,CoinCollection!O:O,0),"")</f>
        <v/>
      </c>
    </row>
    <row r="27" spans="1:24">
      <c r="A27" s="388" t="b">
        <f t="shared" si="0"/>
        <v>0</v>
      </c>
      <c r="B27" s="464" t="s">
        <v>5313</v>
      </c>
      <c r="I27" s="462" t="b">
        <f t="shared" si="4"/>
        <v>0</v>
      </c>
      <c r="J27" s="466" t="s">
        <v>5402</v>
      </c>
      <c r="O27" t="s">
        <v>5314</v>
      </c>
      <c r="P27" t="str">
        <f>IFERROR(MATCH(O27,CoinCollection!O:O,0),"")</f>
        <v/>
      </c>
      <c r="W27" t="s">
        <v>5403</v>
      </c>
      <c r="X27" t="str">
        <f>IFERROR(MATCH(W27,CoinCollection!O:O,0),"")</f>
        <v/>
      </c>
    </row>
    <row r="28" spans="1:24">
      <c r="A28" s="388" t="b">
        <f t="shared" si="0"/>
        <v>1</v>
      </c>
      <c r="B28" s="478" t="s">
        <v>5321</v>
      </c>
      <c r="I28" s="462" t="b">
        <f t="shared" si="4"/>
        <v>1</v>
      </c>
      <c r="J28" s="470" t="s">
        <v>5403</v>
      </c>
      <c r="O28" t="s">
        <v>5321</v>
      </c>
      <c r="P28">
        <f>IFERROR(MATCH(O28,CoinCollection!O:O,0),"")</f>
        <v>2299</v>
      </c>
      <c r="W28" t="s">
        <v>5407</v>
      </c>
      <c r="X28">
        <f>IFERROR(MATCH(W28,CoinCollection!O:O,0),"")</f>
        <v>2325</v>
      </c>
    </row>
    <row r="29" spans="1:24">
      <c r="A29" s="388" t="b">
        <f t="shared" si="0"/>
        <v>0</v>
      </c>
      <c r="B29" s="467" t="s">
        <v>5314</v>
      </c>
      <c r="O29" t="s">
        <v>5315</v>
      </c>
      <c r="P29" t="str">
        <f>IFERROR(MATCH(O29,CoinCollection!O:O,0),"")</f>
        <v/>
      </c>
    </row>
    <row r="30" spans="1:24">
      <c r="A30" s="388" t="b">
        <f t="shared" si="0"/>
        <v>0</v>
      </c>
      <c r="B30" s="464" t="s">
        <v>5315</v>
      </c>
      <c r="O30" t="s">
        <v>5316</v>
      </c>
      <c r="P30" t="str">
        <f>IFERROR(MATCH(O30,CoinCollection!O:O,0),"")</f>
        <v/>
      </c>
    </row>
    <row r="31" spans="1:24">
      <c r="A31" s="388" t="b">
        <f t="shared" si="0"/>
        <v>0</v>
      </c>
      <c r="B31" s="468" t="s">
        <v>5316</v>
      </c>
    </row>
    <row r="34" spans="2:4" ht="15">
      <c r="B34" s="348" t="s">
        <v>4668</v>
      </c>
      <c r="C34" s="330">
        <f>COUNTIF(A3:J23,"=False")</f>
        <v>92</v>
      </c>
    </row>
    <row r="35" spans="2:4" ht="15">
      <c r="B35" s="348" t="s">
        <v>4669</v>
      </c>
      <c r="C35" s="330">
        <f>COUNTIF(A3:J30,"=true")</f>
        <v>16</v>
      </c>
    </row>
    <row r="38" spans="2:4">
      <c r="B38" t="str" cm="1">
        <f t="array" ref="B38:B139">_xlfn.LET(_xlpm.stacked_data,_xlfn.VSTACK(A3:B31,C3:D23,E3:F23,G3:H23,I3:J28),
_xlfn._xlws.FILTER(_xlfn.CHOOSECOLS(_xlpm.stacked_data,2),_xlfn.CHOOSECOLS(_xlpm.stacked_data,1)=FALSE)
)</f>
        <v>1986 American Eagle</v>
      </c>
      <c r="D38" t="str" cm="1">
        <f t="array" ref="D38:D53">_xlfn.LET(_xlpm.stacked_data,_xlfn.VSTACK(A3:B31,C3:D23,E3:F23,G3:H23,I3:J28),
_xlfn._xlws.FILTER(_xlfn.CHOOSECOLS(_xlpm.stacked_data,2),_xlfn.CHOOSECOLS(_xlpm.stacked_data,1)=TRUE)
)</f>
        <v>1986 American Eagle Unc</v>
      </c>
    </row>
    <row r="39" spans="2:4">
      <c r="B39" t="str">
        <v>1986-S American EagleProof</v>
      </c>
      <c r="D39" t="str">
        <v>1987 American Eagle Unc</v>
      </c>
    </row>
    <row r="40" spans="2:4">
      <c r="B40" t="str">
        <v>1987 American Eagle</v>
      </c>
      <c r="D40" t="str">
        <v>1988 American Eagle Unc</v>
      </c>
    </row>
    <row r="41" spans="2:4">
      <c r="B41" t="str">
        <v>1987-S American Eagle Proof</v>
      </c>
      <c r="D41" t="str">
        <v>1989 American Eagle Unc</v>
      </c>
    </row>
    <row r="42" spans="2:4">
      <c r="B42" t="str">
        <v>1988 American Eagle</v>
      </c>
      <c r="D42" t="str">
        <v>1990 American Eagle</v>
      </c>
    </row>
    <row r="43" spans="2:4">
      <c r="B43" t="str">
        <v>1988-S American Eagle Proof</v>
      </c>
      <c r="D43" t="str">
        <v>1991 American Eagle</v>
      </c>
    </row>
    <row r="44" spans="2:4">
      <c r="B44" t="str">
        <v>1989 American Eagle</v>
      </c>
      <c r="D44" t="str">
        <v>1992 American Eagle Proof</v>
      </c>
    </row>
    <row r="45" spans="2:4">
      <c r="B45" t="str">
        <v>1989-S American Eagle Proof</v>
      </c>
      <c r="D45" t="str">
        <v>1993 American Eagle</v>
      </c>
    </row>
    <row r="46" spans="2:4">
      <c r="B46" t="str">
        <v>1990 American Eagle Unc</v>
      </c>
      <c r="D46" t="str">
        <v>1995 American Eagle Unc</v>
      </c>
    </row>
    <row r="47" spans="2:4">
      <c r="B47" t="str">
        <v>1990-S American Eagle Proof</v>
      </c>
      <c r="D47" t="str">
        <v>2000 Amertican Eagle Proof</v>
      </c>
    </row>
    <row r="48" spans="2:4">
      <c r="B48" t="str">
        <v>1991 American Eagle Unc</v>
      </c>
      <c r="D48" t="str">
        <v>2020 American Eagle Unc</v>
      </c>
    </row>
    <row r="49" spans="2:5">
      <c r="B49" t="str">
        <v>1991-S American Eagle Proof</v>
      </c>
      <c r="D49" t="str">
        <v>2021 American Eagle Unc</v>
      </c>
    </row>
    <row r="50" spans="2:5">
      <c r="B50" t="str">
        <v>1992 American Eagle</v>
      </c>
      <c r="D50" t="str">
        <v>2022-W  American Eagle Unc</v>
      </c>
    </row>
    <row r="51" spans="2:5">
      <c r="B51" t="str">
        <v>1992-S American Eagle Proof</v>
      </c>
      <c r="D51" t="str">
        <v>2022-W American Eagle Burnished</v>
      </c>
    </row>
    <row r="52" spans="2:5">
      <c r="B52" t="str">
        <v>1993-P American Eagle Proof</v>
      </c>
      <c r="D52" t="str">
        <v>2022-W American Eagle Unc</v>
      </c>
    </row>
    <row r="53" spans="2:5">
      <c r="B53" t="str">
        <v>1994 American Eagle</v>
      </c>
      <c r="D53" t="str">
        <v>2025-W American Eagle Proof</v>
      </c>
    </row>
    <row r="54" spans="2:5">
      <c r="B54" t="str">
        <v>1994-P American Eagle Proof</v>
      </c>
      <c r="E54">
        <f>COUNTA(_xlfn.ANCHORARRAY(D38))</f>
        <v>16</v>
      </c>
    </row>
    <row r="55" spans="2:5">
      <c r="B55" t="str">
        <v>1995 American Eagle</v>
      </c>
    </row>
    <row r="56" spans="2:5">
      <c r="B56" t="str">
        <v>1995-P American Eagle Proof</v>
      </c>
    </row>
    <row r="57" spans="2:5">
      <c r="B57" t="str">
        <v>1995-W American Eagle Proof</v>
      </c>
    </row>
    <row r="58" spans="2:5">
      <c r="B58" t="str">
        <v>1996-P American Eagle Proof</v>
      </c>
    </row>
    <row r="59" spans="2:5">
      <c r="B59" t="str">
        <v xml:space="preserve">1997 American Eagle </v>
      </c>
    </row>
    <row r="60" spans="2:5">
      <c r="B60" t="str">
        <v>1997-P American Eagle Proof</v>
      </c>
    </row>
    <row r="61" spans="2:5">
      <c r="B61" t="str">
        <v xml:space="preserve">1998 American Eagle </v>
      </c>
    </row>
    <row r="62" spans="2:5">
      <c r="B62" t="str">
        <v>1998-P American Eagle Proof</v>
      </c>
    </row>
    <row r="63" spans="2:5">
      <c r="B63" t="str">
        <v xml:space="preserve">1999 American Eagle </v>
      </c>
    </row>
    <row r="64" spans="2:5">
      <c r="B64" t="str">
        <v>1999-P American Eagle Proof</v>
      </c>
    </row>
    <row r="65" spans="2:2">
      <c r="B65" t="str">
        <v>2000-P American Eagle Proof</v>
      </c>
    </row>
    <row r="66" spans="2:2">
      <c r="B66" t="str">
        <v xml:space="preserve">2001 American Eagle </v>
      </c>
    </row>
    <row r="67" spans="2:2">
      <c r="B67" t="str">
        <v>2001-W American Eagle Proof</v>
      </c>
    </row>
    <row r="68" spans="2:2">
      <c r="B68" t="str">
        <v xml:space="preserve">2002 American Eagle </v>
      </c>
    </row>
    <row r="69" spans="2:2">
      <c r="B69" t="str">
        <v>2002-W American Eagle Proof</v>
      </c>
    </row>
    <row r="70" spans="2:2">
      <c r="B70" t="str">
        <v xml:space="preserve">2003 American Eagle </v>
      </c>
    </row>
    <row r="71" spans="2:2">
      <c r="B71" t="str">
        <v>2003-W American Eagle Proof</v>
      </c>
    </row>
    <row r="72" spans="2:2">
      <c r="B72" t="str">
        <v xml:space="preserve">2004 American Eagle </v>
      </c>
    </row>
    <row r="73" spans="2:2">
      <c r="B73" t="str">
        <v>2004-W American Eagle Proof</v>
      </c>
    </row>
    <row r="74" spans="2:2">
      <c r="B74" t="str">
        <v xml:space="preserve">2005 American Eagle </v>
      </c>
    </row>
    <row r="75" spans="2:2">
      <c r="B75" t="str">
        <v>2005-W American Eagle Proof</v>
      </c>
    </row>
    <row r="76" spans="2:2">
      <c r="B76" t="str">
        <v xml:space="preserve">2006 American Eagle </v>
      </c>
    </row>
    <row r="77" spans="2:2">
      <c r="B77" t="str">
        <v>2006-W American Eagle Burnished</v>
      </c>
    </row>
    <row r="78" spans="2:2">
      <c r="B78" t="str">
        <v>2006-W American Eagle Proof</v>
      </c>
    </row>
    <row r="79" spans="2:2">
      <c r="B79" t="str">
        <v xml:space="preserve">2007 American Eagle </v>
      </c>
    </row>
    <row r="80" spans="2:2">
      <c r="B80" t="str">
        <v>2007- W American Eagle Burnished</v>
      </c>
    </row>
    <row r="81" spans="2:2">
      <c r="B81" t="str">
        <v>2007-W American Eagle Proof</v>
      </c>
    </row>
    <row r="82" spans="2:2">
      <c r="B82" t="str">
        <v xml:space="preserve">2008 American Eagle </v>
      </c>
    </row>
    <row r="83" spans="2:2">
      <c r="B83" t="str">
        <v>2008-W American Eagle Burnished</v>
      </c>
    </row>
    <row r="84" spans="2:2">
      <c r="B84" t="str">
        <v>2008-W American Eagle Proof</v>
      </c>
    </row>
    <row r="85" spans="2:2">
      <c r="B85" t="str">
        <v xml:space="preserve">2009 American Eagle </v>
      </c>
    </row>
    <row r="86" spans="2:2">
      <c r="B86" t="str">
        <v xml:space="preserve">2010 American Eagle </v>
      </c>
    </row>
    <row r="87" spans="2:2">
      <c r="B87" t="str">
        <v>2010-W American Eagle Proof</v>
      </c>
    </row>
    <row r="88" spans="2:2">
      <c r="B88" t="str">
        <v xml:space="preserve">2011 American Eagle </v>
      </c>
    </row>
    <row r="89" spans="2:2">
      <c r="B89" t="str">
        <v>2011-W American Eagle Burnished</v>
      </c>
    </row>
    <row r="90" spans="2:2">
      <c r="B90" t="str">
        <v>2011-W American Eagle Proof</v>
      </c>
    </row>
    <row r="91" spans="2:2">
      <c r="B91" t="str">
        <v>2011-S American Eagle Burnished</v>
      </c>
    </row>
    <row r="92" spans="2:2">
      <c r="B92" t="str">
        <v xml:space="preserve">2012 American Eagle </v>
      </c>
    </row>
    <row r="93" spans="2:2">
      <c r="B93" t="str">
        <v>2012-W American Eagle Burnished</v>
      </c>
    </row>
    <row r="94" spans="2:2">
      <c r="B94" t="str">
        <v>2012-W American Eagle Proof</v>
      </c>
    </row>
    <row r="95" spans="2:2">
      <c r="B95" t="str">
        <v>2012-S American Eagle Proof</v>
      </c>
    </row>
    <row r="96" spans="2:2">
      <c r="B96" t="str">
        <v xml:space="preserve">2013 American Eagle </v>
      </c>
    </row>
    <row r="97" spans="2:2">
      <c r="B97" t="str">
        <v>2013-W American Eagle Burnished</v>
      </c>
    </row>
    <row r="98" spans="2:2">
      <c r="B98" t="str">
        <v>2013-W American Eagle Proof</v>
      </c>
    </row>
    <row r="99" spans="2:2">
      <c r="B99" t="str">
        <v xml:space="preserve">2014 American Eagle </v>
      </c>
    </row>
    <row r="100" spans="2:2">
      <c r="B100" t="str">
        <v>2014-W American Eagle Burnished</v>
      </c>
    </row>
    <row r="101" spans="2:2">
      <c r="B101" t="str">
        <v>2014-W American Eagle Proof</v>
      </c>
    </row>
    <row r="102" spans="2:2">
      <c r="B102" t="str">
        <v xml:space="preserve">2015 American Eagle </v>
      </c>
    </row>
    <row r="103" spans="2:2">
      <c r="B103" t="str">
        <v>2015-W American Eagle Burnished</v>
      </c>
    </row>
    <row r="104" spans="2:2">
      <c r="B104" t="str">
        <v>2015-W American Eagle Proof</v>
      </c>
    </row>
    <row r="105" spans="2:2">
      <c r="B105" t="str">
        <v xml:space="preserve">2016 American Eagle </v>
      </c>
    </row>
    <row r="106" spans="2:2">
      <c r="B106" t="str">
        <v>2016-W American Eagle Burnished</v>
      </c>
    </row>
    <row r="107" spans="2:2">
      <c r="B107" t="str">
        <v>2016-W American Eagle Proof</v>
      </c>
    </row>
    <row r="108" spans="2:2">
      <c r="B108" t="str">
        <v xml:space="preserve">2017 American Eagle </v>
      </c>
    </row>
    <row r="109" spans="2:2">
      <c r="B109" t="str">
        <v>2017-W American Eagle Burnished</v>
      </c>
    </row>
    <row r="110" spans="2:2">
      <c r="B110" t="str">
        <v>2017-W American Eagle Proof</v>
      </c>
    </row>
    <row r="111" spans="2:2">
      <c r="B111" t="str">
        <v>2017-S American Eagle Proof</v>
      </c>
    </row>
    <row r="112" spans="2:2">
      <c r="B112" t="str">
        <v xml:space="preserve">2018 American Eagle </v>
      </c>
    </row>
    <row r="113" spans="2:2">
      <c r="B113" t="str">
        <v>2018-W American Eagle Burnished</v>
      </c>
    </row>
    <row r="114" spans="2:2">
      <c r="B114" t="str">
        <v>2018-W American Eagle Proof</v>
      </c>
    </row>
    <row r="115" spans="2:2">
      <c r="B115" t="str">
        <v>2018-S American Eagle Proof</v>
      </c>
    </row>
    <row r="116" spans="2:2">
      <c r="B116" t="str">
        <v xml:space="preserve">2019 American Eagle </v>
      </c>
    </row>
    <row r="117" spans="2:2">
      <c r="B117" t="str">
        <v>2019-W American Eagle Burnished</v>
      </c>
    </row>
    <row r="118" spans="2:2">
      <c r="B118" t="str">
        <v>2019-W American Eagle Proof</v>
      </c>
    </row>
    <row r="119" spans="2:2">
      <c r="B119" t="str">
        <v>2019-S American Eagle Proof</v>
      </c>
    </row>
    <row r="120" spans="2:2">
      <c r="B120" t="str">
        <v>2020 American Eagle</v>
      </c>
    </row>
    <row r="121" spans="2:2">
      <c r="B121" t="str">
        <v>2020-W American Eagle Burnished</v>
      </c>
    </row>
    <row r="122" spans="2:2">
      <c r="B122" t="str">
        <v>2020-W American Eagle Proof</v>
      </c>
    </row>
    <row r="123" spans="2:2">
      <c r="B123" t="str">
        <v>2020-S American Eagle  Proof</v>
      </c>
    </row>
    <row r="124" spans="2:2">
      <c r="B124" t="str">
        <v>2021 American Eagle Type 1 Reverse</v>
      </c>
    </row>
    <row r="125" spans="2:2">
      <c r="B125" t="str">
        <v>2021-W American Eagle Type 1 Burnished</v>
      </c>
    </row>
    <row r="126" spans="2:2">
      <c r="B126" t="str">
        <v>2021-W American Eagle Type 1 Proof</v>
      </c>
    </row>
    <row r="127" spans="2:2">
      <c r="B127" t="str">
        <v>2021 American Eagle Type 2 Reverse</v>
      </c>
    </row>
    <row r="128" spans="2:2">
      <c r="B128" t="str">
        <v>2021-W American Eagle Proof</v>
      </c>
    </row>
    <row r="129" spans="2:3">
      <c r="B129" t="str">
        <v xml:space="preserve">2022-W American Eagle </v>
      </c>
    </row>
    <row r="130" spans="2:3">
      <c r="B130" t="str">
        <v>2022 American Eagle Unc</v>
      </c>
    </row>
    <row r="131" spans="2:3">
      <c r="B131" t="str">
        <v xml:space="preserve">2023 American Eagle </v>
      </c>
    </row>
    <row r="132" spans="2:3">
      <c r="B132" t="str">
        <v>2023-W American Eagle Burnished</v>
      </c>
    </row>
    <row r="133" spans="2:3">
      <c r="B133" t="str">
        <v>2023-W American Eagle Proof</v>
      </c>
    </row>
    <row r="134" spans="2:3">
      <c r="B134" t="str">
        <v xml:space="preserve">2024 American Eagle </v>
      </c>
    </row>
    <row r="135" spans="2:3">
      <c r="B135" t="str">
        <v>2024-W American Eagle Burnished</v>
      </c>
    </row>
    <row r="136" spans="2:3">
      <c r="B136" t="str">
        <v>2024-W American Eagle Proof</v>
      </c>
    </row>
    <row r="137" spans="2:3">
      <c r="B137" t="str">
        <v xml:space="preserve">2025 American Eagle </v>
      </c>
    </row>
    <row r="138" spans="2:3">
      <c r="B138" t="str">
        <v>2025 American Eagle Unc</v>
      </c>
    </row>
    <row r="139" spans="2:3">
      <c r="B139" t="str">
        <v>2025-W American Eagle Burnished</v>
      </c>
    </row>
    <row r="143" spans="2:3">
      <c r="C143">
        <f>COUNTA(_xlfn.ANCHORARRAY(B38))</f>
        <v>102</v>
      </c>
    </row>
  </sheetData>
  <sortState xmlns:xlrd2="http://schemas.microsoft.com/office/spreadsheetml/2017/richdata2" ref="O4:P30">
    <sortCondition ref="O4:O30"/>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B02CB-8966-46BA-8DDC-C4745DBA23E1}">
  <sheetPr codeName="Sheet40"/>
  <dimension ref="A1:T49"/>
  <sheetViews>
    <sheetView workbookViewId="0">
      <selection activeCell="A4" sqref="A4"/>
    </sheetView>
  </sheetViews>
  <sheetFormatPr defaultRowHeight="12.75"/>
  <cols>
    <col min="1" max="1" width="5.7109375" customWidth="1"/>
    <col min="2" max="2" width="14" bestFit="1" customWidth="1"/>
    <col min="3" max="3" width="10.28515625" bestFit="1" customWidth="1"/>
    <col min="4" max="4" width="4.42578125" bestFit="1" customWidth="1"/>
    <col min="5" max="5" width="9" bestFit="1" customWidth="1"/>
    <col min="6" max="6" width="10.85546875" bestFit="1" customWidth="1"/>
    <col min="7" max="7" width="4.42578125" bestFit="1" customWidth="1"/>
    <col min="8" max="8" width="11.140625" bestFit="1" customWidth="1"/>
    <col min="9" max="9" width="9.7109375" bestFit="1" customWidth="1"/>
    <col min="10" max="10" width="4.42578125" bestFit="1" customWidth="1"/>
    <col min="12" max="12" width="16.85546875" bestFit="1" customWidth="1"/>
    <col min="13" max="13" width="22.85546875" hidden="1" customWidth="1"/>
    <col min="14" max="14" width="0" hidden="1" customWidth="1"/>
    <col min="15" max="15" width="22.85546875" hidden="1" customWidth="1"/>
    <col min="16" max="16" width="0" hidden="1" customWidth="1"/>
    <col min="17" max="17" width="45.140625" hidden="1" customWidth="1"/>
    <col min="18" max="18" width="0" hidden="1" customWidth="1"/>
    <col min="19" max="19" width="22.85546875" hidden="1" customWidth="1"/>
    <col min="20" max="20" width="0" hidden="1" customWidth="1"/>
  </cols>
  <sheetData>
    <row r="1" spans="1:20">
      <c r="A1" s="135" t="s">
        <v>2593</v>
      </c>
    </row>
    <row r="2" spans="1:20">
      <c r="B2" s="457" t="s">
        <v>3</v>
      </c>
      <c r="C2" s="458" t="s">
        <v>1958</v>
      </c>
      <c r="D2" s="458"/>
      <c r="E2" s="458" t="s">
        <v>4802</v>
      </c>
      <c r="F2" s="458"/>
      <c r="G2" s="458"/>
      <c r="H2" s="458" t="s">
        <v>4804</v>
      </c>
      <c r="I2" s="458"/>
      <c r="J2" s="458"/>
      <c r="K2" s="459" t="s">
        <v>4808</v>
      </c>
    </row>
    <row r="3" spans="1:20">
      <c r="B3" s="467" t="s">
        <v>5277</v>
      </c>
      <c r="C3" s="461"/>
      <c r="D3" s="461"/>
      <c r="E3" s="461"/>
      <c r="F3" s="461"/>
      <c r="G3" s="461"/>
      <c r="H3" s="461" t="s">
        <v>5278</v>
      </c>
      <c r="I3" s="461"/>
      <c r="J3" s="461"/>
      <c r="K3" s="463"/>
    </row>
    <row r="4" spans="1:20">
      <c r="A4" s="388" t="b">
        <f>IF(N4&lt;&gt;"",TRUE,FALSE)</f>
        <v>1</v>
      </c>
      <c r="B4" s="464" t="s">
        <v>2498</v>
      </c>
      <c r="C4" s="465"/>
      <c r="D4" s="475" t="b">
        <f>IF(P4&lt;&gt;"",TRUE,FALSE)</f>
        <v>0</v>
      </c>
      <c r="E4" s="465" t="s">
        <v>888</v>
      </c>
      <c r="F4" s="465"/>
      <c r="G4" s="465"/>
      <c r="H4" s="465" t="s">
        <v>4700</v>
      </c>
      <c r="I4" s="465"/>
      <c r="J4" s="465"/>
      <c r="K4" s="466" t="s">
        <v>5279</v>
      </c>
      <c r="M4" t="str">
        <f t="shared" ref="M4:M12" si="0">B4&amp;" "&amp;$A$1</f>
        <v>1971 Eisenhower Dollar</v>
      </c>
      <c r="N4">
        <f>IFERROR(MATCH(M4,CoinCollection!O:O,0),"")</f>
        <v>2237</v>
      </c>
      <c r="O4" t="str">
        <f t="shared" ref="O4:O12" si="1">E4&amp;" "&amp;$A$1</f>
        <v>1973-D Eisenhower Dollar</v>
      </c>
      <c r="P4" t="str">
        <f>IFERROR(MATCH(O4,CoinCollection!O:O,0),"")</f>
        <v/>
      </c>
      <c r="Q4" s="3" t="str">
        <f>H6</f>
        <v>1976 Eisenhower Dollar Variety I*</v>
      </c>
      <c r="R4">
        <f>IFERROR(MATCH(Q4,CoinCollection!O:O,0),"")</f>
        <v>2251</v>
      </c>
      <c r="S4" t="str">
        <f t="shared" ref="S4:S9" si="2">K6&amp;" "&amp;$A$1</f>
        <v>1977 Eisenhower Dollar</v>
      </c>
      <c r="T4" t="str">
        <f>IFERROR(MATCH(S4,CoinCollection!O:O,0),"")</f>
        <v/>
      </c>
    </row>
    <row r="5" spans="1:20">
      <c r="A5" s="388" t="b">
        <f t="shared" ref="A5:A12" si="3">IF(N5&lt;&gt;"",TRUE,FALSE)</f>
        <v>0</v>
      </c>
      <c r="B5" s="467" t="s">
        <v>886</v>
      </c>
      <c r="C5" s="461"/>
      <c r="D5" s="475" t="b">
        <f t="shared" ref="D5:D12" si="4">IF(P5&lt;&gt;"",TRUE,FALSE)</f>
        <v>0</v>
      </c>
      <c r="E5" s="461" t="s">
        <v>5437</v>
      </c>
      <c r="F5" s="485" t="s">
        <v>2584</v>
      </c>
      <c r="G5" s="465"/>
      <c r="H5" s="461" t="s">
        <v>5280</v>
      </c>
      <c r="I5" s="461"/>
      <c r="J5" s="461"/>
      <c r="K5" s="463" t="s">
        <v>5281</v>
      </c>
      <c r="M5" t="str">
        <f t="shared" si="0"/>
        <v>1971-D Eisenhower Dollar</v>
      </c>
      <c r="N5" t="str">
        <f>IFERROR(MATCH(M5,CoinCollection!O:O,0),"")</f>
        <v/>
      </c>
      <c r="O5" t="str">
        <f t="shared" si="1"/>
        <v>1973-S Eisenhower Dollar</v>
      </c>
      <c r="P5" t="str">
        <f>IFERROR(MATCH(O5,CoinCollection!O:O,0),"")</f>
        <v/>
      </c>
      <c r="Q5" s="3" t="str">
        <f t="shared" ref="Q5:Q10" si="5">H7&amp;" "&amp;$A$1</f>
        <v>1976 Eisenhower Dollar</v>
      </c>
      <c r="R5" t="str">
        <f>IFERROR(MATCH(Q5,CoinCollection!O:O,0),"")</f>
        <v/>
      </c>
      <c r="S5" t="str">
        <f t="shared" si="2"/>
        <v>1977-D Eisenhower Dollar</v>
      </c>
      <c r="T5" t="str">
        <f>IFERROR(MATCH(S5,CoinCollection!O:O,0),"")</f>
        <v/>
      </c>
    </row>
    <row r="6" spans="1:20">
      <c r="A6" s="388" t="b">
        <f t="shared" si="3"/>
        <v>0</v>
      </c>
      <c r="B6" s="464" t="s">
        <v>5430</v>
      </c>
      <c r="C6" s="484" t="s">
        <v>4834</v>
      </c>
      <c r="D6" s="475" t="b">
        <f t="shared" si="4"/>
        <v>0</v>
      </c>
      <c r="E6" s="465" t="s">
        <v>5437</v>
      </c>
      <c r="F6" s="484" t="s">
        <v>4834</v>
      </c>
      <c r="G6" s="475" t="b">
        <f>IF(P4&lt;&gt;"",TRUE,FALSE)</f>
        <v>0</v>
      </c>
      <c r="H6" s="481" t="s">
        <v>5440</v>
      </c>
      <c r="I6" s="484" t="s">
        <v>5432</v>
      </c>
      <c r="J6" s="388" t="b">
        <f>IF(R4&lt;&gt;"",TRUE,FALSE)</f>
        <v>1</v>
      </c>
      <c r="K6" s="466" t="s">
        <v>2510</v>
      </c>
      <c r="L6" s="487"/>
      <c r="M6" t="str">
        <f t="shared" si="0"/>
        <v>1971-S Eisenhower Dollar</v>
      </c>
      <c r="N6" t="str">
        <f>IFERROR(MATCH(M6,CoinCollection!O:O,0),"")</f>
        <v/>
      </c>
      <c r="O6" t="str">
        <f t="shared" si="1"/>
        <v>1973-S Eisenhower Dollar</v>
      </c>
      <c r="P6" t="str">
        <f>IFERROR(MATCH(O6,CoinCollection!O:O,0),"")</f>
        <v/>
      </c>
      <c r="Q6" s="3" t="str">
        <f t="shared" si="5"/>
        <v>1976-D Eisenhower Dollar</v>
      </c>
      <c r="R6" t="str">
        <f>IFERROR(MATCH(Q6,CoinCollection!O:O,0),"")</f>
        <v/>
      </c>
      <c r="S6" t="str">
        <f t="shared" si="2"/>
        <v>1977-S Eisenhower Dollar</v>
      </c>
      <c r="T6" t="str">
        <f>IFERROR(MATCH(S6,CoinCollection!O:O,0),"")</f>
        <v/>
      </c>
    </row>
    <row r="7" spans="1:20">
      <c r="A7" s="388" t="b">
        <f t="shared" si="3"/>
        <v>0</v>
      </c>
      <c r="B7" s="467" t="s">
        <v>5430</v>
      </c>
      <c r="C7" s="485" t="s">
        <v>5429</v>
      </c>
      <c r="D7" s="475" t="b">
        <f t="shared" si="4"/>
        <v>0</v>
      </c>
      <c r="E7" s="461" t="s">
        <v>5437</v>
      </c>
      <c r="F7" s="485" t="s">
        <v>5429</v>
      </c>
      <c r="G7" s="475" t="b">
        <f t="shared" ref="G7:G11" si="6">IF(P5&lt;&gt;"",TRUE,FALSE)</f>
        <v>0</v>
      </c>
      <c r="H7" s="482">
        <v>1976</v>
      </c>
      <c r="I7" s="485" t="s">
        <v>5433</v>
      </c>
      <c r="J7" s="388" t="b">
        <f t="shared" ref="J7:J11" si="7">IF(R5&lt;&gt;"",TRUE,FALSE)</f>
        <v>0</v>
      </c>
      <c r="K7" s="463" t="s">
        <v>892</v>
      </c>
      <c r="L7" s="487"/>
      <c r="M7" t="str">
        <f t="shared" si="0"/>
        <v>1971-S Eisenhower Dollar</v>
      </c>
      <c r="N7" t="str">
        <f>IFERROR(MATCH(M7,CoinCollection!O:O,0),"")</f>
        <v/>
      </c>
      <c r="O7" t="str">
        <f t="shared" si="1"/>
        <v>1973-S Eisenhower Dollar</v>
      </c>
      <c r="P7" t="str">
        <f>IFERROR(MATCH(O7,CoinCollection!O:O,0),"")</f>
        <v/>
      </c>
      <c r="Q7" s="3" t="str">
        <f t="shared" si="5"/>
        <v>1976-D Eisenhower Dollar</v>
      </c>
      <c r="R7" t="str">
        <f>IFERROR(MATCH(Q7,CoinCollection!O:O,0),"")</f>
        <v/>
      </c>
      <c r="S7" t="str">
        <f t="shared" si="2"/>
        <v>1978 Eisenhower Dollar</v>
      </c>
      <c r="T7" t="str">
        <f>IFERROR(MATCH(S7,CoinCollection!O:O,0),"")</f>
        <v/>
      </c>
    </row>
    <row r="8" spans="1:20">
      <c r="A8" s="388" t="b">
        <f t="shared" si="3"/>
        <v>1</v>
      </c>
      <c r="B8" s="464" t="s">
        <v>2500</v>
      </c>
      <c r="C8" s="484"/>
      <c r="D8" s="475" t="b">
        <f t="shared" si="4"/>
        <v>0</v>
      </c>
      <c r="E8" s="465" t="s">
        <v>2504</v>
      </c>
      <c r="F8" s="484"/>
      <c r="G8" s="475" t="b">
        <f t="shared" si="6"/>
        <v>0</v>
      </c>
      <c r="H8" s="481" t="s">
        <v>891</v>
      </c>
      <c r="I8" s="484" t="s">
        <v>5432</v>
      </c>
      <c r="J8" s="388" t="b">
        <f t="shared" si="7"/>
        <v>0</v>
      </c>
      <c r="K8" s="466" t="s">
        <v>5435</v>
      </c>
      <c r="L8" s="487" t="s">
        <v>2584</v>
      </c>
      <c r="M8" t="str">
        <f t="shared" si="0"/>
        <v>1972 Eisenhower Dollar</v>
      </c>
      <c r="N8">
        <f>IFERROR(MATCH(M8,CoinCollection!O:O,0),"")</f>
        <v>2241</v>
      </c>
      <c r="O8" t="str">
        <f t="shared" si="1"/>
        <v>1974 Eisenhower Dollar</v>
      </c>
      <c r="P8" t="str">
        <f>IFERROR(MATCH(O8,CoinCollection!O:O,0),"")</f>
        <v/>
      </c>
      <c r="Q8" s="3" t="str">
        <f t="shared" si="5"/>
        <v>1976-S Eisenhower Dollar</v>
      </c>
      <c r="R8" t="str">
        <f>IFERROR(MATCH(Q8,CoinCollection!O:O,0),"")</f>
        <v/>
      </c>
      <c r="S8" t="str">
        <f t="shared" si="2"/>
        <v>1978-D Eisenhower Dollar</v>
      </c>
      <c r="T8" t="str">
        <f>IFERROR(MATCH(S8,CoinCollection!O:O,0),"")</f>
        <v/>
      </c>
    </row>
    <row r="9" spans="1:20">
      <c r="A9" s="388" t="b">
        <f t="shared" si="3"/>
        <v>0</v>
      </c>
      <c r="B9" s="467" t="s">
        <v>887</v>
      </c>
      <c r="C9" s="485"/>
      <c r="D9" s="475" t="b">
        <f t="shared" si="4"/>
        <v>0</v>
      </c>
      <c r="E9" s="461" t="s">
        <v>889</v>
      </c>
      <c r="F9" s="485"/>
      <c r="G9" s="475" t="b">
        <f t="shared" si="6"/>
        <v>0</v>
      </c>
      <c r="H9" s="482" t="s">
        <v>891</v>
      </c>
      <c r="I9" s="485" t="s">
        <v>5433</v>
      </c>
      <c r="J9" s="388" t="b">
        <f t="shared" si="7"/>
        <v>0</v>
      </c>
      <c r="K9" s="463" t="s">
        <v>2512</v>
      </c>
      <c r="L9" s="487"/>
      <c r="M9" t="str">
        <f t="shared" si="0"/>
        <v>1972-D Eisenhower Dollar</v>
      </c>
      <c r="N9" t="str">
        <f>IFERROR(MATCH(M9,CoinCollection!O:O,0),"")</f>
        <v/>
      </c>
      <c r="O9" t="str">
        <f t="shared" si="1"/>
        <v>1974-D Eisenhower Dollar</v>
      </c>
      <c r="P9" t="str">
        <f>IFERROR(MATCH(O9,CoinCollection!O:O,0),"")</f>
        <v/>
      </c>
      <c r="Q9" s="3" t="str">
        <f t="shared" si="5"/>
        <v>1976-S Eisenhower Dollar</v>
      </c>
      <c r="R9" t="str">
        <f>IFERROR(MATCH(Q9,CoinCollection!O:O,0),"")</f>
        <v/>
      </c>
      <c r="S9" t="str">
        <f t="shared" si="2"/>
        <v>1978-S Eisenhower Dollar</v>
      </c>
      <c r="T9" t="str">
        <f>IFERROR(MATCH(S9,CoinCollection!O:O,0),"")</f>
        <v/>
      </c>
    </row>
    <row r="10" spans="1:20">
      <c r="A10" s="388" t="b">
        <f t="shared" si="3"/>
        <v>0</v>
      </c>
      <c r="B10" s="464" t="s">
        <v>5431</v>
      </c>
      <c r="C10" s="484" t="s">
        <v>4834</v>
      </c>
      <c r="D10" s="475" t="b">
        <f t="shared" si="4"/>
        <v>0</v>
      </c>
      <c r="E10" s="465" t="s">
        <v>5438</v>
      </c>
      <c r="F10" s="484" t="s">
        <v>2584</v>
      </c>
      <c r="G10" s="475" t="b">
        <f t="shared" si="6"/>
        <v>0</v>
      </c>
      <c r="H10" s="481" t="s">
        <v>5434</v>
      </c>
      <c r="I10" s="484" t="s">
        <v>5432</v>
      </c>
      <c r="J10" s="388" t="b">
        <f t="shared" si="7"/>
        <v>0</v>
      </c>
      <c r="K10" s="466" t="s">
        <v>893</v>
      </c>
      <c r="L10" s="487"/>
      <c r="M10" t="str">
        <f t="shared" si="0"/>
        <v>1972-S Eisenhower Dollar</v>
      </c>
      <c r="N10" t="str">
        <f>IFERROR(MATCH(M10,CoinCollection!O:O,0),"")</f>
        <v/>
      </c>
      <c r="O10" t="str">
        <f t="shared" si="1"/>
        <v>1974-S Eisenhower Dollar</v>
      </c>
      <c r="P10" t="str">
        <f>IFERROR(MATCH(O10,CoinCollection!O:O,0),"")</f>
        <v/>
      </c>
      <c r="Q10" s="3" t="str">
        <f t="shared" si="5"/>
        <v>1976-S Eisenhower Dollar</v>
      </c>
      <c r="R10" t="str">
        <f>IFERROR(MATCH(Q10,CoinCollection!O:O,0),"")</f>
        <v/>
      </c>
    </row>
    <row r="11" spans="1:20">
      <c r="A11" s="388" t="b">
        <f t="shared" si="3"/>
        <v>0</v>
      </c>
      <c r="B11" s="467" t="s">
        <v>5431</v>
      </c>
      <c r="C11" s="485" t="s">
        <v>5429</v>
      </c>
      <c r="D11" s="475" t="b">
        <f t="shared" si="4"/>
        <v>0</v>
      </c>
      <c r="E11" s="461" t="s">
        <v>5438</v>
      </c>
      <c r="F11" s="485" t="s">
        <v>4834</v>
      </c>
      <c r="G11" s="475" t="b">
        <f t="shared" si="6"/>
        <v>0</v>
      </c>
      <c r="H11" s="482" t="s">
        <v>5434</v>
      </c>
      <c r="I11" s="485" t="s">
        <v>5433</v>
      </c>
      <c r="J11" s="388" t="b">
        <f t="shared" si="7"/>
        <v>0</v>
      </c>
      <c r="K11" s="463" t="s">
        <v>5436</v>
      </c>
      <c r="L11" s="487" t="s">
        <v>2584</v>
      </c>
      <c r="M11" t="str">
        <f t="shared" si="0"/>
        <v>1972-S Eisenhower Dollar</v>
      </c>
      <c r="N11" t="str">
        <f>IFERROR(MATCH(M11,CoinCollection!O:O,0),"")</f>
        <v/>
      </c>
      <c r="O11" t="str">
        <f t="shared" si="1"/>
        <v>1974-S Eisenhower Dollar</v>
      </c>
      <c r="P11" t="str">
        <f>IFERROR(MATCH(O11,CoinCollection!O:O,0),"")</f>
        <v/>
      </c>
      <c r="Q11" s="3"/>
    </row>
    <row r="12" spans="1:20">
      <c r="A12" s="388" t="b">
        <f t="shared" si="3"/>
        <v>0</v>
      </c>
      <c r="B12" s="472" t="s">
        <v>2502</v>
      </c>
      <c r="C12" s="486"/>
      <c r="D12" s="475" t="b">
        <f t="shared" si="4"/>
        <v>0</v>
      </c>
      <c r="E12" s="474" t="s">
        <v>5438</v>
      </c>
      <c r="F12" s="485" t="s">
        <v>5429</v>
      </c>
      <c r="G12" s="475" t="b">
        <f>IF(P10&lt;&gt;"",TRUE,FALSE)</f>
        <v>0</v>
      </c>
      <c r="H12" s="483" t="s">
        <v>5434</v>
      </c>
      <c r="I12" s="486" t="s">
        <v>4834</v>
      </c>
      <c r="J12" t="s">
        <v>53</v>
      </c>
      <c r="K12" s="473" t="s">
        <v>53</v>
      </c>
      <c r="L12" s="487"/>
      <c r="M12" t="str">
        <f t="shared" si="0"/>
        <v>1973 Eisenhower Dollar</v>
      </c>
      <c r="N12" t="str">
        <f>IFERROR(MATCH(M12,CoinCollection!O:O,0),"")</f>
        <v/>
      </c>
      <c r="O12" t="str">
        <f t="shared" si="1"/>
        <v>1974-S Eisenhower Dollar</v>
      </c>
      <c r="P12" t="str">
        <f>IFERROR(MATCH(O12,CoinCollection!O:O,0),"")</f>
        <v/>
      </c>
      <c r="Q12" s="3"/>
    </row>
    <row r="16" spans="1:20" ht="15">
      <c r="B16" s="348" t="s">
        <v>4668</v>
      </c>
      <c r="C16" s="378">
        <f>COUNTIF(B3:L12,"=False")</f>
        <v>21</v>
      </c>
      <c r="D16" s="330"/>
    </row>
    <row r="17" spans="2:5" ht="15">
      <c r="B17" s="348" t="s">
        <v>4669</v>
      </c>
      <c r="C17" s="378">
        <f>COUNTIF(A3:L12,"=true")</f>
        <v>3</v>
      </c>
      <c r="D17" s="330"/>
    </row>
    <row r="19" spans="2:5">
      <c r="C19" s="135" t="s">
        <v>4668</v>
      </c>
      <c r="D19" s="135"/>
      <c r="E19" s="135" t="s">
        <v>5441</v>
      </c>
    </row>
    <row r="20" spans="2:5">
      <c r="C20" s="3" t="str" cm="1">
        <f t="array" ref="C20:C47">_xlfn.LET(_xlpm.stacked_data,_xlfn.VSTACK(A4:C12,D4:F12,G6:I12,J6:T11),
_xlfn._xlws.FILTER(_xlfn.CHOOSECOLS(_xlpm.stacked_data,2),_xlfn.CHOOSECOLS(_xlpm.stacked_data,1)=FALSE)
)</f>
        <v>1971-D</v>
      </c>
      <c r="E20" t="str" cm="1">
        <f t="array" ref="E20:E22">_xlfn.LET(_xlpm.stacked_data,_xlfn.VSTACK(A4:C12,D4:F12,G6:I12,J6:L12),
_xlfn._xlws.FILTER(_xlfn.CHOOSECOLS(_xlpm.stacked_data,2),_xlfn.CHOOSECOLS(_xlpm.stacked_data,1)=TRUE)
)</f>
        <v>1971</v>
      </c>
    </row>
    <row r="21" spans="2:5">
      <c r="C21" s="3" t="str">
        <v>1971-S</v>
      </c>
      <c r="E21" t="str">
        <v>1972</v>
      </c>
    </row>
    <row r="22" spans="2:5">
      <c r="C22" s="3" t="str">
        <v>1971-S</v>
      </c>
      <c r="E22" t="str">
        <v>1977</v>
      </c>
    </row>
    <row r="23" spans="2:5">
      <c r="C23" s="3" t="str">
        <v>1972-D</v>
      </c>
    </row>
    <row r="24" spans="2:5">
      <c r="C24" s="3" t="str">
        <v>1972-S</v>
      </c>
    </row>
    <row r="25" spans="2:5">
      <c r="C25" s="3" t="str">
        <v>1972-S</v>
      </c>
    </row>
    <row r="26" spans="2:5">
      <c r="C26" s="3" t="str">
        <v>1973</v>
      </c>
    </row>
    <row r="27" spans="2:5">
      <c r="C27" s="3" t="str">
        <v>1973-D</v>
      </c>
    </row>
    <row r="28" spans="2:5">
      <c r="C28" s="3" t="str">
        <v>1973-S</v>
      </c>
    </row>
    <row r="29" spans="2:5">
      <c r="C29" s="3" t="str">
        <v>1973-S</v>
      </c>
    </row>
    <row r="30" spans="2:5">
      <c r="C30" s="3" t="str">
        <v>1973-S</v>
      </c>
    </row>
    <row r="31" spans="2:5">
      <c r="C31" s="3" t="str">
        <v>1974</v>
      </c>
    </row>
    <row r="32" spans="2:5">
      <c r="C32" s="3" t="str">
        <v>1974-D</v>
      </c>
    </row>
    <row r="33" spans="3:5">
      <c r="C33" s="3" t="str">
        <v>1974-S</v>
      </c>
    </row>
    <row r="34" spans="3:5">
      <c r="C34" s="3" t="str">
        <v>1974-S</v>
      </c>
    </row>
    <row r="35" spans="3:5">
      <c r="C35" s="3" t="str">
        <v>1974-S</v>
      </c>
    </row>
    <row r="36" spans="3:5">
      <c r="C36" s="3" t="str">
        <v>1976 Eisenhower Dollar Variety I*</v>
      </c>
    </row>
    <row r="37" spans="3:5">
      <c r="C37" s="3">
        <v>1976</v>
      </c>
      <c r="E37" s="3"/>
    </row>
    <row r="38" spans="3:5">
      <c r="C38" s="3" t="str">
        <v>1976-D</v>
      </c>
    </row>
    <row r="39" spans="3:5">
      <c r="C39" s="3" t="str">
        <v>1976-D</v>
      </c>
    </row>
    <row r="40" spans="3:5">
      <c r="C40" s="3" t="str">
        <v>1976-S</v>
      </c>
    </row>
    <row r="41" spans="3:5">
      <c r="C41" s="3" t="str">
        <v>1976-S</v>
      </c>
    </row>
    <row r="42" spans="3:5">
      <c r="C42" s="3" t="str">
        <v>1976-S</v>
      </c>
    </row>
    <row r="43" spans="3:5">
      <c r="C43" s="3" t="str">
        <v>1977-D</v>
      </c>
    </row>
    <row r="44" spans="3:5">
      <c r="C44" s="3" t="str">
        <v>1977-S</v>
      </c>
    </row>
    <row r="45" spans="3:5">
      <c r="C45" s="3" t="str">
        <v>1978</v>
      </c>
    </row>
    <row r="46" spans="3:5">
      <c r="C46" s="3" t="str">
        <v>1978-D</v>
      </c>
    </row>
    <row r="47" spans="3:5">
      <c r="C47" s="3" t="str">
        <v>1978-S</v>
      </c>
    </row>
    <row r="49" spans="3:3">
      <c r="C49" s="136">
        <f>COUNTA(_xlfn.ANCHORARRAY(C20))</f>
        <v>28</v>
      </c>
    </row>
  </sheetData>
  <phoneticPr fontId="19" type="noConversion"/>
  <pageMargins left="0.7" right="0.7" top="0.75" bottom="0.75" header="0.3" footer="0.3"/>
  <ignoredErrors>
    <ignoredError sqref="B4:B12 E8"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AFEA2-61D9-4B94-A2DC-FA2F6996AD06}">
  <sheetPr codeName="Sheet41"/>
  <dimension ref="A1:R88"/>
  <sheetViews>
    <sheetView topLeftCell="A49" workbookViewId="0">
      <selection activeCell="R1" sqref="M1:R1048576"/>
    </sheetView>
  </sheetViews>
  <sheetFormatPr defaultRowHeight="12.75"/>
  <cols>
    <col min="1" max="1" width="6.140625" customWidth="1"/>
    <col min="3" max="3" width="22.5703125" bestFit="1" customWidth="1"/>
    <col min="4" max="4" width="7" bestFit="1" customWidth="1"/>
    <col min="5" max="5" width="6.85546875" bestFit="1" customWidth="1"/>
    <col min="6" max="6" width="22.5703125" bestFit="1" customWidth="1"/>
    <col min="7" max="7" width="7" bestFit="1" customWidth="1"/>
    <col min="13" max="13" width="43.140625" hidden="1" customWidth="1"/>
    <col min="14" max="14" width="5" hidden="1" customWidth="1"/>
    <col min="15" max="15" width="45.28515625" hidden="1" customWidth="1"/>
    <col min="16" max="16" width="5" hidden="1" customWidth="1"/>
    <col min="17" max="17" width="42.28515625" hidden="1" customWidth="1"/>
    <col min="18" max="18" width="0" hidden="1" customWidth="1"/>
  </cols>
  <sheetData>
    <row r="1" spans="1:18">
      <c r="A1" t="s">
        <v>3905</v>
      </c>
    </row>
    <row r="3" spans="1:18">
      <c r="A3" s="388" t="b">
        <f>IF(N3&lt;&gt;"",TRUE,FALSE)</f>
        <v>1</v>
      </c>
      <c r="B3" t="s">
        <v>953</v>
      </c>
      <c r="C3" t="s">
        <v>3902</v>
      </c>
      <c r="D3" s="388" t="b">
        <f>IF(P3&lt;&gt;"",TRUE,FALSE)</f>
        <v>1</v>
      </c>
      <c r="E3" t="s">
        <v>961</v>
      </c>
      <c r="F3" t="s">
        <v>5472</v>
      </c>
      <c r="G3" s="388" t="b">
        <f>IF(R3&lt;&gt;"",TRUE,FALSE)</f>
        <v>0</v>
      </c>
      <c r="H3" t="s">
        <v>969</v>
      </c>
      <c r="I3" t="s">
        <v>5459</v>
      </c>
      <c r="M3" t="str">
        <f>B3&amp;" "&amp;$A$1&amp;" "&amp;C3</f>
        <v>2007-P Presidential Dollar George Washington</v>
      </c>
      <c r="N3">
        <f>IFERROR(MATCH(M3,CoinCollection!O:O,0),"")</f>
        <v>2304</v>
      </c>
      <c r="O3" t="str">
        <f>E3&amp;" "&amp;$A$1&amp;" "&amp;F3</f>
        <v>2011-P Presidential Dollar Ulysses S. Grant</v>
      </c>
      <c r="P3">
        <f>IFERROR(MATCH(O3,CoinCollection!O:O,0),"")</f>
        <v>2312</v>
      </c>
      <c r="Q3" t="str">
        <f>H3&amp;" "&amp;$A$1&amp;" "&amp;I3</f>
        <v>2015-P Presidential Dollar Dwight D. Eisenhower</v>
      </c>
      <c r="R3" t="str">
        <f>IFERROR(MATCH(Q3,CoinCollection!Y:Y,0),"")</f>
        <v/>
      </c>
    </row>
    <row r="4" spans="1:18">
      <c r="A4" s="388" t="b">
        <f t="shared" ref="A4:A50" si="0">IF(N4&lt;&gt;"",TRUE,FALSE)</f>
        <v>0</v>
      </c>
      <c r="B4" t="s">
        <v>954</v>
      </c>
      <c r="C4" t="s">
        <v>3902</v>
      </c>
      <c r="D4" s="388" t="b">
        <f t="shared" ref="D4:D50" si="1">IF(P4&lt;&gt;"",TRUE,FALSE)</f>
        <v>0</v>
      </c>
      <c r="E4" t="s">
        <v>962</v>
      </c>
      <c r="F4" t="s">
        <v>5472</v>
      </c>
      <c r="G4" s="388" t="b">
        <f t="shared" ref="G4:G23" si="2">IF(R4&lt;&gt;"",TRUE,FALSE)</f>
        <v>0</v>
      </c>
      <c r="H4" t="s">
        <v>970</v>
      </c>
      <c r="I4" t="s">
        <v>5459</v>
      </c>
      <c r="M4" t="str">
        <f t="shared" ref="M4:M50" si="3">B4&amp;" "&amp;$A$1&amp;" "&amp;C4</f>
        <v>2007-D Presidential Dollar George Washington</v>
      </c>
      <c r="N4" t="str">
        <f>IFERROR(MATCH(M4,CoinCollection!O:O,0),"")</f>
        <v/>
      </c>
      <c r="O4" t="str">
        <f t="shared" ref="O4:O50" si="4">E4&amp;" "&amp;$A$1&amp;" "&amp;F4</f>
        <v>2011-D Presidential Dollar Ulysses S. Grant</v>
      </c>
      <c r="P4" t="str">
        <f>IFERROR(MATCH(O4,CoinCollection!O:O,0),"")</f>
        <v/>
      </c>
      <c r="Q4" t="str">
        <f t="shared" ref="Q4:Q23" si="5">H4&amp;" "&amp;$A$1&amp;" "&amp;I4</f>
        <v>2015-D Presidential Dollar Dwight D. Eisenhower</v>
      </c>
      <c r="R4" t="str">
        <f>IFERROR(MATCH(Q4,CoinCollection!Y:Y,0),"")</f>
        <v/>
      </c>
    </row>
    <row r="5" spans="1:18">
      <c r="A5" s="388" t="b">
        <f t="shared" si="0"/>
        <v>0</v>
      </c>
      <c r="B5" t="s">
        <v>5276</v>
      </c>
      <c r="C5" t="s">
        <v>3902</v>
      </c>
      <c r="D5" s="388" t="b">
        <f t="shared" si="1"/>
        <v>0</v>
      </c>
      <c r="E5" t="s">
        <v>3966</v>
      </c>
      <c r="F5" t="s">
        <v>5472</v>
      </c>
      <c r="G5" s="388" t="b">
        <f t="shared" si="2"/>
        <v>0</v>
      </c>
      <c r="H5" t="s">
        <v>3970</v>
      </c>
      <c r="I5" t="s">
        <v>5459</v>
      </c>
      <c r="M5" t="str">
        <f t="shared" si="3"/>
        <v>2007-S Presidential Dollar George Washington</v>
      </c>
      <c r="N5" t="str">
        <f>IFERROR(MATCH(M5,CoinCollection!O:O,0),"")</f>
        <v/>
      </c>
      <c r="O5" t="str">
        <f t="shared" si="4"/>
        <v>2011-S Presidential Dollar Ulysses S. Grant</v>
      </c>
      <c r="P5" t="str">
        <f>IFERROR(MATCH(O5,CoinCollection!O:O,0),"")</f>
        <v/>
      </c>
      <c r="Q5" t="str">
        <f t="shared" si="5"/>
        <v>2015-S Presidential Dollar Dwight D. Eisenhower</v>
      </c>
      <c r="R5" t="str">
        <f>IFERROR(MATCH(Q5,CoinCollection!Y:Y,0),"")</f>
        <v/>
      </c>
    </row>
    <row r="6" spans="1:18">
      <c r="A6" s="388" t="b">
        <f t="shared" si="0"/>
        <v>0</v>
      </c>
      <c r="B6" t="s">
        <v>953</v>
      </c>
      <c r="C6" t="s">
        <v>5444</v>
      </c>
      <c r="D6" s="388" t="b">
        <f t="shared" si="1"/>
        <v>0</v>
      </c>
      <c r="E6" t="s">
        <v>961</v>
      </c>
      <c r="F6" t="s">
        <v>5473</v>
      </c>
      <c r="G6" s="388" t="b">
        <f t="shared" si="2"/>
        <v>0</v>
      </c>
      <c r="H6" t="s">
        <v>969</v>
      </c>
      <c r="I6" t="s">
        <v>5461</v>
      </c>
      <c r="M6" t="str">
        <f t="shared" si="3"/>
        <v>2007-P Presidential Dollar John Adams</v>
      </c>
      <c r="N6" t="str">
        <f>IFERROR(MATCH(M6,CoinCollection!O:O,0),"")</f>
        <v/>
      </c>
      <c r="O6" t="str">
        <f t="shared" si="4"/>
        <v>2011-P Presidential Dollar Rutherford B. Hayes</v>
      </c>
      <c r="P6" t="str">
        <f>IFERROR(MATCH(O6,CoinCollection!O:O,0),"")</f>
        <v/>
      </c>
      <c r="Q6" t="str">
        <f t="shared" si="5"/>
        <v>2015-P Presidential Dollar John F. Kennedy</v>
      </c>
      <c r="R6" t="str">
        <f>IFERROR(MATCH(Q6,CoinCollection!Y:Y,0),"")</f>
        <v/>
      </c>
    </row>
    <row r="7" spans="1:18">
      <c r="A7" s="388" t="b">
        <f t="shared" si="0"/>
        <v>0</v>
      </c>
      <c r="B7" t="s">
        <v>954</v>
      </c>
      <c r="C7" t="s">
        <v>5444</v>
      </c>
      <c r="D7" s="388" t="b">
        <f t="shared" si="1"/>
        <v>0</v>
      </c>
      <c r="E7" t="s">
        <v>962</v>
      </c>
      <c r="F7" t="s">
        <v>5473</v>
      </c>
      <c r="G7" s="388" t="b">
        <f t="shared" si="2"/>
        <v>0</v>
      </c>
      <c r="H7" t="s">
        <v>970</v>
      </c>
      <c r="I7" t="s">
        <v>5461</v>
      </c>
      <c r="M7" t="str">
        <f t="shared" si="3"/>
        <v>2007-D Presidential Dollar John Adams</v>
      </c>
      <c r="N7" t="str">
        <f>IFERROR(MATCH(M7,CoinCollection!O:O,0),"")</f>
        <v/>
      </c>
      <c r="O7" t="str">
        <f t="shared" si="4"/>
        <v>2011-D Presidential Dollar Rutherford B. Hayes</v>
      </c>
      <c r="P7" t="str">
        <f>IFERROR(MATCH(O7,CoinCollection!O:O,0),"")</f>
        <v/>
      </c>
      <c r="Q7" t="str">
        <f t="shared" si="5"/>
        <v>2015-D Presidential Dollar John F. Kennedy</v>
      </c>
      <c r="R7" t="str">
        <f>IFERROR(MATCH(Q7,CoinCollection!Y:Y,0),"")</f>
        <v/>
      </c>
    </row>
    <row r="8" spans="1:18">
      <c r="A8" s="388" t="b">
        <f t="shared" si="0"/>
        <v>0</v>
      </c>
      <c r="B8" t="s">
        <v>5276</v>
      </c>
      <c r="C8" t="s">
        <v>5444</v>
      </c>
      <c r="D8" s="388" t="b">
        <f t="shared" si="1"/>
        <v>0</v>
      </c>
      <c r="E8" t="s">
        <v>3966</v>
      </c>
      <c r="F8" t="s">
        <v>5473</v>
      </c>
      <c r="G8" s="388" t="b">
        <f t="shared" si="2"/>
        <v>0</v>
      </c>
      <c r="H8" t="s">
        <v>3970</v>
      </c>
      <c r="I8" t="s">
        <v>5461</v>
      </c>
      <c r="M8" t="str">
        <f t="shared" si="3"/>
        <v>2007-S Presidential Dollar John Adams</v>
      </c>
      <c r="N8" t="str">
        <f>IFERROR(MATCH(M8,CoinCollection!O:O,0),"")</f>
        <v/>
      </c>
      <c r="O8" t="str">
        <f t="shared" si="4"/>
        <v>2011-S Presidential Dollar Rutherford B. Hayes</v>
      </c>
      <c r="P8" t="str">
        <f>IFERROR(MATCH(O8,CoinCollection!O:O,0),"")</f>
        <v/>
      </c>
      <c r="Q8" t="str">
        <f t="shared" si="5"/>
        <v>2015-S Presidential Dollar John F. Kennedy</v>
      </c>
      <c r="R8" t="str">
        <f>IFERROR(MATCH(Q8,CoinCollection!Y:Y,0),"")</f>
        <v/>
      </c>
    </row>
    <row r="9" spans="1:18">
      <c r="A9" s="388" t="b">
        <f t="shared" si="0"/>
        <v>0</v>
      </c>
      <c r="B9" t="s">
        <v>953</v>
      </c>
      <c r="C9" t="s">
        <v>5445</v>
      </c>
      <c r="D9" s="388" t="b">
        <f t="shared" si="1"/>
        <v>1</v>
      </c>
      <c r="E9" t="s">
        <v>961</v>
      </c>
      <c r="F9" t="s">
        <v>3904</v>
      </c>
      <c r="G9" s="388" t="b">
        <f t="shared" si="2"/>
        <v>0</v>
      </c>
      <c r="H9" t="s">
        <v>969</v>
      </c>
      <c r="I9" t="s">
        <v>5463</v>
      </c>
      <c r="M9" t="str">
        <f t="shared" si="3"/>
        <v>2007-P Presidential Dollar Thomas Jefferson</v>
      </c>
      <c r="N9" t="str">
        <f>IFERROR(MATCH(M9,CoinCollection!O:O,0),"")</f>
        <v/>
      </c>
      <c r="O9" t="str">
        <f t="shared" si="4"/>
        <v>2011-P Presidential Dollar James Garfield</v>
      </c>
      <c r="P9">
        <f>IFERROR(MATCH(O9,CoinCollection!O:O,0),"")</f>
        <v>2308</v>
      </c>
      <c r="Q9" t="str">
        <f t="shared" si="5"/>
        <v>2015-P Presidential Dollar Lyndon B. Johnson</v>
      </c>
      <c r="R9" t="str">
        <f>IFERROR(MATCH(Q9,CoinCollection!Y:Y,0),"")</f>
        <v/>
      </c>
    </row>
    <row r="10" spans="1:18">
      <c r="A10" s="388" t="b">
        <f t="shared" si="0"/>
        <v>0</v>
      </c>
      <c r="B10" t="s">
        <v>954</v>
      </c>
      <c r="C10" t="s">
        <v>5445</v>
      </c>
      <c r="D10" s="388" t="b">
        <f t="shared" si="1"/>
        <v>0</v>
      </c>
      <c r="E10" t="s">
        <v>962</v>
      </c>
      <c r="F10" t="s">
        <v>3904</v>
      </c>
      <c r="G10" s="388" t="b">
        <f t="shared" si="2"/>
        <v>0</v>
      </c>
      <c r="H10" t="s">
        <v>970</v>
      </c>
      <c r="I10" t="s">
        <v>5463</v>
      </c>
      <c r="M10" t="str">
        <f t="shared" si="3"/>
        <v>2007-D Presidential Dollar Thomas Jefferson</v>
      </c>
      <c r="N10" t="str">
        <f>IFERROR(MATCH(M10,CoinCollection!O:O,0),"")</f>
        <v/>
      </c>
      <c r="O10" t="str">
        <f t="shared" si="4"/>
        <v>2011-D Presidential Dollar James Garfield</v>
      </c>
      <c r="P10" t="str">
        <f>IFERROR(MATCH(O10,CoinCollection!O:O,0),"")</f>
        <v/>
      </c>
      <c r="Q10" t="str">
        <f t="shared" si="5"/>
        <v>2015-D Presidential Dollar Lyndon B. Johnson</v>
      </c>
      <c r="R10" t="str">
        <f>IFERROR(MATCH(Q10,CoinCollection!Y:Y,0),"")</f>
        <v/>
      </c>
    </row>
    <row r="11" spans="1:18">
      <c r="A11" s="388" t="b">
        <f t="shared" si="0"/>
        <v>0</v>
      </c>
      <c r="B11" t="s">
        <v>5276</v>
      </c>
      <c r="C11" t="s">
        <v>5445</v>
      </c>
      <c r="D11" s="388" t="b">
        <f t="shared" si="1"/>
        <v>0</v>
      </c>
      <c r="E11" t="s">
        <v>3966</v>
      </c>
      <c r="F11" t="s">
        <v>3904</v>
      </c>
      <c r="G11" s="388" t="b">
        <f t="shared" si="2"/>
        <v>0</v>
      </c>
      <c r="H11" t="s">
        <v>3970</v>
      </c>
      <c r="I11" t="s">
        <v>5463</v>
      </c>
      <c r="M11" t="str">
        <f t="shared" si="3"/>
        <v>2007-S Presidential Dollar Thomas Jefferson</v>
      </c>
      <c r="N11" t="str">
        <f>IFERROR(MATCH(M11,CoinCollection!O:O,0),"")</f>
        <v/>
      </c>
      <c r="O11" t="str">
        <f t="shared" si="4"/>
        <v>2011-S Presidential Dollar James Garfield</v>
      </c>
      <c r="P11" t="str">
        <f>IFERROR(MATCH(O11,CoinCollection!O:O,0),"")</f>
        <v/>
      </c>
      <c r="Q11" t="str">
        <f t="shared" si="5"/>
        <v>2015-S Presidential Dollar Lyndon B. Johnson</v>
      </c>
      <c r="R11" t="str">
        <f>IFERROR(MATCH(Q11,CoinCollection!Y:Y,0),"")</f>
        <v/>
      </c>
    </row>
    <row r="12" spans="1:18">
      <c r="A12" s="388" t="b">
        <f t="shared" si="0"/>
        <v>0</v>
      </c>
      <c r="B12" t="s">
        <v>953</v>
      </c>
      <c r="C12" t="s">
        <v>5447</v>
      </c>
      <c r="D12" s="388" t="b">
        <f t="shared" si="1"/>
        <v>0</v>
      </c>
      <c r="E12" t="s">
        <v>963</v>
      </c>
      <c r="F12" t="s">
        <v>5474</v>
      </c>
      <c r="G12" s="388" t="b">
        <f t="shared" si="2"/>
        <v>0</v>
      </c>
      <c r="H12" t="s">
        <v>971</v>
      </c>
      <c r="I12" t="s">
        <v>5465</v>
      </c>
      <c r="M12" t="str">
        <f t="shared" si="3"/>
        <v>2007-P Presidential Dollar James Madison</v>
      </c>
      <c r="N12" t="str">
        <f>IFERROR(MATCH(M12,CoinCollection!O:O,0),"")</f>
        <v/>
      </c>
      <c r="O12" t="str">
        <f t="shared" si="4"/>
        <v>2012-P Presidential Dollar Chester Arthur</v>
      </c>
      <c r="P12" t="str">
        <f>IFERROR(MATCH(O12,CoinCollection!O:O,0),"")</f>
        <v/>
      </c>
      <c r="Q12" t="str">
        <f t="shared" si="5"/>
        <v>2016-P Presidential Dollar Richard M. Nixon</v>
      </c>
      <c r="R12" t="str">
        <f>IFERROR(MATCH(Q12,CoinCollection!Y:Y,0),"")</f>
        <v/>
      </c>
    </row>
    <row r="13" spans="1:18">
      <c r="A13" s="388" t="b">
        <f t="shared" si="0"/>
        <v>0</v>
      </c>
      <c r="B13" t="s">
        <v>954</v>
      </c>
      <c r="C13" t="s">
        <v>5447</v>
      </c>
      <c r="D13" s="388" t="b">
        <f t="shared" si="1"/>
        <v>0</v>
      </c>
      <c r="E13" t="s">
        <v>964</v>
      </c>
      <c r="F13" t="s">
        <v>5474</v>
      </c>
      <c r="G13" s="388" t="b">
        <f t="shared" si="2"/>
        <v>0</v>
      </c>
      <c r="H13" t="s">
        <v>972</v>
      </c>
      <c r="I13" t="s">
        <v>5465</v>
      </c>
      <c r="M13" t="str">
        <f t="shared" si="3"/>
        <v>2007-D Presidential Dollar James Madison</v>
      </c>
      <c r="N13" t="str">
        <f>IFERROR(MATCH(M13,CoinCollection!O:O,0),"")</f>
        <v/>
      </c>
      <c r="O13" t="str">
        <f t="shared" si="4"/>
        <v>2012-D Presidential Dollar Chester Arthur</v>
      </c>
      <c r="P13" t="str">
        <f>IFERROR(MATCH(O13,CoinCollection!O:O,0),"")</f>
        <v/>
      </c>
      <c r="Q13" t="str">
        <f t="shared" si="5"/>
        <v>2016-D Presidential Dollar Richard M. Nixon</v>
      </c>
      <c r="R13" t="str">
        <f>IFERROR(MATCH(Q13,CoinCollection!Y:Y,0),"")</f>
        <v/>
      </c>
    </row>
    <row r="14" spans="1:18">
      <c r="A14" s="388" t="b">
        <f t="shared" si="0"/>
        <v>0</v>
      </c>
      <c r="B14" t="s">
        <v>5276</v>
      </c>
      <c r="C14" t="s">
        <v>5447</v>
      </c>
      <c r="D14" s="388" t="b">
        <f t="shared" si="1"/>
        <v>0</v>
      </c>
      <c r="E14" t="s">
        <v>3967</v>
      </c>
      <c r="F14" t="s">
        <v>5474</v>
      </c>
      <c r="G14" s="388" t="b">
        <f t="shared" si="2"/>
        <v>0</v>
      </c>
      <c r="H14" t="s">
        <v>3971</v>
      </c>
      <c r="I14" t="s">
        <v>5465</v>
      </c>
      <c r="M14" t="str">
        <f t="shared" si="3"/>
        <v>2007-S Presidential Dollar James Madison</v>
      </c>
      <c r="N14" t="str">
        <f>IFERROR(MATCH(M14,CoinCollection!O:O,0),"")</f>
        <v/>
      </c>
      <c r="O14" t="str">
        <f t="shared" si="4"/>
        <v>2012-S Presidential Dollar Chester Arthur</v>
      </c>
      <c r="P14" t="str">
        <f>IFERROR(MATCH(O14,CoinCollection!O:O,0),"")</f>
        <v/>
      </c>
      <c r="Q14" t="str">
        <f t="shared" si="5"/>
        <v>2016-S Presidential Dollar Richard M. Nixon</v>
      </c>
      <c r="R14" t="str">
        <f>IFERROR(MATCH(Q14,CoinCollection!Y:Y,0),"")</f>
        <v/>
      </c>
    </row>
    <row r="15" spans="1:18">
      <c r="A15" s="388" t="b">
        <f t="shared" si="0"/>
        <v>0</v>
      </c>
      <c r="B15" t="s">
        <v>955</v>
      </c>
      <c r="C15" t="s">
        <v>5449</v>
      </c>
      <c r="D15" s="388" t="b">
        <f t="shared" si="1"/>
        <v>0</v>
      </c>
      <c r="E15" t="s">
        <v>963</v>
      </c>
      <c r="F15" t="s">
        <v>5475</v>
      </c>
      <c r="G15" s="388" t="b">
        <f t="shared" si="2"/>
        <v>0</v>
      </c>
      <c r="H15" t="s">
        <v>971</v>
      </c>
      <c r="I15" t="s">
        <v>5467</v>
      </c>
      <c r="M15" t="str">
        <f t="shared" si="3"/>
        <v>2008-P Presidential Dollar James Monroe</v>
      </c>
      <c r="N15" t="str">
        <f>IFERROR(MATCH(M15,CoinCollection!O:O,0),"")</f>
        <v/>
      </c>
      <c r="O15" t="str">
        <f t="shared" si="4"/>
        <v>2012-P Presidential Dollar Grover Cleveland (Term 1)</v>
      </c>
      <c r="P15" t="str">
        <f>IFERROR(MATCH(O15,CoinCollection!O:O,0),"")</f>
        <v/>
      </c>
      <c r="Q15" t="str">
        <f t="shared" si="5"/>
        <v>2016-P Presidential Dollar Gerald R. Ford</v>
      </c>
      <c r="R15" t="str">
        <f>IFERROR(MATCH(Q15,CoinCollection!Y:Y,0),"")</f>
        <v/>
      </c>
    </row>
    <row r="16" spans="1:18">
      <c r="A16" s="388" t="b">
        <f t="shared" si="0"/>
        <v>0</v>
      </c>
      <c r="B16" t="s">
        <v>956</v>
      </c>
      <c r="C16" t="s">
        <v>5449</v>
      </c>
      <c r="D16" s="388" t="b">
        <f t="shared" si="1"/>
        <v>0</v>
      </c>
      <c r="E16" t="s">
        <v>964</v>
      </c>
      <c r="F16" t="s">
        <v>5475</v>
      </c>
      <c r="G16" s="388" t="b">
        <f t="shared" si="2"/>
        <v>0</v>
      </c>
      <c r="H16" t="s">
        <v>972</v>
      </c>
      <c r="I16" t="s">
        <v>5467</v>
      </c>
      <c r="M16" t="str">
        <f t="shared" si="3"/>
        <v>2008-D Presidential Dollar James Monroe</v>
      </c>
      <c r="N16" t="str">
        <f>IFERROR(MATCH(M16,CoinCollection!O:O,0),"")</f>
        <v/>
      </c>
      <c r="O16" t="str">
        <f t="shared" si="4"/>
        <v>2012-D Presidential Dollar Grover Cleveland (Term 1)</v>
      </c>
      <c r="P16" t="str">
        <f>IFERROR(MATCH(O16,CoinCollection!O:O,0),"")</f>
        <v/>
      </c>
      <c r="Q16" t="str">
        <f t="shared" si="5"/>
        <v>2016-D Presidential Dollar Gerald R. Ford</v>
      </c>
      <c r="R16" t="str">
        <f>IFERROR(MATCH(Q16,CoinCollection!Y:Y,0),"")</f>
        <v/>
      </c>
    </row>
    <row r="17" spans="1:18">
      <c r="A17" s="388" t="b">
        <f t="shared" si="0"/>
        <v>0</v>
      </c>
      <c r="B17" t="s">
        <v>5477</v>
      </c>
      <c r="C17" t="s">
        <v>5449</v>
      </c>
      <c r="D17" s="388" t="b">
        <f t="shared" si="1"/>
        <v>0</v>
      </c>
      <c r="E17" t="s">
        <v>3967</v>
      </c>
      <c r="F17" t="s">
        <v>5475</v>
      </c>
      <c r="G17" s="388" t="b">
        <f t="shared" si="2"/>
        <v>0</v>
      </c>
      <c r="H17" t="s">
        <v>3971</v>
      </c>
      <c r="I17" t="s">
        <v>5467</v>
      </c>
      <c r="M17" t="str">
        <f t="shared" si="3"/>
        <v>2008-S Presidential Dollar James Monroe</v>
      </c>
      <c r="N17" t="str">
        <f>IFERROR(MATCH(M17,CoinCollection!O:O,0),"")</f>
        <v/>
      </c>
      <c r="O17" t="str">
        <f t="shared" si="4"/>
        <v>2012-S Presidential Dollar Grover Cleveland (Term 1)</v>
      </c>
      <c r="P17" t="str">
        <f>IFERROR(MATCH(O17,CoinCollection!O:O,0),"")</f>
        <v/>
      </c>
      <c r="Q17" t="str">
        <f t="shared" si="5"/>
        <v>2016-S Presidential Dollar Gerald R. Ford</v>
      </c>
      <c r="R17" t="str">
        <f>IFERROR(MATCH(Q17,CoinCollection!Y:Y,0),"")</f>
        <v/>
      </c>
    </row>
    <row r="18" spans="1:18">
      <c r="A18" s="388" t="b">
        <f t="shared" si="0"/>
        <v>0</v>
      </c>
      <c r="B18" t="s">
        <v>955</v>
      </c>
      <c r="C18" t="s">
        <v>5451</v>
      </c>
      <c r="D18" s="388" t="b">
        <f t="shared" si="1"/>
        <v>0</v>
      </c>
      <c r="E18" t="s">
        <v>963</v>
      </c>
      <c r="F18" t="s">
        <v>4419</v>
      </c>
      <c r="G18" s="388" t="b">
        <f t="shared" si="2"/>
        <v>0</v>
      </c>
      <c r="H18" t="s">
        <v>971</v>
      </c>
      <c r="I18" t="s">
        <v>5469</v>
      </c>
      <c r="M18" t="str">
        <f t="shared" si="3"/>
        <v>2008-P Presidential Dollar John Quincy Adams</v>
      </c>
      <c r="N18" t="str">
        <f>IFERROR(MATCH(M18,CoinCollection!O:O,0),"")</f>
        <v/>
      </c>
      <c r="O18" t="str">
        <f t="shared" si="4"/>
        <v>2012-P Presidential Dollar Benjamin Harrison</v>
      </c>
      <c r="P18" t="str">
        <f>IFERROR(MATCH(O18,CoinCollection!O:O,0),"")</f>
        <v/>
      </c>
      <c r="Q18" t="str">
        <f t="shared" si="5"/>
        <v>2016-P Presidential Dollar Ronald Reagan</v>
      </c>
      <c r="R18" t="str">
        <f>IFERROR(MATCH(Q18,CoinCollection!Y:Y,0),"")</f>
        <v/>
      </c>
    </row>
    <row r="19" spans="1:18">
      <c r="A19" s="388" t="b">
        <f t="shared" si="0"/>
        <v>0</v>
      </c>
      <c r="B19" t="s">
        <v>956</v>
      </c>
      <c r="C19" t="s">
        <v>5451</v>
      </c>
      <c r="D19" s="388" t="b">
        <f t="shared" si="1"/>
        <v>0</v>
      </c>
      <c r="E19" t="s">
        <v>964</v>
      </c>
      <c r="F19" t="s">
        <v>4419</v>
      </c>
      <c r="G19" s="388" t="b">
        <f t="shared" si="2"/>
        <v>0</v>
      </c>
      <c r="H19" t="s">
        <v>972</v>
      </c>
      <c r="I19" t="s">
        <v>5469</v>
      </c>
      <c r="M19" t="str">
        <f t="shared" si="3"/>
        <v>2008-D Presidential Dollar John Quincy Adams</v>
      </c>
      <c r="N19" t="str">
        <f>IFERROR(MATCH(M19,CoinCollection!O:O,0),"")</f>
        <v/>
      </c>
      <c r="O19" t="str">
        <f t="shared" si="4"/>
        <v>2012-D Presidential Dollar Benjamin Harrison</v>
      </c>
      <c r="P19" t="str">
        <f>IFERROR(MATCH(O19,CoinCollection!O:O,0),"")</f>
        <v/>
      </c>
      <c r="Q19" t="str">
        <f t="shared" si="5"/>
        <v>2016-D Presidential Dollar Ronald Reagan</v>
      </c>
      <c r="R19" t="str">
        <f>IFERROR(MATCH(Q19,CoinCollection!Y:Y,0),"")</f>
        <v/>
      </c>
    </row>
    <row r="20" spans="1:18">
      <c r="A20" s="388" t="b">
        <f t="shared" si="0"/>
        <v>0</v>
      </c>
      <c r="B20" t="s">
        <v>5477</v>
      </c>
      <c r="C20" t="s">
        <v>5451</v>
      </c>
      <c r="D20" s="388" t="b">
        <f t="shared" si="1"/>
        <v>0</v>
      </c>
      <c r="E20" t="s">
        <v>3967</v>
      </c>
      <c r="F20" t="s">
        <v>4419</v>
      </c>
      <c r="G20" s="388" t="b">
        <f t="shared" si="2"/>
        <v>0</v>
      </c>
      <c r="H20" t="s">
        <v>3971</v>
      </c>
      <c r="I20" t="s">
        <v>5469</v>
      </c>
      <c r="M20" t="str">
        <f t="shared" si="3"/>
        <v>2008-S Presidential Dollar John Quincy Adams</v>
      </c>
      <c r="N20" t="str">
        <f>IFERROR(MATCH(M20,CoinCollection!O:O,0),"")</f>
        <v/>
      </c>
      <c r="O20" t="str">
        <f t="shared" si="4"/>
        <v>2012-S Presidential Dollar Benjamin Harrison</v>
      </c>
      <c r="P20" t="str">
        <f>IFERROR(MATCH(O20,CoinCollection!O:O,0),"")</f>
        <v/>
      </c>
      <c r="Q20" t="str">
        <f t="shared" si="5"/>
        <v>2016-S Presidential Dollar Ronald Reagan</v>
      </c>
      <c r="R20" t="str">
        <f>IFERROR(MATCH(Q20,CoinCollection!Y:Y,0),"")</f>
        <v/>
      </c>
    </row>
    <row r="21" spans="1:18">
      <c r="A21" s="388" t="b">
        <f t="shared" si="0"/>
        <v>0</v>
      </c>
      <c r="B21" t="s">
        <v>955</v>
      </c>
      <c r="C21" t="s">
        <v>5453</v>
      </c>
      <c r="D21" s="388" t="b">
        <f t="shared" si="1"/>
        <v>0</v>
      </c>
      <c r="E21" t="s">
        <v>963</v>
      </c>
      <c r="F21" t="s">
        <v>5476</v>
      </c>
      <c r="G21" s="388" t="b">
        <f t="shared" si="2"/>
        <v>0</v>
      </c>
      <c r="H21" t="s">
        <v>979</v>
      </c>
      <c r="I21" t="s">
        <v>5470</v>
      </c>
      <c r="M21" t="str">
        <f t="shared" si="3"/>
        <v>2008-P Presidential Dollar Andrew Jackson</v>
      </c>
      <c r="N21" t="str">
        <f>IFERROR(MATCH(M21,CoinCollection!O:O,0),"")</f>
        <v/>
      </c>
      <c r="O21" t="str">
        <f t="shared" si="4"/>
        <v>2012-P Presidential Dollar Grover Cleveland (Term 2)</v>
      </c>
      <c r="P21" t="str">
        <f>IFERROR(MATCH(O21,CoinCollection!O:O,0),"")</f>
        <v/>
      </c>
      <c r="Q21" t="str">
        <f t="shared" si="5"/>
        <v>2020-P Presidential Dollar George H.W. Bush</v>
      </c>
      <c r="R21" t="str">
        <f>IFERROR(MATCH(Q21,CoinCollection!Y:Y,0),"")</f>
        <v/>
      </c>
    </row>
    <row r="22" spans="1:18">
      <c r="A22" s="388" t="b">
        <f t="shared" si="0"/>
        <v>0</v>
      </c>
      <c r="B22" t="s">
        <v>956</v>
      </c>
      <c r="C22" t="s">
        <v>5453</v>
      </c>
      <c r="D22" s="388" t="b">
        <f t="shared" si="1"/>
        <v>0</v>
      </c>
      <c r="E22" t="s">
        <v>964</v>
      </c>
      <c r="F22" t="s">
        <v>5476</v>
      </c>
      <c r="G22" s="388" t="b">
        <f t="shared" si="2"/>
        <v>0</v>
      </c>
      <c r="H22" t="s">
        <v>980</v>
      </c>
      <c r="I22" t="s">
        <v>5470</v>
      </c>
      <c r="M22" t="str">
        <f t="shared" si="3"/>
        <v>2008-D Presidential Dollar Andrew Jackson</v>
      </c>
      <c r="N22" t="str">
        <f>IFERROR(MATCH(M22,CoinCollection!O:O,0),"")</f>
        <v/>
      </c>
      <c r="O22" t="str">
        <f t="shared" si="4"/>
        <v>2012-D Presidential Dollar Grover Cleveland (Term 2)</v>
      </c>
      <c r="P22" t="str">
        <f>IFERROR(MATCH(O22,CoinCollection!O:O,0),"")</f>
        <v/>
      </c>
      <c r="Q22" t="str">
        <f t="shared" si="5"/>
        <v>2020-D Presidential Dollar George H.W. Bush</v>
      </c>
      <c r="R22" t="str">
        <f>IFERROR(MATCH(Q22,CoinCollection!Y:Y,0),"")</f>
        <v/>
      </c>
    </row>
    <row r="23" spans="1:18">
      <c r="A23" s="388" t="b">
        <f t="shared" si="0"/>
        <v>0</v>
      </c>
      <c r="B23" t="s">
        <v>5477</v>
      </c>
      <c r="C23" t="s">
        <v>5453</v>
      </c>
      <c r="D23" s="388" t="b">
        <f t="shared" si="1"/>
        <v>0</v>
      </c>
      <c r="E23" t="s">
        <v>3967</v>
      </c>
      <c r="F23" t="s">
        <v>5476</v>
      </c>
      <c r="G23" s="388" t="b">
        <f t="shared" si="2"/>
        <v>0</v>
      </c>
      <c r="H23" t="s">
        <v>3975</v>
      </c>
      <c r="I23" t="s">
        <v>5470</v>
      </c>
      <c r="M23" t="str">
        <f t="shared" si="3"/>
        <v>2008-S Presidential Dollar Andrew Jackson</v>
      </c>
      <c r="N23" t="str">
        <f>IFERROR(MATCH(M23,CoinCollection!O:O,0),"")</f>
        <v/>
      </c>
      <c r="O23" t="str">
        <f t="shared" si="4"/>
        <v>2012-S Presidential Dollar Grover Cleveland (Term 2)</v>
      </c>
      <c r="P23" t="str">
        <f>IFERROR(MATCH(O23,CoinCollection!O:O,0),"")</f>
        <v/>
      </c>
      <c r="Q23" t="str">
        <f t="shared" si="5"/>
        <v>2020-S Presidential Dollar George H.W. Bush</v>
      </c>
      <c r="R23" t="str">
        <f>IFERROR(MATCH(Q23,CoinCollection!Y:Y,0),"")</f>
        <v/>
      </c>
    </row>
    <row r="24" spans="1:18">
      <c r="A24" s="388" t="b">
        <f t="shared" si="0"/>
        <v>0</v>
      </c>
      <c r="B24" t="s">
        <v>955</v>
      </c>
      <c r="C24" t="s">
        <v>5455</v>
      </c>
      <c r="D24" s="388" t="b">
        <f t="shared" si="1"/>
        <v>0</v>
      </c>
      <c r="E24" t="s">
        <v>965</v>
      </c>
      <c r="F24" t="s">
        <v>5443</v>
      </c>
      <c r="M24" t="str">
        <f t="shared" si="3"/>
        <v>2008-P Presidential Dollar Martin Van Buren</v>
      </c>
      <c r="N24" t="str">
        <f>IFERROR(MATCH(M24,CoinCollection!O:O,0),"")</f>
        <v/>
      </c>
      <c r="O24" t="str">
        <f t="shared" si="4"/>
        <v>2013-P Presidential Dollar William McKinley</v>
      </c>
    </row>
    <row r="25" spans="1:18">
      <c r="A25" s="388" t="b">
        <f t="shared" si="0"/>
        <v>0</v>
      </c>
      <c r="B25" t="s">
        <v>956</v>
      </c>
      <c r="C25" t="s">
        <v>5455</v>
      </c>
      <c r="D25" s="388" t="b">
        <f t="shared" si="1"/>
        <v>0</v>
      </c>
      <c r="E25" t="s">
        <v>966</v>
      </c>
      <c r="F25" t="s">
        <v>5443</v>
      </c>
      <c r="M25" t="str">
        <f t="shared" si="3"/>
        <v>2008-D Presidential Dollar Martin Van Buren</v>
      </c>
      <c r="N25" t="str">
        <f>IFERROR(MATCH(M25,CoinCollection!O:O,0),"")</f>
        <v/>
      </c>
      <c r="O25" t="str">
        <f t="shared" si="4"/>
        <v>2013-D Presidential Dollar William McKinley</v>
      </c>
    </row>
    <row r="26" spans="1:18">
      <c r="A26" s="388" t="b">
        <f t="shared" si="0"/>
        <v>0</v>
      </c>
      <c r="B26" t="s">
        <v>5477</v>
      </c>
      <c r="C26" t="s">
        <v>5455</v>
      </c>
      <c r="D26" s="388" t="b">
        <f t="shared" si="1"/>
        <v>0</v>
      </c>
      <c r="E26" t="s">
        <v>3968</v>
      </c>
      <c r="F26" t="s">
        <v>5443</v>
      </c>
      <c r="M26" t="str">
        <f t="shared" si="3"/>
        <v>2008-S Presidential Dollar Martin Van Buren</v>
      </c>
      <c r="N26" t="str">
        <f>IFERROR(MATCH(M26,CoinCollection!O:O,0),"")</f>
        <v/>
      </c>
      <c r="O26" t="str">
        <f t="shared" si="4"/>
        <v>2013-S Presidential Dollar William McKinley</v>
      </c>
    </row>
    <row r="27" spans="1:18">
      <c r="A27" s="388" t="b">
        <f t="shared" si="0"/>
        <v>0</v>
      </c>
      <c r="B27" t="s">
        <v>957</v>
      </c>
      <c r="C27" t="s">
        <v>5457</v>
      </c>
      <c r="D27" s="388" t="b">
        <f t="shared" si="1"/>
        <v>0</v>
      </c>
      <c r="E27" t="s">
        <v>965</v>
      </c>
      <c r="F27" t="s">
        <v>3791</v>
      </c>
      <c r="M27" t="str">
        <f t="shared" si="3"/>
        <v>2009-P Presidential Dollar William Henry Harrison</v>
      </c>
      <c r="N27" t="str">
        <f>IFERROR(MATCH(M27,CoinCollection!O:O,0),"")</f>
        <v/>
      </c>
      <c r="O27" t="str">
        <f t="shared" si="4"/>
        <v>2013-P Presidential Dollar Theodore Roosevelt</v>
      </c>
    </row>
    <row r="28" spans="1:18">
      <c r="A28" s="388" t="b">
        <f t="shared" si="0"/>
        <v>0</v>
      </c>
      <c r="B28" t="s">
        <v>958</v>
      </c>
      <c r="C28" t="s">
        <v>5457</v>
      </c>
      <c r="D28" s="388" t="b">
        <f t="shared" si="1"/>
        <v>0</v>
      </c>
      <c r="E28" t="s">
        <v>966</v>
      </c>
      <c r="F28" t="s">
        <v>3791</v>
      </c>
      <c r="M28" t="str">
        <f t="shared" si="3"/>
        <v>2009-D Presidential Dollar William Henry Harrison</v>
      </c>
      <c r="N28" t="str">
        <f>IFERROR(MATCH(M28,CoinCollection!O:O,0),"")</f>
        <v/>
      </c>
      <c r="O28" t="str">
        <f t="shared" si="4"/>
        <v>2013-D Presidential Dollar Theodore Roosevelt</v>
      </c>
    </row>
    <row r="29" spans="1:18">
      <c r="A29" s="388" t="b">
        <f t="shared" si="0"/>
        <v>0</v>
      </c>
      <c r="B29" t="s">
        <v>5478</v>
      </c>
      <c r="C29" t="s">
        <v>5457</v>
      </c>
      <c r="D29" s="388" t="b">
        <f t="shared" si="1"/>
        <v>0</v>
      </c>
      <c r="E29" t="s">
        <v>3968</v>
      </c>
      <c r="F29" t="s">
        <v>3791</v>
      </c>
      <c r="M29" t="str">
        <f t="shared" si="3"/>
        <v>2009-S Presidential Dollar William Henry Harrison</v>
      </c>
      <c r="N29" t="str">
        <f>IFERROR(MATCH(M29,CoinCollection!O:O,0),"")</f>
        <v/>
      </c>
      <c r="O29" t="str">
        <f t="shared" si="4"/>
        <v>2013-S Presidential Dollar Theodore Roosevelt</v>
      </c>
    </row>
    <row r="30" spans="1:18">
      <c r="A30" s="388" t="b">
        <f t="shared" si="0"/>
        <v>1</v>
      </c>
      <c r="B30" t="s">
        <v>957</v>
      </c>
      <c r="C30" t="s">
        <v>3903</v>
      </c>
      <c r="D30" s="388" t="b">
        <f t="shared" si="1"/>
        <v>0</v>
      </c>
      <c r="E30" t="s">
        <v>965</v>
      </c>
      <c r="F30" t="s">
        <v>5446</v>
      </c>
      <c r="M30" t="str">
        <f t="shared" si="3"/>
        <v>2009-P Presidential Dollar John Tyler</v>
      </c>
      <c r="N30">
        <f>IFERROR(MATCH(M30,CoinCollection!O:O,0),"")</f>
        <v>2305</v>
      </c>
      <c r="O30" t="str">
        <f t="shared" si="4"/>
        <v>2013-P Presidential Dollar William Howard Taft</v>
      </c>
    </row>
    <row r="31" spans="1:18">
      <c r="A31" s="388" t="b">
        <f t="shared" si="0"/>
        <v>0</v>
      </c>
      <c r="B31" t="s">
        <v>958</v>
      </c>
      <c r="C31" t="s">
        <v>3903</v>
      </c>
      <c r="D31" s="388" t="b">
        <f t="shared" si="1"/>
        <v>0</v>
      </c>
      <c r="E31" t="s">
        <v>966</v>
      </c>
      <c r="F31" t="s">
        <v>5446</v>
      </c>
      <c r="M31" t="str">
        <f t="shared" si="3"/>
        <v>2009-D Presidential Dollar John Tyler</v>
      </c>
      <c r="N31" t="str">
        <f>IFERROR(MATCH(M31,CoinCollection!O:O,0),"")</f>
        <v/>
      </c>
      <c r="O31" t="str">
        <f t="shared" si="4"/>
        <v>2013-D Presidential Dollar William Howard Taft</v>
      </c>
    </row>
    <row r="32" spans="1:18">
      <c r="A32" s="388" t="b">
        <f t="shared" si="0"/>
        <v>0</v>
      </c>
      <c r="B32" t="s">
        <v>5478</v>
      </c>
      <c r="C32" t="s">
        <v>3903</v>
      </c>
      <c r="D32" s="388" t="b">
        <f t="shared" si="1"/>
        <v>0</v>
      </c>
      <c r="E32" t="s">
        <v>3968</v>
      </c>
      <c r="F32" t="s">
        <v>5446</v>
      </c>
      <c r="M32" t="str">
        <f t="shared" si="3"/>
        <v>2009-S Presidential Dollar John Tyler</v>
      </c>
      <c r="N32" t="str">
        <f>IFERROR(MATCH(M32,CoinCollection!O:O,0),"")</f>
        <v/>
      </c>
      <c r="O32" t="str">
        <f t="shared" si="4"/>
        <v>2013-S Presidential Dollar William Howard Taft</v>
      </c>
    </row>
    <row r="33" spans="1:15">
      <c r="A33" s="388" t="b">
        <f t="shared" si="0"/>
        <v>0</v>
      </c>
      <c r="B33" t="s">
        <v>957</v>
      </c>
      <c r="C33" t="s">
        <v>5460</v>
      </c>
      <c r="D33" s="388" t="b">
        <f t="shared" si="1"/>
        <v>0</v>
      </c>
      <c r="E33" t="s">
        <v>965</v>
      </c>
      <c r="F33" t="s">
        <v>5448</v>
      </c>
      <c r="M33" t="str">
        <f t="shared" si="3"/>
        <v>2009-P Presidential Dollar James K. Polk</v>
      </c>
      <c r="N33" t="str">
        <f>IFERROR(MATCH(M33,CoinCollection!O:O,0),"")</f>
        <v/>
      </c>
      <c r="O33" t="str">
        <f t="shared" si="4"/>
        <v>2013-P Presidential Dollar Woodrow Wilson</v>
      </c>
    </row>
    <row r="34" spans="1:15">
      <c r="A34" s="388" t="b">
        <f t="shared" si="0"/>
        <v>0</v>
      </c>
      <c r="B34" t="s">
        <v>958</v>
      </c>
      <c r="C34" t="s">
        <v>5460</v>
      </c>
      <c r="D34" s="388" t="b">
        <f t="shared" si="1"/>
        <v>0</v>
      </c>
      <c r="E34" t="s">
        <v>966</v>
      </c>
      <c r="F34" t="s">
        <v>5448</v>
      </c>
      <c r="M34" t="str">
        <f t="shared" si="3"/>
        <v>2009-D Presidential Dollar James K. Polk</v>
      </c>
      <c r="N34" t="str">
        <f>IFERROR(MATCH(M34,CoinCollection!O:O,0),"")</f>
        <v/>
      </c>
      <c r="O34" t="str">
        <f t="shared" si="4"/>
        <v>2013-D Presidential Dollar Woodrow Wilson</v>
      </c>
    </row>
    <row r="35" spans="1:15">
      <c r="A35" s="388" t="b">
        <f t="shared" si="0"/>
        <v>0</v>
      </c>
      <c r="B35" t="s">
        <v>5478</v>
      </c>
      <c r="C35" t="s">
        <v>5460</v>
      </c>
      <c r="D35" s="388" t="b">
        <f t="shared" si="1"/>
        <v>0</v>
      </c>
      <c r="E35" t="s">
        <v>3968</v>
      </c>
      <c r="F35" t="s">
        <v>5448</v>
      </c>
      <c r="M35" t="str">
        <f t="shared" si="3"/>
        <v>2009-S Presidential Dollar James K. Polk</v>
      </c>
      <c r="N35" t="str">
        <f>IFERROR(MATCH(M35,CoinCollection!O:O,0),"")</f>
        <v/>
      </c>
      <c r="O35" t="str">
        <f t="shared" si="4"/>
        <v>2013-S Presidential Dollar Woodrow Wilson</v>
      </c>
    </row>
    <row r="36" spans="1:15">
      <c r="A36" s="388" t="b">
        <f t="shared" si="0"/>
        <v>0</v>
      </c>
      <c r="B36" t="s">
        <v>957</v>
      </c>
      <c r="C36" t="s">
        <v>5462</v>
      </c>
      <c r="D36" s="388" t="b">
        <f t="shared" si="1"/>
        <v>0</v>
      </c>
      <c r="E36" t="s">
        <v>967</v>
      </c>
      <c r="F36" t="s">
        <v>5450</v>
      </c>
      <c r="M36" t="str">
        <f t="shared" si="3"/>
        <v>2009-P Presidential Dollar Zachary Taylor</v>
      </c>
      <c r="N36" t="str">
        <f>IFERROR(MATCH(M36,CoinCollection!O:O,0),"")</f>
        <v/>
      </c>
      <c r="O36" t="str">
        <f t="shared" si="4"/>
        <v>2014-P Presidential Dollar Warren G. Harding</v>
      </c>
    </row>
    <row r="37" spans="1:15">
      <c r="A37" s="388" t="b">
        <f t="shared" si="0"/>
        <v>0</v>
      </c>
      <c r="B37" t="s">
        <v>958</v>
      </c>
      <c r="C37" t="s">
        <v>5462</v>
      </c>
      <c r="D37" s="388" t="b">
        <f t="shared" si="1"/>
        <v>0</v>
      </c>
      <c r="E37" t="s">
        <v>968</v>
      </c>
      <c r="F37" t="s">
        <v>5450</v>
      </c>
      <c r="M37" t="str">
        <f t="shared" si="3"/>
        <v>2009-D Presidential Dollar Zachary Taylor</v>
      </c>
      <c r="N37" t="str">
        <f>IFERROR(MATCH(M37,CoinCollection!O:O,0),"")</f>
        <v/>
      </c>
      <c r="O37" t="str">
        <f t="shared" si="4"/>
        <v>2014-D Presidential Dollar Warren G. Harding</v>
      </c>
    </row>
    <row r="38" spans="1:15">
      <c r="A38" s="388" t="b">
        <f t="shared" si="0"/>
        <v>0</v>
      </c>
      <c r="B38" t="s">
        <v>5478</v>
      </c>
      <c r="C38" t="s">
        <v>5462</v>
      </c>
      <c r="D38" s="388" t="b">
        <f t="shared" si="1"/>
        <v>0</v>
      </c>
      <c r="E38" t="s">
        <v>3969</v>
      </c>
      <c r="F38" t="s">
        <v>5450</v>
      </c>
      <c r="M38" t="str">
        <f t="shared" si="3"/>
        <v>2009-S Presidential Dollar Zachary Taylor</v>
      </c>
      <c r="N38" t="str">
        <f>IFERROR(MATCH(M38,CoinCollection!O:O,0),"")</f>
        <v/>
      </c>
      <c r="O38" t="str">
        <f t="shared" si="4"/>
        <v>2014-S Presidential Dollar Warren G. Harding</v>
      </c>
    </row>
    <row r="39" spans="1:15">
      <c r="A39" s="388" t="b">
        <f t="shared" si="0"/>
        <v>0</v>
      </c>
      <c r="B39" t="s">
        <v>959</v>
      </c>
      <c r="C39" t="s">
        <v>5464</v>
      </c>
      <c r="D39" s="388" t="b">
        <f t="shared" si="1"/>
        <v>0</v>
      </c>
      <c r="E39" t="s">
        <v>967</v>
      </c>
      <c r="F39" t="s">
        <v>5452</v>
      </c>
      <c r="M39" t="str">
        <f t="shared" si="3"/>
        <v>2010-P Presidential Dollar Millard Fillmore</v>
      </c>
      <c r="N39" t="str">
        <f>IFERROR(MATCH(M39,CoinCollection!O:O,0),"")</f>
        <v/>
      </c>
      <c r="O39" t="str">
        <f t="shared" si="4"/>
        <v>2014-P Presidential Dollar Calvin Coolidge</v>
      </c>
    </row>
    <row r="40" spans="1:15">
      <c r="A40" s="388" t="b">
        <f t="shared" si="0"/>
        <v>0</v>
      </c>
      <c r="B40" t="s">
        <v>960</v>
      </c>
      <c r="C40" t="s">
        <v>5464</v>
      </c>
      <c r="D40" s="388" t="b">
        <f t="shared" si="1"/>
        <v>0</v>
      </c>
      <c r="E40" t="s">
        <v>968</v>
      </c>
      <c r="F40" t="s">
        <v>5452</v>
      </c>
      <c r="M40" t="str">
        <f t="shared" si="3"/>
        <v>2010-D Presidential Dollar Millard Fillmore</v>
      </c>
      <c r="N40" t="str">
        <f>IFERROR(MATCH(M40,CoinCollection!O:O,0),"")</f>
        <v/>
      </c>
      <c r="O40" t="str">
        <f t="shared" si="4"/>
        <v>2014-D Presidential Dollar Calvin Coolidge</v>
      </c>
    </row>
    <row r="41" spans="1:15">
      <c r="A41" s="388" t="b">
        <f t="shared" si="0"/>
        <v>0</v>
      </c>
      <c r="B41" t="s">
        <v>3965</v>
      </c>
      <c r="C41" t="s">
        <v>5464</v>
      </c>
      <c r="D41" s="388" t="b">
        <f t="shared" si="1"/>
        <v>0</v>
      </c>
      <c r="E41" t="s">
        <v>3969</v>
      </c>
      <c r="F41" t="s">
        <v>5452</v>
      </c>
      <c r="M41" t="str">
        <f t="shared" si="3"/>
        <v>2010-S Presidential Dollar Millard Fillmore</v>
      </c>
      <c r="N41" t="str">
        <f>IFERROR(MATCH(M41,CoinCollection!O:O,0),"")</f>
        <v/>
      </c>
      <c r="O41" t="str">
        <f t="shared" si="4"/>
        <v>2014-S Presidential Dollar Calvin Coolidge</v>
      </c>
    </row>
    <row r="42" spans="1:15">
      <c r="A42" s="388" t="b">
        <f t="shared" si="0"/>
        <v>0</v>
      </c>
      <c r="B42" t="s">
        <v>959</v>
      </c>
      <c r="C42" t="s">
        <v>5466</v>
      </c>
      <c r="D42" s="388" t="b">
        <f t="shared" si="1"/>
        <v>0</v>
      </c>
      <c r="E42" t="s">
        <v>967</v>
      </c>
      <c r="F42" t="s">
        <v>5454</v>
      </c>
      <c r="M42" t="str">
        <f t="shared" si="3"/>
        <v>2010-P Presidential Dollar Franklin Pierce</v>
      </c>
      <c r="N42" t="str">
        <f>IFERROR(MATCH(M42,CoinCollection!O:O,0),"")</f>
        <v/>
      </c>
      <c r="O42" t="str">
        <f t="shared" si="4"/>
        <v>2014-P Presidential Dollar Herbert Hoover</v>
      </c>
    </row>
    <row r="43" spans="1:15">
      <c r="A43" s="388" t="b">
        <f t="shared" si="0"/>
        <v>0</v>
      </c>
      <c r="B43" t="s">
        <v>960</v>
      </c>
      <c r="C43" t="s">
        <v>5466</v>
      </c>
      <c r="D43" s="388" t="b">
        <f t="shared" si="1"/>
        <v>0</v>
      </c>
      <c r="E43" t="s">
        <v>968</v>
      </c>
      <c r="F43" t="s">
        <v>5454</v>
      </c>
      <c r="M43" t="str">
        <f t="shared" si="3"/>
        <v>2010-D Presidential Dollar Franklin Pierce</v>
      </c>
      <c r="N43" t="str">
        <f>IFERROR(MATCH(M43,CoinCollection!O:O,0),"")</f>
        <v/>
      </c>
      <c r="O43" t="str">
        <f t="shared" si="4"/>
        <v>2014-D Presidential Dollar Herbert Hoover</v>
      </c>
    </row>
    <row r="44" spans="1:15">
      <c r="A44" s="388" t="b">
        <f t="shared" si="0"/>
        <v>0</v>
      </c>
      <c r="B44" t="s">
        <v>3965</v>
      </c>
      <c r="C44" t="s">
        <v>5466</v>
      </c>
      <c r="D44" s="388" t="b">
        <f t="shared" si="1"/>
        <v>0</v>
      </c>
      <c r="E44" t="s">
        <v>3969</v>
      </c>
      <c r="F44" t="s">
        <v>5454</v>
      </c>
      <c r="M44" t="str">
        <f t="shared" si="3"/>
        <v>2010-S Presidential Dollar Franklin Pierce</v>
      </c>
      <c r="N44" t="str">
        <f>IFERROR(MATCH(M44,CoinCollection!O:O,0),"")</f>
        <v/>
      </c>
      <c r="O44" t="str">
        <f t="shared" si="4"/>
        <v>2014-S Presidential Dollar Herbert Hoover</v>
      </c>
    </row>
    <row r="45" spans="1:15">
      <c r="A45" s="388" t="b">
        <f t="shared" si="0"/>
        <v>0</v>
      </c>
      <c r="B45" t="s">
        <v>959</v>
      </c>
      <c r="C45" t="s">
        <v>5468</v>
      </c>
      <c r="D45" s="388" t="b">
        <f t="shared" si="1"/>
        <v>0</v>
      </c>
      <c r="E45" t="s">
        <v>967</v>
      </c>
      <c r="F45" t="s">
        <v>5456</v>
      </c>
      <c r="M45" t="str">
        <f t="shared" si="3"/>
        <v>2010-P Presidential Dollar James Buchanan</v>
      </c>
      <c r="N45" t="str">
        <f>IFERROR(MATCH(M45,CoinCollection!O:O,0),"")</f>
        <v/>
      </c>
      <c r="O45" t="str">
        <f t="shared" si="4"/>
        <v>2014-P Presidential Dollar Franklin D. Roosevelt</v>
      </c>
    </row>
    <row r="46" spans="1:15">
      <c r="A46" s="388" t="b">
        <f t="shared" si="0"/>
        <v>0</v>
      </c>
      <c r="B46" t="s">
        <v>960</v>
      </c>
      <c r="C46" t="s">
        <v>5468</v>
      </c>
      <c r="D46" s="388" t="b">
        <f t="shared" si="1"/>
        <v>0</v>
      </c>
      <c r="E46" t="s">
        <v>968</v>
      </c>
      <c r="F46" t="s">
        <v>5456</v>
      </c>
      <c r="M46" t="str">
        <f t="shared" si="3"/>
        <v>2010-D Presidential Dollar James Buchanan</v>
      </c>
      <c r="N46" t="str">
        <f>IFERROR(MATCH(M46,CoinCollection!O:O,0),"")</f>
        <v/>
      </c>
      <c r="O46" t="str">
        <f t="shared" si="4"/>
        <v>2014-D Presidential Dollar Franklin D. Roosevelt</v>
      </c>
    </row>
    <row r="47" spans="1:15">
      <c r="A47" s="388" t="b">
        <f t="shared" si="0"/>
        <v>0</v>
      </c>
      <c r="B47" t="s">
        <v>3965</v>
      </c>
      <c r="C47" t="s">
        <v>5468</v>
      </c>
      <c r="D47" s="388" t="b">
        <f t="shared" si="1"/>
        <v>0</v>
      </c>
      <c r="E47" t="s">
        <v>3969</v>
      </c>
      <c r="F47" t="s">
        <v>5456</v>
      </c>
      <c r="M47" t="str">
        <f t="shared" si="3"/>
        <v>2010-S Presidential Dollar James Buchanan</v>
      </c>
      <c r="N47" t="str">
        <f>IFERROR(MATCH(M47,CoinCollection!O:O,0),"")</f>
        <v/>
      </c>
      <c r="O47" t="str">
        <f t="shared" si="4"/>
        <v>2014-S Presidential Dollar Franklin D. Roosevelt</v>
      </c>
    </row>
    <row r="48" spans="1:15">
      <c r="A48" s="388" t="b">
        <f t="shared" si="0"/>
        <v>0</v>
      </c>
      <c r="B48" t="s">
        <v>959</v>
      </c>
      <c r="C48" t="s">
        <v>5468</v>
      </c>
      <c r="D48" s="388" t="b">
        <f t="shared" si="1"/>
        <v>0</v>
      </c>
      <c r="E48" t="s">
        <v>969</v>
      </c>
      <c r="F48" t="s">
        <v>5458</v>
      </c>
      <c r="M48" t="str">
        <f t="shared" si="3"/>
        <v>2010-P Presidential Dollar James Buchanan</v>
      </c>
      <c r="N48" t="str">
        <f>IFERROR(MATCH(M48,CoinCollection!O:O,0),"")</f>
        <v/>
      </c>
      <c r="O48" t="str">
        <f t="shared" si="4"/>
        <v>2015-P Presidential Dollar Harry S. Truman</v>
      </c>
    </row>
    <row r="49" spans="1:15">
      <c r="A49" s="388" t="b">
        <f t="shared" si="0"/>
        <v>0</v>
      </c>
      <c r="B49" t="s">
        <v>960</v>
      </c>
      <c r="C49" t="s">
        <v>5468</v>
      </c>
      <c r="D49" s="388" t="b">
        <f t="shared" si="1"/>
        <v>0</v>
      </c>
      <c r="E49" t="s">
        <v>970</v>
      </c>
      <c r="F49" t="s">
        <v>5458</v>
      </c>
      <c r="M49" t="str">
        <f t="shared" si="3"/>
        <v>2010-D Presidential Dollar James Buchanan</v>
      </c>
      <c r="N49" t="str">
        <f>IFERROR(MATCH(M49,CoinCollection!O:O,0),"")</f>
        <v/>
      </c>
      <c r="O49" t="str">
        <f t="shared" si="4"/>
        <v>2015-D Presidential Dollar Harry S. Truman</v>
      </c>
    </row>
    <row r="50" spans="1:15">
      <c r="A50" s="388" t="b">
        <f t="shared" si="0"/>
        <v>0</v>
      </c>
      <c r="B50" t="s">
        <v>3965</v>
      </c>
      <c r="C50" t="s">
        <v>5468</v>
      </c>
      <c r="D50" s="388" t="b">
        <f t="shared" si="1"/>
        <v>0</v>
      </c>
      <c r="E50" t="s">
        <v>3970</v>
      </c>
      <c r="F50" t="s">
        <v>5458</v>
      </c>
      <c r="M50" t="str">
        <f t="shared" si="3"/>
        <v>2010-S Presidential Dollar James Buchanan</v>
      </c>
      <c r="N50" t="str">
        <f>IFERROR(MATCH(M50,CoinCollection!O:O,0),"")</f>
        <v/>
      </c>
      <c r="O50" t="str">
        <f t="shared" si="4"/>
        <v>2015-S Presidential Dollar Harry S. Truman</v>
      </c>
    </row>
    <row r="58" spans="1:15">
      <c r="B58" t="s">
        <v>4213</v>
      </c>
      <c r="C58" t="s">
        <v>2584</v>
      </c>
      <c r="D58" t="s">
        <v>4219</v>
      </c>
      <c r="E58" t="s">
        <v>2584</v>
      </c>
    </row>
    <row r="59" spans="1:15">
      <c r="B59" t="s">
        <v>3902</v>
      </c>
      <c r="C59" t="s">
        <v>5442</v>
      </c>
      <c r="D59" t="s">
        <v>5443</v>
      </c>
      <c r="E59" t="s">
        <v>5442</v>
      </c>
    </row>
    <row r="60" spans="1:15">
      <c r="B60" t="s">
        <v>5444</v>
      </c>
      <c r="C60" t="s">
        <v>5442</v>
      </c>
      <c r="D60" t="s">
        <v>3791</v>
      </c>
      <c r="E60" t="s">
        <v>5442</v>
      </c>
    </row>
    <row r="61" spans="1:15">
      <c r="B61" t="s">
        <v>5445</v>
      </c>
      <c r="C61" t="s">
        <v>5442</v>
      </c>
      <c r="D61" t="s">
        <v>5446</v>
      </c>
      <c r="E61" t="s">
        <v>5442</v>
      </c>
    </row>
    <row r="62" spans="1:15">
      <c r="B62" t="s">
        <v>5447</v>
      </c>
      <c r="C62" t="s">
        <v>5442</v>
      </c>
      <c r="D62" t="s">
        <v>5448</v>
      </c>
      <c r="E62" t="s">
        <v>5442</v>
      </c>
    </row>
    <row r="63" spans="1:15">
      <c r="B63" t="s">
        <v>4214</v>
      </c>
      <c r="D63" t="s">
        <v>4220</v>
      </c>
    </row>
    <row r="64" spans="1:15">
      <c r="B64" t="s">
        <v>5449</v>
      </c>
      <c r="C64" t="s">
        <v>5442</v>
      </c>
      <c r="D64" t="s">
        <v>5450</v>
      </c>
      <c r="E64" t="s">
        <v>5442</v>
      </c>
    </row>
    <row r="65" spans="2:5">
      <c r="B65" t="s">
        <v>5451</v>
      </c>
      <c r="C65" t="s">
        <v>5442</v>
      </c>
      <c r="D65" t="s">
        <v>5452</v>
      </c>
      <c r="E65" t="s">
        <v>5442</v>
      </c>
    </row>
    <row r="66" spans="2:5">
      <c r="B66" t="s">
        <v>5453</v>
      </c>
      <c r="C66" t="s">
        <v>5442</v>
      </c>
      <c r="D66" t="s">
        <v>5454</v>
      </c>
      <c r="E66" t="s">
        <v>5442</v>
      </c>
    </row>
    <row r="67" spans="2:5">
      <c r="B67" t="s">
        <v>5455</v>
      </c>
      <c r="C67" t="s">
        <v>5442</v>
      </c>
      <c r="D67" t="s">
        <v>5456</v>
      </c>
      <c r="E67" t="s">
        <v>5442</v>
      </c>
    </row>
    <row r="68" spans="2:5">
      <c r="B68" t="s">
        <v>4215</v>
      </c>
      <c r="D68" t="s">
        <v>4221</v>
      </c>
    </row>
    <row r="69" spans="2:5">
      <c r="B69" t="s">
        <v>5457</v>
      </c>
      <c r="C69" t="s">
        <v>5442</v>
      </c>
      <c r="D69" t="s">
        <v>5458</v>
      </c>
      <c r="E69" t="s">
        <v>5442</v>
      </c>
    </row>
    <row r="70" spans="2:5">
      <c r="B70" t="s">
        <v>3903</v>
      </c>
      <c r="C70" t="s">
        <v>5442</v>
      </c>
      <c r="D70" t="s">
        <v>5459</v>
      </c>
      <c r="E70" t="s">
        <v>5442</v>
      </c>
    </row>
    <row r="71" spans="2:5">
      <c r="B71" t="s">
        <v>5460</v>
      </c>
      <c r="C71" t="s">
        <v>5442</v>
      </c>
      <c r="D71" t="s">
        <v>5461</v>
      </c>
      <c r="E71" t="s">
        <v>5442</v>
      </c>
    </row>
    <row r="72" spans="2:5">
      <c r="B72" t="s">
        <v>5462</v>
      </c>
      <c r="C72" t="s">
        <v>5442</v>
      </c>
      <c r="D72" t="s">
        <v>5463</v>
      </c>
      <c r="E72" t="s">
        <v>5442</v>
      </c>
    </row>
    <row r="73" spans="2:5">
      <c r="B73" t="s">
        <v>4216</v>
      </c>
      <c r="D73" t="s">
        <v>4222</v>
      </c>
    </row>
    <row r="74" spans="2:5">
      <c r="B74" t="s">
        <v>5464</v>
      </c>
      <c r="C74" t="s">
        <v>5442</v>
      </c>
      <c r="D74" t="s">
        <v>5465</v>
      </c>
      <c r="E74" t="s">
        <v>5442</v>
      </c>
    </row>
    <row r="75" spans="2:5">
      <c r="B75" t="s">
        <v>5466</v>
      </c>
      <c r="C75" t="s">
        <v>5442</v>
      </c>
      <c r="D75" t="s">
        <v>5467</v>
      </c>
      <c r="E75" t="s">
        <v>5442</v>
      </c>
    </row>
    <row r="76" spans="2:5">
      <c r="B76" t="s">
        <v>5468</v>
      </c>
      <c r="C76" t="s">
        <v>5442</v>
      </c>
      <c r="D76" t="s">
        <v>5469</v>
      </c>
      <c r="E76" t="s">
        <v>5442</v>
      </c>
    </row>
    <row r="77" spans="2:5">
      <c r="B77" t="s">
        <v>5468</v>
      </c>
      <c r="C77" t="s">
        <v>5442</v>
      </c>
    </row>
    <row r="78" spans="2:5">
      <c r="D78" t="s">
        <v>4226</v>
      </c>
    </row>
    <row r="79" spans="2:5">
      <c r="B79" t="s">
        <v>4217</v>
      </c>
      <c r="D79" t="s">
        <v>5470</v>
      </c>
      <c r="E79" t="s">
        <v>5471</v>
      </c>
    </row>
    <row r="80" spans="2:5">
      <c r="B80" t="s">
        <v>4217</v>
      </c>
      <c r="C80" t="s">
        <v>5442</v>
      </c>
    </row>
    <row r="81" spans="2:3">
      <c r="B81" t="s">
        <v>5472</v>
      </c>
      <c r="C81" t="s">
        <v>5442</v>
      </c>
    </row>
    <row r="82" spans="2:3">
      <c r="B82" t="s">
        <v>5473</v>
      </c>
      <c r="C82" t="s">
        <v>5442</v>
      </c>
    </row>
    <row r="83" spans="2:3">
      <c r="B83" t="s">
        <v>3904</v>
      </c>
      <c r="C83" t="s">
        <v>5442</v>
      </c>
    </row>
    <row r="84" spans="2:3">
      <c r="B84" t="s">
        <v>4218</v>
      </c>
    </row>
    <row r="85" spans="2:3">
      <c r="B85" t="s">
        <v>5474</v>
      </c>
      <c r="C85" t="s">
        <v>5442</v>
      </c>
    </row>
    <row r="86" spans="2:3">
      <c r="B86" t="s">
        <v>5475</v>
      </c>
      <c r="C86" t="s">
        <v>5442</v>
      </c>
    </row>
    <row r="87" spans="2:3">
      <c r="B87" t="s">
        <v>4419</v>
      </c>
      <c r="C87" t="s">
        <v>5442</v>
      </c>
    </row>
    <row r="88" spans="2:3">
      <c r="B88" t="s">
        <v>5476</v>
      </c>
      <c r="C88" t="s">
        <v>5442</v>
      </c>
    </row>
  </sheetData>
  <phoneticPr fontId="19"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9CCDD-C6C7-465E-93B3-DCCE87079206}">
  <sheetPr codeName="Sheet42"/>
  <dimension ref="A1:O29"/>
  <sheetViews>
    <sheetView workbookViewId="0">
      <selection activeCell="H25" sqref="H25"/>
    </sheetView>
  </sheetViews>
  <sheetFormatPr defaultRowHeight="12.75"/>
  <cols>
    <col min="1" max="1" width="6.7109375" customWidth="1"/>
    <col min="2" max="2" width="20.5703125" bestFit="1" customWidth="1"/>
    <col min="3" max="3" width="12" bestFit="1" customWidth="1"/>
    <col min="4" max="4" width="20" bestFit="1" customWidth="1"/>
    <col min="5" max="5" width="26.7109375" customWidth="1"/>
    <col min="6" max="6" width="12" bestFit="1" customWidth="1"/>
    <col min="7" max="7" width="34.7109375" bestFit="1" customWidth="1"/>
    <col min="8" max="8" width="12" bestFit="1" customWidth="1"/>
    <col min="9" max="9" width="12" customWidth="1"/>
    <col min="10" max="10" width="34" hidden="1" customWidth="1"/>
    <col min="11" max="11" width="0" hidden="1" customWidth="1"/>
    <col min="12" max="12" width="24.7109375" hidden="1" customWidth="1"/>
    <col min="13" max="13" width="0" hidden="1" customWidth="1"/>
    <col min="14" max="14" width="36.5703125" hidden="1" customWidth="1"/>
    <col min="15" max="15" width="0" hidden="1" customWidth="1"/>
  </cols>
  <sheetData>
    <row r="1" spans="1:15">
      <c r="B1" s="135" t="s">
        <v>1680</v>
      </c>
    </row>
    <row r="2" spans="1:15">
      <c r="B2" s="457" t="s">
        <v>2611</v>
      </c>
      <c r="C2" s="458" t="s">
        <v>2584</v>
      </c>
      <c r="D2" s="458" t="s">
        <v>5273</v>
      </c>
      <c r="E2" s="458"/>
      <c r="F2" s="458" t="s">
        <v>5274</v>
      </c>
      <c r="G2" s="458" t="s">
        <v>4809</v>
      </c>
      <c r="H2" s="458" t="s">
        <v>5275</v>
      </c>
    </row>
    <row r="3" spans="1:15">
      <c r="A3" s="388" t="b">
        <f>IF(K3&lt;&gt;"",TRUE,FALSE)</f>
        <v>1</v>
      </c>
      <c r="B3" s="460" t="s">
        <v>5563</v>
      </c>
      <c r="C3" s="462" t="b">
        <f>IF(M3&lt;&gt;"",TRUE,FALSE)</f>
        <v>0</v>
      </c>
      <c r="D3" s="461" t="s">
        <v>5521</v>
      </c>
      <c r="E3" s="461" t="s">
        <v>5520</v>
      </c>
      <c r="F3" s="462" t="b">
        <f>IF(O3&lt;&gt;"",TRUE,FALSE)</f>
        <v>0</v>
      </c>
      <c r="G3" s="461" t="s">
        <v>5501</v>
      </c>
      <c r="H3" s="461"/>
      <c r="J3" s="463" t="str">
        <f>'Sacagawea Dollars'!$B3</f>
        <v>2000-P Sacagawea Dollar</v>
      </c>
      <c r="K3">
        <f>IFERROR(MATCH(J3,CoinCollection!O:O,0),"")</f>
        <v>2301</v>
      </c>
      <c r="L3" s="461" t="s">
        <v>5521</v>
      </c>
      <c r="M3" t="str">
        <f>IFERROR(MATCH(L3,CoinCollection!O:O,0),"")</f>
        <v/>
      </c>
      <c r="N3" s="461" t="s">
        <v>5501</v>
      </c>
      <c r="O3" t="str">
        <f>IFERROR(MATCH(N3,CoinCollection!O:O,0),"")</f>
        <v/>
      </c>
    </row>
    <row r="4" spans="1:15">
      <c r="A4" s="388" t="b">
        <f t="shared" ref="A4:A27" si="0">IF(I4&lt;&gt;"",TRUE,FALSE)</f>
        <v>0</v>
      </c>
      <c r="B4" s="464" t="s">
        <v>5564</v>
      </c>
      <c r="C4" s="462" t="b">
        <f t="shared" ref="C4:C29" si="1">IF(M4&lt;&gt;"",TRUE,FALSE)</f>
        <v>0</v>
      </c>
      <c r="D4" s="465" t="s">
        <v>5522</v>
      </c>
      <c r="E4" s="461" t="s">
        <v>5520</v>
      </c>
      <c r="F4" s="462" t="b">
        <f t="shared" ref="F4:F26" si="2">IF(O4&lt;&gt;"",TRUE,FALSE)</f>
        <v>0</v>
      </c>
      <c r="G4" s="465" t="s">
        <v>5502</v>
      </c>
      <c r="H4" s="465"/>
      <c r="J4" s="463" t="str">
        <f>'Sacagawea Dollars'!$B4</f>
        <v>2000-D Sacagawea Dollar</v>
      </c>
      <c r="K4" t="str">
        <f>IFERROR(MATCH(J4,CoinCollection!O:O,0),"")</f>
        <v/>
      </c>
      <c r="L4" s="465" t="s">
        <v>5522</v>
      </c>
      <c r="M4" t="str">
        <f>IFERROR(MATCH(L4,CoinCollection!O:O,0),"")</f>
        <v/>
      </c>
      <c r="N4" s="465" t="s">
        <v>5502</v>
      </c>
      <c r="O4" t="str">
        <f>IFERROR(MATCH(N4,CoinCollection!O:O,0),"")</f>
        <v/>
      </c>
    </row>
    <row r="5" spans="1:15">
      <c r="A5" s="388" t="b">
        <f t="shared" si="0"/>
        <v>0</v>
      </c>
      <c r="B5" s="467" t="s">
        <v>5565</v>
      </c>
      <c r="C5" s="462" t="b">
        <f t="shared" si="1"/>
        <v>0</v>
      </c>
      <c r="D5" s="461" t="s">
        <v>5523</v>
      </c>
      <c r="E5" s="461" t="s">
        <v>5520</v>
      </c>
      <c r="F5" s="462" t="b">
        <f t="shared" si="2"/>
        <v>0</v>
      </c>
      <c r="G5" s="461" t="s">
        <v>5503</v>
      </c>
      <c r="H5" s="461"/>
      <c r="J5" s="463" t="str">
        <f>'Sacagawea Dollars'!$B5</f>
        <v>2000-S Sacagawea Dollar</v>
      </c>
      <c r="K5" t="str">
        <f>IFERROR(MATCH(J5,CoinCollection!O:O,0),"")</f>
        <v/>
      </c>
      <c r="L5" s="461" t="s">
        <v>5523</v>
      </c>
      <c r="M5" t="str">
        <f>IFERROR(MATCH(L5,CoinCollection!O:O,0),"")</f>
        <v/>
      </c>
      <c r="N5" s="461" t="s">
        <v>5503</v>
      </c>
      <c r="O5" t="str">
        <f>IFERROR(MATCH(N5,CoinCollection!O:O,0),"")</f>
        <v/>
      </c>
    </row>
    <row r="6" spans="1:15">
      <c r="A6" s="388" t="b">
        <f t="shared" si="0"/>
        <v>0</v>
      </c>
      <c r="B6" s="488" t="s">
        <v>5566</v>
      </c>
      <c r="C6" s="462" t="b">
        <f t="shared" si="1"/>
        <v>0</v>
      </c>
      <c r="D6" s="465" t="s">
        <v>5525</v>
      </c>
      <c r="E6" s="465" t="s">
        <v>5524</v>
      </c>
      <c r="F6" s="462" t="b">
        <f t="shared" si="2"/>
        <v>0</v>
      </c>
      <c r="G6" s="465" t="s">
        <v>5504</v>
      </c>
      <c r="H6" s="465"/>
      <c r="J6" s="463" t="str">
        <f>'Sacagawea Dollars'!$B6</f>
        <v>2001-P Sacagawea Dollar</v>
      </c>
      <c r="K6" t="str">
        <f>IFERROR(MATCH(J6,CoinCollection!O:O,0),"")</f>
        <v/>
      </c>
      <c r="L6" s="465" t="s">
        <v>5525</v>
      </c>
      <c r="M6" t="str">
        <f>IFERROR(MATCH(L6,CoinCollection!O:O,0),"")</f>
        <v/>
      </c>
      <c r="N6" s="465" t="s">
        <v>5504</v>
      </c>
      <c r="O6" t="str">
        <f>IFERROR(MATCH(N6,CoinCollection!O:O,0),"")</f>
        <v/>
      </c>
    </row>
    <row r="7" spans="1:15">
      <c r="A7" s="388" t="b">
        <f t="shared" si="0"/>
        <v>0</v>
      </c>
      <c r="B7" s="467" t="s">
        <v>5567</v>
      </c>
      <c r="C7" s="462" t="b">
        <f t="shared" si="1"/>
        <v>0</v>
      </c>
      <c r="D7" s="461" t="s">
        <v>5526</v>
      </c>
      <c r="E7" s="461" t="s">
        <v>5524</v>
      </c>
      <c r="F7" s="462" t="b">
        <f t="shared" si="2"/>
        <v>0</v>
      </c>
      <c r="G7" s="461" t="s">
        <v>5505</v>
      </c>
      <c r="H7" s="461"/>
      <c r="J7" s="463" t="str">
        <f>'Sacagawea Dollars'!$B7</f>
        <v>2001-D Sacagawea Dollar</v>
      </c>
      <c r="K7" t="str">
        <f>IFERROR(MATCH(J7,CoinCollection!O:O,0),"")</f>
        <v/>
      </c>
      <c r="L7" s="461" t="s">
        <v>5526</v>
      </c>
      <c r="M7" t="str">
        <f>IFERROR(MATCH(L7,CoinCollection!O:O,0),"")</f>
        <v/>
      </c>
      <c r="N7" s="461" t="s">
        <v>5505</v>
      </c>
      <c r="O7" t="str">
        <f>IFERROR(MATCH(N7,CoinCollection!O:O,0),"")</f>
        <v/>
      </c>
    </row>
    <row r="8" spans="1:15">
      <c r="A8" s="388" t="b">
        <f t="shared" si="0"/>
        <v>0</v>
      </c>
      <c r="B8" s="464" t="s">
        <v>5568</v>
      </c>
      <c r="C8" s="462" t="b">
        <f t="shared" si="1"/>
        <v>0</v>
      </c>
      <c r="D8" s="465" t="s">
        <v>5527</v>
      </c>
      <c r="E8" s="465" t="s">
        <v>5524</v>
      </c>
      <c r="F8" s="462" t="b">
        <f t="shared" si="2"/>
        <v>0</v>
      </c>
      <c r="G8" s="465" t="s">
        <v>5506</v>
      </c>
      <c r="H8" s="465"/>
      <c r="J8" s="463" t="str">
        <f>'Sacagawea Dollars'!$B8</f>
        <v>2001-S Sacagawea Dollar</v>
      </c>
      <c r="K8" t="str">
        <f>IFERROR(MATCH(J8,CoinCollection!O:O,0),"")</f>
        <v/>
      </c>
      <c r="L8" s="465" t="s">
        <v>5527</v>
      </c>
      <c r="M8" t="str">
        <f>IFERROR(MATCH(L8,CoinCollection!O:O,0),"")</f>
        <v/>
      </c>
      <c r="N8" s="465" t="s">
        <v>5506</v>
      </c>
      <c r="O8" t="str">
        <f>IFERROR(MATCH(N8,CoinCollection!O:O,0),"")</f>
        <v/>
      </c>
    </row>
    <row r="9" spans="1:15">
      <c r="A9" s="388" t="b">
        <f t="shared" si="0"/>
        <v>0</v>
      </c>
      <c r="B9" s="460" t="s">
        <v>5483</v>
      </c>
      <c r="C9" s="462" t="b">
        <f t="shared" si="1"/>
        <v>0</v>
      </c>
      <c r="D9" s="461" t="s">
        <v>5529</v>
      </c>
      <c r="E9" s="461" t="s">
        <v>5528</v>
      </c>
      <c r="F9" s="462" t="b">
        <f t="shared" si="2"/>
        <v>0</v>
      </c>
      <c r="G9" s="461" t="s">
        <v>5507</v>
      </c>
      <c r="H9" s="461"/>
      <c r="J9" s="463" t="str">
        <f>'Sacagawea Dollars'!$B9</f>
        <v>2002-P SACAGAWEA</v>
      </c>
      <c r="K9" t="str">
        <f>IFERROR(MATCH(J9,CoinCollection!O:O,0),"")</f>
        <v/>
      </c>
      <c r="L9" s="461" t="s">
        <v>5529</v>
      </c>
      <c r="M9" t="str">
        <f>IFERROR(MATCH(L9,CoinCollection!O:O,0),"")</f>
        <v/>
      </c>
      <c r="N9" s="461" t="s">
        <v>5507</v>
      </c>
      <c r="O9" t="str">
        <f>IFERROR(MATCH(N9,CoinCollection!O:O,0),"")</f>
        <v/>
      </c>
    </row>
    <row r="10" spans="1:15">
      <c r="A10" s="388" t="b">
        <f t="shared" si="0"/>
        <v>0</v>
      </c>
      <c r="B10" s="464" t="s">
        <v>5484</v>
      </c>
      <c r="C10" s="462" t="b">
        <f t="shared" si="1"/>
        <v>0</v>
      </c>
      <c r="D10" s="465" t="s">
        <v>5526</v>
      </c>
      <c r="E10" s="465" t="s">
        <v>5528</v>
      </c>
      <c r="F10" s="462" t="b">
        <f t="shared" si="2"/>
        <v>0</v>
      </c>
      <c r="G10" s="465" t="s">
        <v>5508</v>
      </c>
      <c r="H10" s="465"/>
      <c r="J10" s="463" t="str">
        <f>'Sacagawea Dollars'!$B10</f>
        <v>2002-D SACAGAWEA</v>
      </c>
      <c r="K10" t="str">
        <f>IFERROR(MATCH(J10,CoinCollection!O:O,0),"")</f>
        <v/>
      </c>
      <c r="L10" s="465" t="s">
        <v>5526</v>
      </c>
      <c r="M10" t="str">
        <f>IFERROR(MATCH(L10,CoinCollection!O:O,0),"")</f>
        <v/>
      </c>
      <c r="N10" s="465" t="s">
        <v>5508</v>
      </c>
      <c r="O10" t="str">
        <f>IFERROR(MATCH(N10,CoinCollection!O:O,0),"")</f>
        <v/>
      </c>
    </row>
    <row r="11" spans="1:15">
      <c r="A11" s="388" t="b">
        <f t="shared" si="0"/>
        <v>0</v>
      </c>
      <c r="B11" s="467" t="s">
        <v>5485</v>
      </c>
      <c r="C11" s="462" t="b">
        <f t="shared" si="1"/>
        <v>0</v>
      </c>
      <c r="D11" s="461" t="s">
        <v>5530</v>
      </c>
      <c r="E11" s="461" t="s">
        <v>5528</v>
      </c>
      <c r="F11" s="462" t="b">
        <f t="shared" si="2"/>
        <v>0</v>
      </c>
      <c r="G11" s="461" t="s">
        <v>5509</v>
      </c>
      <c r="H11" s="461"/>
      <c r="J11" s="463" t="str">
        <f>'Sacagawea Dollars'!$B11</f>
        <v>2002-S SACAGAWEA</v>
      </c>
      <c r="K11" t="str">
        <f>IFERROR(MATCH(J11,CoinCollection!O:O,0),"")</f>
        <v/>
      </c>
      <c r="L11" s="461" t="s">
        <v>5530</v>
      </c>
      <c r="M11" t="str">
        <f>IFERROR(MATCH(L11,CoinCollection!O:O,0),"")</f>
        <v/>
      </c>
      <c r="N11" s="461" t="s">
        <v>5509</v>
      </c>
      <c r="O11" t="str">
        <f>IFERROR(MATCH(N11,CoinCollection!O:O,0),"")</f>
        <v/>
      </c>
    </row>
    <row r="12" spans="1:15">
      <c r="A12" s="388" t="b">
        <f t="shared" si="0"/>
        <v>0</v>
      </c>
      <c r="B12" s="488" t="s">
        <v>5486</v>
      </c>
      <c r="C12" s="462" t="b">
        <f t="shared" si="1"/>
        <v>0</v>
      </c>
      <c r="D12" s="465" t="s">
        <v>5532</v>
      </c>
      <c r="E12" s="465" t="s">
        <v>5531</v>
      </c>
      <c r="F12" s="462" t="b">
        <f t="shared" si="2"/>
        <v>0</v>
      </c>
      <c r="G12" s="465" t="s">
        <v>5510</v>
      </c>
      <c r="H12" s="465"/>
      <c r="J12" s="463" t="str">
        <f>'Sacagawea Dollars'!$B12</f>
        <v>2003-P SACAGAWEA</v>
      </c>
      <c r="K12" t="str">
        <f>IFERROR(MATCH(J12,CoinCollection!O:O,0),"")</f>
        <v/>
      </c>
      <c r="L12" s="465" t="s">
        <v>5532</v>
      </c>
      <c r="M12" t="str">
        <f>IFERROR(MATCH(L12,CoinCollection!O:O,0),"")</f>
        <v/>
      </c>
      <c r="N12" s="465" t="s">
        <v>5510</v>
      </c>
      <c r="O12" t="str">
        <f>IFERROR(MATCH(N12,CoinCollection!O:O,0),"")</f>
        <v/>
      </c>
    </row>
    <row r="13" spans="1:15">
      <c r="A13" s="388" t="b">
        <f t="shared" si="0"/>
        <v>0</v>
      </c>
      <c r="B13" s="467" t="s">
        <v>5487</v>
      </c>
      <c r="C13" s="462" t="b">
        <f t="shared" si="1"/>
        <v>0</v>
      </c>
      <c r="D13" s="461" t="s">
        <v>5533</v>
      </c>
      <c r="E13" s="461" t="s">
        <v>5531</v>
      </c>
      <c r="F13" s="462" t="b">
        <f t="shared" si="2"/>
        <v>0</v>
      </c>
      <c r="G13" s="461" t="s">
        <v>5511</v>
      </c>
      <c r="H13" s="461"/>
      <c r="J13" s="463" t="str">
        <f>'Sacagawea Dollars'!$B13</f>
        <v>2003-D SACAGAWEA</v>
      </c>
      <c r="K13" t="str">
        <f>IFERROR(MATCH(J13,CoinCollection!O:O,0),"")</f>
        <v/>
      </c>
      <c r="L13" s="461" t="s">
        <v>5533</v>
      </c>
      <c r="M13" t="str">
        <f>IFERROR(MATCH(L13,CoinCollection!O:O,0),"")</f>
        <v/>
      </c>
      <c r="N13" s="461" t="s">
        <v>5511</v>
      </c>
      <c r="O13" t="str">
        <f>IFERROR(MATCH(N13,CoinCollection!O:O,0),"")</f>
        <v/>
      </c>
    </row>
    <row r="14" spans="1:15">
      <c r="A14" s="388" t="b">
        <f t="shared" si="0"/>
        <v>0</v>
      </c>
      <c r="B14" s="464" t="s">
        <v>5488</v>
      </c>
      <c r="C14" s="462" t="b">
        <f t="shared" si="1"/>
        <v>0</v>
      </c>
      <c r="D14" s="465" t="s">
        <v>5527</v>
      </c>
      <c r="E14" s="465" t="s">
        <v>5531</v>
      </c>
      <c r="F14" s="462" t="b">
        <f t="shared" si="2"/>
        <v>0</v>
      </c>
      <c r="G14" s="465" t="s">
        <v>5512</v>
      </c>
      <c r="H14" s="465"/>
      <c r="J14" s="463" t="str">
        <f>'Sacagawea Dollars'!$B14</f>
        <v>2003-S SACAGAWEA</v>
      </c>
      <c r="K14" t="str">
        <f>IFERROR(MATCH(J14,CoinCollection!O:O,0),"")</f>
        <v/>
      </c>
      <c r="L14" s="465" t="s">
        <v>5527</v>
      </c>
      <c r="M14" t="str">
        <f>IFERROR(MATCH(L14,CoinCollection!O:O,0),"")</f>
        <v/>
      </c>
      <c r="N14" s="465" t="s">
        <v>5512</v>
      </c>
      <c r="O14" t="str">
        <f>IFERROR(MATCH(N14,CoinCollection!O:O,0),"")</f>
        <v/>
      </c>
    </row>
    <row r="15" spans="1:15">
      <c r="A15" s="388" t="b">
        <f t="shared" si="0"/>
        <v>0</v>
      </c>
      <c r="B15" s="460" t="s">
        <v>5489</v>
      </c>
      <c r="C15" s="462" t="b">
        <f t="shared" si="1"/>
        <v>0</v>
      </c>
      <c r="D15" s="461" t="s">
        <v>5535</v>
      </c>
      <c r="E15" s="461" t="s">
        <v>5534</v>
      </c>
      <c r="F15" s="462" t="b">
        <f t="shared" si="2"/>
        <v>0</v>
      </c>
      <c r="G15" s="461" t="s">
        <v>5513</v>
      </c>
      <c r="H15" s="461"/>
      <c r="J15" s="463" t="str">
        <f>'Sacagawea Dollars'!$B15</f>
        <v>2004-P SACAGAWEA</v>
      </c>
      <c r="K15" t="str">
        <f>IFERROR(MATCH(J15,CoinCollection!O:O,0),"")</f>
        <v/>
      </c>
      <c r="L15" s="461" t="s">
        <v>5535</v>
      </c>
      <c r="M15" t="str">
        <f>IFERROR(MATCH(L15,CoinCollection!O:O,0),"")</f>
        <v/>
      </c>
      <c r="N15" s="461" t="s">
        <v>5513</v>
      </c>
      <c r="O15" t="str">
        <f>IFERROR(MATCH(N15,CoinCollection!O:O,0),"")</f>
        <v/>
      </c>
    </row>
    <row r="16" spans="1:15">
      <c r="A16" s="388" t="b">
        <f t="shared" si="0"/>
        <v>0</v>
      </c>
      <c r="B16" s="464" t="s">
        <v>5490</v>
      </c>
      <c r="C16" s="462" t="b">
        <f t="shared" si="1"/>
        <v>0</v>
      </c>
      <c r="D16" s="465" t="s">
        <v>5536</v>
      </c>
      <c r="E16" s="465" t="s">
        <v>5534</v>
      </c>
      <c r="F16" s="462" t="b">
        <f t="shared" si="2"/>
        <v>0</v>
      </c>
      <c r="G16" s="465" t="s">
        <v>5514</v>
      </c>
      <c r="H16" s="465"/>
      <c r="J16" s="463" t="str">
        <f>'Sacagawea Dollars'!$B16</f>
        <v>2004-D SACAGAWEA</v>
      </c>
      <c r="K16" t="str">
        <f>IFERROR(MATCH(J16,CoinCollection!O:O,0),"")</f>
        <v/>
      </c>
      <c r="L16" s="465" t="s">
        <v>5536</v>
      </c>
      <c r="M16" t="str">
        <f>IFERROR(MATCH(L16,CoinCollection!O:O,0),"")</f>
        <v/>
      </c>
      <c r="N16" s="465" t="s">
        <v>5514</v>
      </c>
      <c r="O16" t="str">
        <f>IFERROR(MATCH(N16,CoinCollection!O:O,0),"")</f>
        <v/>
      </c>
    </row>
    <row r="17" spans="1:15">
      <c r="A17" s="388" t="b">
        <f t="shared" si="0"/>
        <v>0</v>
      </c>
      <c r="B17" s="467" t="s">
        <v>5491</v>
      </c>
      <c r="C17" s="462" t="b">
        <f t="shared" si="1"/>
        <v>0</v>
      </c>
      <c r="D17" s="461" t="s">
        <v>5537</v>
      </c>
      <c r="E17" s="461" t="s">
        <v>5534</v>
      </c>
      <c r="F17" s="462" t="b">
        <f t="shared" si="2"/>
        <v>0</v>
      </c>
      <c r="G17" s="461" t="s">
        <v>5515</v>
      </c>
      <c r="H17" s="461"/>
      <c r="J17" s="463" t="str">
        <f>'Sacagawea Dollars'!$B17</f>
        <v>2004-S SACAGAWEA</v>
      </c>
      <c r="K17" t="str">
        <f>IFERROR(MATCH(J17,CoinCollection!O:O,0),"")</f>
        <v/>
      </c>
      <c r="L17" s="461" t="s">
        <v>5537</v>
      </c>
      <c r="M17" t="str">
        <f>IFERROR(MATCH(L17,CoinCollection!O:O,0),"")</f>
        <v/>
      </c>
      <c r="N17" s="461" t="s">
        <v>5515</v>
      </c>
      <c r="O17" t="str">
        <f>IFERROR(MATCH(N17,CoinCollection!O:O,0),"")</f>
        <v/>
      </c>
    </row>
    <row r="18" spans="1:15">
      <c r="A18" s="388" t="b">
        <f t="shared" si="0"/>
        <v>0</v>
      </c>
      <c r="B18" s="488" t="s">
        <v>5492</v>
      </c>
      <c r="C18" s="462" t="b">
        <f t="shared" si="1"/>
        <v>0</v>
      </c>
      <c r="D18" s="465" t="s">
        <v>5539</v>
      </c>
      <c r="E18" s="465" t="s">
        <v>5538</v>
      </c>
      <c r="F18" s="462" t="b">
        <f t="shared" si="2"/>
        <v>0</v>
      </c>
      <c r="G18" s="465" t="s">
        <v>5516</v>
      </c>
      <c r="H18" s="465"/>
      <c r="J18" s="463" t="str">
        <f>'Sacagawea Dollars'!$B18</f>
        <v>2005-P SACAGAWEA</v>
      </c>
      <c r="K18" t="str">
        <f>IFERROR(MATCH(J18,CoinCollection!O:O,0),"")</f>
        <v/>
      </c>
      <c r="L18" s="465" t="s">
        <v>5539</v>
      </c>
      <c r="M18" t="str">
        <f>IFERROR(MATCH(L18,CoinCollection!O:O,0),"")</f>
        <v/>
      </c>
      <c r="N18" s="465" t="s">
        <v>5516</v>
      </c>
      <c r="O18" t="str">
        <f>IFERROR(MATCH(N18,CoinCollection!O:O,0),"")</f>
        <v/>
      </c>
    </row>
    <row r="19" spans="1:15">
      <c r="A19" s="388" t="b">
        <f t="shared" si="0"/>
        <v>0</v>
      </c>
      <c r="B19" s="467" t="s">
        <v>5493</v>
      </c>
      <c r="C19" s="462" t="b">
        <f t="shared" si="1"/>
        <v>0</v>
      </c>
      <c r="D19" s="461" t="s">
        <v>5540</v>
      </c>
      <c r="E19" s="461" t="s">
        <v>5538</v>
      </c>
      <c r="F19" s="462" t="b">
        <f t="shared" si="2"/>
        <v>0</v>
      </c>
      <c r="G19" s="461" t="s">
        <v>5517</v>
      </c>
      <c r="H19" s="461"/>
      <c r="J19" s="463" t="str">
        <f>'Sacagawea Dollars'!$B19</f>
        <v>2005-D SACAGAWEA</v>
      </c>
      <c r="K19" t="str">
        <f>IFERROR(MATCH(J19,CoinCollection!O:O,0),"")</f>
        <v/>
      </c>
      <c r="L19" s="461" t="s">
        <v>5540</v>
      </c>
      <c r="M19" t="str">
        <f>IFERROR(MATCH(L19,CoinCollection!O:O,0),"")</f>
        <v/>
      </c>
      <c r="N19" s="461" t="s">
        <v>5517</v>
      </c>
      <c r="O19" t="str">
        <f>IFERROR(MATCH(N19,CoinCollection!O:O,0),"")</f>
        <v/>
      </c>
    </row>
    <row r="20" spans="1:15">
      <c r="A20" s="388" t="b">
        <f t="shared" si="0"/>
        <v>0</v>
      </c>
      <c r="B20" s="464" t="s">
        <v>5494</v>
      </c>
      <c r="C20" s="462" t="b">
        <f t="shared" si="1"/>
        <v>0</v>
      </c>
      <c r="D20" s="465" t="s">
        <v>5541</v>
      </c>
      <c r="E20" s="465" t="s">
        <v>5538</v>
      </c>
      <c r="F20" s="462" t="b">
        <f t="shared" si="2"/>
        <v>0</v>
      </c>
      <c r="G20" s="465" t="s">
        <v>5518</v>
      </c>
      <c r="H20" s="465"/>
      <c r="J20" s="463" t="str">
        <f>'Sacagawea Dollars'!$B20</f>
        <v>2005-S SACAGAWEA</v>
      </c>
      <c r="K20" t="str">
        <f>IFERROR(MATCH(J20,CoinCollection!O:O,0),"")</f>
        <v/>
      </c>
      <c r="L20" s="465" t="s">
        <v>5541</v>
      </c>
      <c r="M20" t="str">
        <f>IFERROR(MATCH(L20,CoinCollection!O:O,0),"")</f>
        <v/>
      </c>
      <c r="N20" s="465" t="s">
        <v>5518</v>
      </c>
      <c r="O20" t="str">
        <f>IFERROR(MATCH(N20,CoinCollection!O:O,0),"")</f>
        <v/>
      </c>
    </row>
    <row r="21" spans="1:15">
      <c r="A21" s="388" t="b">
        <f t="shared" si="0"/>
        <v>0</v>
      </c>
      <c r="B21" s="460" t="s">
        <v>5495</v>
      </c>
      <c r="C21" s="462" t="b">
        <f t="shared" si="1"/>
        <v>0</v>
      </c>
      <c r="D21" s="461" t="s">
        <v>5543</v>
      </c>
      <c r="E21" s="461" t="s">
        <v>5542</v>
      </c>
      <c r="F21" s="462" t="b">
        <f t="shared" si="2"/>
        <v>0</v>
      </c>
      <c r="G21" s="461" t="s">
        <v>2571</v>
      </c>
      <c r="H21" s="461"/>
      <c r="J21" s="463" t="str">
        <f>'Sacagawea Dollars'!$B21</f>
        <v>2006-P SACAGAWEA</v>
      </c>
      <c r="K21" t="str">
        <f>IFERROR(MATCH(J21,CoinCollection!O:O,0),"")</f>
        <v/>
      </c>
      <c r="L21" s="461" t="s">
        <v>5554</v>
      </c>
      <c r="M21" t="str">
        <f>IFERROR(MATCH(L21,CoinCollection!O:O,0),"")</f>
        <v/>
      </c>
      <c r="N21" s="461" t="s">
        <v>2571</v>
      </c>
      <c r="O21" t="str">
        <f>IFERROR(MATCH(N21,CoinCollection!O:O,0),"")</f>
        <v/>
      </c>
    </row>
    <row r="22" spans="1:15">
      <c r="A22" s="388" t="b">
        <f t="shared" si="0"/>
        <v>0</v>
      </c>
      <c r="B22" s="464" t="s">
        <v>5496</v>
      </c>
      <c r="C22" s="462" t="b">
        <f t="shared" si="1"/>
        <v>1</v>
      </c>
      <c r="D22" s="465" t="s">
        <v>5544</v>
      </c>
      <c r="E22" s="465" t="s">
        <v>5542</v>
      </c>
      <c r="F22" s="462" t="b">
        <f t="shared" si="2"/>
        <v>0</v>
      </c>
      <c r="G22" s="465" t="s">
        <v>2572</v>
      </c>
      <c r="H22" s="465"/>
      <c r="J22" s="463" t="str">
        <f>'Sacagawea Dollars'!$B22</f>
        <v>2006-D SACAGAWEA</v>
      </c>
      <c r="K22" t="str">
        <f>IFERROR(MATCH(J22,CoinCollection!O:O,0),"")</f>
        <v/>
      </c>
      <c r="L22" s="465" t="s">
        <v>5555</v>
      </c>
      <c r="M22">
        <f>IFERROR(MATCH(L22,CoinCollection!O:O,0),"")</f>
        <v>2316</v>
      </c>
      <c r="N22" s="465" t="s">
        <v>2572</v>
      </c>
      <c r="O22" t="str">
        <f>IFERROR(MATCH(N22,CoinCollection!O:O,0),"")</f>
        <v/>
      </c>
    </row>
    <row r="23" spans="1:15">
      <c r="A23" s="388" t="b">
        <f t="shared" si="0"/>
        <v>0</v>
      </c>
      <c r="B23" s="467" t="s">
        <v>5497</v>
      </c>
      <c r="C23" s="462" t="b">
        <f t="shared" si="1"/>
        <v>0</v>
      </c>
      <c r="D23" s="461" t="s">
        <v>5545</v>
      </c>
      <c r="E23" s="461" t="s">
        <v>5542</v>
      </c>
      <c r="F23" s="462" t="b">
        <f t="shared" si="2"/>
        <v>0</v>
      </c>
      <c r="G23" s="461" t="s">
        <v>3978</v>
      </c>
      <c r="H23" s="461"/>
      <c r="J23" s="463" t="str">
        <f>'Sacagawea Dollars'!$B23</f>
        <v>2006-S SACAGAWEA</v>
      </c>
      <c r="K23" t="str">
        <f>IFERROR(MATCH(J23,CoinCollection!O:O,0),"")</f>
        <v/>
      </c>
      <c r="L23" s="461" t="s">
        <v>5556</v>
      </c>
      <c r="M23" t="str">
        <f>IFERROR(MATCH(L23,CoinCollection!O:O,0),"")</f>
        <v/>
      </c>
      <c r="N23" s="461" t="s">
        <v>3978</v>
      </c>
      <c r="O23" t="str">
        <f>IFERROR(MATCH(N23,CoinCollection!O:O,0),"")</f>
        <v/>
      </c>
    </row>
    <row r="24" spans="1:15">
      <c r="A24" s="388" t="b">
        <f t="shared" si="0"/>
        <v>0</v>
      </c>
      <c r="B24" s="488" t="s">
        <v>5498</v>
      </c>
      <c r="C24" s="462" t="b">
        <f t="shared" si="1"/>
        <v>0</v>
      </c>
      <c r="D24" s="465" t="s">
        <v>5547</v>
      </c>
      <c r="E24" s="465" t="s">
        <v>5546</v>
      </c>
      <c r="F24" s="462" t="b">
        <f t="shared" si="2"/>
        <v>0</v>
      </c>
      <c r="G24" s="465" t="s">
        <v>3981</v>
      </c>
      <c r="H24" s="465"/>
      <c r="J24" s="463" t="str">
        <f>'Sacagawea Dollars'!$B24</f>
        <v>2007-P SACAGAWEA</v>
      </c>
      <c r="K24" t="str">
        <f>IFERROR(MATCH(J24,CoinCollection!O:O,0),"")</f>
        <v/>
      </c>
      <c r="L24" s="465" t="s">
        <v>5557</v>
      </c>
      <c r="M24" t="str">
        <f>IFERROR(MATCH(L24,CoinCollection!O:O,0),"")</f>
        <v/>
      </c>
      <c r="N24" s="465" t="s">
        <v>3981</v>
      </c>
      <c r="O24" t="str">
        <f>IFERROR(MATCH(N24,CoinCollection!O:O,0),"")</f>
        <v/>
      </c>
    </row>
    <row r="25" spans="1:15">
      <c r="A25" s="388" t="b">
        <f t="shared" si="0"/>
        <v>0</v>
      </c>
      <c r="B25" s="467" t="s">
        <v>5499</v>
      </c>
      <c r="C25" s="462" t="b">
        <f t="shared" si="1"/>
        <v>1</v>
      </c>
      <c r="D25" s="461" t="s">
        <v>5548</v>
      </c>
      <c r="E25" s="461" t="s">
        <v>5546</v>
      </c>
      <c r="F25" s="462" t="b">
        <f t="shared" si="2"/>
        <v>0</v>
      </c>
      <c r="G25" s="461" t="s">
        <v>3982</v>
      </c>
      <c r="H25" s="461"/>
      <c r="J25" s="463" t="str">
        <f>'Sacagawea Dollars'!$B25</f>
        <v>2007-D SACAGAWEA</v>
      </c>
      <c r="K25" t="str">
        <f>IFERROR(MATCH(J25,CoinCollection!O:O,0),"")</f>
        <v/>
      </c>
      <c r="L25" s="461" t="s">
        <v>5558</v>
      </c>
      <c r="M25">
        <f>IFERROR(MATCH(L25,CoinCollection!O:O,0),"")</f>
        <v>2317</v>
      </c>
      <c r="N25" s="461" t="s">
        <v>3982</v>
      </c>
      <c r="O25" t="str">
        <f>IFERROR(MATCH(N25,CoinCollection!O:O,0),"")</f>
        <v/>
      </c>
    </row>
    <row r="26" spans="1:15">
      <c r="A26" s="388" t="b">
        <f t="shared" si="0"/>
        <v>0</v>
      </c>
      <c r="B26" s="488" t="s">
        <v>5500</v>
      </c>
      <c r="C26" s="462" t="b">
        <f t="shared" si="1"/>
        <v>0</v>
      </c>
      <c r="D26" s="465" t="s">
        <v>5549</v>
      </c>
      <c r="E26" s="465" t="s">
        <v>5546</v>
      </c>
      <c r="F26" s="462" t="b">
        <f t="shared" si="2"/>
        <v>0</v>
      </c>
      <c r="G26" s="465" t="s">
        <v>3983</v>
      </c>
      <c r="H26" s="465"/>
      <c r="J26" s="463" t="str">
        <f>'Sacagawea Dollars'!$B26</f>
        <v>2007-S SACAGAWEA</v>
      </c>
      <c r="K26" t="str">
        <f>IFERROR(MATCH(J26,CoinCollection!O:O,0),"")</f>
        <v/>
      </c>
      <c r="L26" s="465" t="s">
        <v>5559</v>
      </c>
      <c r="M26" t="str">
        <f>IFERROR(MATCH(L26,CoinCollection!O:O,0),"")</f>
        <v/>
      </c>
      <c r="N26" s="465" t="s">
        <v>3983</v>
      </c>
      <c r="O26" t="str">
        <f>IFERROR(MATCH(N26,CoinCollection!O:O,0),"")</f>
        <v/>
      </c>
    </row>
    <row r="27" spans="1:15">
      <c r="A27" s="388" t="b">
        <f t="shared" si="0"/>
        <v>0</v>
      </c>
      <c r="B27" s="460" t="s">
        <v>5500</v>
      </c>
      <c r="C27" s="462" t="b">
        <f t="shared" si="1"/>
        <v>0</v>
      </c>
      <c r="D27" s="461" t="s">
        <v>5551</v>
      </c>
      <c r="E27" s="461" t="s">
        <v>5550</v>
      </c>
      <c r="F27" s="461"/>
      <c r="G27" s="461"/>
      <c r="H27" s="461"/>
      <c r="J27" s="463" t="str">
        <f>'Sacagawea Dollars'!$B27</f>
        <v>2007-S SACAGAWEA</v>
      </c>
      <c r="K27" t="str">
        <f>IFERROR(MATCH(J27,CoinCollection!O:O,0),"")</f>
        <v/>
      </c>
      <c r="L27" s="461" t="s">
        <v>5560</v>
      </c>
      <c r="M27" t="str">
        <f>IFERROR(MATCH(L27,CoinCollection!O:O,0),"")</f>
        <v/>
      </c>
    </row>
    <row r="28" spans="1:15">
      <c r="B28" s="488"/>
      <c r="C28" s="462" t="b">
        <f t="shared" si="1"/>
        <v>0</v>
      </c>
      <c r="D28" s="465" t="s">
        <v>5552</v>
      </c>
      <c r="E28" s="465" t="s">
        <v>5550</v>
      </c>
      <c r="F28" s="465"/>
      <c r="G28" s="465"/>
      <c r="H28" s="465"/>
      <c r="J28" s="466"/>
      <c r="L28" s="465" t="s">
        <v>5561</v>
      </c>
      <c r="M28" t="str">
        <f>IFERROR(MATCH(L28,CoinCollection!O:O,0),"")</f>
        <v/>
      </c>
    </row>
    <row r="29" spans="1:15">
      <c r="B29" s="489"/>
      <c r="C29" s="462" t="b">
        <f t="shared" si="1"/>
        <v>0</v>
      </c>
      <c r="D29" s="469" t="s">
        <v>5553</v>
      </c>
      <c r="E29" s="469" t="s">
        <v>5550</v>
      </c>
      <c r="F29" s="469"/>
      <c r="G29" s="469"/>
      <c r="H29" s="469"/>
      <c r="J29" s="470"/>
      <c r="L29" s="469" t="s">
        <v>5562</v>
      </c>
      <c r="M29" t="str">
        <f>IFERROR(MATCH(L29,CoinCollection!O:O,0),"")</f>
        <v/>
      </c>
    </row>
  </sheetData>
  <phoneticPr fontId="19"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E7060-D22D-4DC6-9E7E-46531C3FAC89}">
  <sheetPr codeName="Sheet26">
    <tabColor theme="9" tint="0.79998168889431442"/>
  </sheetPr>
  <dimension ref="A1"/>
  <sheetViews>
    <sheetView workbookViewId="0"/>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1E7B-5155-4690-BD55-6A238B6B86DF}">
  <sheetPr codeName="Sheet5"/>
  <dimension ref="A2:J147"/>
  <sheetViews>
    <sheetView topLeftCell="A3" workbookViewId="0">
      <selection activeCell="H37" sqref="H37"/>
    </sheetView>
  </sheetViews>
  <sheetFormatPr defaultRowHeight="12.75"/>
  <cols>
    <col min="1" max="1" width="17" bestFit="1" customWidth="1"/>
    <col min="2" max="2" width="50.5703125" customWidth="1"/>
    <col min="3" max="3" width="43.140625" bestFit="1" customWidth="1"/>
    <col min="15" max="15" width="12.7109375" bestFit="1" customWidth="1"/>
  </cols>
  <sheetData>
    <row r="2" spans="1:2" ht="15.75">
      <c r="A2" s="197" t="s">
        <v>2053</v>
      </c>
    </row>
    <row r="3" spans="1:2">
      <c r="A3" s="3" t="s">
        <v>2048</v>
      </c>
      <c r="B3" t="s">
        <v>2042</v>
      </c>
    </row>
    <row r="4" spans="1:2">
      <c r="A4" s="3" t="s">
        <v>2049</v>
      </c>
      <c r="B4" t="s">
        <v>2043</v>
      </c>
    </row>
    <row r="5" spans="1:2">
      <c r="A5" s="3" t="s">
        <v>2051</v>
      </c>
      <c r="B5" t="s">
        <v>2044</v>
      </c>
    </row>
    <row r="6" spans="1:2">
      <c r="A6" s="3" t="s">
        <v>2050</v>
      </c>
      <c r="B6" t="s">
        <v>2045</v>
      </c>
    </row>
    <row r="7" spans="1:2">
      <c r="A7" s="3">
        <v>2009</v>
      </c>
      <c r="B7" t="s">
        <v>2046</v>
      </c>
    </row>
    <row r="8" spans="1:2">
      <c r="A8" s="3" t="s">
        <v>2052</v>
      </c>
      <c r="B8" t="s">
        <v>2047</v>
      </c>
    </row>
    <row r="11" spans="1:2" ht="15.75">
      <c r="A11" s="197" t="s">
        <v>83</v>
      </c>
    </row>
    <row r="12" spans="1:2">
      <c r="A12" t="s">
        <v>2006</v>
      </c>
      <c r="B12" t="s">
        <v>2007</v>
      </c>
    </row>
    <row r="13" spans="1:2">
      <c r="A13" t="s">
        <v>2008</v>
      </c>
      <c r="B13" t="s">
        <v>2009</v>
      </c>
    </row>
    <row r="14" spans="1:2">
      <c r="A14" t="s">
        <v>2010</v>
      </c>
      <c r="B14" t="s">
        <v>2011</v>
      </c>
    </row>
    <row r="16" spans="1:2" ht="15.75">
      <c r="A16" s="197" t="s">
        <v>239</v>
      </c>
    </row>
    <row r="17" spans="1:10">
      <c r="A17" t="s">
        <v>1947</v>
      </c>
      <c r="C17" s="3">
        <v>1796</v>
      </c>
      <c r="D17" t="s">
        <v>2012</v>
      </c>
    </row>
    <row r="18" spans="1:10">
      <c r="A18" t="s">
        <v>1920</v>
      </c>
      <c r="B18" t="s">
        <v>1869</v>
      </c>
      <c r="C18" s="3" t="s">
        <v>2013</v>
      </c>
      <c r="D18" t="s">
        <v>2014</v>
      </c>
    </row>
    <row r="19" spans="1:10">
      <c r="A19" t="s">
        <v>1948</v>
      </c>
      <c r="B19" t="s">
        <v>1949</v>
      </c>
      <c r="C19" s="3">
        <v>1946</v>
      </c>
      <c r="D19" t="s">
        <v>2015</v>
      </c>
    </row>
    <row r="20" spans="1:10">
      <c r="A20" t="s">
        <v>1950</v>
      </c>
      <c r="B20" t="s">
        <v>1951</v>
      </c>
      <c r="C20" s="3" t="s">
        <v>2016</v>
      </c>
      <c r="D20" t="s">
        <v>2017</v>
      </c>
    </row>
    <row r="21" spans="1:10">
      <c r="A21" t="s">
        <v>1952</v>
      </c>
      <c r="B21" t="s">
        <v>1942</v>
      </c>
    </row>
    <row r="22" spans="1:10">
      <c r="A22" t="s">
        <v>1953</v>
      </c>
      <c r="B22" t="s">
        <v>1954</v>
      </c>
    </row>
    <row r="23" spans="1:10">
      <c r="A23" t="s">
        <v>1955</v>
      </c>
      <c r="B23" t="s">
        <v>1956</v>
      </c>
    </row>
    <row r="24" spans="1:10">
      <c r="J24" t="s">
        <v>5643</v>
      </c>
    </row>
    <row r="25" spans="1:10" ht="15.75">
      <c r="A25" s="135" t="s">
        <v>1919</v>
      </c>
      <c r="B25" s="135"/>
      <c r="C25" s="197" t="s">
        <v>2030</v>
      </c>
      <c r="J25" t="s">
        <v>5644</v>
      </c>
    </row>
    <row r="26" spans="1:10" ht="15">
      <c r="A26" s="135" t="s">
        <v>1920</v>
      </c>
      <c r="B26" s="135" t="s">
        <v>1869</v>
      </c>
      <c r="C26" t="s">
        <v>1869</v>
      </c>
      <c r="D26" s="196" t="s">
        <v>2024</v>
      </c>
      <c r="J26" t="s">
        <v>5645</v>
      </c>
    </row>
    <row r="27" spans="1:10" ht="15">
      <c r="A27" s="135" t="s">
        <v>1921</v>
      </c>
      <c r="B27" s="135" t="s">
        <v>1922</v>
      </c>
      <c r="C27" t="s">
        <v>2018</v>
      </c>
      <c r="D27" s="196" t="s">
        <v>2022</v>
      </c>
      <c r="J27" t="s">
        <v>5646</v>
      </c>
    </row>
    <row r="28" spans="1:10" ht="15">
      <c r="A28" s="135" t="s">
        <v>1923</v>
      </c>
      <c r="B28" s="135" t="s">
        <v>1924</v>
      </c>
      <c r="C28" t="s">
        <v>1929</v>
      </c>
      <c r="D28" s="196" t="s">
        <v>2023</v>
      </c>
      <c r="J28" t="s">
        <v>5647</v>
      </c>
    </row>
    <row r="29" spans="1:10" ht="15">
      <c r="A29" s="135" t="s">
        <v>1925</v>
      </c>
      <c r="B29" s="135" t="s">
        <v>1926</v>
      </c>
      <c r="C29" t="s">
        <v>1942</v>
      </c>
      <c r="D29" s="196" t="s">
        <v>2025</v>
      </c>
      <c r="J29" t="s">
        <v>5648</v>
      </c>
    </row>
    <row r="30" spans="1:10" ht="15">
      <c r="A30" s="135" t="s">
        <v>1927</v>
      </c>
      <c r="B30" s="135" t="s">
        <v>1926</v>
      </c>
      <c r="C30" t="s">
        <v>1944</v>
      </c>
      <c r="D30" s="196" t="s">
        <v>2026</v>
      </c>
      <c r="J30" t="s">
        <v>5649</v>
      </c>
    </row>
    <row r="31" spans="1:10" ht="15">
      <c r="A31" s="135" t="s">
        <v>1928</v>
      </c>
      <c r="B31" s="135" t="s">
        <v>1929</v>
      </c>
      <c r="C31" t="s">
        <v>2019</v>
      </c>
      <c r="D31" s="196" t="s">
        <v>2027</v>
      </c>
      <c r="J31" t="s">
        <v>5650</v>
      </c>
    </row>
    <row r="32" spans="1:10" ht="15">
      <c r="A32" s="135" t="s">
        <v>1930</v>
      </c>
      <c r="B32" s="186">
        <v>1853</v>
      </c>
      <c r="C32" t="s">
        <v>2020</v>
      </c>
      <c r="D32" s="196" t="s">
        <v>2028</v>
      </c>
      <c r="J32" t="s">
        <v>5651</v>
      </c>
    </row>
    <row r="33" spans="1:10" ht="15">
      <c r="A33" s="135" t="s">
        <v>1931</v>
      </c>
      <c r="B33" s="186" t="s">
        <v>1932</v>
      </c>
      <c r="C33" t="s">
        <v>2021</v>
      </c>
      <c r="D33" s="196" t="s">
        <v>2029</v>
      </c>
      <c r="J33" t="s">
        <v>5652</v>
      </c>
    </row>
    <row r="34" spans="1:10">
      <c r="A34" s="135" t="s">
        <v>1933</v>
      </c>
      <c r="B34" s="186" t="s">
        <v>1934</v>
      </c>
      <c r="J34" t="s">
        <v>5653</v>
      </c>
    </row>
    <row r="35" spans="1:10">
      <c r="A35" s="135" t="s">
        <v>1935</v>
      </c>
      <c r="B35" s="186" t="s">
        <v>1936</v>
      </c>
      <c r="J35" t="s">
        <v>5654</v>
      </c>
    </row>
    <row r="36" spans="1:10" ht="15">
      <c r="A36" s="135" t="s">
        <v>1937</v>
      </c>
      <c r="B36" s="186" t="s">
        <v>1938</v>
      </c>
      <c r="J36" t="s">
        <v>5655</v>
      </c>
    </row>
    <row r="37" spans="1:10" ht="15">
      <c r="A37" s="135" t="s">
        <v>1939</v>
      </c>
      <c r="B37" s="186" t="s">
        <v>1940</v>
      </c>
      <c r="J37" t="s">
        <v>5656</v>
      </c>
    </row>
    <row r="38" spans="1:10" ht="15">
      <c r="A38" s="135" t="s">
        <v>1941</v>
      </c>
      <c r="B38" s="135" t="s">
        <v>1942</v>
      </c>
      <c r="J38" t="s">
        <v>5657</v>
      </c>
    </row>
    <row r="39" spans="1:10" ht="15">
      <c r="A39" s="135" t="s">
        <v>1943</v>
      </c>
      <c r="B39" s="135" t="s">
        <v>1944</v>
      </c>
      <c r="J39" t="s">
        <v>5658</v>
      </c>
    </row>
    <row r="40" spans="1:10">
      <c r="A40" s="135" t="s">
        <v>1945</v>
      </c>
      <c r="B40" s="135" t="s">
        <v>1946</v>
      </c>
    </row>
    <row r="43" spans="1:10" ht="15.75">
      <c r="A43" s="197" t="s">
        <v>62</v>
      </c>
    </row>
    <row r="44" spans="1:10">
      <c r="A44" t="s">
        <v>1864</v>
      </c>
      <c r="B44" s="196" t="s">
        <v>2031</v>
      </c>
    </row>
    <row r="45" spans="1:10">
      <c r="A45" t="s">
        <v>1869</v>
      </c>
      <c r="B45" s="196" t="s">
        <v>2032</v>
      </c>
    </row>
    <row r="46" spans="1:10">
      <c r="A46" t="s">
        <v>2033</v>
      </c>
      <c r="B46" s="196" t="s">
        <v>2034</v>
      </c>
    </row>
    <row r="47" spans="1:10">
      <c r="A47" t="s">
        <v>1881</v>
      </c>
      <c r="B47" s="196" t="s">
        <v>2035</v>
      </c>
    </row>
    <row r="48" spans="1:10">
      <c r="A48" t="s">
        <v>1885</v>
      </c>
      <c r="B48" s="196" t="s">
        <v>2036</v>
      </c>
    </row>
    <row r="49" spans="1:4">
      <c r="A49" t="s">
        <v>2037</v>
      </c>
      <c r="B49" s="196" t="s">
        <v>2038</v>
      </c>
    </row>
    <row r="50" spans="1:4">
      <c r="A50" t="s">
        <v>1893</v>
      </c>
      <c r="B50" s="196" t="s">
        <v>2039</v>
      </c>
    </row>
    <row r="51" spans="1:4">
      <c r="A51" t="s">
        <v>2040</v>
      </c>
      <c r="B51" s="196" t="s">
        <v>2041</v>
      </c>
    </row>
    <row r="53" spans="1:4" ht="15.75">
      <c r="A53" s="197" t="s">
        <v>2066</v>
      </c>
    </row>
    <row r="54" spans="1:4">
      <c r="A54" s="173" t="s">
        <v>1843</v>
      </c>
    </row>
    <row r="55" spans="1:4">
      <c r="A55" s="173" t="s">
        <v>1844</v>
      </c>
    </row>
    <row r="56" spans="1:4">
      <c r="A56" s="173" t="s">
        <v>1845</v>
      </c>
      <c r="C56" t="s">
        <v>2060</v>
      </c>
      <c r="D56" s="196" t="s">
        <v>2054</v>
      </c>
    </row>
    <row r="57" spans="1:4">
      <c r="A57" s="173" t="s">
        <v>1846</v>
      </c>
      <c r="C57" t="s">
        <v>2061</v>
      </c>
      <c r="D57" s="196" t="s">
        <v>2055</v>
      </c>
    </row>
    <row r="58" spans="1:4">
      <c r="A58" s="173" t="s">
        <v>1847</v>
      </c>
      <c r="C58" t="s">
        <v>2063</v>
      </c>
      <c r="D58" s="196" t="s">
        <v>2056</v>
      </c>
    </row>
    <row r="59" spans="1:4">
      <c r="A59" s="173" t="s">
        <v>1848</v>
      </c>
      <c r="C59" t="s">
        <v>2064</v>
      </c>
      <c r="D59" s="196" t="s">
        <v>2057</v>
      </c>
    </row>
    <row r="60" spans="1:4">
      <c r="A60" s="173" t="s">
        <v>1849</v>
      </c>
      <c r="C60" t="s">
        <v>2062</v>
      </c>
      <c r="D60" s="196" t="s">
        <v>2058</v>
      </c>
    </row>
    <row r="61" spans="1:4">
      <c r="A61" s="173" t="s">
        <v>1850</v>
      </c>
      <c r="C61" t="s">
        <v>2065</v>
      </c>
      <c r="D61" s="196" t="s">
        <v>2059</v>
      </c>
    </row>
    <row r="62" spans="1:4">
      <c r="A62" s="173" t="s">
        <v>1851</v>
      </c>
    </row>
    <row r="63" spans="1:4">
      <c r="A63" s="173" t="s">
        <v>1852</v>
      </c>
    </row>
    <row r="64" spans="1:4">
      <c r="A64" s="173" t="s">
        <v>1853</v>
      </c>
    </row>
    <row r="65" spans="1:4">
      <c r="A65" s="173" t="s">
        <v>1854</v>
      </c>
    </row>
    <row r="66" spans="1:4">
      <c r="A66" s="173" t="s">
        <v>1855</v>
      </c>
    </row>
    <row r="67" spans="1:4">
      <c r="A67" s="173" t="s">
        <v>1856</v>
      </c>
    </row>
    <row r="68" spans="1:4">
      <c r="A68" s="173" t="s">
        <v>1857</v>
      </c>
    </row>
    <row r="69" spans="1:4">
      <c r="A69" s="173" t="s">
        <v>1858</v>
      </c>
    </row>
    <row r="73" spans="1:4">
      <c r="B73" t="s">
        <v>4526</v>
      </c>
    </row>
    <row r="74" spans="1:4">
      <c r="B74" s="320" t="s">
        <v>4527</v>
      </c>
      <c r="D74" t="s">
        <v>4597</v>
      </c>
    </row>
    <row r="75" spans="1:4">
      <c r="B75" s="320" t="s">
        <v>4528</v>
      </c>
      <c r="D75" t="s">
        <v>4598</v>
      </c>
    </row>
    <row r="76" spans="1:4">
      <c r="B76" s="320" t="s">
        <v>4529</v>
      </c>
      <c r="D76" t="s">
        <v>4600</v>
      </c>
    </row>
    <row r="77" spans="1:4">
      <c r="B77" s="320" t="s">
        <v>4530</v>
      </c>
      <c r="D77" t="s">
        <v>4599</v>
      </c>
    </row>
    <row r="78" spans="1:4">
      <c r="B78" s="320" t="s">
        <v>4531</v>
      </c>
      <c r="D78" t="s">
        <v>4601</v>
      </c>
    </row>
    <row r="79" spans="1:4" ht="18">
      <c r="B79" s="319" t="s">
        <v>4532</v>
      </c>
    </row>
    <row r="80" spans="1:4">
      <c r="B80" s="320" t="s">
        <v>4533</v>
      </c>
      <c r="D80" t="s">
        <v>4602</v>
      </c>
    </row>
    <row r="81" spans="2:4">
      <c r="B81" s="320" t="s">
        <v>4534</v>
      </c>
      <c r="D81" t="s">
        <v>4603</v>
      </c>
    </row>
    <row r="82" spans="2:4">
      <c r="B82" s="320" t="s">
        <v>4535</v>
      </c>
      <c r="D82" t="s">
        <v>4599</v>
      </c>
    </row>
    <row r="83" spans="2:4">
      <c r="B83" s="320" t="s">
        <v>4536</v>
      </c>
      <c r="D83" t="s">
        <v>4627</v>
      </c>
    </row>
    <row r="84" spans="2:4">
      <c r="B84" s="320" t="s">
        <v>4537</v>
      </c>
      <c r="D84" t="s">
        <v>4604</v>
      </c>
    </row>
    <row r="85" spans="2:4" ht="18">
      <c r="B85" s="321" t="s">
        <v>4538</v>
      </c>
    </row>
    <row r="86" spans="2:4">
      <c r="B86" s="320" t="s">
        <v>4539</v>
      </c>
      <c r="D86" t="s">
        <v>4605</v>
      </c>
    </row>
    <row r="87" spans="2:4">
      <c r="B87" s="320" t="s">
        <v>4540</v>
      </c>
      <c r="D87" t="s">
        <v>4606</v>
      </c>
    </row>
    <row r="88" spans="2:4">
      <c r="B88" s="320" t="s">
        <v>4541</v>
      </c>
      <c r="D88" t="s">
        <v>4607</v>
      </c>
    </row>
    <row r="89" spans="2:4">
      <c r="B89" s="320" t="s">
        <v>4542</v>
      </c>
      <c r="D89" t="s">
        <v>4608</v>
      </c>
    </row>
    <row r="90" spans="2:4">
      <c r="B90" s="320" t="s">
        <v>4543</v>
      </c>
      <c r="D90" t="s">
        <v>4609</v>
      </c>
    </row>
    <row r="91" spans="2:4">
      <c r="B91" s="320" t="s">
        <v>4544</v>
      </c>
    </row>
    <row r="92" spans="2:4" ht="18">
      <c r="B92" s="319" t="s">
        <v>4545</v>
      </c>
    </row>
    <row r="93" spans="2:4">
      <c r="B93" s="320" t="s">
        <v>4546</v>
      </c>
      <c r="D93" t="s">
        <v>4608</v>
      </c>
    </row>
    <row r="94" spans="2:4">
      <c r="B94" s="320" t="s">
        <v>4547</v>
      </c>
      <c r="D94" t="s">
        <v>4609</v>
      </c>
    </row>
    <row r="95" spans="2:4">
      <c r="B95" s="320" t="s">
        <v>4548</v>
      </c>
      <c r="D95" t="s">
        <v>4610</v>
      </c>
    </row>
    <row r="96" spans="2:4">
      <c r="B96" s="320" t="s">
        <v>4549</v>
      </c>
      <c r="D96" t="s">
        <v>4611</v>
      </c>
    </row>
    <row r="97" spans="2:4" ht="18">
      <c r="B97" s="319" t="s">
        <v>4550</v>
      </c>
    </row>
    <row r="98" spans="2:4">
      <c r="B98" s="320" t="s">
        <v>4551</v>
      </c>
      <c r="D98" t="s">
        <v>4612</v>
      </c>
    </row>
    <row r="99" spans="2:4">
      <c r="B99" s="320" t="s">
        <v>4552</v>
      </c>
      <c r="D99" t="s">
        <v>4613</v>
      </c>
    </row>
    <row r="100" spans="2:4">
      <c r="B100" s="320" t="s">
        <v>4553</v>
      </c>
      <c r="D100" t="s">
        <v>4614</v>
      </c>
    </row>
    <row r="101" spans="2:4">
      <c r="B101" s="320" t="s">
        <v>4554</v>
      </c>
      <c r="D101" t="s">
        <v>4615</v>
      </c>
    </row>
    <row r="102" spans="2:4" ht="18">
      <c r="B102" s="319" t="s">
        <v>4555</v>
      </c>
    </row>
    <row r="103" spans="2:4">
      <c r="B103" s="320" t="s">
        <v>4556</v>
      </c>
      <c r="D103" t="s">
        <v>4616</v>
      </c>
    </row>
    <row r="104" spans="2:4">
      <c r="B104" s="320" t="s">
        <v>4557</v>
      </c>
      <c r="D104" t="s">
        <v>4600</v>
      </c>
    </row>
    <row r="105" spans="2:4">
      <c r="B105" s="320" t="s">
        <v>4558</v>
      </c>
      <c r="D105" t="s">
        <v>4617</v>
      </c>
    </row>
    <row r="106" spans="2:4">
      <c r="B106" s="320" t="s">
        <v>4559</v>
      </c>
      <c r="D106" t="s">
        <v>4618</v>
      </c>
    </row>
    <row r="107" spans="2:4">
      <c r="B107" s="320" t="s">
        <v>4560</v>
      </c>
      <c r="D107" t="s">
        <v>4619</v>
      </c>
    </row>
    <row r="108" spans="2:4" ht="18">
      <c r="B108" s="319" t="s">
        <v>4561</v>
      </c>
    </row>
    <row r="109" spans="2:4">
      <c r="B109" s="320" t="s">
        <v>4562</v>
      </c>
      <c r="D109" t="s">
        <v>4607</v>
      </c>
    </row>
    <row r="110" spans="2:4">
      <c r="B110" s="320" t="s">
        <v>4563</v>
      </c>
      <c r="D110" t="s">
        <v>4608</v>
      </c>
    </row>
    <row r="111" spans="2:4">
      <c r="B111" s="320" t="s">
        <v>4564</v>
      </c>
      <c r="D111" t="s">
        <v>4610</v>
      </c>
    </row>
    <row r="112" spans="2:4">
      <c r="B112" s="320" t="s">
        <v>4565</v>
      </c>
      <c r="D112" t="s">
        <v>4620</v>
      </c>
    </row>
    <row r="113" spans="2:4">
      <c r="B113" s="320" t="s">
        <v>4566</v>
      </c>
      <c r="D113" s="322" t="s">
        <v>3885</v>
      </c>
    </row>
    <row r="114" spans="2:4">
      <c r="B114" t="s">
        <v>4567</v>
      </c>
      <c r="D114" t="s">
        <v>4621</v>
      </c>
    </row>
    <row r="115" spans="2:4" ht="18">
      <c r="B115" s="319" t="s">
        <v>4568</v>
      </c>
    </row>
    <row r="116" spans="2:4">
      <c r="B116" t="s">
        <v>4569</v>
      </c>
      <c r="D116" t="s">
        <v>4622</v>
      </c>
    </row>
    <row r="117" spans="2:4">
      <c r="B117" t="s">
        <v>4570</v>
      </c>
      <c r="D117" t="s">
        <v>4623</v>
      </c>
    </row>
    <row r="118" spans="2:4" ht="18">
      <c r="B118" s="319" t="s">
        <v>4571</v>
      </c>
    </row>
    <row r="119" spans="2:4">
      <c r="B119" t="s">
        <v>4572</v>
      </c>
      <c r="D119" s="322" t="s">
        <v>3868</v>
      </c>
    </row>
    <row r="120" spans="2:4">
      <c r="B120" t="s">
        <v>4573</v>
      </c>
      <c r="D120" s="322" t="s">
        <v>1861</v>
      </c>
    </row>
    <row r="121" spans="2:4">
      <c r="B121" t="s">
        <v>4574</v>
      </c>
    </row>
    <row r="122" spans="2:4">
      <c r="B122" t="s">
        <v>4575</v>
      </c>
    </row>
    <row r="123" spans="2:4" ht="18">
      <c r="B123" s="321" t="s">
        <v>4576</v>
      </c>
    </row>
    <row r="124" spans="2:4" ht="18">
      <c r="B124" s="319" t="s">
        <v>4577</v>
      </c>
    </row>
    <row r="125" spans="2:4">
      <c r="B125" t="s">
        <v>4578</v>
      </c>
      <c r="D125" t="s">
        <v>4624</v>
      </c>
    </row>
    <row r="126" spans="2:4">
      <c r="B126" t="s">
        <v>4579</v>
      </c>
      <c r="D126" s="322" t="s">
        <v>3863</v>
      </c>
    </row>
    <row r="127" spans="2:4">
      <c r="B127" t="s">
        <v>4580</v>
      </c>
      <c r="D127" s="322" t="s">
        <v>3896</v>
      </c>
    </row>
    <row r="128" spans="2:4">
      <c r="B128" t="s">
        <v>4581</v>
      </c>
      <c r="D128" s="322" t="s">
        <v>3896</v>
      </c>
    </row>
    <row r="129" spans="2:4" ht="18">
      <c r="B129" s="319" t="s">
        <v>4545</v>
      </c>
    </row>
    <row r="130" spans="2:4">
      <c r="B130" t="s">
        <v>4582</v>
      </c>
      <c r="D130" s="322" t="s">
        <v>4625</v>
      </c>
    </row>
    <row r="131" spans="2:4">
      <c r="B131" t="s">
        <v>4583</v>
      </c>
      <c r="D131" s="322" t="s">
        <v>983</v>
      </c>
    </row>
    <row r="132" spans="2:4" ht="18">
      <c r="B132" s="319" t="s">
        <v>4550</v>
      </c>
    </row>
    <row r="133" spans="2:4">
      <c r="B133" t="s">
        <v>4584</v>
      </c>
      <c r="D133" s="322" t="s">
        <v>4626</v>
      </c>
    </row>
    <row r="134" spans="2:4">
      <c r="B134" t="s">
        <v>4585</v>
      </c>
      <c r="D134" s="322" t="s">
        <v>3878</v>
      </c>
    </row>
    <row r="135" spans="2:4" ht="18">
      <c r="B135" s="319" t="s">
        <v>4555</v>
      </c>
    </row>
    <row r="136" spans="2:4">
      <c r="B136" t="s">
        <v>4586</v>
      </c>
      <c r="D136" s="322" t="s">
        <v>3898</v>
      </c>
    </row>
    <row r="137" spans="2:4">
      <c r="B137" t="s">
        <v>4587</v>
      </c>
      <c r="D137" s="322" t="s">
        <v>1866</v>
      </c>
    </row>
    <row r="138" spans="2:4">
      <c r="B138" t="s">
        <v>4588</v>
      </c>
      <c r="D138" s="322" t="s">
        <v>1390</v>
      </c>
    </row>
    <row r="139" spans="2:4" ht="18">
      <c r="B139" s="319" t="s">
        <v>4589</v>
      </c>
    </row>
    <row r="140" spans="2:4">
      <c r="B140" t="s">
        <v>4590</v>
      </c>
      <c r="D140" s="322" t="s">
        <v>3887</v>
      </c>
    </row>
    <row r="141" spans="2:4">
      <c r="B141" t="s">
        <v>4591</v>
      </c>
      <c r="D141" s="322" t="s">
        <v>3889</v>
      </c>
    </row>
    <row r="142" spans="2:4">
      <c r="B142" t="s">
        <v>4592</v>
      </c>
      <c r="D142" s="322" t="s">
        <v>3882</v>
      </c>
    </row>
    <row r="143" spans="2:4">
      <c r="B143" t="s">
        <v>4593</v>
      </c>
      <c r="D143" s="322" t="s">
        <v>3883</v>
      </c>
    </row>
    <row r="144" spans="2:4">
      <c r="B144" t="s">
        <v>4594</v>
      </c>
      <c r="D144" s="322" t="s">
        <v>3892</v>
      </c>
    </row>
    <row r="145" spans="2:4">
      <c r="B145" t="s">
        <v>4595</v>
      </c>
    </row>
    <row r="146" spans="2:4" ht="18">
      <c r="B146" s="319" t="s">
        <v>4571</v>
      </c>
    </row>
    <row r="147" spans="2:4">
      <c r="B147" t="s">
        <v>4596</v>
      </c>
      <c r="D147" s="322" t="s">
        <v>291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F7969-4BDE-4273-956D-CD192426CFFB}">
  <sheetPr codeName="Sheet1">
    <tabColor theme="9" tint="0.79998168889431442"/>
  </sheetPr>
  <dimension ref="A1:D22"/>
  <sheetViews>
    <sheetView topLeftCell="A2" workbookViewId="0"/>
  </sheetViews>
  <sheetFormatPr defaultRowHeight="12.75"/>
  <cols>
    <col min="1" max="1" width="29.85546875" bestFit="1" customWidth="1"/>
    <col min="2" max="2" width="32.42578125" bestFit="1" customWidth="1"/>
    <col min="6" max="6" width="0" hidden="1" customWidth="1"/>
  </cols>
  <sheetData>
    <row r="1" spans="1:4" hidden="1">
      <c r="C1" s="3"/>
      <c r="D1" s="3"/>
    </row>
    <row r="2" spans="1:4">
      <c r="A2" s="7" t="s">
        <v>2121</v>
      </c>
      <c r="C2" s="3"/>
      <c r="D2" s="3"/>
    </row>
    <row r="3" spans="1:4">
      <c r="A3" s="196"/>
      <c r="C3" s="3"/>
      <c r="D3" s="3"/>
    </row>
    <row r="4" spans="1:4">
      <c r="A4" s="230" t="s">
        <v>2123</v>
      </c>
      <c r="B4" t="s">
        <v>2124</v>
      </c>
    </row>
    <row r="5" spans="1:4">
      <c r="A5" s="7" t="s">
        <v>2125</v>
      </c>
      <c r="B5" t="s">
        <v>2126</v>
      </c>
    </row>
    <row r="6" spans="1:4">
      <c r="A6" s="7" t="s">
        <v>2127</v>
      </c>
      <c r="B6" t="s">
        <v>2128</v>
      </c>
    </row>
    <row r="7" spans="1:4">
      <c r="A7" s="7" t="s">
        <v>2129</v>
      </c>
      <c r="B7" t="s">
        <v>2130</v>
      </c>
    </row>
    <row r="8" spans="1:4">
      <c r="A8" s="7" t="s">
        <v>2131</v>
      </c>
      <c r="B8" t="s">
        <v>2132</v>
      </c>
    </row>
    <row r="9" spans="1:4">
      <c r="A9" s="7" t="s">
        <v>2133</v>
      </c>
      <c r="B9" t="s">
        <v>2134</v>
      </c>
    </row>
    <row r="10" spans="1:4">
      <c r="A10" s="7" t="s">
        <v>2135</v>
      </c>
      <c r="B10" t="s">
        <v>2136</v>
      </c>
    </row>
    <row r="11" spans="1:4">
      <c r="A11" s="7" t="s">
        <v>2137</v>
      </c>
      <c r="B11" t="s">
        <v>2138</v>
      </c>
    </row>
    <row r="12" spans="1:4">
      <c r="A12" s="7" t="s">
        <v>2139</v>
      </c>
      <c r="B12" t="s">
        <v>2140</v>
      </c>
    </row>
    <row r="13" spans="1:4">
      <c r="A13" s="7" t="s">
        <v>2141</v>
      </c>
      <c r="B13" t="s">
        <v>2142</v>
      </c>
    </row>
    <row r="14" spans="1:4">
      <c r="A14" s="7" t="s">
        <v>2143</v>
      </c>
      <c r="B14" s="231" t="s">
        <v>2144</v>
      </c>
    </row>
    <row r="15" spans="1:4">
      <c r="A15" s="7" t="s">
        <v>2145</v>
      </c>
      <c r="B15" t="s">
        <v>2146</v>
      </c>
    </row>
    <row r="16" spans="1:4">
      <c r="A16" s="7" t="s">
        <v>2147</v>
      </c>
      <c r="B16" t="s">
        <v>2148</v>
      </c>
    </row>
    <row r="18" spans="1:2">
      <c r="A18" s="7" t="s">
        <v>2122</v>
      </c>
    </row>
    <row r="19" spans="1:2">
      <c r="A19" s="196"/>
    </row>
    <row r="20" spans="1:2">
      <c r="A20" s="230" t="s">
        <v>2149</v>
      </c>
      <c r="B20" t="s">
        <v>2150</v>
      </c>
    </row>
    <row r="21" spans="1:2">
      <c r="A21" s="7" t="s">
        <v>2151</v>
      </c>
      <c r="B21" t="s">
        <v>2152</v>
      </c>
    </row>
    <row r="22" spans="1:2">
      <c r="A22" s="7" t="s">
        <v>2153</v>
      </c>
      <c r="B22" s="3" t="s">
        <v>2154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B914E-9C70-4B32-BC74-C6B3B1051205}">
  <sheetPr codeName="Sheet6">
    <tabColor theme="5" tint="0.79998168889431442"/>
  </sheetPr>
  <dimension ref="A2:Q446"/>
  <sheetViews>
    <sheetView workbookViewId="0">
      <selection activeCell="A23" sqref="A23"/>
    </sheetView>
  </sheetViews>
  <sheetFormatPr defaultColWidth="11.42578125" defaultRowHeight="12.75"/>
  <cols>
    <col min="1" max="1" width="19" style="46" customWidth="1"/>
    <col min="2" max="2" width="11.5703125" style="34" customWidth="1"/>
    <col min="3" max="10" width="11.42578125" style="34"/>
    <col min="11" max="11" width="11.42578125" style="46"/>
    <col min="12" max="16384" width="11.42578125" style="34"/>
  </cols>
  <sheetData>
    <row r="2" spans="1:16" ht="20.25">
      <c r="A2" s="68" t="s">
        <v>831</v>
      </c>
    </row>
    <row r="3" spans="1:16">
      <c r="A3" s="69">
        <v>1938</v>
      </c>
      <c r="B3" s="70">
        <v>19496000</v>
      </c>
      <c r="D3" s="34">
        <f>MATCH(A3,CoinCollection!P1216:P1591,)</f>
        <v>2</v>
      </c>
      <c r="G3" s="69">
        <v>1938</v>
      </c>
      <c r="I3" s="201">
        <v>1869</v>
      </c>
      <c r="J3" s="202"/>
      <c r="K3" s="46">
        <f>IF(J3="",G3,G3&amp;" "&amp;H3)</f>
        <v>1938</v>
      </c>
      <c r="M3" s="46">
        <v>1869</v>
      </c>
      <c r="N3" s="34" t="e">
        <f>MATCH(M3,G:G,0)</f>
        <v>#N/A</v>
      </c>
      <c r="P3" s="46"/>
    </row>
    <row r="4" spans="1:16">
      <c r="A4" s="69" t="s">
        <v>832</v>
      </c>
      <c r="B4" s="70">
        <v>5376000</v>
      </c>
      <c r="D4" s="34">
        <f>MATCH(A4,CoinCollection!P1217:P1592,)</f>
        <v>2</v>
      </c>
      <c r="G4" s="69" t="s">
        <v>224</v>
      </c>
      <c r="I4" s="201">
        <v>1883</v>
      </c>
      <c r="J4" s="202"/>
      <c r="K4" s="46" t="str">
        <f t="shared" ref="K4:K67" si="0">IF(J4="",G4,G4&amp;" "&amp;H4)</f>
        <v>1938 D</v>
      </c>
      <c r="M4" s="46">
        <v>1883</v>
      </c>
      <c r="N4" s="34" t="e">
        <f t="shared" ref="N4:N67" si="1">MATCH(M4,G:G,0)</f>
        <v>#N/A</v>
      </c>
      <c r="P4" s="46"/>
    </row>
    <row r="5" spans="1:16">
      <c r="A5" s="69" t="s">
        <v>833</v>
      </c>
      <c r="B5" s="70">
        <v>4105000</v>
      </c>
      <c r="D5" s="34">
        <f>MATCH(A5,CoinCollection!P1218:P1593,)</f>
        <v>2</v>
      </c>
      <c r="G5" s="69" t="s">
        <v>228</v>
      </c>
      <c r="I5" s="201">
        <v>1889</v>
      </c>
      <c r="J5" s="202"/>
      <c r="K5" s="46" t="str">
        <f t="shared" si="0"/>
        <v>1938 S</v>
      </c>
      <c r="M5" s="46">
        <v>1889</v>
      </c>
      <c r="N5" s="34" t="e">
        <f t="shared" si="1"/>
        <v>#N/A</v>
      </c>
      <c r="P5" s="38" t="s">
        <v>231</v>
      </c>
    </row>
    <row r="6" spans="1:16">
      <c r="A6" s="69">
        <v>1939</v>
      </c>
      <c r="B6" s="70">
        <v>120615000</v>
      </c>
      <c r="D6" s="34">
        <f>MATCH(A6,CoinCollection!P1219:P1594,)</f>
        <v>2</v>
      </c>
      <c r="G6" s="69">
        <v>1939</v>
      </c>
      <c r="I6" s="201">
        <v>1890</v>
      </c>
      <c r="J6" s="202"/>
      <c r="K6" s="46">
        <f t="shared" si="0"/>
        <v>1939</v>
      </c>
      <c r="M6" s="46">
        <v>1890</v>
      </c>
      <c r="N6" s="34" t="e">
        <f t="shared" si="1"/>
        <v>#N/A</v>
      </c>
      <c r="P6" s="46" t="s">
        <v>95</v>
      </c>
    </row>
    <row r="7" spans="1:16">
      <c r="A7" s="69" t="s">
        <v>834</v>
      </c>
      <c r="B7" s="70">
        <v>3514000</v>
      </c>
      <c r="D7" s="34">
        <f>MATCH(A7,CoinCollection!P1220:P1595,)</f>
        <v>3</v>
      </c>
      <c r="G7" s="69" t="s">
        <v>233</v>
      </c>
      <c r="I7" s="201">
        <v>1893</v>
      </c>
      <c r="J7" s="202"/>
      <c r="K7" s="46" t="str">
        <f t="shared" si="0"/>
        <v>1939 D</v>
      </c>
      <c r="M7" s="46">
        <v>1893</v>
      </c>
      <c r="N7" s="34" t="e">
        <f t="shared" si="1"/>
        <v>#N/A</v>
      </c>
      <c r="P7" s="46" t="s">
        <v>103</v>
      </c>
    </row>
    <row r="8" spans="1:16">
      <c r="A8" s="69" t="s">
        <v>835</v>
      </c>
      <c r="B8" s="70">
        <v>6630000</v>
      </c>
      <c r="D8" s="34">
        <f>MATCH(A8,CoinCollection!P1221:P1596,)</f>
        <v>3</v>
      </c>
      <c r="G8" s="69" t="s">
        <v>235</v>
      </c>
      <c r="I8" s="201">
        <v>1896</v>
      </c>
      <c r="J8" s="202"/>
      <c r="K8" s="46" t="str">
        <f t="shared" si="0"/>
        <v>1939 S</v>
      </c>
      <c r="M8" s="46">
        <v>1896</v>
      </c>
      <c r="N8" s="34" t="e">
        <f t="shared" si="1"/>
        <v>#N/A</v>
      </c>
      <c r="P8" s="46" t="s">
        <v>109</v>
      </c>
    </row>
    <row r="9" spans="1:16">
      <c r="A9" s="69">
        <v>1940</v>
      </c>
      <c r="B9" s="70">
        <v>176485000</v>
      </c>
      <c r="D9" s="34">
        <f>MATCH(A9,CoinCollection!P1222:P1597,)</f>
        <v>3</v>
      </c>
      <c r="G9" s="69">
        <v>1940</v>
      </c>
      <c r="I9" s="201">
        <v>1897</v>
      </c>
      <c r="J9" s="202"/>
      <c r="K9" s="46">
        <f t="shared" si="0"/>
        <v>1940</v>
      </c>
      <c r="M9" s="46">
        <v>1897</v>
      </c>
      <c r="N9" s="34" t="e">
        <f t="shared" si="1"/>
        <v>#N/A</v>
      </c>
      <c r="P9" s="46" t="s">
        <v>116</v>
      </c>
    </row>
    <row r="10" spans="1:16">
      <c r="A10" s="69" t="s">
        <v>836</v>
      </c>
      <c r="B10" s="70">
        <v>43540000</v>
      </c>
      <c r="D10" s="34">
        <f>MATCH(A10,CoinCollection!P1223:P1598,)</f>
        <v>8</v>
      </c>
      <c r="G10" s="69" t="s">
        <v>466</v>
      </c>
      <c r="I10" s="201">
        <v>1901</v>
      </c>
      <c r="J10" s="202"/>
      <c r="K10" s="46" t="str">
        <f t="shared" si="0"/>
        <v>1940 D</v>
      </c>
      <c r="M10" s="46">
        <v>1901</v>
      </c>
      <c r="N10" s="34" t="e">
        <f t="shared" si="1"/>
        <v>#N/A</v>
      </c>
      <c r="P10" s="46" t="s">
        <v>121</v>
      </c>
    </row>
    <row r="11" spans="1:16">
      <c r="A11" s="69" t="s">
        <v>837</v>
      </c>
      <c r="B11" s="70">
        <v>39690000</v>
      </c>
      <c r="D11" s="34">
        <f>MATCH(A11,CoinCollection!P1224:P1599,)</f>
        <v>9</v>
      </c>
      <c r="G11" s="69" t="s">
        <v>238</v>
      </c>
      <c r="I11" s="201">
        <v>1902</v>
      </c>
      <c r="J11" s="202"/>
      <c r="K11" s="46" t="str">
        <f t="shared" si="0"/>
        <v>1940 S</v>
      </c>
      <c r="M11" s="46">
        <v>1902</v>
      </c>
      <c r="N11" s="34" t="e">
        <f t="shared" si="1"/>
        <v>#N/A</v>
      </c>
      <c r="P11" s="46"/>
    </row>
    <row r="12" spans="1:16">
      <c r="A12" s="69">
        <v>1941</v>
      </c>
      <c r="B12" s="70">
        <v>203265000</v>
      </c>
      <c r="D12" s="34">
        <f>MATCH(A12,CoinCollection!P1225:P1600,)</f>
        <v>9</v>
      </c>
      <c r="G12" s="69">
        <v>1941</v>
      </c>
      <c r="I12" s="201">
        <v>1902</v>
      </c>
      <c r="J12" s="202"/>
      <c r="K12" s="46">
        <f t="shared" si="0"/>
        <v>1941</v>
      </c>
      <c r="M12" s="46">
        <v>1902</v>
      </c>
      <c r="N12" s="34" t="e">
        <f t="shared" si="1"/>
        <v>#N/A</v>
      </c>
      <c r="P12" s="46"/>
    </row>
    <row r="13" spans="1:16">
      <c r="A13" s="69" t="s">
        <v>838</v>
      </c>
      <c r="B13" s="70">
        <v>53432000</v>
      </c>
      <c r="D13" s="34">
        <f>MATCH(A13,CoinCollection!P1226:P1601,)</f>
        <v>12</v>
      </c>
      <c r="G13" s="69" t="s">
        <v>475</v>
      </c>
      <c r="I13" s="201">
        <v>1903</v>
      </c>
      <c r="J13" s="202"/>
      <c r="K13" s="46" t="str">
        <f t="shared" si="0"/>
        <v>1941 D</v>
      </c>
      <c r="M13" s="46">
        <v>1903</v>
      </c>
      <c r="N13" s="34" t="e">
        <f t="shared" si="1"/>
        <v>#N/A</v>
      </c>
      <c r="P13" s="46"/>
    </row>
    <row r="14" spans="1:16">
      <c r="A14" s="69" t="s">
        <v>839</v>
      </c>
      <c r="B14" s="70">
        <v>43445000</v>
      </c>
      <c r="D14" s="34">
        <f>MATCH(A14,CoinCollection!P1227:P1602,)</f>
        <v>13</v>
      </c>
      <c r="G14" s="69" t="s">
        <v>86</v>
      </c>
      <c r="I14" s="201">
        <v>1903</v>
      </c>
      <c r="J14" s="202"/>
      <c r="K14" s="46" t="str">
        <f t="shared" si="0"/>
        <v>1941 S</v>
      </c>
      <c r="M14" s="46">
        <v>1903</v>
      </c>
      <c r="N14" s="34" t="e">
        <f t="shared" si="1"/>
        <v>#N/A</v>
      </c>
      <c r="P14" s="46"/>
    </row>
    <row r="15" spans="1:16">
      <c r="A15" s="69">
        <v>1942</v>
      </c>
      <c r="B15" s="70">
        <v>49789000</v>
      </c>
      <c r="D15" s="34">
        <f>MATCH(A15,CoinCollection!P1228:P1603,)</f>
        <v>13</v>
      </c>
      <c r="G15" s="69">
        <v>1942</v>
      </c>
      <c r="I15" s="201">
        <v>1904</v>
      </c>
      <c r="J15" s="202"/>
      <c r="K15" s="46">
        <f t="shared" si="0"/>
        <v>1942</v>
      </c>
      <c r="M15" s="46">
        <v>1904</v>
      </c>
      <c r="N15" s="34" t="e">
        <f t="shared" si="1"/>
        <v>#N/A</v>
      </c>
      <c r="P15" s="46"/>
    </row>
    <row r="16" spans="1:16">
      <c r="A16" s="69" t="s">
        <v>840</v>
      </c>
      <c r="B16" s="70">
        <v>13938000</v>
      </c>
      <c r="D16" s="34">
        <f>MATCH(A16,CoinCollection!P1229:P1604,)</f>
        <v>13</v>
      </c>
      <c r="G16" s="69" t="s">
        <v>92</v>
      </c>
      <c r="I16" s="201">
        <v>1905</v>
      </c>
      <c r="J16" s="202"/>
      <c r="K16" s="46" t="str">
        <f t="shared" si="0"/>
        <v>1942 D</v>
      </c>
      <c r="M16" s="46">
        <v>1905</v>
      </c>
      <c r="N16" s="34" t="e">
        <f t="shared" si="1"/>
        <v>#N/A</v>
      </c>
    </row>
    <row r="17" spans="1:14">
      <c r="A17" s="69" t="s">
        <v>841</v>
      </c>
      <c r="B17" s="70">
        <v>57873000</v>
      </c>
      <c r="C17" s="34" t="s">
        <v>842</v>
      </c>
      <c r="D17" s="34" t="e">
        <f>MATCH(A17,CoinCollection!P1230:P1605,)</f>
        <v>#N/A</v>
      </c>
      <c r="G17" s="69" t="s">
        <v>89</v>
      </c>
      <c r="I17" s="201">
        <v>1905</v>
      </c>
      <c r="J17" s="202"/>
      <c r="K17" s="46" t="str">
        <f t="shared" si="0"/>
        <v>1942 P</v>
      </c>
      <c r="M17" s="46">
        <v>1905</v>
      </c>
      <c r="N17" s="34" t="e">
        <f t="shared" si="1"/>
        <v>#N/A</v>
      </c>
    </row>
    <row r="18" spans="1:14">
      <c r="A18" s="69" t="s">
        <v>843</v>
      </c>
      <c r="B18" s="70">
        <v>32900000</v>
      </c>
      <c r="C18" s="34" t="s">
        <v>842</v>
      </c>
      <c r="D18" s="34">
        <f>MATCH(A18,CoinCollection!P1231:P1606,)</f>
        <v>12</v>
      </c>
      <c r="G18" s="69" t="s">
        <v>97</v>
      </c>
      <c r="I18" s="201">
        <v>1906</v>
      </c>
      <c r="J18" s="202"/>
      <c r="K18" s="46" t="str">
        <f t="shared" si="0"/>
        <v>1942 S</v>
      </c>
      <c r="M18" s="46">
        <v>1906</v>
      </c>
      <c r="N18" s="34" t="e">
        <f t="shared" si="1"/>
        <v>#N/A</v>
      </c>
    </row>
    <row r="19" spans="1:14">
      <c r="A19" s="69" t="s">
        <v>844</v>
      </c>
      <c r="B19" s="70">
        <v>271165000</v>
      </c>
      <c r="C19" s="34" t="s">
        <v>842</v>
      </c>
      <c r="D19" s="34">
        <f>MATCH(A19,CoinCollection!P1232:P1607,)</f>
        <v>12</v>
      </c>
      <c r="G19" s="69" t="s">
        <v>104</v>
      </c>
      <c r="I19" s="201">
        <v>1907</v>
      </c>
      <c r="J19" s="202"/>
      <c r="K19" s="46" t="str">
        <f t="shared" si="0"/>
        <v>1943 P</v>
      </c>
      <c r="M19" s="46">
        <v>1907</v>
      </c>
      <c r="N19" s="34" t="e">
        <f t="shared" si="1"/>
        <v>#N/A</v>
      </c>
    </row>
    <row r="20" spans="1:14">
      <c r="A20" s="69" t="s">
        <v>845</v>
      </c>
      <c r="B20" s="70">
        <v>15294000</v>
      </c>
      <c r="C20" s="34" t="s">
        <v>842</v>
      </c>
      <c r="D20" s="34">
        <f>MATCH(A20,CoinCollection!P1233:P1608,)</f>
        <v>12</v>
      </c>
      <c r="G20" s="69" t="s">
        <v>107</v>
      </c>
      <c r="I20" s="201">
        <v>1907</v>
      </c>
      <c r="J20" s="202"/>
      <c r="K20" s="46" t="str">
        <f t="shared" si="0"/>
        <v>1943 D</v>
      </c>
      <c r="M20" s="46">
        <v>1907</v>
      </c>
      <c r="N20" s="34" t="e">
        <f t="shared" si="1"/>
        <v>#N/A</v>
      </c>
    </row>
    <row r="21" spans="1:14">
      <c r="A21" s="69" t="s">
        <v>846</v>
      </c>
      <c r="B21" s="70">
        <v>104060000</v>
      </c>
      <c r="C21" s="34" t="s">
        <v>842</v>
      </c>
      <c r="D21" s="34" t="e">
        <f>MATCH(A21,CoinCollection!P1234:P1609,)</f>
        <v>#N/A</v>
      </c>
      <c r="G21" s="69" t="s">
        <v>122</v>
      </c>
      <c r="I21" s="201">
        <v>1908</v>
      </c>
      <c r="J21" s="202"/>
      <c r="K21" s="46" t="str">
        <f t="shared" si="0"/>
        <v>1943 S</v>
      </c>
      <c r="M21" s="46">
        <v>1908</v>
      </c>
      <c r="N21" s="34" t="e">
        <f t="shared" si="1"/>
        <v>#N/A</v>
      </c>
    </row>
    <row r="22" spans="1:14">
      <c r="A22" s="69" t="s">
        <v>847</v>
      </c>
      <c r="B22" s="70">
        <v>119150000</v>
      </c>
      <c r="C22" s="34" t="s">
        <v>842</v>
      </c>
      <c r="D22" s="34">
        <f>MATCH(A22,CoinCollection!P1235:P1610,)</f>
        <v>12</v>
      </c>
      <c r="G22" s="69" t="s">
        <v>480</v>
      </c>
      <c r="I22" s="201">
        <v>1908</v>
      </c>
      <c r="J22" s="202"/>
      <c r="K22" s="46" t="str">
        <f t="shared" si="0"/>
        <v>1944 P</v>
      </c>
      <c r="M22" s="46">
        <v>1908</v>
      </c>
      <c r="N22" s="34" t="e">
        <f t="shared" si="1"/>
        <v>#N/A</v>
      </c>
    </row>
    <row r="23" spans="1:14">
      <c r="A23" s="232" t="s">
        <v>848</v>
      </c>
      <c r="B23" s="70">
        <v>32309000</v>
      </c>
      <c r="C23" s="34" t="s">
        <v>842</v>
      </c>
      <c r="D23" s="34">
        <f>MATCH(A23,CoinCollection!P1236:P1611,)</f>
        <v>12</v>
      </c>
      <c r="G23" s="69" t="s">
        <v>126</v>
      </c>
      <c r="I23" s="201">
        <v>1909</v>
      </c>
      <c r="J23" s="202"/>
      <c r="K23" s="46" t="str">
        <f t="shared" si="0"/>
        <v>1944 D</v>
      </c>
      <c r="M23" s="46">
        <v>1909</v>
      </c>
      <c r="N23" s="34" t="e">
        <f t="shared" si="1"/>
        <v>#N/A</v>
      </c>
    </row>
    <row r="24" spans="1:14">
      <c r="A24" s="69" t="s">
        <v>849</v>
      </c>
      <c r="B24" s="70">
        <v>21640000</v>
      </c>
      <c r="C24" s="34" t="s">
        <v>842</v>
      </c>
      <c r="D24" s="34">
        <f>MATCH(A24,CoinCollection!P1237:P1612,)</f>
        <v>13</v>
      </c>
      <c r="G24" s="69" t="s">
        <v>130</v>
      </c>
      <c r="I24" s="201">
        <v>1909</v>
      </c>
      <c r="J24" s="202"/>
      <c r="K24" s="46" t="str">
        <f t="shared" si="0"/>
        <v>1944 S</v>
      </c>
      <c r="M24" s="46">
        <v>1909</v>
      </c>
      <c r="N24" s="34" t="e">
        <f t="shared" si="1"/>
        <v>#N/A</v>
      </c>
    </row>
    <row r="25" spans="1:14">
      <c r="A25" s="69" t="s">
        <v>850</v>
      </c>
      <c r="B25" s="70">
        <v>119408100</v>
      </c>
      <c r="C25" s="34" t="s">
        <v>842</v>
      </c>
      <c r="D25" s="34">
        <f>MATCH(A25,CoinCollection!P1238:P1613,)</f>
        <v>15</v>
      </c>
      <c r="G25" s="69" t="s">
        <v>134</v>
      </c>
      <c r="I25" s="201">
        <v>1910</v>
      </c>
      <c r="J25" s="202"/>
      <c r="K25" s="46" t="str">
        <f t="shared" si="0"/>
        <v>1945 P</v>
      </c>
      <c r="M25" s="46">
        <v>1910</v>
      </c>
      <c r="N25" s="34" t="e">
        <f t="shared" si="1"/>
        <v>#N/A</v>
      </c>
    </row>
    <row r="26" spans="1:14">
      <c r="A26" s="69" t="s">
        <v>851</v>
      </c>
      <c r="B26" s="70">
        <v>37158000</v>
      </c>
      <c r="C26" s="34" t="s">
        <v>842</v>
      </c>
      <c r="D26" s="34">
        <f>MATCH(A26,CoinCollection!P1239:P1614,)</f>
        <v>13</v>
      </c>
      <c r="G26" s="69" t="s">
        <v>139</v>
      </c>
      <c r="I26" s="201">
        <v>1910</v>
      </c>
      <c r="J26" s="202"/>
      <c r="K26" s="46" t="str">
        <f t="shared" si="0"/>
        <v>1945 D</v>
      </c>
      <c r="M26" s="46">
        <v>1910</v>
      </c>
      <c r="N26" s="34" t="e">
        <f t="shared" si="1"/>
        <v>#N/A</v>
      </c>
    </row>
    <row r="27" spans="1:14">
      <c r="A27" s="69" t="s">
        <v>852</v>
      </c>
      <c r="B27" s="70">
        <v>58939000</v>
      </c>
      <c r="D27" s="34">
        <f>MATCH(A27,CoinCollection!P1240:P1615,)</f>
        <v>11</v>
      </c>
      <c r="G27" s="69" t="s">
        <v>142</v>
      </c>
      <c r="I27" s="201">
        <v>1910</v>
      </c>
      <c r="J27" s="202"/>
      <c r="K27" s="46" t="str">
        <f t="shared" si="0"/>
        <v>1945 S</v>
      </c>
      <c r="M27" s="46">
        <v>1910</v>
      </c>
      <c r="N27" s="34" t="e">
        <f t="shared" si="1"/>
        <v>#N/A</v>
      </c>
    </row>
    <row r="28" spans="1:14">
      <c r="A28" s="69">
        <v>1946</v>
      </c>
      <c r="B28" s="70">
        <v>161116000</v>
      </c>
      <c r="D28" s="34">
        <f>MATCH(A28,CoinCollection!P1241:P1616,)</f>
        <v>13</v>
      </c>
      <c r="G28" s="69">
        <v>1946</v>
      </c>
      <c r="I28" s="201">
        <v>1911</v>
      </c>
      <c r="J28" s="202"/>
      <c r="K28" s="46">
        <f t="shared" si="0"/>
        <v>1946</v>
      </c>
      <c r="M28" s="46">
        <v>1911</v>
      </c>
      <c r="N28" s="34" t="e">
        <f t="shared" si="1"/>
        <v>#N/A</v>
      </c>
    </row>
    <row r="29" spans="1:14">
      <c r="A29" s="69" t="s">
        <v>853</v>
      </c>
      <c r="B29" s="70">
        <v>45292200</v>
      </c>
      <c r="D29" s="34">
        <f>MATCH(A29,CoinCollection!P1242:P1617,)</f>
        <v>23</v>
      </c>
      <c r="G29" s="69" t="s">
        <v>147</v>
      </c>
      <c r="I29" s="201">
        <v>1912</v>
      </c>
      <c r="J29" s="202"/>
      <c r="K29" s="46" t="str">
        <f t="shared" si="0"/>
        <v>1946 D</v>
      </c>
      <c r="M29" s="46">
        <v>1912</v>
      </c>
      <c r="N29" s="34" t="e">
        <f t="shared" si="1"/>
        <v>#N/A</v>
      </c>
    </row>
    <row r="30" spans="1:14">
      <c r="A30" s="69" t="s">
        <v>854</v>
      </c>
      <c r="B30" s="70">
        <v>13560000</v>
      </c>
      <c r="D30" s="34">
        <f>MATCH(A30,CoinCollection!P1243:P1618,)</f>
        <v>21</v>
      </c>
      <c r="G30" s="69" t="s">
        <v>152</v>
      </c>
      <c r="I30" s="201">
        <v>1912</v>
      </c>
      <c r="J30" s="202"/>
      <c r="K30" s="46" t="str">
        <f t="shared" si="0"/>
        <v>1946 S</v>
      </c>
      <c r="M30" s="46">
        <v>1912</v>
      </c>
      <c r="N30" s="34" t="e">
        <f t="shared" si="1"/>
        <v>#N/A</v>
      </c>
    </row>
    <row r="31" spans="1:14">
      <c r="A31" s="69">
        <v>1947</v>
      </c>
      <c r="B31" s="70">
        <v>95000000</v>
      </c>
      <c r="D31" s="34">
        <f>MATCH(A31,CoinCollection!P1244:P1619,)</f>
        <v>22</v>
      </c>
      <c r="G31" s="69">
        <v>1947</v>
      </c>
      <c r="I31" s="201">
        <v>1912</v>
      </c>
      <c r="J31" s="202"/>
      <c r="K31" s="46">
        <f t="shared" si="0"/>
        <v>1947</v>
      </c>
      <c r="M31" s="46">
        <v>1912</v>
      </c>
      <c r="N31" s="34" t="e">
        <f t="shared" si="1"/>
        <v>#N/A</v>
      </c>
    </row>
    <row r="32" spans="1:14">
      <c r="A32" s="69" t="s">
        <v>855</v>
      </c>
      <c r="B32" s="70">
        <v>37822000</v>
      </c>
      <c r="D32" s="34">
        <f>MATCH(A32,CoinCollection!P1245:P1620,)</f>
        <v>22</v>
      </c>
      <c r="G32" s="69" t="s">
        <v>157</v>
      </c>
      <c r="I32" s="201">
        <v>1913</v>
      </c>
      <c r="J32" s="202"/>
      <c r="K32" s="46" t="str">
        <f t="shared" si="0"/>
        <v>1947 D</v>
      </c>
      <c r="M32" s="46">
        <v>1913</v>
      </c>
      <c r="N32" s="34" t="e">
        <f t="shared" si="1"/>
        <v>#N/A</v>
      </c>
    </row>
    <row r="33" spans="1:14">
      <c r="A33" s="69" t="s">
        <v>856</v>
      </c>
      <c r="B33" s="70">
        <v>24720000</v>
      </c>
      <c r="D33" s="34" t="e">
        <f>MATCH(A33,CoinCollection!P1246:P1621,)</f>
        <v>#N/A</v>
      </c>
      <c r="G33" s="69" t="s">
        <v>162</v>
      </c>
      <c r="I33" s="201">
        <v>1916</v>
      </c>
      <c r="J33" s="202"/>
      <c r="K33" s="46" t="str">
        <f t="shared" si="0"/>
        <v>1947 S</v>
      </c>
      <c r="M33" s="46">
        <v>1916</v>
      </c>
      <c r="N33" s="34" t="e">
        <f t="shared" si="1"/>
        <v>#N/A</v>
      </c>
    </row>
    <row r="34" spans="1:14">
      <c r="A34" s="69">
        <v>1948</v>
      </c>
      <c r="B34" s="70">
        <v>89348000</v>
      </c>
      <c r="D34" s="34">
        <f>MATCH(A34,CoinCollection!P1247:P1622,)</f>
        <v>22</v>
      </c>
      <c r="G34" s="69">
        <v>1948</v>
      </c>
      <c r="I34" s="201">
        <v>1917</v>
      </c>
      <c r="J34" s="202"/>
      <c r="K34" s="46">
        <f t="shared" si="0"/>
        <v>1948</v>
      </c>
      <c r="M34" s="46">
        <v>1917</v>
      </c>
      <c r="N34" s="34" t="e">
        <f t="shared" si="1"/>
        <v>#N/A</v>
      </c>
    </row>
    <row r="35" spans="1:14">
      <c r="A35" s="69" t="s">
        <v>857</v>
      </c>
      <c r="B35" s="70">
        <v>44734000</v>
      </c>
      <c r="D35" s="34">
        <f>MATCH(A35,CoinCollection!P1248:P1623,)</f>
        <v>22</v>
      </c>
      <c r="G35" s="69" t="s">
        <v>167</v>
      </c>
      <c r="I35" s="201">
        <v>1920</v>
      </c>
      <c r="J35" s="202"/>
      <c r="K35" s="46" t="str">
        <f t="shared" si="0"/>
        <v>1948 D</v>
      </c>
      <c r="M35" s="46">
        <v>1920</v>
      </c>
      <c r="N35" s="34" t="e">
        <f t="shared" si="1"/>
        <v>#N/A</v>
      </c>
    </row>
    <row r="36" spans="1:14">
      <c r="A36" s="69" t="s">
        <v>858</v>
      </c>
      <c r="B36" s="70">
        <v>11300000</v>
      </c>
      <c r="D36" s="34">
        <f>MATCH(A36,CoinCollection!P1249:P1624,)</f>
        <v>22</v>
      </c>
      <c r="G36" s="69" t="s">
        <v>172</v>
      </c>
      <c r="I36" s="199">
        <v>1920</v>
      </c>
      <c r="J36" s="198"/>
      <c r="K36" s="46" t="str">
        <f t="shared" si="0"/>
        <v>1948 S</v>
      </c>
      <c r="M36" s="46">
        <v>1920</v>
      </c>
      <c r="N36" s="34" t="e">
        <f t="shared" si="1"/>
        <v>#N/A</v>
      </c>
    </row>
    <row r="37" spans="1:14">
      <c r="A37" s="69">
        <v>1949</v>
      </c>
      <c r="B37" s="70">
        <v>60652000</v>
      </c>
      <c r="D37" s="34">
        <f>MATCH(A37,CoinCollection!P1250:P1625,)</f>
        <v>22</v>
      </c>
      <c r="G37" s="69">
        <v>1949</v>
      </c>
      <c r="I37" s="201">
        <v>1921</v>
      </c>
      <c r="J37" s="202"/>
      <c r="K37" s="46">
        <f t="shared" si="0"/>
        <v>1949</v>
      </c>
      <c r="M37" s="46">
        <v>1921</v>
      </c>
      <c r="N37" s="34" t="e">
        <f t="shared" si="1"/>
        <v>#N/A</v>
      </c>
    </row>
    <row r="38" spans="1:14">
      <c r="A38" s="69" t="s">
        <v>859</v>
      </c>
      <c r="B38" s="70">
        <v>36498000</v>
      </c>
      <c r="D38" s="34">
        <f>MATCH(A38,CoinCollection!P1251:P1626,)</f>
        <v>22</v>
      </c>
      <c r="G38" s="69" t="s">
        <v>65</v>
      </c>
      <c r="I38" s="201">
        <v>1923</v>
      </c>
      <c r="J38" s="202"/>
      <c r="K38" s="46" t="str">
        <f t="shared" si="0"/>
        <v>1949 D</v>
      </c>
      <c r="M38" s="46">
        <v>1923</v>
      </c>
      <c r="N38" s="34" t="e">
        <f t="shared" si="1"/>
        <v>#N/A</v>
      </c>
    </row>
    <row r="39" spans="1:14">
      <c r="A39" s="69" t="s">
        <v>860</v>
      </c>
      <c r="B39" s="70">
        <v>9716000</v>
      </c>
      <c r="D39" s="34">
        <f>MATCH(A39,CoinCollection!P1252:P1627,)</f>
        <v>22</v>
      </c>
      <c r="G39" s="69" t="s">
        <v>67</v>
      </c>
      <c r="I39" s="199">
        <v>1923</v>
      </c>
      <c r="J39" s="198"/>
      <c r="K39" s="46" t="str">
        <f t="shared" si="0"/>
        <v>1949 S</v>
      </c>
      <c r="M39" s="46">
        <v>1923</v>
      </c>
      <c r="N39" s="34" t="e">
        <f t="shared" si="1"/>
        <v>#N/A</v>
      </c>
    </row>
    <row r="40" spans="1:14">
      <c r="A40" s="69">
        <v>1950</v>
      </c>
      <c r="B40" s="70">
        <v>9796000</v>
      </c>
      <c r="D40" s="34">
        <f>MATCH(A40,CoinCollection!P1253:P1628,)</f>
        <v>22</v>
      </c>
      <c r="G40" s="69">
        <v>1950</v>
      </c>
      <c r="I40" s="201">
        <v>1924</v>
      </c>
      <c r="J40" s="202"/>
      <c r="K40" s="46">
        <f t="shared" si="0"/>
        <v>1950</v>
      </c>
      <c r="M40" s="46">
        <v>1924</v>
      </c>
      <c r="N40" s="34" t="e">
        <f t="shared" si="1"/>
        <v>#N/A</v>
      </c>
    </row>
    <row r="41" spans="1:14">
      <c r="A41" s="69" t="s">
        <v>861</v>
      </c>
      <c r="B41" s="70">
        <v>2630030</v>
      </c>
      <c r="D41" s="34">
        <f>MATCH(A41,CoinCollection!P1254:P1629,)</f>
        <v>22</v>
      </c>
      <c r="G41" s="69" t="s">
        <v>188</v>
      </c>
      <c r="I41" s="199">
        <v>1924</v>
      </c>
      <c r="J41" s="198"/>
      <c r="K41" s="46" t="str">
        <f t="shared" si="0"/>
        <v>1950 D</v>
      </c>
      <c r="M41" s="46">
        <v>1924</v>
      </c>
      <c r="N41" s="34" t="e">
        <f t="shared" si="1"/>
        <v>#N/A</v>
      </c>
    </row>
    <row r="42" spans="1:14">
      <c r="A42" s="69">
        <v>1951</v>
      </c>
      <c r="B42" s="70">
        <v>28552000</v>
      </c>
      <c r="D42" s="34">
        <f>MATCH(A42,CoinCollection!P1255:P1630,)</f>
        <v>23</v>
      </c>
      <c r="G42" s="69">
        <v>1951</v>
      </c>
      <c r="I42" s="201">
        <v>1925</v>
      </c>
      <c r="J42" s="202"/>
      <c r="K42" s="46">
        <f t="shared" si="0"/>
        <v>1951</v>
      </c>
      <c r="M42" s="46">
        <v>1925</v>
      </c>
      <c r="N42" s="34" t="e">
        <f t="shared" si="1"/>
        <v>#N/A</v>
      </c>
    </row>
    <row r="43" spans="1:14">
      <c r="A43" s="69" t="s">
        <v>862</v>
      </c>
      <c r="B43" s="70">
        <v>20460000</v>
      </c>
      <c r="D43" s="34">
        <f>MATCH(A43,CoinCollection!P1256:P1631,)</f>
        <v>21</v>
      </c>
      <c r="G43" s="232" t="s">
        <v>254</v>
      </c>
      <c r="I43" s="201">
        <v>1926</v>
      </c>
      <c r="J43" s="202"/>
      <c r="K43" s="46" t="str">
        <f t="shared" si="0"/>
        <v>1951 D</v>
      </c>
      <c r="M43" s="46">
        <v>1926</v>
      </c>
      <c r="N43" s="34" t="e">
        <f t="shared" si="1"/>
        <v>#N/A</v>
      </c>
    </row>
    <row r="44" spans="1:14">
      <c r="A44" s="69" t="s">
        <v>863</v>
      </c>
      <c r="B44" s="70">
        <v>7776000</v>
      </c>
      <c r="D44" s="34">
        <f>MATCH(A44,CoinCollection!P1257:P1632,)</f>
        <v>22</v>
      </c>
      <c r="G44" s="69" t="s">
        <v>197</v>
      </c>
      <c r="I44" s="201">
        <v>1926</v>
      </c>
      <c r="J44" s="202"/>
      <c r="K44" s="46" t="str">
        <f t="shared" si="0"/>
        <v>1951 S</v>
      </c>
      <c r="M44" s="46">
        <v>1926</v>
      </c>
      <c r="N44" s="34" t="e">
        <f t="shared" si="1"/>
        <v>#N/A</v>
      </c>
    </row>
    <row r="45" spans="1:14">
      <c r="A45" s="69">
        <v>1952</v>
      </c>
      <c r="B45" s="70">
        <v>63988000</v>
      </c>
      <c r="D45" s="34">
        <f>MATCH(A45,CoinCollection!P1258:P1633,)</f>
        <v>22</v>
      </c>
      <c r="G45" s="69">
        <v>1952</v>
      </c>
      <c r="I45" s="201">
        <v>1927</v>
      </c>
      <c r="J45" s="202"/>
      <c r="K45" s="46">
        <f t="shared" si="0"/>
        <v>1952</v>
      </c>
      <c r="M45" s="46">
        <v>1927</v>
      </c>
      <c r="N45" s="34" t="e">
        <f t="shared" si="1"/>
        <v>#N/A</v>
      </c>
    </row>
    <row r="46" spans="1:14">
      <c r="A46" s="69" t="s">
        <v>864</v>
      </c>
      <c r="B46" s="70">
        <v>30638000</v>
      </c>
      <c r="D46" s="34" t="e">
        <f>MATCH(A46,CoinCollection!P1259:P1634,)</f>
        <v>#N/A</v>
      </c>
      <c r="G46" s="69" t="s">
        <v>70</v>
      </c>
      <c r="I46" s="201">
        <v>1927</v>
      </c>
      <c r="J46" s="202"/>
      <c r="K46" s="46" t="str">
        <f t="shared" si="0"/>
        <v>1952 D</v>
      </c>
      <c r="M46" s="46">
        <v>1927</v>
      </c>
      <c r="N46" s="34" t="e">
        <f t="shared" si="1"/>
        <v>#N/A</v>
      </c>
    </row>
    <row r="47" spans="1:14">
      <c r="A47" s="69" t="s">
        <v>865</v>
      </c>
      <c r="B47" s="70">
        <v>20572000</v>
      </c>
      <c r="D47" s="34">
        <f>MATCH(A47,CoinCollection!P1260:P1635,)</f>
        <v>23</v>
      </c>
      <c r="G47" s="69" t="s">
        <v>73</v>
      </c>
      <c r="I47" s="201">
        <v>1928</v>
      </c>
      <c r="J47" s="202"/>
      <c r="K47" s="46" t="str">
        <f t="shared" si="0"/>
        <v>1952 S</v>
      </c>
      <c r="M47" s="46">
        <v>1928</v>
      </c>
      <c r="N47" s="34" t="e">
        <f t="shared" si="1"/>
        <v>#N/A</v>
      </c>
    </row>
    <row r="48" spans="1:14">
      <c r="A48" s="69">
        <v>1953</v>
      </c>
      <c r="B48" s="70">
        <v>46644000</v>
      </c>
      <c r="D48" s="34">
        <f>MATCH(A48,CoinCollection!P1261:P1636,)</f>
        <v>23</v>
      </c>
      <c r="G48" s="69">
        <v>1953</v>
      </c>
      <c r="I48" s="201">
        <v>1928</v>
      </c>
      <c r="J48" s="202" t="s">
        <v>12</v>
      </c>
      <c r="K48" s="46" t="str">
        <f t="shared" si="0"/>
        <v xml:space="preserve">1953 </v>
      </c>
      <c r="M48" s="46" t="s">
        <v>180</v>
      </c>
      <c r="N48" s="34" t="e">
        <f t="shared" si="1"/>
        <v>#N/A</v>
      </c>
    </row>
    <row r="49" spans="1:14">
      <c r="A49" s="69" t="s">
        <v>866</v>
      </c>
      <c r="B49" s="70">
        <v>59878600</v>
      </c>
      <c r="D49" s="34">
        <f>MATCH(A49,CoinCollection!P1262:P1637,)</f>
        <v>23</v>
      </c>
      <c r="G49" s="69" t="s">
        <v>212</v>
      </c>
      <c r="I49" s="201">
        <v>1928</v>
      </c>
      <c r="J49" s="202"/>
      <c r="K49" s="46" t="str">
        <f t="shared" si="0"/>
        <v>1953 D</v>
      </c>
      <c r="M49" s="46">
        <v>1928</v>
      </c>
      <c r="N49" s="34" t="e">
        <f t="shared" si="1"/>
        <v>#N/A</v>
      </c>
    </row>
    <row r="50" spans="1:14">
      <c r="A50" s="69" t="s">
        <v>867</v>
      </c>
      <c r="B50" s="70">
        <v>19210900</v>
      </c>
      <c r="D50" s="34">
        <f>MATCH(A50,CoinCollection!P1263:P1638,)</f>
        <v>23</v>
      </c>
      <c r="G50" s="69" t="s">
        <v>78</v>
      </c>
      <c r="I50" s="201">
        <v>1928</v>
      </c>
      <c r="J50" s="202" t="s">
        <v>13</v>
      </c>
      <c r="K50" s="46" t="str">
        <f t="shared" si="0"/>
        <v xml:space="preserve">1953 S </v>
      </c>
      <c r="M50" s="46" t="s">
        <v>176</v>
      </c>
      <c r="N50" s="34" t="e">
        <f t="shared" si="1"/>
        <v>#N/A</v>
      </c>
    </row>
    <row r="51" spans="1:14">
      <c r="A51" s="69">
        <v>1954</v>
      </c>
      <c r="B51" s="70">
        <v>47684050</v>
      </c>
      <c r="D51" s="34">
        <f>MATCH(A51,CoinCollection!P1264:P1639,)</f>
        <v>23</v>
      </c>
      <c r="G51" s="69">
        <v>1954</v>
      </c>
      <c r="I51" s="201">
        <v>1929</v>
      </c>
      <c r="J51" s="202" t="s">
        <v>12</v>
      </c>
      <c r="K51" s="46" t="str">
        <f t="shared" si="0"/>
        <v xml:space="preserve">1954 </v>
      </c>
      <c r="M51" s="46" t="s">
        <v>191</v>
      </c>
      <c r="N51" s="34" t="e">
        <f t="shared" si="1"/>
        <v>#N/A</v>
      </c>
    </row>
    <row r="52" spans="1:14">
      <c r="A52" s="69" t="s">
        <v>868</v>
      </c>
      <c r="B52" s="70">
        <v>117183060</v>
      </c>
      <c r="D52" s="34">
        <f>MATCH(A52,CoinCollection!P1265:P1640,)</f>
        <v>23</v>
      </c>
      <c r="G52" s="69" t="s">
        <v>81</v>
      </c>
      <c r="I52" s="201">
        <v>1929</v>
      </c>
      <c r="J52" s="202"/>
      <c r="K52" s="46" t="str">
        <f t="shared" si="0"/>
        <v>1954 D</v>
      </c>
      <c r="M52" s="46">
        <v>1929</v>
      </c>
      <c r="N52" s="34" t="e">
        <f t="shared" si="1"/>
        <v>#N/A</v>
      </c>
    </row>
    <row r="53" spans="1:14">
      <c r="A53" s="69" t="s">
        <v>869</v>
      </c>
      <c r="B53" s="70">
        <v>29384000</v>
      </c>
      <c r="D53" s="34">
        <f>MATCH(A53,CoinCollection!P1266:P1641,)</f>
        <v>23</v>
      </c>
      <c r="G53" s="69" t="s">
        <v>64</v>
      </c>
      <c r="I53" s="199">
        <v>1929</v>
      </c>
      <c r="J53" s="198" t="s">
        <v>12</v>
      </c>
      <c r="K53" s="46" t="str">
        <f t="shared" si="0"/>
        <v xml:space="preserve">1954 S </v>
      </c>
      <c r="M53" s="46" t="s">
        <v>191</v>
      </c>
      <c r="N53" s="34" t="e">
        <f t="shared" si="1"/>
        <v>#N/A</v>
      </c>
    </row>
    <row r="54" spans="1:14">
      <c r="A54" s="69">
        <v>1955</v>
      </c>
      <c r="B54" s="70">
        <v>7888000</v>
      </c>
      <c r="D54" s="34" t="e">
        <f>MATCH(A54,CoinCollection!P1267:P1642,)</f>
        <v>#N/A</v>
      </c>
      <c r="G54" s="69">
        <v>1955</v>
      </c>
      <c r="I54" s="199">
        <v>1929</v>
      </c>
      <c r="J54" s="198" t="s">
        <v>12</v>
      </c>
      <c r="K54" s="46" t="str">
        <f t="shared" si="0"/>
        <v xml:space="preserve">1955 </v>
      </c>
      <c r="M54" s="46" t="s">
        <v>191</v>
      </c>
      <c r="N54" s="34" t="e">
        <f t="shared" si="1"/>
        <v>#N/A</v>
      </c>
    </row>
    <row r="55" spans="1:14">
      <c r="A55" s="69" t="s">
        <v>870</v>
      </c>
      <c r="B55" s="70">
        <v>74464100</v>
      </c>
      <c r="D55" s="34">
        <f>MATCH(A55,CoinCollection!P1268:P1643,)</f>
        <v>22</v>
      </c>
      <c r="G55" s="69" t="s">
        <v>229</v>
      </c>
      <c r="I55" s="201">
        <v>1930</v>
      </c>
      <c r="J55" s="202"/>
      <c r="K55" s="46" t="str">
        <f t="shared" si="0"/>
        <v>1955 D</v>
      </c>
      <c r="M55" s="46">
        <v>1930</v>
      </c>
      <c r="N55" s="34" t="e">
        <f t="shared" si="1"/>
        <v>#N/A</v>
      </c>
    </row>
    <row r="56" spans="1:14">
      <c r="A56" s="69">
        <v>1956</v>
      </c>
      <c r="B56" s="70">
        <v>35216000</v>
      </c>
      <c r="D56" s="34" t="e">
        <f>MATCH(A56,CoinCollection!P1269:P1644,)</f>
        <v>#N/A</v>
      </c>
      <c r="G56" s="69">
        <v>1956</v>
      </c>
      <c r="I56" s="199">
        <v>1930</v>
      </c>
      <c r="J56" s="198" t="s">
        <v>12</v>
      </c>
      <c r="K56" s="46" t="str">
        <f t="shared" si="0"/>
        <v xml:space="preserve">1956 </v>
      </c>
      <c r="M56" s="46" t="s">
        <v>194</v>
      </c>
      <c r="N56" s="34" t="e">
        <f t="shared" si="1"/>
        <v>#N/A</v>
      </c>
    </row>
    <row r="57" spans="1:14">
      <c r="A57" s="69" t="s">
        <v>871</v>
      </c>
      <c r="B57" s="70">
        <v>67222940</v>
      </c>
      <c r="D57" s="34" t="e">
        <f>MATCH(A57,CoinCollection!P1270:P1646,)</f>
        <v>#N/A</v>
      </c>
      <c r="G57" s="69" t="s">
        <v>236</v>
      </c>
      <c r="I57" s="201">
        <v>1931</v>
      </c>
      <c r="J57" s="202" t="s">
        <v>12</v>
      </c>
      <c r="K57" s="46" t="str">
        <f t="shared" si="0"/>
        <v xml:space="preserve">1956 D </v>
      </c>
      <c r="M57" s="46" t="s">
        <v>39</v>
      </c>
      <c r="N57" s="34" t="e">
        <f t="shared" si="1"/>
        <v>#N/A</v>
      </c>
    </row>
    <row r="58" spans="1:14">
      <c r="A58" s="69">
        <v>1957</v>
      </c>
      <c r="B58" s="70">
        <v>38408000</v>
      </c>
      <c r="D58" s="34">
        <f>MATCH(A58,CoinCollection!P1271:P1647,)</f>
        <v>21</v>
      </c>
      <c r="G58" s="69">
        <v>1957</v>
      </c>
      <c r="I58" s="201">
        <v>1934</v>
      </c>
      <c r="J58" s="202"/>
      <c r="K58" s="46">
        <f t="shared" si="0"/>
        <v>1957</v>
      </c>
      <c r="M58" s="46">
        <v>1934</v>
      </c>
      <c r="N58" s="34" t="e">
        <f t="shared" si="1"/>
        <v>#N/A</v>
      </c>
    </row>
    <row r="59" spans="1:14">
      <c r="A59" s="69" t="s">
        <v>872</v>
      </c>
      <c r="B59" s="70">
        <v>136828900</v>
      </c>
      <c r="D59" s="34">
        <f>MATCH(A59,CoinCollection!P1272:P1648,)</f>
        <v>21</v>
      </c>
      <c r="G59" s="69" t="s">
        <v>275</v>
      </c>
      <c r="I59" s="201">
        <v>1934</v>
      </c>
      <c r="J59" s="202"/>
      <c r="K59" s="46" t="str">
        <f t="shared" si="0"/>
        <v>1957 D</v>
      </c>
      <c r="M59" s="46">
        <v>1934</v>
      </c>
      <c r="N59" s="34" t="e">
        <f t="shared" si="1"/>
        <v>#N/A</v>
      </c>
    </row>
    <row r="60" spans="1:14">
      <c r="A60" s="69">
        <v>1958</v>
      </c>
      <c r="B60" s="70">
        <v>17088000</v>
      </c>
      <c r="D60" s="34" t="e">
        <f>MATCH(A60,CoinCollection!P1273:P1649,)</f>
        <v>#N/A</v>
      </c>
      <c r="G60" s="69">
        <v>1958</v>
      </c>
      <c r="I60" s="201">
        <v>1934</v>
      </c>
      <c r="J60" s="202" t="s">
        <v>13</v>
      </c>
      <c r="K60" s="46" t="str">
        <f t="shared" si="0"/>
        <v xml:space="preserve">1958 </v>
      </c>
      <c r="M60" s="46" t="s">
        <v>204</v>
      </c>
      <c r="N60" s="34" t="e">
        <f t="shared" si="1"/>
        <v>#N/A</v>
      </c>
    </row>
    <row r="61" spans="1:14">
      <c r="A61" s="69" t="s">
        <v>873</v>
      </c>
      <c r="B61" s="70">
        <v>168249120</v>
      </c>
      <c r="D61" s="34">
        <f>MATCH(A61,CoinCollection!P1274:P1650,)</f>
        <v>22</v>
      </c>
      <c r="G61" s="69" t="s">
        <v>278</v>
      </c>
      <c r="I61" s="199">
        <v>1935</v>
      </c>
      <c r="J61" s="198" t="s">
        <v>13</v>
      </c>
      <c r="K61" s="46" t="str">
        <f t="shared" si="0"/>
        <v xml:space="preserve">1958 D </v>
      </c>
      <c r="M61" s="46" t="s">
        <v>208</v>
      </c>
      <c r="N61" s="34" t="e">
        <f t="shared" si="1"/>
        <v>#N/A</v>
      </c>
    </row>
    <row r="62" spans="1:14">
      <c r="A62" s="69">
        <v>1959</v>
      </c>
      <c r="B62" s="70">
        <v>27248000</v>
      </c>
      <c r="D62" s="34" t="e">
        <f>MATCH(A62,CoinCollection!P1275:P1651,)</f>
        <v>#N/A</v>
      </c>
      <c r="G62" s="69">
        <v>1959</v>
      </c>
      <c r="I62" s="201">
        <v>1935</v>
      </c>
      <c r="J62" s="202"/>
      <c r="K62" s="46">
        <f t="shared" si="0"/>
        <v>1959</v>
      </c>
      <c r="M62" s="46">
        <v>1935</v>
      </c>
      <c r="N62" s="34" t="e">
        <f t="shared" si="1"/>
        <v>#N/A</v>
      </c>
    </row>
    <row r="63" spans="1:14">
      <c r="A63" s="69" t="s">
        <v>874</v>
      </c>
      <c r="B63" s="70">
        <v>160738240</v>
      </c>
      <c r="D63" s="34">
        <f>MATCH(A63,CoinCollection!P1276:P1652,)</f>
        <v>24</v>
      </c>
      <c r="G63" s="69" t="s">
        <v>68</v>
      </c>
      <c r="I63" s="201">
        <v>1935</v>
      </c>
      <c r="J63" s="202"/>
      <c r="K63" s="46" t="str">
        <f t="shared" si="0"/>
        <v>1959 D</v>
      </c>
      <c r="M63" s="46">
        <v>1935</v>
      </c>
      <c r="N63" s="34" t="e">
        <f t="shared" si="1"/>
        <v>#N/A</v>
      </c>
    </row>
    <row r="64" spans="1:14">
      <c r="A64" s="69">
        <v>1960</v>
      </c>
      <c r="B64" s="70">
        <v>55416000</v>
      </c>
      <c r="D64" s="34" t="e">
        <f>MATCH(A64,CoinCollection!P1277:P1653,)</f>
        <v>#N/A</v>
      </c>
      <c r="G64" s="69">
        <v>1960</v>
      </c>
      <c r="I64" s="201">
        <v>1935</v>
      </c>
      <c r="J64" s="202" t="s">
        <v>12</v>
      </c>
      <c r="K64" s="46" t="str">
        <f t="shared" si="0"/>
        <v xml:space="preserve">1960 </v>
      </c>
      <c r="M64" s="46" t="s">
        <v>211</v>
      </c>
      <c r="N64" s="34" t="e">
        <f t="shared" si="1"/>
        <v>#N/A</v>
      </c>
    </row>
    <row r="65" spans="1:14">
      <c r="A65" s="69" t="s">
        <v>875</v>
      </c>
      <c r="B65" s="70">
        <v>192582180</v>
      </c>
      <c r="D65" s="34">
        <f>MATCH(A65,CoinCollection!P1278:P1654,)</f>
        <v>25</v>
      </c>
      <c r="G65" s="69" t="s">
        <v>71</v>
      </c>
      <c r="I65" s="201">
        <v>1935</v>
      </c>
      <c r="J65" s="202" t="s">
        <v>13</v>
      </c>
      <c r="K65" s="46" t="str">
        <f t="shared" si="0"/>
        <v xml:space="preserve">1960 D </v>
      </c>
      <c r="M65" s="46" t="s">
        <v>208</v>
      </c>
      <c r="N65" s="34" t="e">
        <f t="shared" si="1"/>
        <v>#N/A</v>
      </c>
    </row>
    <row r="66" spans="1:14">
      <c r="A66" s="69">
        <v>1961</v>
      </c>
      <c r="B66" s="70">
        <v>73640100</v>
      </c>
      <c r="D66" s="34">
        <f>MATCH(A66,CoinCollection!P1279:P1655,)</f>
        <v>27</v>
      </c>
      <c r="G66" s="69">
        <v>1961</v>
      </c>
      <c r="I66" s="201">
        <v>1936</v>
      </c>
      <c r="J66" s="202"/>
      <c r="K66" s="46">
        <f t="shared" si="0"/>
        <v>1961</v>
      </c>
      <c r="M66" s="46">
        <v>1936</v>
      </c>
      <c r="N66" s="34" t="e">
        <f t="shared" si="1"/>
        <v>#N/A</v>
      </c>
    </row>
    <row r="67" spans="1:14">
      <c r="A67" s="69" t="s">
        <v>876</v>
      </c>
      <c r="B67" s="70">
        <v>229342760</v>
      </c>
      <c r="D67" s="34">
        <f>MATCH(A67,CoinCollection!P1280:P1656,)</f>
        <v>27</v>
      </c>
      <c r="G67" s="69" t="s">
        <v>74</v>
      </c>
      <c r="I67" s="201">
        <v>1936</v>
      </c>
      <c r="J67" s="202"/>
      <c r="K67" s="46" t="str">
        <f t="shared" si="0"/>
        <v>1961 D</v>
      </c>
      <c r="M67" s="46">
        <v>1936</v>
      </c>
      <c r="N67" s="34" t="e">
        <f t="shared" si="1"/>
        <v>#N/A</v>
      </c>
    </row>
    <row r="68" spans="1:14">
      <c r="A68" s="69">
        <v>1962</v>
      </c>
      <c r="B68" s="70">
        <v>97384000</v>
      </c>
      <c r="D68" s="34">
        <f>MATCH(A68,CoinCollection!P1281:P1657,)</f>
        <v>32</v>
      </c>
      <c r="G68" s="69">
        <v>1962</v>
      </c>
      <c r="I68" s="201">
        <v>1936</v>
      </c>
      <c r="J68" s="202"/>
      <c r="K68" s="46">
        <f t="shared" ref="K68:K131" si="2">IF(J68="",G68,G68&amp;" "&amp;H68)</f>
        <v>1962</v>
      </c>
      <c r="M68" s="46">
        <v>1936</v>
      </c>
      <c r="N68" s="34" t="e">
        <f t="shared" ref="N68:N131" si="3">MATCH(M68,G:G,0)</f>
        <v>#N/A</v>
      </c>
    </row>
    <row r="69" spans="1:14">
      <c r="A69" s="69" t="s">
        <v>877</v>
      </c>
      <c r="B69" s="70">
        <v>280195720</v>
      </c>
      <c r="D69" s="34">
        <f>MATCH(A69,CoinCollection!P1282:P1658,)</f>
        <v>33</v>
      </c>
      <c r="G69" s="69" t="s">
        <v>76</v>
      </c>
      <c r="I69" s="201">
        <v>1936</v>
      </c>
      <c r="J69" s="202"/>
      <c r="K69" s="46" t="str">
        <f t="shared" si="2"/>
        <v>1962 D</v>
      </c>
      <c r="M69" s="46">
        <v>1936</v>
      </c>
      <c r="N69" s="34" t="e">
        <f t="shared" si="3"/>
        <v>#N/A</v>
      </c>
    </row>
    <row r="70" spans="1:14">
      <c r="A70" s="69">
        <v>1963</v>
      </c>
      <c r="B70" s="70">
        <v>178851645</v>
      </c>
      <c r="D70" s="34">
        <f>MATCH(A70,CoinCollection!P1283:P1659,)</f>
        <v>34</v>
      </c>
      <c r="G70" s="69">
        <v>1963</v>
      </c>
      <c r="I70" s="201">
        <v>1936</v>
      </c>
      <c r="J70" s="202"/>
      <c r="K70" s="46">
        <f t="shared" si="2"/>
        <v>1963</v>
      </c>
      <c r="M70" s="46">
        <v>1936</v>
      </c>
      <c r="N70" s="34" t="e">
        <f t="shared" si="3"/>
        <v>#N/A</v>
      </c>
    </row>
    <row r="71" spans="1:14">
      <c r="A71" s="69" t="s">
        <v>878</v>
      </c>
      <c r="B71" s="70">
        <v>276829460</v>
      </c>
      <c r="D71" s="34">
        <f>MATCH(A71,CoinCollection!P1284:P1660,)</f>
        <v>36</v>
      </c>
      <c r="G71" s="69" t="s">
        <v>79</v>
      </c>
      <c r="I71" s="201">
        <v>1936</v>
      </c>
      <c r="J71" s="202"/>
      <c r="K71" s="46" t="str">
        <f t="shared" si="2"/>
        <v>1963 D</v>
      </c>
      <c r="M71" s="46">
        <v>1936</v>
      </c>
      <c r="N71" s="34" t="e">
        <f t="shared" si="3"/>
        <v>#N/A</v>
      </c>
    </row>
    <row r="72" spans="1:14">
      <c r="A72" s="69">
        <v>1964</v>
      </c>
      <c r="B72" s="70">
        <v>1028622762</v>
      </c>
      <c r="D72" s="34">
        <f>MATCH(A72,CoinCollection!P1285:P1661,)</f>
        <v>39</v>
      </c>
      <c r="G72" s="69">
        <v>1964</v>
      </c>
      <c r="I72" s="201">
        <v>1936</v>
      </c>
      <c r="J72" s="202"/>
      <c r="K72" s="46">
        <f t="shared" si="2"/>
        <v>1964</v>
      </c>
      <c r="M72" s="46">
        <v>1936</v>
      </c>
      <c r="N72" s="34" t="e">
        <f t="shared" si="3"/>
        <v>#N/A</v>
      </c>
    </row>
    <row r="73" spans="1:14">
      <c r="A73" s="69" t="s">
        <v>879</v>
      </c>
      <c r="B73" s="70">
        <v>1787297160</v>
      </c>
      <c r="D73" s="34">
        <f>MATCH(A73,CoinCollection!P1286:P1662,)</f>
        <v>48</v>
      </c>
      <c r="G73" s="69" t="s">
        <v>554</v>
      </c>
      <c r="I73" s="199">
        <v>1936</v>
      </c>
      <c r="J73" s="198" t="s">
        <v>12</v>
      </c>
      <c r="K73" s="46" t="str">
        <f t="shared" si="2"/>
        <v xml:space="preserve">1964 D </v>
      </c>
      <c r="M73" s="46" t="s">
        <v>219</v>
      </c>
      <c r="N73" s="34" t="e">
        <f t="shared" si="3"/>
        <v>#N/A</v>
      </c>
    </row>
    <row r="74" spans="1:14">
      <c r="A74" s="69">
        <v>1965</v>
      </c>
      <c r="B74" s="70">
        <v>136131380</v>
      </c>
      <c r="D74" s="34">
        <f>MATCH(A74,CoinCollection!P1287:P1663,)</f>
        <v>59</v>
      </c>
      <c r="G74" s="69">
        <v>1965</v>
      </c>
      <c r="I74" s="199">
        <v>1936</v>
      </c>
      <c r="J74" s="198" t="s">
        <v>13</v>
      </c>
      <c r="K74" s="46" t="str">
        <f t="shared" si="2"/>
        <v xml:space="preserve">1965 </v>
      </c>
      <c r="M74" s="46" t="s">
        <v>215</v>
      </c>
      <c r="N74" s="34" t="e">
        <f t="shared" si="3"/>
        <v>#N/A</v>
      </c>
    </row>
    <row r="75" spans="1:14">
      <c r="A75" s="69">
        <v>1966</v>
      </c>
      <c r="B75" s="70">
        <v>156208283</v>
      </c>
      <c r="D75" s="34">
        <f>MATCH(A75,CoinCollection!P1288:P1664,)</f>
        <v>59</v>
      </c>
      <c r="G75" s="69">
        <v>1966</v>
      </c>
      <c r="I75" s="201">
        <v>1937</v>
      </c>
      <c r="J75" s="202"/>
      <c r="K75" s="46">
        <f t="shared" si="2"/>
        <v>1966</v>
      </c>
      <c r="M75" s="46">
        <v>1937</v>
      </c>
      <c r="N75" s="34" t="e">
        <f t="shared" si="3"/>
        <v>#N/A</v>
      </c>
    </row>
    <row r="76" spans="1:14">
      <c r="A76" s="69">
        <v>1967</v>
      </c>
      <c r="B76" s="70">
        <v>107325800</v>
      </c>
      <c r="D76" s="34">
        <f>MATCH(A76,CoinCollection!P1289:P1665,)</f>
        <v>60</v>
      </c>
      <c r="G76" s="69">
        <v>1967</v>
      </c>
      <c r="I76" s="201">
        <v>1937</v>
      </c>
      <c r="J76" s="202"/>
      <c r="K76" s="46">
        <f t="shared" si="2"/>
        <v>1967</v>
      </c>
      <c r="M76" s="46">
        <v>1937</v>
      </c>
      <c r="N76" s="34" t="e">
        <f t="shared" si="3"/>
        <v>#N/A</v>
      </c>
    </row>
    <row r="77" spans="1:14">
      <c r="A77" s="69" t="s">
        <v>880</v>
      </c>
      <c r="B77" s="70">
        <v>91227880</v>
      </c>
      <c r="D77" s="34" t="e">
        <f>MATCH(A77,CoinCollection!P1290:P1666,)</f>
        <v>#N/A</v>
      </c>
      <c r="G77" s="69" t="s">
        <v>93</v>
      </c>
      <c r="I77" s="201">
        <v>1937</v>
      </c>
      <c r="J77" s="202" t="s">
        <v>13</v>
      </c>
      <c r="K77" s="46" t="str">
        <f t="shared" si="2"/>
        <v xml:space="preserve">1968 D </v>
      </c>
      <c r="M77" s="46" t="s">
        <v>451</v>
      </c>
      <c r="N77" s="34" t="e">
        <f t="shared" si="3"/>
        <v>#N/A</v>
      </c>
    </row>
    <row r="78" spans="1:14">
      <c r="A78" s="69" t="s">
        <v>881</v>
      </c>
      <c r="B78" s="70">
        <v>100396004</v>
      </c>
      <c r="D78" s="34" t="e">
        <f>MATCH(A78,CoinCollection!P1291:P1667,)</f>
        <v>#N/A</v>
      </c>
      <c r="G78" s="69" t="s">
        <v>98</v>
      </c>
      <c r="I78" s="201">
        <v>1938</v>
      </c>
      <c r="J78" s="202" t="s">
        <v>13</v>
      </c>
      <c r="K78" s="46" t="str">
        <f t="shared" si="2"/>
        <v xml:space="preserve">1968 S </v>
      </c>
      <c r="M78" s="46" t="s">
        <v>224</v>
      </c>
      <c r="N78" s="34">
        <f t="shared" si="3"/>
        <v>4</v>
      </c>
    </row>
    <row r="79" spans="1:14">
      <c r="A79" s="69" t="s">
        <v>882</v>
      </c>
      <c r="B79" s="70">
        <v>202807500</v>
      </c>
      <c r="D79" s="34">
        <f>MATCH(A79,CoinCollection!P1292:P1668,)</f>
        <v>59</v>
      </c>
      <c r="G79" s="69" t="s">
        <v>575</v>
      </c>
      <c r="I79" s="199">
        <v>1938</v>
      </c>
      <c r="J79" s="198"/>
      <c r="K79" s="46" t="str">
        <f t="shared" si="2"/>
        <v>1969 D</v>
      </c>
      <c r="M79" s="46">
        <v>1938</v>
      </c>
      <c r="N79" s="34">
        <f t="shared" si="3"/>
        <v>3</v>
      </c>
    </row>
    <row r="80" spans="1:14">
      <c r="A80" s="69" t="s">
        <v>883</v>
      </c>
      <c r="B80" s="70">
        <v>120075000</v>
      </c>
      <c r="D80" s="34">
        <f>MATCH(A80,CoinCollection!P1293:P1669,)</f>
        <v>63</v>
      </c>
      <c r="G80" s="69" t="s">
        <v>581</v>
      </c>
      <c r="I80" s="199">
        <v>1938</v>
      </c>
      <c r="J80" s="198" t="s">
        <v>13</v>
      </c>
      <c r="K80" s="46" t="str">
        <f t="shared" si="2"/>
        <v xml:space="preserve">1969 S </v>
      </c>
      <c r="M80" s="46" t="s">
        <v>224</v>
      </c>
      <c r="N80" s="34">
        <f t="shared" si="3"/>
        <v>4</v>
      </c>
    </row>
    <row r="81" spans="1:14">
      <c r="A81" s="69" t="s">
        <v>884</v>
      </c>
      <c r="B81" s="70">
        <v>515485380</v>
      </c>
      <c r="D81" s="34">
        <f>MATCH(A81,CoinCollection!P1294:P1670,)</f>
        <v>63</v>
      </c>
      <c r="G81" s="69" t="s">
        <v>583</v>
      </c>
      <c r="I81" s="199">
        <v>1938</v>
      </c>
      <c r="J81" s="198" t="s">
        <v>12</v>
      </c>
      <c r="K81" s="46" t="str">
        <f t="shared" si="2"/>
        <v xml:space="preserve">1970 D </v>
      </c>
      <c r="M81" s="46" t="s">
        <v>228</v>
      </c>
      <c r="N81" s="34">
        <f t="shared" si="3"/>
        <v>5</v>
      </c>
    </row>
    <row r="82" spans="1:14">
      <c r="A82" s="69" t="s">
        <v>885</v>
      </c>
      <c r="B82" s="70">
        <v>238832004</v>
      </c>
      <c r="D82" s="34" t="e">
        <f>MATCH(A82,CoinCollection!P1295:P1671,)</f>
        <v>#N/A</v>
      </c>
      <c r="G82" s="69" t="s">
        <v>101</v>
      </c>
      <c r="I82" s="201">
        <v>1939</v>
      </c>
      <c r="J82" s="202"/>
      <c r="K82" s="46" t="str">
        <f t="shared" si="2"/>
        <v>1970 S</v>
      </c>
      <c r="M82" s="46">
        <v>1939</v>
      </c>
      <c r="N82" s="34">
        <f t="shared" si="3"/>
        <v>6</v>
      </c>
    </row>
    <row r="83" spans="1:14">
      <c r="A83" s="69">
        <v>1971</v>
      </c>
      <c r="B83" s="70">
        <v>106884000</v>
      </c>
      <c r="D83" s="34" t="e">
        <f>MATCH(A83,CoinCollection!P1296:P1672,)</f>
        <v>#N/A</v>
      </c>
      <c r="G83" s="69">
        <v>1971</v>
      </c>
      <c r="I83" s="201">
        <v>1939</v>
      </c>
      <c r="J83" s="202"/>
      <c r="K83" s="46">
        <f t="shared" si="2"/>
        <v>1971</v>
      </c>
      <c r="M83" s="46">
        <v>1939</v>
      </c>
      <c r="N83" s="34">
        <f t="shared" si="3"/>
        <v>6</v>
      </c>
    </row>
    <row r="84" spans="1:14">
      <c r="A84" s="69" t="s">
        <v>886</v>
      </c>
      <c r="B84" s="70">
        <v>316144800</v>
      </c>
      <c r="D84" s="34">
        <f>MATCH(A84,CoinCollection!P1297:P1673,)</f>
        <v>66</v>
      </c>
      <c r="G84" s="69" t="s">
        <v>255</v>
      </c>
      <c r="I84" s="199">
        <v>1939</v>
      </c>
      <c r="J84" s="198" t="s">
        <v>13</v>
      </c>
      <c r="K84" s="46" t="str">
        <f t="shared" si="2"/>
        <v xml:space="preserve">1971 D </v>
      </c>
      <c r="M84" s="46" t="s">
        <v>233</v>
      </c>
      <c r="N84" s="34">
        <f t="shared" si="3"/>
        <v>7</v>
      </c>
    </row>
    <row r="85" spans="1:14">
      <c r="A85" s="69">
        <v>1972</v>
      </c>
      <c r="B85" s="70">
        <v>202036000</v>
      </c>
      <c r="D85" s="34">
        <f>MATCH(A85,CoinCollection!P1298:P1674,)</f>
        <v>70</v>
      </c>
      <c r="G85" s="69">
        <v>1972</v>
      </c>
      <c r="I85" s="199">
        <v>1939</v>
      </c>
      <c r="J85" s="198" t="s">
        <v>12</v>
      </c>
      <c r="K85" s="46" t="str">
        <f t="shared" si="2"/>
        <v xml:space="preserve">1972 </v>
      </c>
      <c r="M85" s="46" t="s">
        <v>235</v>
      </c>
      <c r="N85" s="34">
        <f t="shared" si="3"/>
        <v>8</v>
      </c>
    </row>
    <row r="86" spans="1:14">
      <c r="A86" s="69" t="s">
        <v>887</v>
      </c>
      <c r="B86" s="70">
        <v>351694600</v>
      </c>
      <c r="D86" s="34">
        <f>MATCH(A86,CoinCollection!P1299:P1675,)</f>
        <v>66</v>
      </c>
      <c r="G86" s="69" t="s">
        <v>258</v>
      </c>
      <c r="I86" s="201">
        <v>1940</v>
      </c>
      <c r="J86" s="202"/>
      <c r="K86" s="46" t="str">
        <f t="shared" si="2"/>
        <v>1972 D</v>
      </c>
      <c r="M86" s="46">
        <v>1940</v>
      </c>
      <c r="N86" s="34">
        <f t="shared" si="3"/>
        <v>9</v>
      </c>
    </row>
    <row r="87" spans="1:14">
      <c r="A87" s="69">
        <v>1973</v>
      </c>
      <c r="B87" s="70">
        <v>384396000</v>
      </c>
      <c r="D87" s="34">
        <f>MATCH(A87,CoinCollection!P1300:P1676,)</f>
        <v>69</v>
      </c>
      <c r="G87" s="69">
        <v>1973</v>
      </c>
      <c r="I87" s="201">
        <v>1940</v>
      </c>
      <c r="J87" s="202"/>
      <c r="K87" s="46">
        <f t="shared" si="2"/>
        <v>1973</v>
      </c>
      <c r="M87" s="46">
        <v>1940</v>
      </c>
      <c r="N87" s="34">
        <f t="shared" si="3"/>
        <v>9</v>
      </c>
    </row>
    <row r="88" spans="1:14">
      <c r="A88" s="69" t="s">
        <v>888</v>
      </c>
      <c r="B88" s="70">
        <v>361405000</v>
      </c>
      <c r="D88" s="34" t="e">
        <f>MATCH(A88,CoinCollection!P1301:P1677,)</f>
        <v>#N/A</v>
      </c>
      <c r="G88" s="69" t="s">
        <v>123</v>
      </c>
      <c r="I88" s="201">
        <v>1940</v>
      </c>
      <c r="J88" s="202"/>
      <c r="K88" s="46" t="str">
        <f t="shared" si="2"/>
        <v>1973 D</v>
      </c>
      <c r="M88" s="46">
        <v>1940</v>
      </c>
      <c r="N88" s="34">
        <f t="shared" si="3"/>
        <v>9</v>
      </c>
    </row>
    <row r="89" spans="1:14">
      <c r="A89" s="69">
        <v>1974</v>
      </c>
      <c r="B89" s="70">
        <v>601752000</v>
      </c>
      <c r="D89" s="34">
        <f>MATCH(A89,CoinCollection!P1302:P1678,)</f>
        <v>74</v>
      </c>
      <c r="G89" s="69">
        <v>1974</v>
      </c>
      <c r="I89" s="201">
        <v>1940</v>
      </c>
      <c r="J89" s="202"/>
      <c r="K89" s="46">
        <f t="shared" si="2"/>
        <v>1974</v>
      </c>
      <c r="M89" s="46">
        <v>1940</v>
      </c>
      <c r="N89" s="34">
        <f t="shared" si="3"/>
        <v>9</v>
      </c>
    </row>
    <row r="90" spans="1:14">
      <c r="A90" s="69" t="s">
        <v>889</v>
      </c>
      <c r="B90" s="70">
        <v>277373000</v>
      </c>
      <c r="D90" s="34">
        <f>MATCH(A90,CoinCollection!P1303:P1679,)</f>
        <v>77</v>
      </c>
      <c r="G90" s="69" t="s">
        <v>262</v>
      </c>
      <c r="I90" s="201">
        <v>1940</v>
      </c>
      <c r="J90" s="202"/>
      <c r="K90" s="46" t="str">
        <f t="shared" si="2"/>
        <v>1974 D</v>
      </c>
      <c r="M90" s="46">
        <v>1940</v>
      </c>
      <c r="N90" s="34">
        <f t="shared" si="3"/>
        <v>9</v>
      </c>
    </row>
    <row r="91" spans="1:14">
      <c r="A91" s="69">
        <v>1975</v>
      </c>
      <c r="B91" s="70">
        <v>181772000</v>
      </c>
      <c r="D91" s="34">
        <f>MATCH(A91,CoinCollection!P1304:P1680,)</f>
        <v>78</v>
      </c>
      <c r="G91" s="69">
        <v>1975</v>
      </c>
      <c r="I91" s="201">
        <v>1940</v>
      </c>
      <c r="J91" s="202"/>
      <c r="K91" s="46">
        <f t="shared" si="2"/>
        <v>1975</v>
      </c>
      <c r="M91" s="46">
        <v>1940</v>
      </c>
      <c r="N91" s="34">
        <f t="shared" si="3"/>
        <v>9</v>
      </c>
    </row>
    <row r="92" spans="1:14">
      <c r="A92" s="69" t="s">
        <v>890</v>
      </c>
      <c r="B92" s="70">
        <v>401875300</v>
      </c>
      <c r="D92" s="34">
        <f>MATCH(A92,CoinCollection!P1305:P1681,)</f>
        <v>79</v>
      </c>
      <c r="G92" s="69" t="s">
        <v>266</v>
      </c>
      <c r="I92" s="201">
        <v>1940</v>
      </c>
      <c r="J92" s="202" t="s">
        <v>13</v>
      </c>
      <c r="K92" s="46" t="str">
        <f t="shared" si="2"/>
        <v xml:space="preserve">1975 D </v>
      </c>
      <c r="M92" s="46" t="s">
        <v>466</v>
      </c>
      <c r="N92" s="34">
        <f t="shared" si="3"/>
        <v>10</v>
      </c>
    </row>
    <row r="93" spans="1:14">
      <c r="A93" s="69">
        <v>1976</v>
      </c>
      <c r="B93" s="70">
        <v>367124000</v>
      </c>
      <c r="D93" s="34">
        <f>MATCH(A93,CoinCollection!P1306:P1682,)</f>
        <v>81</v>
      </c>
      <c r="G93" s="69">
        <v>1976</v>
      </c>
      <c r="I93" s="201">
        <v>1940</v>
      </c>
      <c r="J93" s="202"/>
      <c r="K93" s="46">
        <f t="shared" si="2"/>
        <v>1976</v>
      </c>
      <c r="M93" s="46">
        <v>1940</v>
      </c>
      <c r="N93" s="34">
        <f t="shared" si="3"/>
        <v>9</v>
      </c>
    </row>
    <row r="94" spans="1:14">
      <c r="A94" s="69" t="s">
        <v>891</v>
      </c>
      <c r="B94" s="70">
        <v>563964147</v>
      </c>
      <c r="D94" s="34">
        <f>MATCH(A94,CoinCollection!P1307:P1683,)</f>
        <v>85</v>
      </c>
      <c r="G94" s="69" t="s">
        <v>272</v>
      </c>
      <c r="I94" s="199">
        <v>1940</v>
      </c>
      <c r="J94" s="198" t="s">
        <v>12</v>
      </c>
      <c r="K94" s="46" t="str">
        <f t="shared" si="2"/>
        <v xml:space="preserve">1976 D </v>
      </c>
      <c r="M94" s="46" t="s">
        <v>238</v>
      </c>
      <c r="N94" s="34">
        <f t="shared" si="3"/>
        <v>11</v>
      </c>
    </row>
    <row r="95" spans="1:14">
      <c r="A95" s="69">
        <v>1977</v>
      </c>
      <c r="B95" s="70">
        <v>585376000</v>
      </c>
      <c r="D95" s="34">
        <f>MATCH(A95,CoinCollection!P1308:P1684,)</f>
        <v>86</v>
      </c>
      <c r="G95" s="69">
        <v>1977</v>
      </c>
      <c r="I95" s="201">
        <v>1941</v>
      </c>
      <c r="J95" s="202"/>
      <c r="K95" s="46">
        <f t="shared" si="2"/>
        <v>1977</v>
      </c>
      <c r="M95" s="46">
        <v>1941</v>
      </c>
      <c r="N95" s="34">
        <f t="shared" si="3"/>
        <v>12</v>
      </c>
    </row>
    <row r="96" spans="1:14">
      <c r="A96" s="69" t="s">
        <v>892</v>
      </c>
      <c r="B96" s="70">
        <v>297313422</v>
      </c>
      <c r="D96" s="34" t="e">
        <f>MATCH(A96,CoinCollection!P1309:P1685,)</f>
        <v>#N/A</v>
      </c>
      <c r="G96" s="69" t="s">
        <v>148</v>
      </c>
      <c r="I96" s="201">
        <v>1941</v>
      </c>
      <c r="J96" s="202"/>
      <c r="K96" s="46" t="str">
        <f t="shared" si="2"/>
        <v>1977 D</v>
      </c>
      <c r="M96" s="46">
        <v>1941</v>
      </c>
      <c r="N96" s="34">
        <f t="shared" si="3"/>
        <v>12</v>
      </c>
    </row>
    <row r="97" spans="1:14">
      <c r="A97" s="69">
        <v>1978</v>
      </c>
      <c r="B97" s="70">
        <v>391308000</v>
      </c>
      <c r="D97" s="34">
        <f>MATCH(A97,CoinCollection!P1310:P1686,)</f>
        <v>89</v>
      </c>
      <c r="G97" s="69">
        <v>1978</v>
      </c>
      <c r="I97" s="201">
        <v>1941</v>
      </c>
      <c r="J97" s="202"/>
      <c r="K97" s="46">
        <f t="shared" si="2"/>
        <v>1978</v>
      </c>
      <c r="M97" s="46">
        <v>1941</v>
      </c>
      <c r="N97" s="34">
        <f t="shared" si="3"/>
        <v>12</v>
      </c>
    </row>
    <row r="98" spans="1:14">
      <c r="A98" s="69" t="s">
        <v>893</v>
      </c>
      <c r="B98" s="70">
        <v>313092780</v>
      </c>
      <c r="D98" s="34" t="e">
        <f>MATCH(A98,CoinCollection!P1311:P1687,)</f>
        <v>#N/A</v>
      </c>
      <c r="G98" s="69" t="s">
        <v>158</v>
      </c>
      <c r="I98" s="201">
        <v>1941</v>
      </c>
      <c r="J98" s="202"/>
      <c r="K98" s="46" t="str">
        <f t="shared" si="2"/>
        <v>1978 D</v>
      </c>
      <c r="M98" s="46">
        <v>1941</v>
      </c>
      <c r="N98" s="34">
        <f t="shared" si="3"/>
        <v>12</v>
      </c>
    </row>
    <row r="99" spans="1:14">
      <c r="A99" s="69">
        <v>1979</v>
      </c>
      <c r="B99" s="70">
        <v>463188000</v>
      </c>
      <c r="D99" s="34">
        <f>MATCH(A99,CoinCollection!P1312:P1688,)</f>
        <v>92</v>
      </c>
      <c r="G99" s="69">
        <v>1979</v>
      </c>
      <c r="I99" s="201">
        <v>1941</v>
      </c>
      <c r="J99" s="202" t="s">
        <v>13</v>
      </c>
      <c r="K99" s="46" t="str">
        <f t="shared" si="2"/>
        <v xml:space="preserve">1979 </v>
      </c>
      <c r="M99" s="46" t="s">
        <v>475</v>
      </c>
      <c r="N99" s="34">
        <f t="shared" si="3"/>
        <v>13</v>
      </c>
    </row>
    <row r="100" spans="1:14">
      <c r="A100" s="69" t="s">
        <v>894</v>
      </c>
      <c r="B100" s="70">
        <v>325867672</v>
      </c>
      <c r="D100" s="34" t="e">
        <f>MATCH(A100,CoinCollection!P1313:P1689,)</f>
        <v>#N/A</v>
      </c>
      <c r="G100" s="69" t="s">
        <v>168</v>
      </c>
      <c r="I100" s="201">
        <v>1941</v>
      </c>
      <c r="J100" s="202"/>
      <c r="K100" s="46" t="str">
        <f t="shared" si="2"/>
        <v>1979 D</v>
      </c>
      <c r="M100" s="46">
        <v>1941</v>
      </c>
      <c r="N100" s="34">
        <f t="shared" si="3"/>
        <v>12</v>
      </c>
    </row>
    <row r="101" spans="1:14">
      <c r="A101" s="69" t="s">
        <v>895</v>
      </c>
      <c r="B101" s="70">
        <v>593004000</v>
      </c>
      <c r="D101" s="34">
        <f>MATCH(A101,CoinCollection!P1314:P1690,)</f>
        <v>92</v>
      </c>
      <c r="G101" s="69" t="s">
        <v>242</v>
      </c>
      <c r="I101" s="199">
        <v>1941</v>
      </c>
      <c r="J101" s="198" t="s">
        <v>12</v>
      </c>
      <c r="K101" s="46" t="str">
        <f t="shared" si="2"/>
        <v xml:space="preserve">1980 P </v>
      </c>
      <c r="M101" s="46" t="s">
        <v>86</v>
      </c>
      <c r="N101" s="34">
        <f t="shared" si="3"/>
        <v>14</v>
      </c>
    </row>
    <row r="102" spans="1:14">
      <c r="A102" s="69" t="s">
        <v>896</v>
      </c>
      <c r="B102" s="70">
        <v>502323448</v>
      </c>
      <c r="D102" s="34">
        <f>MATCH(A102,CoinCollection!P1315:P1691,)</f>
        <v>96</v>
      </c>
      <c r="G102" s="69" t="s">
        <v>177</v>
      </c>
      <c r="I102" s="199">
        <v>1942</v>
      </c>
      <c r="J102" s="198"/>
      <c r="K102" s="46" t="str">
        <f t="shared" si="2"/>
        <v>1980 D</v>
      </c>
      <c r="M102" s="46">
        <v>1942</v>
      </c>
      <c r="N102" s="34">
        <f t="shared" si="3"/>
        <v>15</v>
      </c>
    </row>
    <row r="103" spans="1:14">
      <c r="A103" s="69" t="s">
        <v>897</v>
      </c>
      <c r="B103" s="70">
        <v>657504000</v>
      </c>
      <c r="D103" s="34">
        <f>MATCH(A103,CoinCollection!P1316:P1692,)</f>
        <v>96</v>
      </c>
      <c r="G103" s="69" t="s">
        <v>245</v>
      </c>
      <c r="I103" s="199">
        <v>1942</v>
      </c>
      <c r="J103" s="198" t="s">
        <v>13</v>
      </c>
      <c r="K103" s="46" t="str">
        <f t="shared" si="2"/>
        <v xml:space="preserve">1981 P </v>
      </c>
      <c r="M103" s="46" t="s">
        <v>92</v>
      </c>
      <c r="N103" s="34">
        <f t="shared" si="3"/>
        <v>16</v>
      </c>
    </row>
    <row r="104" spans="1:14">
      <c r="A104" s="69" t="s">
        <v>898</v>
      </c>
      <c r="B104" s="70">
        <v>364801843</v>
      </c>
      <c r="D104" s="34">
        <f>MATCH(A104,CoinCollection!P1317:P1693,)</f>
        <v>104</v>
      </c>
      <c r="G104" s="69" t="s">
        <v>243</v>
      </c>
      <c r="I104" s="199">
        <v>1942</v>
      </c>
      <c r="J104" s="198" t="s">
        <v>12</v>
      </c>
      <c r="K104" s="46" t="str">
        <f t="shared" si="2"/>
        <v xml:space="preserve">1981 D </v>
      </c>
      <c r="M104" s="46" t="s">
        <v>97</v>
      </c>
      <c r="N104" s="34">
        <f t="shared" si="3"/>
        <v>18</v>
      </c>
    </row>
    <row r="105" spans="1:14">
      <c r="A105" s="69" t="s">
        <v>899</v>
      </c>
      <c r="B105" s="70">
        <v>292355000</v>
      </c>
      <c r="D105" s="34">
        <f>MATCH(A105,CoinCollection!P1318:P1694,)</f>
        <v>105</v>
      </c>
      <c r="G105" s="69" t="s">
        <v>655</v>
      </c>
      <c r="I105" s="201">
        <v>1943</v>
      </c>
      <c r="J105" s="202" t="s">
        <v>25</v>
      </c>
      <c r="K105" s="46" t="str">
        <f t="shared" si="2"/>
        <v xml:space="preserve">1982 P </v>
      </c>
      <c r="M105" s="46" t="s">
        <v>104</v>
      </c>
      <c r="N105" s="34">
        <f t="shared" si="3"/>
        <v>19</v>
      </c>
    </row>
    <row r="106" spans="1:14">
      <c r="A106" s="69" t="s">
        <v>900</v>
      </c>
      <c r="B106" s="70">
        <v>373726544</v>
      </c>
      <c r="D106" s="34">
        <f>MATCH(A106,CoinCollection!P1319:P1695,)</f>
        <v>103</v>
      </c>
      <c r="G106" s="69" t="s">
        <v>247</v>
      </c>
      <c r="I106" s="199">
        <v>1943</v>
      </c>
      <c r="J106" s="198" t="s">
        <v>13</v>
      </c>
      <c r="K106" s="46" t="str">
        <f t="shared" si="2"/>
        <v xml:space="preserve">1982 D </v>
      </c>
      <c r="M106" s="46" t="s">
        <v>107</v>
      </c>
      <c r="N106" s="34">
        <f t="shared" si="3"/>
        <v>20</v>
      </c>
    </row>
    <row r="107" spans="1:14">
      <c r="A107" s="69" t="s">
        <v>901</v>
      </c>
      <c r="B107" s="70">
        <v>561615000</v>
      </c>
      <c r="D107" s="34">
        <f>MATCH(A107,CoinCollection!P1320:P1696,)</f>
        <v>109</v>
      </c>
      <c r="G107" s="69" t="s">
        <v>250</v>
      </c>
      <c r="I107" s="199">
        <v>1943</v>
      </c>
      <c r="J107" s="198" t="s">
        <v>13</v>
      </c>
      <c r="K107" s="46" t="str">
        <f t="shared" si="2"/>
        <v xml:space="preserve">1983 P </v>
      </c>
      <c r="M107" s="46" t="s">
        <v>107</v>
      </c>
      <c r="N107" s="34">
        <f t="shared" si="3"/>
        <v>20</v>
      </c>
    </row>
    <row r="108" spans="1:14">
      <c r="A108" s="69" t="s">
        <v>902</v>
      </c>
      <c r="B108" s="70">
        <v>536726276</v>
      </c>
      <c r="D108" s="34">
        <f>MATCH(A108,CoinCollection!P1321:P1697,)</f>
        <v>110</v>
      </c>
      <c r="G108" s="69" t="s">
        <v>249</v>
      </c>
      <c r="I108" s="201">
        <v>1944</v>
      </c>
      <c r="J108" s="202" t="s">
        <v>25</v>
      </c>
      <c r="K108" s="46" t="str">
        <f t="shared" si="2"/>
        <v xml:space="preserve">1983 D </v>
      </c>
      <c r="M108" s="46" t="s">
        <v>480</v>
      </c>
      <c r="N108" s="34">
        <f t="shared" si="3"/>
        <v>22</v>
      </c>
    </row>
    <row r="109" spans="1:14">
      <c r="A109" s="69" t="s">
        <v>903</v>
      </c>
      <c r="B109" s="70">
        <v>746769000</v>
      </c>
      <c r="D109" s="34" t="e">
        <f>MATCH(A109,CoinCollection!P1322:P1698,)</f>
        <v>#N/A</v>
      </c>
      <c r="G109" s="69" t="s">
        <v>195</v>
      </c>
      <c r="I109" s="199">
        <v>1944</v>
      </c>
      <c r="J109" s="198" t="s">
        <v>13</v>
      </c>
      <c r="K109" s="46" t="str">
        <f t="shared" si="2"/>
        <v xml:space="preserve">1984 P </v>
      </c>
      <c r="M109" s="46" t="s">
        <v>126</v>
      </c>
      <c r="N109" s="34">
        <f t="shared" si="3"/>
        <v>23</v>
      </c>
    </row>
    <row r="110" spans="1:14">
      <c r="A110" s="69" t="s">
        <v>904</v>
      </c>
      <c r="B110" s="70">
        <v>517675146</v>
      </c>
      <c r="D110" s="34">
        <f>MATCH(A110,CoinCollection!P1323:P1699,)</f>
        <v>113</v>
      </c>
      <c r="G110" s="69" t="s">
        <v>251</v>
      </c>
      <c r="I110" s="201">
        <v>1944</v>
      </c>
      <c r="J110" s="202"/>
      <c r="K110" s="46" t="str">
        <f t="shared" si="2"/>
        <v>1984 D</v>
      </c>
      <c r="M110" s="46">
        <v>1944</v>
      </c>
      <c r="N110" s="34" t="e">
        <f t="shared" si="3"/>
        <v>#N/A</v>
      </c>
    </row>
    <row r="111" spans="1:14">
      <c r="A111" s="69" t="s">
        <v>905</v>
      </c>
      <c r="B111" s="70">
        <v>647114962</v>
      </c>
      <c r="D111" s="34">
        <f>MATCH(A111,CoinCollection!P1324:P1700,)</f>
        <v>114</v>
      </c>
      <c r="G111" s="69" t="s">
        <v>671</v>
      </c>
      <c r="I111" s="199">
        <v>1944</v>
      </c>
      <c r="J111" s="198" t="s">
        <v>12</v>
      </c>
      <c r="K111" s="46" t="str">
        <f t="shared" si="2"/>
        <v xml:space="preserve">1985 P </v>
      </c>
      <c r="M111" s="46" t="s">
        <v>130</v>
      </c>
      <c r="N111" s="34">
        <f t="shared" si="3"/>
        <v>24</v>
      </c>
    </row>
    <row r="112" spans="1:14">
      <c r="A112" s="69" t="s">
        <v>906</v>
      </c>
      <c r="B112" s="70">
        <v>459747446</v>
      </c>
      <c r="D112" s="34" t="e">
        <f>MATCH(A112,CoinCollection!P1325:P1701,)</f>
        <v>#N/A</v>
      </c>
      <c r="G112" s="69" t="s">
        <v>201</v>
      </c>
      <c r="I112" s="199">
        <v>1945</v>
      </c>
      <c r="J112" s="198" t="s">
        <v>12</v>
      </c>
      <c r="K112" s="46" t="str">
        <f t="shared" si="2"/>
        <v xml:space="preserve">1985 D </v>
      </c>
      <c r="M112" s="46" t="s">
        <v>142</v>
      </c>
      <c r="N112" s="34">
        <f t="shared" si="3"/>
        <v>27</v>
      </c>
    </row>
    <row r="113" spans="1:14">
      <c r="A113" s="69" t="s">
        <v>907</v>
      </c>
      <c r="B113" s="70">
        <v>536883483</v>
      </c>
      <c r="D113" s="34">
        <f>MATCH(A113,CoinCollection!P1326:P1702,)</f>
        <v>114</v>
      </c>
      <c r="G113" s="69" t="s">
        <v>257</v>
      </c>
      <c r="I113" s="199">
        <v>1945</v>
      </c>
      <c r="J113" s="198" t="s">
        <v>13</v>
      </c>
      <c r="K113" s="46" t="str">
        <f t="shared" si="2"/>
        <v xml:space="preserve">1986 P </v>
      </c>
      <c r="M113" s="46" t="s">
        <v>139</v>
      </c>
      <c r="N113" s="34">
        <f t="shared" si="3"/>
        <v>26</v>
      </c>
    </row>
    <row r="114" spans="1:14">
      <c r="A114" s="69" t="s">
        <v>908</v>
      </c>
      <c r="B114" s="70">
        <v>361819140</v>
      </c>
      <c r="D114" s="34" t="e">
        <f>MATCH(A114,CoinCollection!P1327:P1703,)</f>
        <v>#N/A</v>
      </c>
      <c r="G114" s="69" t="s">
        <v>209</v>
      </c>
      <c r="I114" s="199">
        <v>1945</v>
      </c>
      <c r="J114" s="198" t="s">
        <v>25</v>
      </c>
      <c r="K114" s="46" t="str">
        <f t="shared" si="2"/>
        <v xml:space="preserve">1986 D </v>
      </c>
      <c r="M114" s="46" t="s">
        <v>134</v>
      </c>
      <c r="N114" s="34">
        <f t="shared" si="3"/>
        <v>25</v>
      </c>
    </row>
    <row r="115" spans="1:14">
      <c r="A115" s="69" t="s">
        <v>909</v>
      </c>
      <c r="B115" s="70">
        <v>371499481</v>
      </c>
      <c r="D115" s="34" t="e">
        <f>MATCH(A115,CoinCollection!P1328:P1704,)</f>
        <v>#N/A</v>
      </c>
      <c r="G115" s="69" t="s">
        <v>216</v>
      </c>
      <c r="I115" s="201">
        <v>1946</v>
      </c>
      <c r="J115" s="202"/>
      <c r="K115" s="46" t="str">
        <f t="shared" si="2"/>
        <v>1987 P</v>
      </c>
      <c r="M115" s="46">
        <v>1946</v>
      </c>
      <c r="N115" s="34">
        <f t="shared" si="3"/>
        <v>28</v>
      </c>
    </row>
    <row r="116" spans="1:14">
      <c r="A116" s="69" t="s">
        <v>910</v>
      </c>
      <c r="B116" s="70">
        <v>410590604</v>
      </c>
      <c r="D116" s="34">
        <f>MATCH(A116,CoinCollection!P1329:P1705,)</f>
        <v>113</v>
      </c>
      <c r="G116" s="69" t="s">
        <v>675</v>
      </c>
      <c r="I116" s="201">
        <v>1946</v>
      </c>
      <c r="J116" s="202"/>
      <c r="K116" s="46" t="str">
        <f t="shared" si="2"/>
        <v>1987 D</v>
      </c>
      <c r="M116" s="46">
        <v>1946</v>
      </c>
      <c r="N116" s="34">
        <f t="shared" si="3"/>
        <v>28</v>
      </c>
    </row>
    <row r="117" spans="1:14">
      <c r="A117" s="69" t="s">
        <v>911</v>
      </c>
      <c r="B117" s="70">
        <v>771360000</v>
      </c>
      <c r="D117" s="34" t="e">
        <f>MATCH(A117,CoinCollection!P1330:P1706,)</f>
        <v>#N/A</v>
      </c>
      <c r="G117" s="69" t="s">
        <v>221</v>
      </c>
      <c r="I117" s="201">
        <v>1946</v>
      </c>
      <c r="J117" s="202"/>
      <c r="K117" s="46" t="str">
        <f t="shared" si="2"/>
        <v>1988 P</v>
      </c>
      <c r="M117" s="46">
        <v>1946</v>
      </c>
      <c r="N117" s="34">
        <f t="shared" si="3"/>
        <v>28</v>
      </c>
    </row>
    <row r="118" spans="1:14">
      <c r="A118" s="69" t="s">
        <v>912</v>
      </c>
      <c r="B118" s="70">
        <v>663771652</v>
      </c>
      <c r="D118" s="34">
        <f>MATCH(A118,CoinCollection!P1331:P1707,)</f>
        <v>113</v>
      </c>
      <c r="G118" s="69" t="s">
        <v>678</v>
      </c>
      <c r="I118" s="201">
        <v>1946</v>
      </c>
      <c r="J118" s="202"/>
      <c r="K118" s="46" t="str">
        <f t="shared" si="2"/>
        <v>1988 D</v>
      </c>
      <c r="M118" s="46">
        <v>1946</v>
      </c>
      <c r="N118" s="34">
        <f t="shared" si="3"/>
        <v>28</v>
      </c>
    </row>
    <row r="119" spans="1:14">
      <c r="A119" s="69" t="s">
        <v>913</v>
      </c>
      <c r="B119" s="70">
        <v>898812000</v>
      </c>
      <c r="D119" s="34">
        <f>MATCH(A119,CoinCollection!P1332:P1708,)</f>
        <v>116</v>
      </c>
      <c r="G119" s="69" t="s">
        <v>263</v>
      </c>
      <c r="I119" s="201">
        <v>1946</v>
      </c>
      <c r="J119" s="202"/>
      <c r="K119" s="46" t="str">
        <f t="shared" si="2"/>
        <v>1989 P</v>
      </c>
      <c r="M119" s="46">
        <v>1946</v>
      </c>
      <c r="N119" s="34">
        <f t="shared" si="3"/>
        <v>28</v>
      </c>
    </row>
    <row r="120" spans="1:14">
      <c r="A120" s="69" t="s">
        <v>914</v>
      </c>
      <c r="B120" s="70">
        <v>570842474</v>
      </c>
      <c r="D120" s="34">
        <f>MATCH(A120,CoinCollection!P1333:P1709,)</f>
        <v>113</v>
      </c>
      <c r="G120" s="69" t="s">
        <v>261</v>
      </c>
      <c r="I120" s="201">
        <v>1946</v>
      </c>
      <c r="J120" s="202"/>
      <c r="K120" s="46" t="str">
        <f t="shared" si="2"/>
        <v>1989 D</v>
      </c>
      <c r="M120" s="46">
        <v>1946</v>
      </c>
      <c r="N120" s="34">
        <f t="shared" si="3"/>
        <v>28</v>
      </c>
    </row>
    <row r="121" spans="1:14">
      <c r="A121" s="69" t="s">
        <v>915</v>
      </c>
      <c r="B121" s="70">
        <v>661636000</v>
      </c>
      <c r="D121" s="34">
        <f>MATCH(A121,CoinCollection!P1334:P1710,)</f>
        <v>118</v>
      </c>
      <c r="G121" s="69" t="s">
        <v>687</v>
      </c>
      <c r="I121" s="201">
        <v>1946</v>
      </c>
      <c r="J121" s="202"/>
      <c r="K121" s="46" t="str">
        <f t="shared" si="2"/>
        <v>1990 P</v>
      </c>
      <c r="M121" s="46">
        <v>1946</v>
      </c>
      <c r="N121" s="34">
        <f t="shared" si="3"/>
        <v>28</v>
      </c>
    </row>
    <row r="122" spans="1:14">
      <c r="A122" s="69" t="s">
        <v>916</v>
      </c>
      <c r="B122" s="70">
        <v>663938503</v>
      </c>
      <c r="D122" s="34">
        <f>MATCH(A122,CoinCollection!P1335:P1711,)</f>
        <v>116</v>
      </c>
      <c r="G122" s="69" t="s">
        <v>265</v>
      </c>
      <c r="I122" s="201">
        <v>1946</v>
      </c>
      <c r="J122" s="202"/>
      <c r="K122" s="46" t="str">
        <f t="shared" si="2"/>
        <v>1990 D</v>
      </c>
      <c r="M122" s="46">
        <v>1946</v>
      </c>
      <c r="N122" s="34">
        <f t="shared" si="3"/>
        <v>28</v>
      </c>
    </row>
    <row r="123" spans="1:14">
      <c r="A123" s="69" t="s">
        <v>917</v>
      </c>
      <c r="B123" s="70">
        <v>614104000</v>
      </c>
      <c r="D123" s="34">
        <f>MATCH(A123,CoinCollection!P1336:P1712,)</f>
        <v>117</v>
      </c>
      <c r="G123" s="69" t="s">
        <v>270</v>
      </c>
      <c r="I123" s="201">
        <v>1946</v>
      </c>
      <c r="J123" s="202"/>
      <c r="K123" s="46" t="str">
        <f t="shared" si="2"/>
        <v>1991 P</v>
      </c>
      <c r="M123" s="46">
        <v>1946</v>
      </c>
      <c r="N123" s="34">
        <f t="shared" si="3"/>
        <v>28</v>
      </c>
    </row>
    <row r="124" spans="1:14">
      <c r="A124" s="69" t="s">
        <v>918</v>
      </c>
      <c r="B124" s="70">
        <v>436496678</v>
      </c>
      <c r="D124" s="34">
        <f>MATCH(A124,CoinCollection!P1337:P1713,)</f>
        <v>117</v>
      </c>
      <c r="G124" s="69" t="s">
        <v>268</v>
      </c>
      <c r="I124" s="201">
        <v>1946</v>
      </c>
      <c r="J124" s="202"/>
      <c r="K124" s="46" t="str">
        <f t="shared" si="2"/>
        <v>1991 D</v>
      </c>
      <c r="M124" s="46">
        <v>1946</v>
      </c>
      <c r="N124" s="34">
        <f t="shared" si="3"/>
        <v>28</v>
      </c>
    </row>
    <row r="125" spans="1:14">
      <c r="A125" s="69" t="s">
        <v>919</v>
      </c>
      <c r="B125" s="70">
        <v>399552000</v>
      </c>
      <c r="D125" s="34">
        <f>MATCH(A125,CoinCollection!P1338:P1714,)</f>
        <v>117</v>
      </c>
      <c r="G125" s="69" t="s">
        <v>691</v>
      </c>
      <c r="I125" s="199">
        <v>1946</v>
      </c>
      <c r="J125" s="198" t="s">
        <v>12</v>
      </c>
      <c r="K125" s="46" t="str">
        <f t="shared" si="2"/>
        <v xml:space="preserve">1992 P </v>
      </c>
      <c r="M125" s="46" t="s">
        <v>152</v>
      </c>
      <c r="N125" s="34">
        <f t="shared" si="3"/>
        <v>30</v>
      </c>
    </row>
    <row r="126" spans="1:14">
      <c r="A126" s="69" t="s">
        <v>920</v>
      </c>
      <c r="B126" s="70">
        <v>450565113</v>
      </c>
      <c r="D126" s="34">
        <f>MATCH(A126,CoinCollection!P1339:P1715,)</f>
        <v>118</v>
      </c>
      <c r="G126" s="69" t="s">
        <v>274</v>
      </c>
      <c r="I126" s="199">
        <v>1946</v>
      </c>
      <c r="J126" s="198" t="s">
        <v>13</v>
      </c>
      <c r="K126" s="46" t="str">
        <f t="shared" si="2"/>
        <v xml:space="preserve">1992 D </v>
      </c>
      <c r="M126" s="46" t="s">
        <v>147</v>
      </c>
      <c r="N126" s="34">
        <f t="shared" si="3"/>
        <v>29</v>
      </c>
    </row>
    <row r="127" spans="1:14">
      <c r="A127" s="69" t="s">
        <v>921</v>
      </c>
      <c r="B127" s="70">
        <v>412076000</v>
      </c>
      <c r="D127" s="34" t="e">
        <f>MATCH(A127,CoinCollection!P1340:P1716,)</f>
        <v>#N/A</v>
      </c>
      <c r="G127" s="69" t="s">
        <v>102</v>
      </c>
      <c r="I127" s="201">
        <v>1947</v>
      </c>
      <c r="J127" s="202"/>
      <c r="K127" s="46" t="str">
        <f t="shared" si="2"/>
        <v>1993 P</v>
      </c>
      <c r="M127" s="46">
        <v>1947</v>
      </c>
      <c r="N127" s="34">
        <f t="shared" si="3"/>
        <v>31</v>
      </c>
    </row>
    <row r="128" spans="1:14">
      <c r="A128" s="69" t="s">
        <v>922</v>
      </c>
      <c r="B128" s="70">
        <v>406084135</v>
      </c>
      <c r="D128" s="34">
        <f>MATCH(A128,CoinCollection!P1341:P1717,)</f>
        <v>118</v>
      </c>
      <c r="G128" s="69" t="s">
        <v>277</v>
      </c>
      <c r="I128" s="199">
        <v>1947</v>
      </c>
      <c r="J128" s="198" t="s">
        <v>13</v>
      </c>
      <c r="K128" s="46" t="str">
        <f t="shared" si="2"/>
        <v xml:space="preserve">1993 D </v>
      </c>
      <c r="M128" s="46" t="s">
        <v>157</v>
      </c>
      <c r="N128" s="34">
        <f t="shared" si="3"/>
        <v>32</v>
      </c>
    </row>
    <row r="129" spans="1:14">
      <c r="A129" s="69" t="s">
        <v>923</v>
      </c>
      <c r="B129" s="70">
        <v>722160000</v>
      </c>
      <c r="D129" s="34">
        <f>MATCH(A129,CoinCollection!P1342:P1718,)</f>
        <v>119</v>
      </c>
      <c r="G129" s="69" t="s">
        <v>698</v>
      </c>
      <c r="I129" s="201">
        <v>1948</v>
      </c>
      <c r="J129" s="202"/>
      <c r="K129" s="46" t="str">
        <f t="shared" si="2"/>
        <v>1994 P</v>
      </c>
      <c r="M129" s="46">
        <v>1948</v>
      </c>
      <c r="N129" s="34">
        <f t="shared" si="3"/>
        <v>34</v>
      </c>
    </row>
    <row r="130" spans="1:14">
      <c r="A130" s="69" t="s">
        <v>924</v>
      </c>
      <c r="B130" s="70">
        <v>715762110</v>
      </c>
      <c r="D130" s="34" t="e">
        <f>MATCH(A130,CoinCollection!P1343:P1719,)</f>
        <v>#N/A</v>
      </c>
      <c r="G130" s="69" t="s">
        <v>108</v>
      </c>
      <c r="I130" s="199">
        <v>1948</v>
      </c>
      <c r="J130" s="198" t="s">
        <v>13</v>
      </c>
      <c r="K130" s="46" t="str">
        <f t="shared" si="2"/>
        <v xml:space="preserve">1994 D </v>
      </c>
      <c r="M130" s="46" t="s">
        <v>167</v>
      </c>
      <c r="N130" s="34">
        <f t="shared" si="3"/>
        <v>35</v>
      </c>
    </row>
    <row r="131" spans="1:14">
      <c r="A131" s="69" t="s">
        <v>925</v>
      </c>
      <c r="B131" s="70">
        <v>774156000</v>
      </c>
      <c r="D131" s="34">
        <f>MATCH(A131,CoinCollection!P1344:P1720,)</f>
        <v>121</v>
      </c>
      <c r="G131" s="69" t="s">
        <v>282</v>
      </c>
      <c r="I131" s="199">
        <v>1948</v>
      </c>
      <c r="J131" s="198" t="s">
        <v>12</v>
      </c>
      <c r="K131" s="46" t="str">
        <f t="shared" si="2"/>
        <v xml:space="preserve">1995 P </v>
      </c>
      <c r="M131" s="46" t="s">
        <v>172</v>
      </c>
      <c r="N131" s="34">
        <f t="shared" si="3"/>
        <v>36</v>
      </c>
    </row>
    <row r="132" spans="1:14">
      <c r="A132" s="69" t="s">
        <v>926</v>
      </c>
      <c r="B132" s="70">
        <v>888112000</v>
      </c>
      <c r="D132" s="34">
        <f>MATCH(A132,CoinCollection!P1345:P1721,)</f>
        <v>124</v>
      </c>
      <c r="G132" s="69" t="s">
        <v>281</v>
      </c>
      <c r="I132" s="201">
        <v>1949</v>
      </c>
      <c r="J132" s="202"/>
      <c r="K132" s="46" t="str">
        <f t="shared" ref="K132:K186" si="4">IF(J132="",G132,G132&amp;" "&amp;H132)</f>
        <v>1995 D</v>
      </c>
      <c r="M132" s="46">
        <v>1949</v>
      </c>
      <c r="N132" s="34">
        <f t="shared" ref="N132:N195" si="5">MATCH(M132,G:G,0)</f>
        <v>37</v>
      </c>
    </row>
    <row r="133" spans="1:14">
      <c r="A133" s="69" t="s">
        <v>927</v>
      </c>
      <c r="B133" s="70">
        <v>829332000</v>
      </c>
      <c r="D133" s="34">
        <f>MATCH(A133,CoinCollection!P1346:P1722,)</f>
        <v>125</v>
      </c>
      <c r="G133" s="69" t="s">
        <v>710</v>
      </c>
      <c r="I133" s="199">
        <v>1949</v>
      </c>
      <c r="J133" s="198" t="s">
        <v>13</v>
      </c>
      <c r="K133" s="46" t="str">
        <f t="shared" si="4"/>
        <v xml:space="preserve">1996 P </v>
      </c>
      <c r="M133" s="46" t="s">
        <v>65</v>
      </c>
      <c r="N133" s="34">
        <f t="shared" si="5"/>
        <v>38</v>
      </c>
    </row>
    <row r="134" spans="1:14">
      <c r="A134" s="69" t="s">
        <v>928</v>
      </c>
      <c r="B134" s="70">
        <v>817736000</v>
      </c>
      <c r="D134" s="34" t="e">
        <f>MATCH(A134,CoinCollection!P1347:P1723,)</f>
        <v>#N/A</v>
      </c>
      <c r="G134" s="69" t="s">
        <v>115</v>
      </c>
      <c r="I134" s="199">
        <v>1949</v>
      </c>
      <c r="J134" s="198" t="s">
        <v>12</v>
      </c>
      <c r="K134" s="46" t="str">
        <f t="shared" si="4"/>
        <v xml:space="preserve">1996 D </v>
      </c>
      <c r="M134" s="46" t="s">
        <v>67</v>
      </c>
      <c r="N134" s="34">
        <f t="shared" si="5"/>
        <v>39</v>
      </c>
    </row>
    <row r="135" spans="1:14">
      <c r="A135" s="69" t="s">
        <v>929</v>
      </c>
      <c r="B135" s="70">
        <v>470972000</v>
      </c>
      <c r="D135" s="34">
        <f>MATCH(A135,CoinCollection!P1348:P1724,)</f>
        <v>127</v>
      </c>
      <c r="G135" s="69" t="s">
        <v>715</v>
      </c>
      <c r="I135" s="199">
        <v>1950</v>
      </c>
      <c r="J135" s="198"/>
      <c r="K135" s="46" t="str">
        <f t="shared" si="4"/>
        <v>1997 P</v>
      </c>
      <c r="M135" s="46">
        <v>1950</v>
      </c>
      <c r="N135" s="34">
        <f t="shared" si="5"/>
        <v>40</v>
      </c>
    </row>
    <row r="136" spans="1:14">
      <c r="A136" s="69" t="s">
        <v>930</v>
      </c>
      <c r="B136" s="70">
        <v>466640000</v>
      </c>
      <c r="D136" s="34">
        <f>MATCH(A136,CoinCollection!P1349:P1725,)</f>
        <v>128</v>
      </c>
      <c r="G136" s="69" t="s">
        <v>719</v>
      </c>
      <c r="I136" s="199">
        <v>1950</v>
      </c>
      <c r="J136" s="198" t="s">
        <v>13</v>
      </c>
      <c r="K136" s="46" t="str">
        <f t="shared" si="4"/>
        <v xml:space="preserve">1997 D </v>
      </c>
      <c r="M136" s="46" t="s">
        <v>188</v>
      </c>
      <c r="N136" s="34">
        <f t="shared" si="5"/>
        <v>41</v>
      </c>
    </row>
    <row r="137" spans="1:14">
      <c r="A137" s="69" t="s">
        <v>931</v>
      </c>
      <c r="B137" s="70">
        <v>688292000</v>
      </c>
      <c r="D137" s="34">
        <f>MATCH(A137,CoinCollection!P1350:P1726,)</f>
        <v>129</v>
      </c>
      <c r="G137" s="69" t="s">
        <v>241</v>
      </c>
      <c r="I137" s="199">
        <v>1951</v>
      </c>
      <c r="J137" s="198" t="s">
        <v>13</v>
      </c>
      <c r="K137" s="46" t="str">
        <f t="shared" si="4"/>
        <v xml:space="preserve">1998 P </v>
      </c>
      <c r="M137" s="46" t="s">
        <v>254</v>
      </c>
      <c r="N137" s="34">
        <f t="shared" si="5"/>
        <v>43</v>
      </c>
    </row>
    <row r="138" spans="1:14">
      <c r="A138" s="69" t="s">
        <v>932</v>
      </c>
      <c r="B138" s="70">
        <v>635380000</v>
      </c>
      <c r="D138" s="34">
        <f>MATCH(A138,CoinCollection!P1351:P1727,)</f>
        <v>131</v>
      </c>
      <c r="G138" s="69" t="s">
        <v>725</v>
      </c>
      <c r="I138" s="199">
        <v>1951</v>
      </c>
      <c r="J138" s="198"/>
      <c r="K138" s="46" t="str">
        <f t="shared" si="4"/>
        <v>1998 D</v>
      </c>
      <c r="M138" s="46">
        <v>1951</v>
      </c>
      <c r="N138" s="34">
        <f t="shared" si="5"/>
        <v>42</v>
      </c>
    </row>
    <row r="139" spans="1:14">
      <c r="A139" s="69" t="s">
        <v>933</v>
      </c>
      <c r="B139" s="70">
        <v>1212000000</v>
      </c>
      <c r="D139" s="34">
        <f>MATCH(A139,CoinCollection!P1352:P1728,)</f>
        <v>132</v>
      </c>
      <c r="G139" s="69" t="s">
        <v>727</v>
      </c>
      <c r="I139" s="199">
        <v>1951</v>
      </c>
      <c r="J139" s="198" t="s">
        <v>12</v>
      </c>
      <c r="K139" s="46" t="str">
        <f t="shared" si="4"/>
        <v xml:space="preserve">1999 P </v>
      </c>
      <c r="M139" s="46" t="s">
        <v>197</v>
      </c>
      <c r="N139" s="34">
        <f t="shared" si="5"/>
        <v>44</v>
      </c>
    </row>
    <row r="140" spans="1:14">
      <c r="A140" s="69" t="s">
        <v>934</v>
      </c>
      <c r="B140" s="70">
        <v>1066720000</v>
      </c>
      <c r="D140" s="34" t="e">
        <f>MATCH(A140,CoinCollection!P1353:P1729,)</f>
        <v>#N/A</v>
      </c>
      <c r="G140" s="69" t="s">
        <v>128</v>
      </c>
      <c r="I140" s="201">
        <v>1952</v>
      </c>
      <c r="J140" s="202"/>
      <c r="K140" s="46" t="str">
        <f t="shared" si="4"/>
        <v>1999 D</v>
      </c>
      <c r="M140" s="46">
        <v>1952</v>
      </c>
      <c r="N140" s="34">
        <f t="shared" si="5"/>
        <v>45</v>
      </c>
    </row>
    <row r="141" spans="1:14">
      <c r="A141" s="69" t="s">
        <v>935</v>
      </c>
      <c r="B141" s="70">
        <v>846240000</v>
      </c>
      <c r="D141" s="34">
        <f>MATCH(A141,CoinCollection!P1354:P1730,)</f>
        <v>134</v>
      </c>
      <c r="G141" s="69" t="s">
        <v>244</v>
      </c>
      <c r="I141" s="201">
        <v>1952</v>
      </c>
      <c r="J141" s="202"/>
      <c r="K141" s="46" t="str">
        <f t="shared" si="4"/>
        <v>2000 P</v>
      </c>
      <c r="M141" s="46">
        <v>1952</v>
      </c>
      <c r="N141" s="34">
        <f t="shared" si="5"/>
        <v>45</v>
      </c>
    </row>
    <row r="142" spans="1:14">
      <c r="A142" s="69" t="s">
        <v>936</v>
      </c>
      <c r="B142" s="70">
        <v>1509520000</v>
      </c>
      <c r="D142" s="34">
        <f>MATCH(A142,CoinCollection!P1355:P1731,)</f>
        <v>132</v>
      </c>
      <c r="G142" s="69" t="s">
        <v>731</v>
      </c>
      <c r="I142" s="201">
        <v>1952</v>
      </c>
      <c r="J142" s="202"/>
      <c r="K142" s="46" t="str">
        <f t="shared" si="4"/>
        <v>2000 D</v>
      </c>
      <c r="M142" s="46">
        <v>1952</v>
      </c>
      <c r="N142" s="34">
        <f t="shared" si="5"/>
        <v>45</v>
      </c>
    </row>
    <row r="143" spans="1:14">
      <c r="A143" s="69" t="s">
        <v>937</v>
      </c>
      <c r="B143" s="70">
        <v>675704000</v>
      </c>
      <c r="D143" s="34">
        <f>MATCH(A143,CoinCollection!P1356:P1732,)</f>
        <v>133</v>
      </c>
      <c r="G143" s="69" t="s">
        <v>246</v>
      </c>
      <c r="I143" s="199">
        <v>1952</v>
      </c>
      <c r="J143" s="198" t="s">
        <v>12</v>
      </c>
      <c r="K143" s="46" t="str">
        <f t="shared" si="4"/>
        <v xml:space="preserve">2001 P </v>
      </c>
      <c r="M143" s="46" t="s">
        <v>73</v>
      </c>
      <c r="N143" s="34">
        <f t="shared" si="5"/>
        <v>47</v>
      </c>
    </row>
    <row r="144" spans="1:14">
      <c r="A144" s="69" t="s">
        <v>938</v>
      </c>
      <c r="B144" s="70">
        <v>627680000</v>
      </c>
      <c r="D144" s="34">
        <f>MATCH(A144,CoinCollection!P1357:P1733,)</f>
        <v>134</v>
      </c>
      <c r="G144" s="69" t="s">
        <v>736</v>
      </c>
      <c r="I144" s="199">
        <v>1953</v>
      </c>
      <c r="J144" s="198"/>
      <c r="K144" s="46" t="str">
        <f t="shared" si="4"/>
        <v>2001 D</v>
      </c>
      <c r="M144" s="46">
        <v>1953</v>
      </c>
      <c r="N144" s="34">
        <f t="shared" si="5"/>
        <v>48</v>
      </c>
    </row>
    <row r="145" spans="1:14">
      <c r="A145" s="69" t="s">
        <v>939</v>
      </c>
      <c r="B145" s="70">
        <v>539280000</v>
      </c>
      <c r="D145" s="34">
        <f>MATCH(A145,CoinCollection!P1358:P1734,)</f>
        <v>134</v>
      </c>
      <c r="G145" s="69" t="s">
        <v>248</v>
      </c>
      <c r="I145" s="199">
        <v>1953</v>
      </c>
      <c r="J145" s="198" t="s">
        <v>13</v>
      </c>
      <c r="K145" s="46" t="str">
        <f t="shared" si="4"/>
        <v xml:space="preserve">2002 P </v>
      </c>
      <c r="M145" s="46" t="s">
        <v>212</v>
      </c>
      <c r="N145" s="34">
        <f t="shared" si="5"/>
        <v>49</v>
      </c>
    </row>
    <row r="146" spans="1:14">
      <c r="A146" s="69" t="s">
        <v>940</v>
      </c>
      <c r="B146" s="70">
        <v>691200000</v>
      </c>
      <c r="D146" s="34" t="e">
        <f>MATCH(A146,CoinCollection!P1359:P1735,)</f>
        <v>#N/A</v>
      </c>
      <c r="G146" s="69" t="s">
        <v>144</v>
      </c>
      <c r="I146" s="199">
        <v>1953</v>
      </c>
      <c r="J146" s="198" t="s">
        <v>12</v>
      </c>
      <c r="K146" s="46" t="str">
        <f t="shared" si="4"/>
        <v xml:space="preserve">2002 D </v>
      </c>
      <c r="M146" s="46" t="s">
        <v>78</v>
      </c>
      <c r="N146" s="34">
        <f t="shared" si="5"/>
        <v>50</v>
      </c>
    </row>
    <row r="147" spans="1:14">
      <c r="A147" s="69" t="s">
        <v>941</v>
      </c>
      <c r="B147" s="70">
        <v>441840000</v>
      </c>
      <c r="D147" s="34">
        <f>MATCH(A147,CoinCollection!P1360:P1736,)</f>
        <v>134</v>
      </c>
      <c r="G147" s="69" t="s">
        <v>154</v>
      </c>
      <c r="I147" s="199">
        <v>1954</v>
      </c>
      <c r="J147" s="198"/>
      <c r="K147" s="46" t="str">
        <f t="shared" si="4"/>
        <v>2003 P</v>
      </c>
      <c r="M147" s="46">
        <v>1954</v>
      </c>
      <c r="N147" s="34">
        <f t="shared" si="5"/>
        <v>51</v>
      </c>
    </row>
    <row r="148" spans="1:14">
      <c r="A148" s="69" t="s">
        <v>942</v>
      </c>
      <c r="B148" s="70">
        <v>383040000</v>
      </c>
      <c r="D148" s="34" t="e">
        <f>MATCH(A148,CoinCollection!P1361:P1737,)</f>
        <v>#N/A</v>
      </c>
      <c r="G148" s="69" t="s">
        <v>159</v>
      </c>
      <c r="I148" s="199">
        <v>1954</v>
      </c>
      <c r="J148" s="198" t="s">
        <v>13</v>
      </c>
      <c r="K148" s="46" t="str">
        <f t="shared" si="4"/>
        <v xml:space="preserve">2003 D </v>
      </c>
      <c r="M148" s="46" t="s">
        <v>81</v>
      </c>
      <c r="N148" s="34">
        <f t="shared" si="5"/>
        <v>52</v>
      </c>
    </row>
    <row r="149" spans="1:14">
      <c r="A149" s="69" t="s">
        <v>943</v>
      </c>
      <c r="B149" s="70">
        <v>361440000</v>
      </c>
      <c r="C149" s="286" t="s">
        <v>944</v>
      </c>
      <c r="D149" s="286">
        <f>MATCH(A149,CoinCollection!P1362:P1738,)</f>
        <v>134</v>
      </c>
      <c r="G149" s="69" t="s">
        <v>742</v>
      </c>
      <c r="I149" s="199">
        <v>1954</v>
      </c>
      <c r="J149" s="198" t="s">
        <v>12</v>
      </c>
      <c r="K149" s="46" t="str">
        <f t="shared" si="4"/>
        <v xml:space="preserve">2004 P </v>
      </c>
      <c r="M149" s="46" t="s">
        <v>64</v>
      </c>
      <c r="N149" s="34">
        <f t="shared" si="5"/>
        <v>53</v>
      </c>
    </row>
    <row r="150" spans="1:14">
      <c r="A150" s="69" t="s">
        <v>945</v>
      </c>
      <c r="B150" s="70">
        <v>372000000</v>
      </c>
      <c r="C150" s="286" t="s">
        <v>944</v>
      </c>
      <c r="D150" s="286" t="e">
        <f>MATCH(A150,CoinCollection!P1363:P1739,)</f>
        <v>#N/A</v>
      </c>
      <c r="G150" s="69" t="s">
        <v>169</v>
      </c>
      <c r="I150" s="201">
        <v>1955</v>
      </c>
      <c r="J150" s="202"/>
      <c r="K150" s="46" t="str">
        <f t="shared" si="4"/>
        <v>2004 D</v>
      </c>
      <c r="M150" s="46">
        <v>1955</v>
      </c>
      <c r="N150" s="34">
        <f t="shared" si="5"/>
        <v>54</v>
      </c>
    </row>
    <row r="151" spans="1:14">
      <c r="A151" s="69" t="s">
        <v>943</v>
      </c>
      <c r="B151" s="70">
        <v>366720000</v>
      </c>
      <c r="C151" s="286" t="s">
        <v>946</v>
      </c>
      <c r="D151" s="286">
        <f>MATCH(A151,CoinCollection!P1364:P1740,)</f>
        <v>132</v>
      </c>
      <c r="G151" s="69" t="s">
        <v>742</v>
      </c>
      <c r="I151" s="201">
        <v>1957</v>
      </c>
      <c r="J151" s="202"/>
      <c r="K151" s="46" t="str">
        <f t="shared" si="4"/>
        <v>2004 P</v>
      </c>
      <c r="M151" s="46">
        <v>1957</v>
      </c>
      <c r="N151" s="34">
        <f t="shared" si="5"/>
        <v>58</v>
      </c>
    </row>
    <row r="152" spans="1:14">
      <c r="A152" s="69" t="s">
        <v>945</v>
      </c>
      <c r="B152" s="70">
        <v>344880000</v>
      </c>
      <c r="C152" s="286" t="s">
        <v>946</v>
      </c>
      <c r="D152" s="286" t="e">
        <f>MATCH(A152,CoinCollection!P1365:P1741,)</f>
        <v>#N/A</v>
      </c>
      <c r="G152" s="69" t="s">
        <v>169</v>
      </c>
      <c r="I152" s="201">
        <v>1957</v>
      </c>
      <c r="J152" s="202" t="s">
        <v>13</v>
      </c>
      <c r="K152" s="46" t="str">
        <f t="shared" si="4"/>
        <v xml:space="preserve">2004 D </v>
      </c>
      <c r="M152" s="46" t="s">
        <v>275</v>
      </c>
      <c r="N152" s="34">
        <f t="shared" si="5"/>
        <v>59</v>
      </c>
    </row>
    <row r="153" spans="1:14">
      <c r="A153" s="69" t="s">
        <v>947</v>
      </c>
      <c r="B153" s="70">
        <v>448320000</v>
      </c>
      <c r="C153" s="286" t="s">
        <v>948</v>
      </c>
      <c r="D153" s="286">
        <f>MATCH(A153,CoinCollection!P1366:P1742,)</f>
        <v>133</v>
      </c>
      <c r="G153" s="69" t="s">
        <v>758</v>
      </c>
      <c r="I153" s="201">
        <v>1957</v>
      </c>
      <c r="J153" s="202" t="s">
        <v>13</v>
      </c>
      <c r="K153" s="46" t="str">
        <f t="shared" si="4"/>
        <v xml:space="preserve">2005 P </v>
      </c>
      <c r="M153" s="46" t="s">
        <v>275</v>
      </c>
      <c r="N153" s="34">
        <f t="shared" si="5"/>
        <v>59</v>
      </c>
    </row>
    <row r="154" spans="1:14">
      <c r="A154" s="69" t="s">
        <v>949</v>
      </c>
      <c r="B154" s="70">
        <v>487680000</v>
      </c>
      <c r="C154" s="286" t="s">
        <v>948</v>
      </c>
      <c r="D154" s="286">
        <f>MATCH(A154,CoinCollection!P1367:P1743,)</f>
        <v>130</v>
      </c>
      <c r="G154" s="69" t="s">
        <v>253</v>
      </c>
      <c r="I154" s="201">
        <v>1957</v>
      </c>
      <c r="J154" s="202" t="s">
        <v>13</v>
      </c>
      <c r="K154" s="46" t="str">
        <f t="shared" si="4"/>
        <v xml:space="preserve">2005 D </v>
      </c>
      <c r="M154" s="46" t="s">
        <v>275</v>
      </c>
      <c r="N154" s="34">
        <f t="shared" si="5"/>
        <v>59</v>
      </c>
    </row>
    <row r="155" spans="1:14">
      <c r="A155" s="69" t="s">
        <v>947</v>
      </c>
      <c r="B155" s="70">
        <v>394080000</v>
      </c>
      <c r="C155" s="286" t="s">
        <v>950</v>
      </c>
      <c r="D155" s="286">
        <f>MATCH(A155,CoinCollection!P1368:P1744,)</f>
        <v>131</v>
      </c>
      <c r="G155" s="69" t="s">
        <v>758</v>
      </c>
      <c r="I155" s="201">
        <v>1958</v>
      </c>
      <c r="J155" s="202" t="s">
        <v>13</v>
      </c>
      <c r="M155" s="46" t="s">
        <v>278</v>
      </c>
      <c r="N155" s="34">
        <f t="shared" si="5"/>
        <v>61</v>
      </c>
    </row>
    <row r="156" spans="1:14">
      <c r="A156" s="69" t="s">
        <v>949</v>
      </c>
      <c r="B156" s="70">
        <v>411120000</v>
      </c>
      <c r="C156" s="286" t="s">
        <v>950</v>
      </c>
      <c r="D156" s="286">
        <f>MATCH(A156,CoinCollection!P1369:P1745,)</f>
        <v>128</v>
      </c>
      <c r="G156" s="69" t="s">
        <v>253</v>
      </c>
      <c r="I156" s="201">
        <v>1958</v>
      </c>
      <c r="J156" s="202" t="s">
        <v>13</v>
      </c>
      <c r="M156" s="46" t="s">
        <v>278</v>
      </c>
      <c r="N156" s="34">
        <f t="shared" si="5"/>
        <v>61</v>
      </c>
    </row>
    <row r="157" spans="1:14">
      <c r="A157" s="69" t="s">
        <v>951</v>
      </c>
      <c r="B157" s="70">
        <v>693120000</v>
      </c>
      <c r="D157" s="34" t="e">
        <f>MATCH(A157,CoinCollection!P1370:P1746,)</f>
        <v>#N/A</v>
      </c>
      <c r="G157" s="69" t="s">
        <v>182</v>
      </c>
      <c r="I157" s="201">
        <v>1958</v>
      </c>
      <c r="J157" s="202" t="s">
        <v>13</v>
      </c>
      <c r="K157" s="46" t="str">
        <f t="shared" si="4"/>
        <v xml:space="preserve">2006 P </v>
      </c>
      <c r="M157" s="46" t="s">
        <v>278</v>
      </c>
      <c r="N157" s="34">
        <f t="shared" si="5"/>
        <v>61</v>
      </c>
    </row>
    <row r="158" spans="1:14">
      <c r="A158" s="69" t="s">
        <v>952</v>
      </c>
      <c r="B158" s="70">
        <v>809280000</v>
      </c>
      <c r="D158" s="34" t="e">
        <f>MATCH(A158,CoinCollection!P1371:P1747,)</f>
        <v>#N/A</v>
      </c>
      <c r="G158" s="69" t="s">
        <v>185</v>
      </c>
      <c r="I158" s="201">
        <v>1958</v>
      </c>
      <c r="J158" s="202" t="s">
        <v>13</v>
      </c>
      <c r="K158" s="46" t="str">
        <f t="shared" si="4"/>
        <v xml:space="preserve">2006 D </v>
      </c>
      <c r="M158" s="46" t="s">
        <v>278</v>
      </c>
      <c r="N158" s="34">
        <f t="shared" si="5"/>
        <v>61</v>
      </c>
    </row>
    <row r="159" spans="1:14">
      <c r="A159" s="69" t="s">
        <v>953</v>
      </c>
      <c r="B159" s="70">
        <v>571680000</v>
      </c>
      <c r="D159" s="34" t="e">
        <f>MATCH(A159,CoinCollection!P1372:P1748,)</f>
        <v>#N/A</v>
      </c>
      <c r="G159" s="69" t="s">
        <v>193</v>
      </c>
      <c r="I159" s="201">
        <v>1959</v>
      </c>
      <c r="J159" s="202" t="s">
        <v>13</v>
      </c>
      <c r="K159" s="46" t="str">
        <f t="shared" si="4"/>
        <v xml:space="preserve">2007 P </v>
      </c>
      <c r="M159" s="46" t="s">
        <v>68</v>
      </c>
      <c r="N159" s="34">
        <f t="shared" si="5"/>
        <v>63</v>
      </c>
    </row>
    <row r="160" spans="1:14">
      <c r="A160" s="69" t="s">
        <v>954</v>
      </c>
      <c r="B160" s="70">
        <v>626160000</v>
      </c>
      <c r="D160" s="34">
        <f>MATCH(A160,CoinCollection!P1373:P1749,)</f>
        <v>128</v>
      </c>
      <c r="G160" s="69" t="s">
        <v>196</v>
      </c>
      <c r="I160" s="201">
        <v>1959</v>
      </c>
      <c r="J160" s="202" t="s">
        <v>13</v>
      </c>
      <c r="K160" s="46" t="str">
        <f t="shared" si="4"/>
        <v xml:space="preserve">2007 D </v>
      </c>
      <c r="M160" s="46" t="s">
        <v>68</v>
      </c>
      <c r="N160" s="34">
        <f t="shared" si="5"/>
        <v>63</v>
      </c>
    </row>
    <row r="161" spans="1:14">
      <c r="A161" s="69" t="s">
        <v>955</v>
      </c>
      <c r="B161" s="70">
        <v>279840000</v>
      </c>
      <c r="D161" s="34" t="e">
        <f>MATCH(A161,CoinCollection!P1374:P1750,)</f>
        <v>#N/A</v>
      </c>
      <c r="G161" s="69" t="s">
        <v>202</v>
      </c>
      <c r="I161" s="201">
        <v>1959</v>
      </c>
      <c r="J161" s="202" t="s">
        <v>13</v>
      </c>
      <c r="K161" s="46" t="str">
        <f t="shared" si="4"/>
        <v xml:space="preserve">2008 P </v>
      </c>
      <c r="M161" s="46" t="s">
        <v>68</v>
      </c>
      <c r="N161" s="34">
        <f t="shared" si="5"/>
        <v>63</v>
      </c>
    </row>
    <row r="162" spans="1:14">
      <c r="A162" s="69" t="s">
        <v>956</v>
      </c>
      <c r="B162" s="70">
        <v>345600000</v>
      </c>
      <c r="D162" s="34">
        <f>MATCH(A162,CoinCollection!P1375:P1751,)</f>
        <v>128</v>
      </c>
      <c r="G162" s="69" t="s">
        <v>206</v>
      </c>
      <c r="I162" s="201">
        <v>1960</v>
      </c>
      <c r="J162" s="202" t="s">
        <v>13</v>
      </c>
      <c r="K162" s="46" t="str">
        <f t="shared" si="4"/>
        <v xml:space="preserve">2008 D </v>
      </c>
      <c r="M162" s="46" t="s">
        <v>71</v>
      </c>
      <c r="N162" s="34">
        <f t="shared" si="5"/>
        <v>65</v>
      </c>
    </row>
    <row r="163" spans="1:14">
      <c r="A163" s="69" t="s">
        <v>957</v>
      </c>
      <c r="B163" s="70">
        <v>39840000</v>
      </c>
      <c r="D163" s="34" t="e">
        <f>MATCH(A163,CoinCollection!P1376:P1752,)</f>
        <v>#N/A</v>
      </c>
      <c r="G163" s="69" t="s">
        <v>214</v>
      </c>
      <c r="I163" s="201">
        <v>1960</v>
      </c>
      <c r="J163" s="202" t="s">
        <v>13</v>
      </c>
      <c r="K163" s="46" t="str">
        <f t="shared" si="4"/>
        <v xml:space="preserve">2009 P </v>
      </c>
      <c r="M163" s="46" t="s">
        <v>71</v>
      </c>
      <c r="N163" s="34">
        <f t="shared" si="5"/>
        <v>65</v>
      </c>
    </row>
    <row r="164" spans="1:14">
      <c r="A164" s="69" t="s">
        <v>958</v>
      </c>
      <c r="B164" s="70">
        <v>46800000</v>
      </c>
      <c r="D164" s="34" t="e">
        <f>MATCH(A164,CoinCollection!P1377:P1753,)</f>
        <v>#N/A</v>
      </c>
      <c r="G164" s="69" t="s">
        <v>217</v>
      </c>
      <c r="I164" s="201">
        <v>1960</v>
      </c>
      <c r="J164" s="202" t="s">
        <v>13</v>
      </c>
      <c r="K164" s="46" t="str">
        <f t="shared" si="4"/>
        <v xml:space="preserve">2009 D </v>
      </c>
      <c r="M164" s="46" t="s">
        <v>71</v>
      </c>
      <c r="N164" s="34">
        <f t="shared" si="5"/>
        <v>65</v>
      </c>
    </row>
    <row r="165" spans="1:14">
      <c r="A165" s="69" t="s">
        <v>959</v>
      </c>
      <c r="B165" s="70">
        <v>260640000</v>
      </c>
      <c r="D165" s="34" t="e">
        <f>MATCH(A165,CoinCollection!P1378:P1754,)</f>
        <v>#N/A</v>
      </c>
      <c r="G165" s="69" t="s">
        <v>222</v>
      </c>
      <c r="I165" s="201">
        <v>1961</v>
      </c>
      <c r="J165" s="202"/>
      <c r="K165" s="46" t="str">
        <f t="shared" si="4"/>
        <v>2010 P</v>
      </c>
      <c r="M165" s="46">
        <v>1961</v>
      </c>
      <c r="N165" s="34">
        <f t="shared" si="5"/>
        <v>66</v>
      </c>
    </row>
    <row r="166" spans="1:14">
      <c r="A166" s="69" t="s">
        <v>960</v>
      </c>
      <c r="B166" s="70">
        <v>229920000</v>
      </c>
      <c r="D166" s="34" t="e">
        <f>MATCH(A166,CoinCollection!P1379:P1755,)</f>
        <v>#N/A</v>
      </c>
      <c r="G166" s="69" t="s">
        <v>226</v>
      </c>
      <c r="I166" s="201">
        <v>1961</v>
      </c>
      <c r="J166" s="202" t="s">
        <v>13</v>
      </c>
      <c r="K166" s="46" t="str">
        <f t="shared" si="4"/>
        <v xml:space="preserve">2010 D </v>
      </c>
      <c r="M166" s="46" t="s">
        <v>74</v>
      </c>
      <c r="N166" s="34">
        <f t="shared" si="5"/>
        <v>67</v>
      </c>
    </row>
    <row r="167" spans="1:14">
      <c r="A167" s="69" t="s">
        <v>961</v>
      </c>
      <c r="B167" s="70">
        <v>450000000</v>
      </c>
      <c r="D167" s="34">
        <f>MATCH(A167,CoinCollection!P1380:P1757,)</f>
        <v>125</v>
      </c>
      <c r="G167" s="69" t="s">
        <v>88</v>
      </c>
      <c r="I167" s="201">
        <v>1961</v>
      </c>
      <c r="J167" s="202" t="s">
        <v>13</v>
      </c>
      <c r="K167" s="46" t="str">
        <f t="shared" si="4"/>
        <v xml:space="preserve">2011 P </v>
      </c>
      <c r="M167" s="46" t="s">
        <v>74</v>
      </c>
      <c r="N167" s="34">
        <f t="shared" si="5"/>
        <v>67</v>
      </c>
    </row>
    <row r="168" spans="1:14">
      <c r="A168" s="69" t="s">
        <v>962</v>
      </c>
      <c r="B168" s="70">
        <v>540240000</v>
      </c>
      <c r="D168" s="34">
        <f>MATCH(A168,CoinCollection!P1381:P1758,)</f>
        <v>126</v>
      </c>
      <c r="G168" s="69" t="s">
        <v>90</v>
      </c>
      <c r="I168" s="201">
        <v>1961</v>
      </c>
      <c r="J168" s="202" t="s">
        <v>13</v>
      </c>
      <c r="K168" s="46" t="str">
        <f t="shared" si="4"/>
        <v xml:space="preserve">2011 D </v>
      </c>
      <c r="M168" s="46" t="s">
        <v>74</v>
      </c>
      <c r="N168" s="34">
        <f t="shared" si="5"/>
        <v>67</v>
      </c>
    </row>
    <row r="169" spans="1:14">
      <c r="A169" s="69" t="s">
        <v>963</v>
      </c>
      <c r="B169" s="70">
        <v>464640000</v>
      </c>
      <c r="D169" s="34">
        <f>MATCH(A169,CoinCollection!P1382:P1759,)</f>
        <v>129</v>
      </c>
      <c r="G169" s="69" t="s">
        <v>768</v>
      </c>
      <c r="I169" s="201">
        <v>1961</v>
      </c>
      <c r="J169" s="202" t="s">
        <v>13</v>
      </c>
      <c r="K169" s="46" t="str">
        <f t="shared" si="4"/>
        <v xml:space="preserve">2012 P </v>
      </c>
      <c r="M169" s="46" t="s">
        <v>74</v>
      </c>
      <c r="N169" s="34">
        <f t="shared" si="5"/>
        <v>67</v>
      </c>
    </row>
    <row r="170" spans="1:14">
      <c r="A170" s="69" t="s">
        <v>964</v>
      </c>
      <c r="B170" s="70">
        <v>558960000</v>
      </c>
      <c r="D170" s="34">
        <f>MATCH(A170,CoinCollection!P1383:P1760,)</f>
        <v>132</v>
      </c>
      <c r="G170" s="69" t="s">
        <v>100</v>
      </c>
      <c r="I170" s="201">
        <v>1961</v>
      </c>
      <c r="J170" s="202" t="s">
        <v>13</v>
      </c>
      <c r="K170" s="46" t="str">
        <f t="shared" si="4"/>
        <v xml:space="preserve">2012 D </v>
      </c>
      <c r="M170" s="46" t="s">
        <v>74</v>
      </c>
      <c r="N170" s="34">
        <f t="shared" si="5"/>
        <v>67</v>
      </c>
    </row>
    <row r="171" spans="1:14">
      <c r="A171" s="69" t="s">
        <v>965</v>
      </c>
      <c r="B171" s="70">
        <v>607440000</v>
      </c>
      <c r="D171" s="34">
        <f>MATCH(A171,CoinCollection!P1384:P1761,)</f>
        <v>135</v>
      </c>
      <c r="G171" s="69" t="s">
        <v>775</v>
      </c>
      <c r="I171" s="201">
        <v>1962</v>
      </c>
      <c r="J171" s="202"/>
      <c r="K171" s="46" t="str">
        <f t="shared" si="4"/>
        <v>2013 P</v>
      </c>
      <c r="M171" s="46">
        <v>1962</v>
      </c>
      <c r="N171" s="34">
        <f t="shared" si="5"/>
        <v>68</v>
      </c>
    </row>
    <row r="172" spans="1:14">
      <c r="A172" s="69" t="s">
        <v>966</v>
      </c>
      <c r="B172" s="70">
        <v>615600000</v>
      </c>
      <c r="D172" s="34">
        <f>MATCH(A172,CoinCollection!P1385:P1762,)</f>
        <v>137</v>
      </c>
      <c r="G172" s="69" t="s">
        <v>106</v>
      </c>
      <c r="I172" s="201">
        <v>1962</v>
      </c>
      <c r="J172" s="202"/>
      <c r="K172" s="46" t="str">
        <f t="shared" si="4"/>
        <v>2013 D</v>
      </c>
      <c r="M172" s="46">
        <v>1962</v>
      </c>
      <c r="N172" s="34">
        <f t="shared" si="5"/>
        <v>68</v>
      </c>
    </row>
    <row r="173" spans="1:14">
      <c r="A173" s="69" t="s">
        <v>967</v>
      </c>
      <c r="B173" s="70">
        <v>635520000</v>
      </c>
      <c r="D173" s="34">
        <f>MATCH(A173,CoinCollection!P1386:P1763,)</f>
        <v>140</v>
      </c>
      <c r="G173" s="69" t="s">
        <v>781</v>
      </c>
      <c r="I173" s="201">
        <v>1962</v>
      </c>
      <c r="J173" s="202" t="s">
        <v>13</v>
      </c>
      <c r="K173" s="46" t="str">
        <f t="shared" si="4"/>
        <v xml:space="preserve">2014 P </v>
      </c>
      <c r="M173" s="46" t="s">
        <v>76</v>
      </c>
      <c r="N173" s="34">
        <f t="shared" si="5"/>
        <v>69</v>
      </c>
    </row>
    <row r="174" spans="1:14">
      <c r="A174" s="69" t="s">
        <v>968</v>
      </c>
      <c r="B174" s="70">
        <v>570720000</v>
      </c>
      <c r="D174" s="34">
        <f>MATCH(A174,CoinCollection!P1387:P1764,)</f>
        <v>141</v>
      </c>
      <c r="G174" s="69" t="s">
        <v>112</v>
      </c>
      <c r="I174" s="201">
        <v>1962</v>
      </c>
      <c r="J174" s="202" t="s">
        <v>13</v>
      </c>
      <c r="K174" s="46" t="str">
        <f t="shared" si="4"/>
        <v xml:space="preserve">2014 D </v>
      </c>
      <c r="M174" s="46" t="s">
        <v>76</v>
      </c>
      <c r="N174" s="34">
        <f t="shared" si="5"/>
        <v>69</v>
      </c>
    </row>
    <row r="175" spans="1:14">
      <c r="A175" s="69" t="s">
        <v>969</v>
      </c>
      <c r="B175" s="70">
        <v>752880000</v>
      </c>
      <c r="D175" s="34">
        <f>MATCH(A175,CoinCollection!P1388:P1765,)</f>
        <v>143</v>
      </c>
      <c r="G175" s="69" t="s">
        <v>785</v>
      </c>
      <c r="I175" s="201">
        <v>1963</v>
      </c>
      <c r="J175" s="202"/>
      <c r="K175" s="46" t="str">
        <f t="shared" si="4"/>
        <v>2015 P</v>
      </c>
      <c r="M175" s="46">
        <v>1963</v>
      </c>
      <c r="N175" s="34">
        <f t="shared" si="5"/>
        <v>70</v>
      </c>
    </row>
    <row r="176" spans="1:14">
      <c r="A176" s="69" t="s">
        <v>970</v>
      </c>
      <c r="B176" s="70">
        <v>846720000</v>
      </c>
      <c r="D176" s="34">
        <f>MATCH(A176,CoinCollection!P1389:P1766,)</f>
        <v>144</v>
      </c>
      <c r="G176" s="69" t="s">
        <v>271</v>
      </c>
      <c r="I176" s="201">
        <v>1963</v>
      </c>
      <c r="J176" s="202"/>
      <c r="K176" s="46" t="str">
        <f t="shared" si="4"/>
        <v>2015 D</v>
      </c>
      <c r="M176" s="46">
        <v>1963</v>
      </c>
      <c r="N176" s="34">
        <f t="shared" si="5"/>
        <v>70</v>
      </c>
    </row>
    <row r="177" spans="1:14">
      <c r="A177" s="69" t="s">
        <v>971</v>
      </c>
      <c r="B177" s="70">
        <v>786960000</v>
      </c>
      <c r="D177" s="34">
        <f>MATCH(A177,CoinCollection!P1390:P1767,)</f>
        <v>147</v>
      </c>
      <c r="G177" s="69" t="s">
        <v>791</v>
      </c>
      <c r="I177" s="201">
        <v>1963</v>
      </c>
      <c r="J177" s="202"/>
      <c r="K177" s="46" t="str">
        <f t="shared" si="4"/>
        <v>2016 P</v>
      </c>
      <c r="M177" s="46">
        <v>1963</v>
      </c>
      <c r="N177" s="34">
        <f t="shared" si="5"/>
        <v>70</v>
      </c>
    </row>
    <row r="178" spans="1:14">
      <c r="A178" s="69" t="s">
        <v>972</v>
      </c>
      <c r="B178" s="70">
        <v>759600000</v>
      </c>
      <c r="D178" s="34">
        <f>MATCH(A178,CoinCollection!P1391:P1768,)</f>
        <v>151</v>
      </c>
      <c r="G178" s="69" t="s">
        <v>125</v>
      </c>
      <c r="I178" s="201">
        <v>1963</v>
      </c>
      <c r="J178" s="202" t="s">
        <v>13</v>
      </c>
      <c r="K178" s="46" t="str">
        <f t="shared" si="4"/>
        <v xml:space="preserve">2016 D </v>
      </c>
      <c r="M178" s="46" t="s">
        <v>79</v>
      </c>
      <c r="N178" s="34">
        <f t="shared" si="5"/>
        <v>71</v>
      </c>
    </row>
    <row r="179" spans="1:14">
      <c r="A179" s="69" t="s">
        <v>973</v>
      </c>
      <c r="B179" s="70">
        <v>710160000</v>
      </c>
      <c r="D179" s="34">
        <f>MATCH(A179,CoinCollection!P1392:P1769,)</f>
        <v>154</v>
      </c>
      <c r="G179" s="69" t="s">
        <v>799</v>
      </c>
      <c r="I179" s="201">
        <v>1963</v>
      </c>
      <c r="J179" s="202" t="s">
        <v>13</v>
      </c>
      <c r="K179" s="46" t="str">
        <f t="shared" si="4"/>
        <v xml:space="preserve">2017 P </v>
      </c>
      <c r="M179" s="46" t="s">
        <v>79</v>
      </c>
      <c r="N179" s="34">
        <f t="shared" si="5"/>
        <v>71</v>
      </c>
    </row>
    <row r="180" spans="1:14">
      <c r="A180" s="69" t="s">
        <v>974</v>
      </c>
      <c r="B180" s="70">
        <v>663120000</v>
      </c>
      <c r="D180" s="34">
        <f>MATCH(A180,CoinCollection!P1393:P1770,)</f>
        <v>155</v>
      </c>
      <c r="G180" s="69" t="s">
        <v>133</v>
      </c>
      <c r="I180" s="201">
        <v>1963</v>
      </c>
      <c r="J180" s="202" t="s">
        <v>13</v>
      </c>
      <c r="K180" s="46" t="str">
        <f t="shared" si="4"/>
        <v xml:space="preserve">2017 D </v>
      </c>
      <c r="M180" s="46" t="s">
        <v>79</v>
      </c>
      <c r="N180" s="34">
        <f t="shared" si="5"/>
        <v>71</v>
      </c>
    </row>
    <row r="181" spans="1:14">
      <c r="A181" s="69" t="s">
        <v>975</v>
      </c>
      <c r="B181" s="70">
        <v>629520000</v>
      </c>
      <c r="D181" s="34">
        <f>MATCH(A181,CoinCollection!P1394:P1771,)</f>
        <v>158</v>
      </c>
      <c r="G181" s="69" t="s">
        <v>804</v>
      </c>
      <c r="I181" s="201">
        <v>1963</v>
      </c>
      <c r="J181" s="202"/>
      <c r="K181" s="46" t="str">
        <f t="shared" si="4"/>
        <v>2018 P</v>
      </c>
      <c r="M181" s="46">
        <v>1963</v>
      </c>
      <c r="N181" s="34">
        <f t="shared" si="5"/>
        <v>70</v>
      </c>
    </row>
    <row r="182" spans="1:14">
      <c r="A182" s="69" t="s">
        <v>976</v>
      </c>
      <c r="B182" s="70">
        <v>626880000</v>
      </c>
      <c r="D182" s="34">
        <f>MATCH(A182,CoinCollection!P1395:P1772,)</f>
        <v>160</v>
      </c>
      <c r="G182" s="69" t="s">
        <v>141</v>
      </c>
      <c r="I182" s="201">
        <v>1964</v>
      </c>
      <c r="J182" s="202"/>
      <c r="K182" s="46" t="str">
        <f t="shared" si="4"/>
        <v>2018 D</v>
      </c>
      <c r="M182" s="46">
        <v>1964</v>
      </c>
      <c r="N182" s="34">
        <f t="shared" si="5"/>
        <v>72</v>
      </c>
    </row>
    <row r="183" spans="1:14">
      <c r="A183" s="69" t="s">
        <v>977</v>
      </c>
      <c r="B183" s="70">
        <v>567854400</v>
      </c>
      <c r="D183" s="34">
        <f>MATCH(A183,CoinCollection!P1396:P1773,)</f>
        <v>163</v>
      </c>
      <c r="G183" s="69" t="s">
        <v>810</v>
      </c>
      <c r="I183" s="201">
        <v>1964</v>
      </c>
      <c r="J183" s="202"/>
      <c r="K183" s="46" t="str">
        <f t="shared" si="4"/>
        <v>2019 P</v>
      </c>
      <c r="M183" s="46">
        <v>1964</v>
      </c>
      <c r="N183" s="34">
        <f t="shared" si="5"/>
        <v>72</v>
      </c>
    </row>
    <row r="184" spans="1:14">
      <c r="A184" s="69" t="s">
        <v>978</v>
      </c>
      <c r="B184" s="70">
        <v>527040000</v>
      </c>
      <c r="D184" s="34">
        <f>MATCH(A184,CoinCollection!P1397:P1774,)</f>
        <v>165</v>
      </c>
      <c r="G184" s="69" t="s">
        <v>150</v>
      </c>
      <c r="I184" s="201">
        <v>1964</v>
      </c>
      <c r="J184" s="202"/>
      <c r="K184" s="46" t="str">
        <f t="shared" si="4"/>
        <v>2019 D</v>
      </c>
      <c r="M184" s="46">
        <v>1964</v>
      </c>
      <c r="N184" s="34">
        <f t="shared" si="5"/>
        <v>72</v>
      </c>
    </row>
    <row r="185" spans="1:14">
      <c r="A185" s="69" t="s">
        <v>979</v>
      </c>
      <c r="B185" s="70">
        <v>785500000</v>
      </c>
      <c r="D185" s="34">
        <f>MATCH(A185,CoinCollection!P1398:P1775,)</f>
        <v>167</v>
      </c>
      <c r="G185" s="69" t="s">
        <v>815</v>
      </c>
      <c r="I185" s="201">
        <v>1964</v>
      </c>
      <c r="J185" s="202"/>
      <c r="K185" s="46" t="str">
        <f t="shared" si="4"/>
        <v>2020 P</v>
      </c>
      <c r="M185" s="46">
        <v>1964</v>
      </c>
      <c r="N185" s="34">
        <f t="shared" si="5"/>
        <v>72</v>
      </c>
    </row>
    <row r="186" spans="1:14">
      <c r="A186" s="69" t="s">
        <v>980</v>
      </c>
      <c r="B186" s="70">
        <v>837600000</v>
      </c>
      <c r="D186" s="34">
        <f>MATCH(A186,CoinCollection!P1399:P1776,)</f>
        <v>168</v>
      </c>
      <c r="G186" s="69" t="s">
        <v>160</v>
      </c>
      <c r="I186" s="201">
        <v>1964</v>
      </c>
      <c r="J186" s="202"/>
      <c r="K186" s="46" t="str">
        <f t="shared" si="4"/>
        <v>2020 D</v>
      </c>
      <c r="M186" s="46">
        <v>1964</v>
      </c>
      <c r="N186" s="34">
        <f t="shared" si="5"/>
        <v>72</v>
      </c>
    </row>
    <row r="187" spans="1:14">
      <c r="A187" t="s">
        <v>3979</v>
      </c>
      <c r="B187" s="70">
        <v>465080</v>
      </c>
      <c r="D187" s="34" t="e">
        <f>MATCH(A187,CoinCollection!P1400:P1777,)</f>
        <v>#N/A</v>
      </c>
      <c r="I187" s="201">
        <v>1964</v>
      </c>
      <c r="J187" s="202"/>
      <c r="M187" s="46">
        <v>1964</v>
      </c>
      <c r="N187" s="34">
        <f t="shared" si="5"/>
        <v>72</v>
      </c>
    </row>
    <row r="188" spans="1:14">
      <c r="A188" t="s">
        <v>3980</v>
      </c>
      <c r="B188" s="70">
        <v>313184</v>
      </c>
      <c r="D188" s="34" t="e">
        <f>MATCH(A188,CoinCollection!P1401:P1778,)</f>
        <v>#N/A</v>
      </c>
      <c r="I188" s="201">
        <v>1964</v>
      </c>
      <c r="J188" s="202"/>
      <c r="M188" s="46">
        <v>1964</v>
      </c>
      <c r="N188" s="34">
        <f t="shared" si="5"/>
        <v>72</v>
      </c>
    </row>
    <row r="189" spans="1:14">
      <c r="A189" s="69" t="s">
        <v>2564</v>
      </c>
      <c r="B189" s="70">
        <v>785500000</v>
      </c>
      <c r="D189" s="34">
        <f>MATCH(A189,CoinCollection!P1402:P1779,)</f>
        <v>169</v>
      </c>
      <c r="I189" s="201">
        <v>1964</v>
      </c>
      <c r="J189" s="202"/>
      <c r="M189" s="46">
        <v>1964</v>
      </c>
      <c r="N189" s="34">
        <f t="shared" si="5"/>
        <v>72</v>
      </c>
    </row>
    <row r="190" spans="1:14">
      <c r="A190" s="69" t="s">
        <v>2565</v>
      </c>
      <c r="B190" s="70">
        <v>837600000</v>
      </c>
      <c r="D190" s="34">
        <f>MATCH(A190,CoinCollection!P1403:P1780,)</f>
        <v>169</v>
      </c>
      <c r="I190" s="201">
        <v>1964</v>
      </c>
      <c r="J190" s="202"/>
      <c r="M190" s="46">
        <v>1964</v>
      </c>
      <c r="N190" s="34">
        <f t="shared" si="5"/>
        <v>72</v>
      </c>
    </row>
    <row r="191" spans="1:14">
      <c r="A191" s="232" t="s">
        <v>3976</v>
      </c>
      <c r="B191" s="70">
        <v>792612</v>
      </c>
      <c r="D191" s="34">
        <f>MATCH(A191,CoinCollection!P1404:P1781,)</f>
        <v>169</v>
      </c>
      <c r="I191" s="201">
        <v>1964</v>
      </c>
      <c r="J191" s="202"/>
      <c r="M191" s="46">
        <v>1964</v>
      </c>
      <c r="N191" s="34">
        <f t="shared" si="5"/>
        <v>72</v>
      </c>
    </row>
    <row r="192" spans="1:14">
      <c r="A192" s="69" t="s">
        <v>2567</v>
      </c>
      <c r="B192" s="70">
        <v>769920000</v>
      </c>
      <c r="D192" s="34">
        <f>MATCH(A192,CoinCollection!P1405:P1782,)</f>
        <v>173</v>
      </c>
      <c r="I192" s="201">
        <v>1964</v>
      </c>
      <c r="J192" s="202" t="s">
        <v>13</v>
      </c>
      <c r="M192" s="46" t="s">
        <v>554</v>
      </c>
      <c r="N192" s="34">
        <f t="shared" si="5"/>
        <v>73</v>
      </c>
    </row>
    <row r="193" spans="1:17">
      <c r="A193" s="69" t="s">
        <v>2566</v>
      </c>
      <c r="B193" s="70">
        <v>777600000</v>
      </c>
      <c r="D193" s="34">
        <f>MATCH(A193,CoinCollection!P1406:P1783,)</f>
        <v>173</v>
      </c>
      <c r="I193" s="201">
        <v>1964</v>
      </c>
      <c r="J193" s="202" t="s">
        <v>13</v>
      </c>
      <c r="M193" s="46" t="s">
        <v>554</v>
      </c>
      <c r="N193" s="34">
        <f t="shared" si="5"/>
        <v>73</v>
      </c>
    </row>
    <row r="194" spans="1:17">
      <c r="A194" s="232" t="s">
        <v>2570</v>
      </c>
      <c r="B194" s="70">
        <v>647021</v>
      </c>
      <c r="D194" s="34">
        <f>MATCH(A194,CoinCollection!P1407:P1784,)</f>
        <v>173</v>
      </c>
      <c r="I194" s="201">
        <v>1964</v>
      </c>
      <c r="J194" s="202" t="s">
        <v>13</v>
      </c>
      <c r="M194" s="46" t="s">
        <v>554</v>
      </c>
      <c r="N194" s="34">
        <f t="shared" si="5"/>
        <v>73</v>
      </c>
    </row>
    <row r="195" spans="1:17">
      <c r="A195" s="69" t="s">
        <v>2568</v>
      </c>
      <c r="B195" s="70">
        <v>692600000</v>
      </c>
      <c r="D195" s="34">
        <f>MATCH(A195,CoinCollection!P1408:P1785,)</f>
        <v>177</v>
      </c>
      <c r="I195" s="201">
        <v>1964</v>
      </c>
      <c r="J195" s="202" t="s">
        <v>13</v>
      </c>
      <c r="M195" s="46" t="s">
        <v>554</v>
      </c>
      <c r="N195" s="34">
        <f t="shared" si="5"/>
        <v>73</v>
      </c>
    </row>
    <row r="196" spans="1:17">
      <c r="A196" s="69" t="s">
        <v>2569</v>
      </c>
      <c r="B196" s="70">
        <v>734800000</v>
      </c>
      <c r="D196" s="34">
        <f>MATCH(A196,CoinCollection!P1409:P1786,)</f>
        <v>180</v>
      </c>
      <c r="I196" s="201">
        <v>1964</v>
      </c>
      <c r="J196" s="202" t="s">
        <v>13</v>
      </c>
      <c r="M196" s="46" t="s">
        <v>554</v>
      </c>
      <c r="N196" s="34">
        <f t="shared" ref="N196:N259" si="6">MATCH(M196,G:G,0)</f>
        <v>73</v>
      </c>
    </row>
    <row r="197" spans="1:17">
      <c r="A197" s="232" t="s">
        <v>3977</v>
      </c>
      <c r="B197" s="70"/>
      <c r="D197" s="34">
        <f>MATCH(A197,CoinCollection!P1410:P1787,)</f>
        <v>176</v>
      </c>
      <c r="I197" s="201">
        <v>1964</v>
      </c>
      <c r="J197" s="202" t="s">
        <v>13</v>
      </c>
      <c r="M197" s="46" t="s">
        <v>554</v>
      </c>
      <c r="N197" s="34">
        <f t="shared" si="6"/>
        <v>73</v>
      </c>
    </row>
    <row r="198" spans="1:17">
      <c r="A198" s="94" t="s">
        <v>2571</v>
      </c>
      <c r="D198" s="34">
        <f>MATCH(A198,CoinCollection!P1411:P1788,)</f>
        <v>179</v>
      </c>
      <c r="I198" s="201">
        <v>1964</v>
      </c>
      <c r="J198" s="202" t="s">
        <v>13</v>
      </c>
      <c r="M198" s="46" t="s">
        <v>554</v>
      </c>
      <c r="N198" s="34">
        <f t="shared" si="6"/>
        <v>73</v>
      </c>
    </row>
    <row r="199" spans="1:17">
      <c r="A199" s="94" t="s">
        <v>2572</v>
      </c>
      <c r="D199" s="34" t="e">
        <f>MATCH(A199,CoinCollection!P1412:P1789,)</f>
        <v>#N/A</v>
      </c>
      <c r="I199" s="201">
        <v>1964</v>
      </c>
      <c r="J199" s="202" t="s">
        <v>13</v>
      </c>
      <c r="M199" s="46" t="s">
        <v>554</v>
      </c>
      <c r="N199" s="34">
        <f t="shared" si="6"/>
        <v>73</v>
      </c>
    </row>
    <row r="200" spans="1:17">
      <c r="A200" s="94" t="s">
        <v>3978</v>
      </c>
      <c r="D200" s="34">
        <f>MATCH(A200,CoinCollection!P1413:P1790,)</f>
        <v>179</v>
      </c>
      <c r="I200" s="201">
        <v>1964</v>
      </c>
      <c r="J200" s="202" t="s">
        <v>13</v>
      </c>
      <c r="M200" s="46" t="s">
        <v>554</v>
      </c>
      <c r="N200" s="34">
        <f t="shared" si="6"/>
        <v>73</v>
      </c>
    </row>
    <row r="201" spans="1:17">
      <c r="A201" s="94" t="s">
        <v>3981</v>
      </c>
      <c r="D201" s="34" t="e">
        <f>MATCH(A201,CoinCollection!P1414:P1791,)</f>
        <v>#N/A</v>
      </c>
      <c r="I201" s="201">
        <v>1964</v>
      </c>
      <c r="J201" s="202" t="s">
        <v>13</v>
      </c>
      <c r="M201" s="46" t="s">
        <v>554</v>
      </c>
      <c r="N201" s="34">
        <f t="shared" si="6"/>
        <v>73</v>
      </c>
    </row>
    <row r="202" spans="1:17">
      <c r="A202" s="94" t="s">
        <v>3982</v>
      </c>
      <c r="D202" s="34" t="e">
        <f>MATCH(A202,CoinCollection!P1415:P1793,)</f>
        <v>#N/A</v>
      </c>
      <c r="I202" s="201">
        <v>1964</v>
      </c>
      <c r="J202" s="202" t="s">
        <v>13</v>
      </c>
      <c r="M202" s="46" t="s">
        <v>554</v>
      </c>
      <c r="N202" s="34">
        <f t="shared" si="6"/>
        <v>73</v>
      </c>
    </row>
    <row r="203" spans="1:17">
      <c r="A203" s="94" t="s">
        <v>3983</v>
      </c>
      <c r="D203" s="34" t="e">
        <f>MATCH(A203,CoinCollection!P1416:P1794,)</f>
        <v>#N/A</v>
      </c>
      <c r="I203" s="201">
        <v>1964</v>
      </c>
      <c r="J203" s="202" t="s">
        <v>13</v>
      </c>
      <c r="M203" s="46" t="s">
        <v>554</v>
      </c>
      <c r="N203" s="34">
        <f t="shared" si="6"/>
        <v>73</v>
      </c>
    </row>
    <row r="204" spans="1:17">
      <c r="D204" s="34">
        <f>COUNTIF(D3:D203,"&lt;&gt;#n/a")</f>
        <v>156</v>
      </c>
      <c r="E204" s="34" t="s">
        <v>981</v>
      </c>
      <c r="I204" s="201">
        <v>1965</v>
      </c>
      <c r="J204" s="202"/>
      <c r="M204" s="46">
        <v>1965</v>
      </c>
      <c r="N204" s="34">
        <f t="shared" si="6"/>
        <v>74</v>
      </c>
      <c r="Q204" s="34">
        <f>6*7.5</f>
        <v>45</v>
      </c>
    </row>
    <row r="205" spans="1:17">
      <c r="D205" s="34">
        <f>COUNTIF(D1:D203,"=#n/a")</f>
        <v>45</v>
      </c>
      <c r="E205" s="34" t="s">
        <v>982</v>
      </c>
      <c r="I205" s="201">
        <v>1966</v>
      </c>
      <c r="J205" s="202"/>
      <c r="M205" s="46">
        <v>1966</v>
      </c>
      <c r="N205" s="34">
        <f t="shared" si="6"/>
        <v>75</v>
      </c>
    </row>
    <row r="206" spans="1:17">
      <c r="I206" s="201">
        <v>1966</v>
      </c>
      <c r="J206" s="202"/>
      <c r="M206" s="46">
        <v>1966</v>
      </c>
      <c r="N206" s="34">
        <f t="shared" si="6"/>
        <v>75</v>
      </c>
    </row>
    <row r="207" spans="1:17">
      <c r="I207" s="201">
        <v>1967</v>
      </c>
      <c r="J207" s="202"/>
      <c r="M207" s="46">
        <v>1967</v>
      </c>
      <c r="N207" s="34">
        <f t="shared" si="6"/>
        <v>76</v>
      </c>
    </row>
    <row r="208" spans="1:17">
      <c r="I208" s="201">
        <v>1967</v>
      </c>
      <c r="J208" s="202"/>
      <c r="M208" s="46">
        <v>1967</v>
      </c>
      <c r="N208" s="34">
        <f t="shared" si="6"/>
        <v>76</v>
      </c>
    </row>
    <row r="209" spans="9:14">
      <c r="I209" s="201">
        <v>1969</v>
      </c>
      <c r="J209" s="202" t="s">
        <v>13</v>
      </c>
      <c r="M209" s="46" t="s">
        <v>575</v>
      </c>
      <c r="N209" s="34">
        <f t="shared" si="6"/>
        <v>79</v>
      </c>
    </row>
    <row r="210" spans="9:14">
      <c r="I210" s="201">
        <v>1969</v>
      </c>
      <c r="J210" s="202" t="s">
        <v>13</v>
      </c>
      <c r="M210" s="46" t="s">
        <v>575</v>
      </c>
      <c r="N210" s="34">
        <f t="shared" si="6"/>
        <v>79</v>
      </c>
    </row>
    <row r="211" spans="9:14">
      <c r="I211" s="201">
        <v>1969</v>
      </c>
      <c r="J211" s="202" t="s">
        <v>13</v>
      </c>
      <c r="M211" s="46" t="s">
        <v>575</v>
      </c>
      <c r="N211" s="34">
        <f t="shared" si="6"/>
        <v>79</v>
      </c>
    </row>
    <row r="212" spans="9:14">
      <c r="I212" s="201">
        <v>1969</v>
      </c>
      <c r="J212" s="202" t="s">
        <v>13</v>
      </c>
      <c r="M212" s="46" t="s">
        <v>575</v>
      </c>
      <c r="N212" s="34">
        <f t="shared" si="6"/>
        <v>79</v>
      </c>
    </row>
    <row r="213" spans="9:14">
      <c r="I213" s="201">
        <v>1969</v>
      </c>
      <c r="J213" s="202" t="s">
        <v>13</v>
      </c>
      <c r="M213" s="46" t="s">
        <v>575</v>
      </c>
      <c r="N213" s="34">
        <f t="shared" si="6"/>
        <v>79</v>
      </c>
    </row>
    <row r="214" spans="9:14">
      <c r="I214" s="201">
        <v>1969</v>
      </c>
      <c r="J214" s="202" t="s">
        <v>12</v>
      </c>
      <c r="M214" s="46" t="s">
        <v>581</v>
      </c>
      <c r="N214" s="34">
        <f t="shared" si="6"/>
        <v>80</v>
      </c>
    </row>
    <row r="215" spans="9:14">
      <c r="I215" s="201">
        <v>1970</v>
      </c>
      <c r="J215" s="202" t="s">
        <v>13</v>
      </c>
      <c r="M215" s="46" t="s">
        <v>583</v>
      </c>
      <c r="N215" s="34">
        <f t="shared" si="6"/>
        <v>81</v>
      </c>
    </row>
    <row r="216" spans="9:14">
      <c r="I216" s="201">
        <v>1970</v>
      </c>
      <c r="J216" s="202" t="s">
        <v>13</v>
      </c>
      <c r="M216" s="46" t="s">
        <v>583</v>
      </c>
      <c r="N216" s="34">
        <f t="shared" si="6"/>
        <v>81</v>
      </c>
    </row>
    <row r="217" spans="9:14">
      <c r="I217" s="201">
        <v>1970</v>
      </c>
      <c r="J217" s="202" t="s">
        <v>13</v>
      </c>
      <c r="M217" s="46" t="s">
        <v>583</v>
      </c>
      <c r="N217" s="34">
        <f t="shared" si="6"/>
        <v>81</v>
      </c>
    </row>
    <row r="218" spans="9:14">
      <c r="I218" s="201">
        <v>1970</v>
      </c>
      <c r="J218" s="202" t="s">
        <v>13</v>
      </c>
      <c r="M218" s="46" t="s">
        <v>583</v>
      </c>
      <c r="N218" s="34">
        <f t="shared" si="6"/>
        <v>81</v>
      </c>
    </row>
    <row r="219" spans="9:14">
      <c r="I219" s="201">
        <v>1970</v>
      </c>
      <c r="J219" s="202" t="s">
        <v>13</v>
      </c>
      <c r="M219" s="46" t="s">
        <v>583</v>
      </c>
      <c r="N219" s="34">
        <f t="shared" si="6"/>
        <v>81</v>
      </c>
    </row>
    <row r="220" spans="9:14">
      <c r="I220" s="201">
        <v>1970</v>
      </c>
      <c r="J220" s="202" t="s">
        <v>13</v>
      </c>
      <c r="M220" s="46" t="s">
        <v>583</v>
      </c>
      <c r="N220" s="34">
        <f t="shared" si="6"/>
        <v>81</v>
      </c>
    </row>
    <row r="221" spans="9:14">
      <c r="I221" s="201">
        <v>1971</v>
      </c>
      <c r="J221" s="202" t="s">
        <v>13</v>
      </c>
      <c r="M221" s="46" t="s">
        <v>255</v>
      </c>
      <c r="N221" s="34">
        <f t="shared" si="6"/>
        <v>84</v>
      </c>
    </row>
    <row r="222" spans="9:14">
      <c r="I222" s="201">
        <v>1971</v>
      </c>
      <c r="J222" s="202" t="s">
        <v>13</v>
      </c>
      <c r="M222" s="46" t="s">
        <v>255</v>
      </c>
      <c r="N222" s="34">
        <f t="shared" si="6"/>
        <v>84</v>
      </c>
    </row>
    <row r="223" spans="9:14">
      <c r="I223" s="201">
        <v>1972</v>
      </c>
      <c r="J223" s="202" t="s">
        <v>13</v>
      </c>
      <c r="M223" s="46" t="s">
        <v>258</v>
      </c>
      <c r="N223" s="34">
        <f t="shared" si="6"/>
        <v>86</v>
      </c>
    </row>
    <row r="224" spans="9:14">
      <c r="I224" s="201">
        <v>1972</v>
      </c>
      <c r="J224" s="202" t="s">
        <v>13</v>
      </c>
      <c r="M224" s="46" t="s">
        <v>258</v>
      </c>
      <c r="N224" s="34">
        <f t="shared" si="6"/>
        <v>86</v>
      </c>
    </row>
    <row r="225" spans="9:14">
      <c r="I225" s="201">
        <v>1972</v>
      </c>
      <c r="J225" s="202" t="s">
        <v>13</v>
      </c>
      <c r="M225" s="46" t="s">
        <v>258</v>
      </c>
      <c r="N225" s="34">
        <f t="shared" si="6"/>
        <v>86</v>
      </c>
    </row>
    <row r="226" spans="9:14">
      <c r="I226" s="201">
        <v>1972</v>
      </c>
      <c r="J226" s="202"/>
      <c r="M226" s="46">
        <v>1972</v>
      </c>
      <c r="N226" s="34">
        <f t="shared" si="6"/>
        <v>85</v>
      </c>
    </row>
    <row r="227" spans="9:14">
      <c r="I227" s="201">
        <v>1973</v>
      </c>
      <c r="J227" s="202"/>
      <c r="M227" s="46">
        <v>1973</v>
      </c>
      <c r="N227" s="34">
        <f t="shared" si="6"/>
        <v>87</v>
      </c>
    </row>
    <row r="228" spans="9:14">
      <c r="I228" s="201">
        <v>1973</v>
      </c>
      <c r="J228" s="202"/>
      <c r="M228" s="46">
        <v>1973</v>
      </c>
      <c r="N228" s="34">
        <f t="shared" si="6"/>
        <v>87</v>
      </c>
    </row>
    <row r="229" spans="9:14">
      <c r="I229" s="201">
        <v>1973</v>
      </c>
      <c r="J229" s="202"/>
      <c r="M229" s="46">
        <v>1973</v>
      </c>
      <c r="N229" s="34">
        <f t="shared" si="6"/>
        <v>87</v>
      </c>
    </row>
    <row r="230" spans="9:14">
      <c r="I230" s="201">
        <v>1973</v>
      </c>
      <c r="J230" s="202"/>
      <c r="M230" s="46">
        <v>1973</v>
      </c>
      <c r="N230" s="34">
        <f t="shared" si="6"/>
        <v>87</v>
      </c>
    </row>
    <row r="231" spans="9:14">
      <c r="I231" s="201">
        <v>1973</v>
      </c>
      <c r="J231" s="202"/>
      <c r="M231" s="46">
        <v>1973</v>
      </c>
      <c r="N231" s="34">
        <f t="shared" si="6"/>
        <v>87</v>
      </c>
    </row>
    <row r="232" spans="9:14">
      <c r="I232" s="201">
        <v>1973</v>
      </c>
      <c r="J232" s="202"/>
      <c r="M232" s="46">
        <v>1973</v>
      </c>
      <c r="N232" s="34">
        <f t="shared" si="6"/>
        <v>87</v>
      </c>
    </row>
    <row r="233" spans="9:14">
      <c r="I233" s="201">
        <v>1974</v>
      </c>
      <c r="J233" s="202"/>
      <c r="M233" s="46">
        <v>1974</v>
      </c>
      <c r="N233" s="34">
        <f t="shared" si="6"/>
        <v>89</v>
      </c>
    </row>
    <row r="234" spans="9:14">
      <c r="I234" s="201">
        <v>1974</v>
      </c>
      <c r="J234" s="202"/>
      <c r="M234" s="46">
        <v>1974</v>
      </c>
      <c r="N234" s="34">
        <f t="shared" si="6"/>
        <v>89</v>
      </c>
    </row>
    <row r="235" spans="9:14">
      <c r="I235" s="201">
        <v>1974</v>
      </c>
      <c r="J235" s="202"/>
      <c r="M235" s="46">
        <v>1974</v>
      </c>
      <c r="N235" s="34">
        <f t="shared" si="6"/>
        <v>89</v>
      </c>
    </row>
    <row r="236" spans="9:14">
      <c r="I236" s="201">
        <v>1974</v>
      </c>
      <c r="J236" s="202"/>
      <c r="M236" s="46">
        <v>1974</v>
      </c>
      <c r="N236" s="34">
        <f t="shared" si="6"/>
        <v>89</v>
      </c>
    </row>
    <row r="237" spans="9:14">
      <c r="I237" s="201">
        <v>1974</v>
      </c>
      <c r="J237" s="202" t="s">
        <v>13</v>
      </c>
      <c r="M237" s="46" t="s">
        <v>262</v>
      </c>
      <c r="N237" s="34">
        <f t="shared" si="6"/>
        <v>90</v>
      </c>
    </row>
    <row r="238" spans="9:14">
      <c r="I238" s="201">
        <v>1974</v>
      </c>
      <c r="J238" s="202" t="s">
        <v>13</v>
      </c>
      <c r="M238" s="46" t="s">
        <v>262</v>
      </c>
      <c r="N238" s="34">
        <f t="shared" si="6"/>
        <v>90</v>
      </c>
    </row>
    <row r="239" spans="9:14">
      <c r="I239" s="201">
        <v>1975</v>
      </c>
      <c r="J239" s="202"/>
      <c r="M239" s="46">
        <v>1975</v>
      </c>
      <c r="N239" s="34">
        <f t="shared" si="6"/>
        <v>91</v>
      </c>
    </row>
    <row r="240" spans="9:14">
      <c r="I240" s="201">
        <v>1975</v>
      </c>
      <c r="J240" s="202"/>
      <c r="M240" s="46">
        <v>1975</v>
      </c>
      <c r="N240" s="34">
        <f t="shared" si="6"/>
        <v>91</v>
      </c>
    </row>
    <row r="241" spans="9:14">
      <c r="I241" s="201">
        <v>1975</v>
      </c>
      <c r="J241" s="202" t="s">
        <v>13</v>
      </c>
      <c r="M241" s="46" t="s">
        <v>266</v>
      </c>
      <c r="N241" s="34">
        <f t="shared" si="6"/>
        <v>92</v>
      </c>
    </row>
    <row r="242" spans="9:14">
      <c r="I242" s="201">
        <v>1975</v>
      </c>
      <c r="J242" s="202"/>
      <c r="M242" s="46">
        <v>1975</v>
      </c>
      <c r="N242" s="34">
        <f t="shared" si="6"/>
        <v>91</v>
      </c>
    </row>
    <row r="243" spans="9:14">
      <c r="I243" s="201">
        <v>1976</v>
      </c>
      <c r="J243" s="202"/>
      <c r="M243" s="46">
        <v>1976</v>
      </c>
      <c r="N243" s="34">
        <f t="shared" si="6"/>
        <v>93</v>
      </c>
    </row>
    <row r="244" spans="9:14">
      <c r="I244" s="201">
        <v>1976</v>
      </c>
      <c r="J244" s="202"/>
      <c r="M244" s="46">
        <v>1976</v>
      </c>
      <c r="N244" s="34">
        <f t="shared" si="6"/>
        <v>93</v>
      </c>
    </row>
    <row r="245" spans="9:14">
      <c r="I245" s="201">
        <v>1976</v>
      </c>
      <c r="J245" s="202"/>
      <c r="M245" s="46">
        <v>1976</v>
      </c>
      <c r="N245" s="34">
        <f t="shared" si="6"/>
        <v>93</v>
      </c>
    </row>
    <row r="246" spans="9:14">
      <c r="I246" s="201">
        <v>1976</v>
      </c>
      <c r="J246" s="202"/>
      <c r="M246" s="46">
        <v>1976</v>
      </c>
      <c r="N246" s="34">
        <f t="shared" si="6"/>
        <v>93</v>
      </c>
    </row>
    <row r="247" spans="9:14">
      <c r="I247" s="201">
        <v>1976</v>
      </c>
      <c r="J247" s="202"/>
      <c r="M247" s="46">
        <v>1976</v>
      </c>
      <c r="N247" s="34">
        <f t="shared" si="6"/>
        <v>93</v>
      </c>
    </row>
    <row r="248" spans="9:14">
      <c r="I248" s="201">
        <v>1976</v>
      </c>
      <c r="J248" s="202" t="s">
        <v>13</v>
      </c>
      <c r="M248" s="46" t="s">
        <v>272</v>
      </c>
      <c r="N248" s="34">
        <f t="shared" si="6"/>
        <v>94</v>
      </c>
    </row>
    <row r="249" spans="9:14">
      <c r="I249" s="201">
        <v>1976</v>
      </c>
      <c r="J249" s="202" t="s">
        <v>13</v>
      </c>
      <c r="M249" s="46" t="s">
        <v>272</v>
      </c>
      <c r="N249" s="34">
        <f t="shared" si="6"/>
        <v>94</v>
      </c>
    </row>
    <row r="250" spans="9:14">
      <c r="I250" s="201">
        <v>1977</v>
      </c>
      <c r="J250" s="202"/>
      <c r="M250" s="46">
        <v>1977</v>
      </c>
      <c r="N250" s="34">
        <f t="shared" si="6"/>
        <v>95</v>
      </c>
    </row>
    <row r="251" spans="9:14">
      <c r="I251" s="201">
        <v>1977</v>
      </c>
      <c r="J251" s="202"/>
      <c r="M251" s="46">
        <v>1977</v>
      </c>
      <c r="N251" s="34">
        <f t="shared" si="6"/>
        <v>95</v>
      </c>
    </row>
    <row r="252" spans="9:14">
      <c r="I252" s="201">
        <v>1977</v>
      </c>
      <c r="J252" s="202"/>
      <c r="M252" s="46">
        <v>1977</v>
      </c>
      <c r="N252" s="34">
        <f t="shared" si="6"/>
        <v>95</v>
      </c>
    </row>
    <row r="253" spans="9:14">
      <c r="I253" s="201">
        <v>1977</v>
      </c>
      <c r="J253" s="202"/>
      <c r="M253" s="46">
        <v>1977</v>
      </c>
      <c r="N253" s="34">
        <f t="shared" si="6"/>
        <v>95</v>
      </c>
    </row>
    <row r="254" spans="9:14">
      <c r="I254" s="201">
        <v>1977</v>
      </c>
      <c r="J254" s="202"/>
      <c r="M254" s="46">
        <v>1977</v>
      </c>
      <c r="N254" s="34">
        <f t="shared" si="6"/>
        <v>95</v>
      </c>
    </row>
    <row r="255" spans="9:14">
      <c r="I255" s="201">
        <v>1978</v>
      </c>
      <c r="J255" s="202"/>
      <c r="M255" s="46">
        <v>1978</v>
      </c>
      <c r="N255" s="34">
        <f t="shared" si="6"/>
        <v>97</v>
      </c>
    </row>
    <row r="256" spans="9:14">
      <c r="I256" s="201">
        <v>1978</v>
      </c>
      <c r="J256" s="202"/>
      <c r="M256" s="46">
        <v>1978</v>
      </c>
      <c r="N256" s="34">
        <f t="shared" si="6"/>
        <v>97</v>
      </c>
    </row>
    <row r="257" spans="9:14">
      <c r="I257" s="201">
        <v>1978</v>
      </c>
      <c r="J257" s="202"/>
      <c r="M257" s="46">
        <v>1978</v>
      </c>
      <c r="N257" s="34">
        <f t="shared" si="6"/>
        <v>97</v>
      </c>
    </row>
    <row r="258" spans="9:14">
      <c r="I258" s="201">
        <v>1978</v>
      </c>
      <c r="J258" s="202"/>
      <c r="M258" s="46">
        <v>1978</v>
      </c>
      <c r="N258" s="34">
        <f t="shared" si="6"/>
        <v>97</v>
      </c>
    </row>
    <row r="259" spans="9:14">
      <c r="I259" s="201">
        <v>1978</v>
      </c>
      <c r="J259" s="202"/>
      <c r="M259" s="46">
        <v>1978</v>
      </c>
      <c r="N259" s="34">
        <f t="shared" si="6"/>
        <v>97</v>
      </c>
    </row>
    <row r="260" spans="9:14">
      <c r="I260" s="201">
        <v>1979</v>
      </c>
      <c r="J260" s="202"/>
      <c r="M260" s="46">
        <v>1979</v>
      </c>
      <c r="N260" s="34">
        <f t="shared" ref="N260:N323" si="7">MATCH(M260,G:G,0)</f>
        <v>99</v>
      </c>
    </row>
    <row r="261" spans="9:14">
      <c r="I261" s="201">
        <v>1979</v>
      </c>
      <c r="J261" s="202"/>
      <c r="M261" s="46">
        <v>1979</v>
      </c>
      <c r="N261" s="34">
        <f t="shared" si="7"/>
        <v>99</v>
      </c>
    </row>
    <row r="262" spans="9:14">
      <c r="I262" s="201">
        <v>1980</v>
      </c>
      <c r="J262" s="202" t="s">
        <v>25</v>
      </c>
      <c r="M262" s="46" t="s">
        <v>242</v>
      </c>
      <c r="N262" s="34">
        <f t="shared" si="7"/>
        <v>101</v>
      </c>
    </row>
    <row r="263" spans="9:14">
      <c r="I263" s="201">
        <v>1980</v>
      </c>
      <c r="J263" s="202" t="s">
        <v>25</v>
      </c>
      <c r="M263" s="46" t="s">
        <v>242</v>
      </c>
      <c r="N263" s="34">
        <f t="shared" si="7"/>
        <v>101</v>
      </c>
    </row>
    <row r="264" spans="9:14">
      <c r="I264" s="201">
        <v>1980</v>
      </c>
      <c r="J264" s="202" t="s">
        <v>25</v>
      </c>
      <c r="M264" s="46" t="s">
        <v>242</v>
      </c>
      <c r="N264" s="34">
        <f t="shared" si="7"/>
        <v>101</v>
      </c>
    </row>
    <row r="265" spans="9:14">
      <c r="I265" s="201">
        <v>1980</v>
      </c>
      <c r="J265" s="202" t="s">
        <v>25</v>
      </c>
      <c r="M265" s="46" t="s">
        <v>242</v>
      </c>
      <c r="N265" s="34">
        <f t="shared" si="7"/>
        <v>101</v>
      </c>
    </row>
    <row r="266" spans="9:14">
      <c r="I266" s="201">
        <v>1980</v>
      </c>
      <c r="J266" s="202" t="s">
        <v>25</v>
      </c>
      <c r="M266" s="46" t="s">
        <v>242</v>
      </c>
      <c r="N266" s="34">
        <f t="shared" si="7"/>
        <v>101</v>
      </c>
    </row>
    <row r="267" spans="9:14">
      <c r="I267" s="201">
        <v>1981</v>
      </c>
      <c r="J267" s="202" t="s">
        <v>25</v>
      </c>
      <c r="M267" s="46" t="s">
        <v>245</v>
      </c>
      <c r="N267" s="34">
        <f t="shared" si="7"/>
        <v>103</v>
      </c>
    </row>
    <row r="268" spans="9:14">
      <c r="I268" s="201">
        <v>1981</v>
      </c>
      <c r="J268" s="202" t="s">
        <v>25</v>
      </c>
      <c r="M268" s="46" t="s">
        <v>245</v>
      </c>
      <c r="N268" s="34">
        <f t="shared" si="7"/>
        <v>103</v>
      </c>
    </row>
    <row r="269" spans="9:14">
      <c r="I269" s="201">
        <v>1981</v>
      </c>
      <c r="J269" s="202" t="s">
        <v>25</v>
      </c>
      <c r="M269" s="46" t="s">
        <v>245</v>
      </c>
      <c r="N269" s="34">
        <f t="shared" si="7"/>
        <v>103</v>
      </c>
    </row>
    <row r="270" spans="9:14">
      <c r="I270" s="201">
        <v>1981</v>
      </c>
      <c r="J270" s="202" t="s">
        <v>25</v>
      </c>
      <c r="M270" s="46" t="s">
        <v>245</v>
      </c>
      <c r="N270" s="34">
        <f t="shared" si="7"/>
        <v>103</v>
      </c>
    </row>
    <row r="271" spans="9:14">
      <c r="I271" s="201">
        <v>1981</v>
      </c>
      <c r="J271" s="202" t="s">
        <v>25</v>
      </c>
      <c r="M271" s="46" t="s">
        <v>245</v>
      </c>
      <c r="N271" s="34">
        <f t="shared" si="7"/>
        <v>103</v>
      </c>
    </row>
    <row r="272" spans="9:14">
      <c r="I272" s="201">
        <v>1981</v>
      </c>
      <c r="J272" s="202" t="s">
        <v>25</v>
      </c>
      <c r="M272" s="46" t="s">
        <v>245</v>
      </c>
      <c r="N272" s="34">
        <f t="shared" si="7"/>
        <v>103</v>
      </c>
    </row>
    <row r="273" spans="9:14">
      <c r="I273" s="201">
        <v>1981</v>
      </c>
      <c r="J273" s="202" t="s">
        <v>25</v>
      </c>
      <c r="M273" s="46" t="s">
        <v>245</v>
      </c>
      <c r="N273" s="34">
        <f t="shared" si="7"/>
        <v>103</v>
      </c>
    </row>
    <row r="274" spans="9:14">
      <c r="I274" s="201">
        <v>1981</v>
      </c>
      <c r="J274" s="202" t="s">
        <v>25</v>
      </c>
      <c r="M274" s="46" t="s">
        <v>245</v>
      </c>
      <c r="N274" s="34">
        <f t="shared" si="7"/>
        <v>103</v>
      </c>
    </row>
    <row r="275" spans="9:14">
      <c r="I275" s="201">
        <v>1981</v>
      </c>
      <c r="J275" s="202" t="s">
        <v>25</v>
      </c>
      <c r="M275" s="46" t="s">
        <v>245</v>
      </c>
      <c r="N275" s="34">
        <f t="shared" si="7"/>
        <v>103</v>
      </c>
    </row>
    <row r="276" spans="9:14">
      <c r="I276" s="201">
        <v>1981</v>
      </c>
      <c r="J276" s="202" t="s">
        <v>13</v>
      </c>
      <c r="M276" s="46" t="s">
        <v>243</v>
      </c>
      <c r="N276" s="34">
        <f t="shared" si="7"/>
        <v>104</v>
      </c>
    </row>
    <row r="277" spans="9:14">
      <c r="I277" s="201">
        <v>1982</v>
      </c>
      <c r="J277" s="202" t="s">
        <v>13</v>
      </c>
      <c r="M277" s="46" t="s">
        <v>247</v>
      </c>
      <c r="N277" s="34">
        <f t="shared" si="7"/>
        <v>106</v>
      </c>
    </row>
    <row r="278" spans="9:14">
      <c r="I278" s="201">
        <v>1982</v>
      </c>
      <c r="J278" s="202" t="s">
        <v>25</v>
      </c>
      <c r="M278" s="46" t="s">
        <v>655</v>
      </c>
      <c r="N278" s="34">
        <f t="shared" si="7"/>
        <v>105</v>
      </c>
    </row>
    <row r="279" spans="9:14">
      <c r="I279" s="201">
        <v>1982</v>
      </c>
      <c r="J279" s="202" t="s">
        <v>25</v>
      </c>
      <c r="M279" s="46" t="s">
        <v>655</v>
      </c>
      <c r="N279" s="34">
        <f t="shared" si="7"/>
        <v>105</v>
      </c>
    </row>
    <row r="280" spans="9:14">
      <c r="I280" s="201">
        <v>1982</v>
      </c>
      <c r="J280" s="202" t="s">
        <v>25</v>
      </c>
      <c r="M280" s="46" t="s">
        <v>655</v>
      </c>
      <c r="N280" s="34">
        <f t="shared" si="7"/>
        <v>105</v>
      </c>
    </row>
    <row r="281" spans="9:14">
      <c r="I281" s="201">
        <v>1982</v>
      </c>
      <c r="J281" s="202" t="s">
        <v>25</v>
      </c>
      <c r="M281" s="46" t="s">
        <v>655</v>
      </c>
      <c r="N281" s="34">
        <f t="shared" si="7"/>
        <v>105</v>
      </c>
    </row>
    <row r="282" spans="9:14">
      <c r="I282" s="201">
        <v>1982</v>
      </c>
      <c r="J282" s="202" t="s">
        <v>25</v>
      </c>
      <c r="M282" s="46" t="s">
        <v>655</v>
      </c>
      <c r="N282" s="34">
        <f t="shared" si="7"/>
        <v>105</v>
      </c>
    </row>
    <row r="283" spans="9:14">
      <c r="I283" s="201">
        <v>1982</v>
      </c>
      <c r="J283" s="202" t="s">
        <v>25</v>
      </c>
      <c r="M283" s="46" t="s">
        <v>655</v>
      </c>
      <c r="N283" s="34">
        <f t="shared" si="7"/>
        <v>105</v>
      </c>
    </row>
    <row r="284" spans="9:14">
      <c r="I284" s="201">
        <v>1983</v>
      </c>
      <c r="J284" s="202" t="s">
        <v>25</v>
      </c>
      <c r="M284" s="46" t="s">
        <v>250</v>
      </c>
      <c r="N284" s="34">
        <f t="shared" si="7"/>
        <v>107</v>
      </c>
    </row>
    <row r="285" spans="9:14">
      <c r="I285" s="201">
        <v>1983</v>
      </c>
      <c r="J285" s="202" t="s">
        <v>25</v>
      </c>
      <c r="M285" s="46" t="s">
        <v>250</v>
      </c>
      <c r="N285" s="34">
        <f t="shared" si="7"/>
        <v>107</v>
      </c>
    </row>
    <row r="286" spans="9:14">
      <c r="I286" s="201">
        <v>1983</v>
      </c>
      <c r="J286" s="202" t="s">
        <v>13</v>
      </c>
      <c r="M286" s="46" t="s">
        <v>249</v>
      </c>
      <c r="N286" s="34">
        <f t="shared" si="7"/>
        <v>108</v>
      </c>
    </row>
    <row r="287" spans="9:14">
      <c r="I287" s="201">
        <v>1983</v>
      </c>
      <c r="J287" s="202" t="s">
        <v>25</v>
      </c>
      <c r="M287" s="46" t="s">
        <v>250</v>
      </c>
      <c r="N287" s="34">
        <f t="shared" si="7"/>
        <v>107</v>
      </c>
    </row>
    <row r="288" spans="9:14">
      <c r="I288" s="201">
        <v>1983</v>
      </c>
      <c r="J288" s="202" t="s">
        <v>13</v>
      </c>
      <c r="M288" s="46" t="s">
        <v>249</v>
      </c>
      <c r="N288" s="34">
        <f t="shared" si="7"/>
        <v>108</v>
      </c>
    </row>
    <row r="289" spans="9:14">
      <c r="I289" s="201">
        <v>1983</v>
      </c>
      <c r="J289" s="202" t="s">
        <v>13</v>
      </c>
      <c r="M289" s="46" t="s">
        <v>249</v>
      </c>
      <c r="N289" s="34">
        <f t="shared" si="7"/>
        <v>108</v>
      </c>
    </row>
    <row r="290" spans="9:14">
      <c r="I290" s="201">
        <v>1983</v>
      </c>
      <c r="J290" s="202" t="s">
        <v>25</v>
      </c>
      <c r="M290" s="46" t="s">
        <v>250</v>
      </c>
      <c r="N290" s="34">
        <f t="shared" si="7"/>
        <v>107</v>
      </c>
    </row>
    <row r="291" spans="9:14">
      <c r="I291" s="201">
        <v>1984</v>
      </c>
      <c r="J291" s="202" t="s">
        <v>13</v>
      </c>
      <c r="M291" s="46" t="s">
        <v>251</v>
      </c>
      <c r="N291" s="34">
        <f t="shared" si="7"/>
        <v>110</v>
      </c>
    </row>
    <row r="292" spans="9:14">
      <c r="I292" s="201">
        <v>1984</v>
      </c>
      <c r="J292" s="202" t="s">
        <v>13</v>
      </c>
      <c r="M292" s="46" t="s">
        <v>251</v>
      </c>
      <c r="N292" s="34">
        <f t="shared" si="7"/>
        <v>110</v>
      </c>
    </row>
    <row r="293" spans="9:14">
      <c r="I293" s="201">
        <v>1985</v>
      </c>
      <c r="J293" s="202" t="s">
        <v>25</v>
      </c>
      <c r="M293" s="46" t="s">
        <v>671</v>
      </c>
      <c r="N293" s="34">
        <f t="shared" si="7"/>
        <v>111</v>
      </c>
    </row>
    <row r="294" spans="9:14">
      <c r="I294" s="201">
        <v>1985</v>
      </c>
      <c r="J294" s="202" t="s">
        <v>25</v>
      </c>
      <c r="M294" s="46" t="s">
        <v>671</v>
      </c>
      <c r="N294" s="34">
        <f t="shared" si="7"/>
        <v>111</v>
      </c>
    </row>
    <row r="295" spans="9:14">
      <c r="I295" s="201">
        <v>1986</v>
      </c>
      <c r="J295" s="202" t="s">
        <v>25</v>
      </c>
      <c r="M295" s="46" t="s">
        <v>257</v>
      </c>
      <c r="N295" s="34">
        <f t="shared" si="7"/>
        <v>113</v>
      </c>
    </row>
    <row r="296" spans="9:14">
      <c r="I296" s="201">
        <v>1986</v>
      </c>
      <c r="J296" s="202" t="s">
        <v>25</v>
      </c>
      <c r="M296" s="46" t="s">
        <v>257</v>
      </c>
      <c r="N296" s="34">
        <f t="shared" si="7"/>
        <v>113</v>
      </c>
    </row>
    <row r="297" spans="9:14">
      <c r="I297" s="201">
        <v>1987</v>
      </c>
      <c r="J297" s="202" t="s">
        <v>13</v>
      </c>
      <c r="M297" s="46" t="s">
        <v>675</v>
      </c>
      <c r="N297" s="34">
        <f t="shared" si="7"/>
        <v>116</v>
      </c>
    </row>
    <row r="298" spans="9:14">
      <c r="I298" s="201">
        <v>1987</v>
      </c>
      <c r="J298" s="202" t="s">
        <v>13</v>
      </c>
      <c r="M298" s="46" t="s">
        <v>675</v>
      </c>
      <c r="N298" s="34">
        <f t="shared" si="7"/>
        <v>116</v>
      </c>
    </row>
    <row r="299" spans="9:14">
      <c r="I299" s="201">
        <v>1988</v>
      </c>
      <c r="J299" s="202" t="s">
        <v>13</v>
      </c>
      <c r="M299" s="46" t="s">
        <v>678</v>
      </c>
      <c r="N299" s="34">
        <f t="shared" si="7"/>
        <v>118</v>
      </c>
    </row>
    <row r="300" spans="9:14">
      <c r="I300" s="201">
        <v>1988</v>
      </c>
      <c r="J300" s="202" t="s">
        <v>13</v>
      </c>
      <c r="M300" s="46" t="s">
        <v>678</v>
      </c>
      <c r="N300" s="34">
        <f t="shared" si="7"/>
        <v>118</v>
      </c>
    </row>
    <row r="301" spans="9:14">
      <c r="I301" s="201">
        <v>1989</v>
      </c>
      <c r="J301" s="202" t="s">
        <v>13</v>
      </c>
      <c r="M301" s="46" t="s">
        <v>261</v>
      </c>
      <c r="N301" s="34">
        <f t="shared" si="7"/>
        <v>120</v>
      </c>
    </row>
    <row r="302" spans="9:14">
      <c r="I302" s="201">
        <v>1989</v>
      </c>
      <c r="J302" s="202" t="s">
        <v>13</v>
      </c>
      <c r="M302" s="46" t="s">
        <v>261</v>
      </c>
      <c r="N302" s="34">
        <f t="shared" si="7"/>
        <v>120</v>
      </c>
    </row>
    <row r="303" spans="9:14">
      <c r="I303" s="201">
        <v>1989</v>
      </c>
      <c r="J303" s="202" t="s">
        <v>25</v>
      </c>
      <c r="M303" s="46" t="s">
        <v>263</v>
      </c>
      <c r="N303" s="34">
        <f t="shared" si="7"/>
        <v>119</v>
      </c>
    </row>
    <row r="304" spans="9:14">
      <c r="I304" s="201">
        <v>1989</v>
      </c>
      <c r="J304" s="202" t="s">
        <v>25</v>
      </c>
      <c r="M304" s="46" t="s">
        <v>263</v>
      </c>
      <c r="N304" s="34">
        <f t="shared" si="7"/>
        <v>119</v>
      </c>
    </row>
    <row r="305" spans="9:14">
      <c r="I305" s="201">
        <v>1989</v>
      </c>
      <c r="J305" s="202" t="s">
        <v>25</v>
      </c>
      <c r="M305" s="46" t="s">
        <v>263</v>
      </c>
      <c r="N305" s="34">
        <f t="shared" si="7"/>
        <v>119</v>
      </c>
    </row>
    <row r="306" spans="9:14">
      <c r="I306" s="201">
        <v>1990</v>
      </c>
      <c r="J306" s="202" t="s">
        <v>13</v>
      </c>
      <c r="M306" s="46" t="s">
        <v>265</v>
      </c>
      <c r="N306" s="34">
        <f t="shared" si="7"/>
        <v>122</v>
      </c>
    </row>
    <row r="307" spans="9:14">
      <c r="I307" s="201">
        <v>1990</v>
      </c>
      <c r="J307" s="202" t="s">
        <v>25</v>
      </c>
      <c r="M307" s="46" t="s">
        <v>687</v>
      </c>
      <c r="N307" s="34">
        <f t="shared" si="7"/>
        <v>121</v>
      </c>
    </row>
    <row r="308" spans="9:14">
      <c r="I308" s="201">
        <v>1991</v>
      </c>
      <c r="J308" s="202" t="s">
        <v>25</v>
      </c>
      <c r="M308" s="46" t="s">
        <v>270</v>
      </c>
      <c r="N308" s="34">
        <f t="shared" si="7"/>
        <v>123</v>
      </c>
    </row>
    <row r="309" spans="9:14">
      <c r="I309" s="201">
        <v>1991</v>
      </c>
      <c r="J309" s="202" t="s">
        <v>13</v>
      </c>
      <c r="M309" s="46" t="s">
        <v>268</v>
      </c>
      <c r="N309" s="34">
        <f t="shared" si="7"/>
        <v>124</v>
      </c>
    </row>
    <row r="310" spans="9:14">
      <c r="I310" s="201">
        <v>1992</v>
      </c>
      <c r="J310" s="202" t="s">
        <v>25</v>
      </c>
      <c r="M310" s="46" t="s">
        <v>691</v>
      </c>
      <c r="N310" s="34">
        <f t="shared" si="7"/>
        <v>125</v>
      </c>
    </row>
    <row r="311" spans="9:14">
      <c r="I311" s="201">
        <v>1992</v>
      </c>
      <c r="J311" s="202" t="s">
        <v>25</v>
      </c>
      <c r="M311" s="46" t="s">
        <v>691</v>
      </c>
      <c r="N311" s="34">
        <f t="shared" si="7"/>
        <v>125</v>
      </c>
    </row>
    <row r="312" spans="9:14">
      <c r="I312" s="201">
        <v>1992</v>
      </c>
      <c r="J312" s="202" t="s">
        <v>13</v>
      </c>
      <c r="M312" s="46" t="s">
        <v>274</v>
      </c>
      <c r="N312" s="34">
        <f t="shared" si="7"/>
        <v>126</v>
      </c>
    </row>
    <row r="313" spans="9:14">
      <c r="I313" s="201">
        <v>1992</v>
      </c>
      <c r="J313" s="202" t="s">
        <v>13</v>
      </c>
      <c r="M313" s="46" t="s">
        <v>274</v>
      </c>
      <c r="N313" s="34">
        <f t="shared" si="7"/>
        <v>126</v>
      </c>
    </row>
    <row r="314" spans="9:14">
      <c r="I314" s="201">
        <v>1993</v>
      </c>
      <c r="J314" s="202" t="s">
        <v>13</v>
      </c>
      <c r="M314" s="46" t="s">
        <v>277</v>
      </c>
      <c r="N314" s="34">
        <f t="shared" si="7"/>
        <v>128</v>
      </c>
    </row>
    <row r="315" spans="9:14">
      <c r="I315" s="201">
        <v>1993</v>
      </c>
      <c r="J315" s="202" t="s">
        <v>13</v>
      </c>
      <c r="M315" s="46" t="s">
        <v>277</v>
      </c>
      <c r="N315" s="34">
        <f t="shared" si="7"/>
        <v>128</v>
      </c>
    </row>
    <row r="316" spans="9:14">
      <c r="I316" s="201">
        <v>1994</v>
      </c>
      <c r="J316" s="202" t="s">
        <v>25</v>
      </c>
      <c r="M316" s="46" t="s">
        <v>698</v>
      </c>
      <c r="N316" s="34">
        <f t="shared" si="7"/>
        <v>129</v>
      </c>
    </row>
    <row r="317" spans="9:14">
      <c r="I317" s="201">
        <v>1994</v>
      </c>
      <c r="J317" s="202" t="s">
        <v>25</v>
      </c>
      <c r="M317" s="46" t="s">
        <v>698</v>
      </c>
      <c r="N317" s="34">
        <f t="shared" si="7"/>
        <v>129</v>
      </c>
    </row>
    <row r="318" spans="9:14">
      <c r="I318" s="201">
        <v>1994</v>
      </c>
      <c r="J318" s="202" t="s">
        <v>25</v>
      </c>
      <c r="M318" s="46" t="s">
        <v>698</v>
      </c>
      <c r="N318" s="34">
        <f t="shared" si="7"/>
        <v>129</v>
      </c>
    </row>
    <row r="319" spans="9:14">
      <c r="I319" s="201">
        <v>1994</v>
      </c>
      <c r="J319" s="202" t="s">
        <v>25</v>
      </c>
      <c r="M319" s="46" t="s">
        <v>698</v>
      </c>
      <c r="N319" s="34">
        <f t="shared" si="7"/>
        <v>129</v>
      </c>
    </row>
    <row r="320" spans="9:14">
      <c r="I320" s="201">
        <v>1995</v>
      </c>
      <c r="J320" s="202" t="s">
        <v>25</v>
      </c>
      <c r="M320" s="46" t="s">
        <v>282</v>
      </c>
      <c r="N320" s="34">
        <f t="shared" si="7"/>
        <v>131</v>
      </c>
    </row>
    <row r="321" spans="9:14">
      <c r="I321" s="201">
        <v>1995</v>
      </c>
      <c r="J321" s="202" t="s">
        <v>25</v>
      </c>
      <c r="M321" s="46" t="s">
        <v>282</v>
      </c>
      <c r="N321" s="34">
        <f t="shared" si="7"/>
        <v>131</v>
      </c>
    </row>
    <row r="322" spans="9:14">
      <c r="I322" s="201">
        <v>1995</v>
      </c>
      <c r="J322" s="202" t="s">
        <v>25</v>
      </c>
      <c r="M322" s="46" t="s">
        <v>282</v>
      </c>
      <c r="N322" s="34">
        <f t="shared" si="7"/>
        <v>131</v>
      </c>
    </row>
    <row r="323" spans="9:14">
      <c r="I323" s="201">
        <v>1995</v>
      </c>
      <c r="J323" s="202" t="s">
        <v>25</v>
      </c>
      <c r="M323" s="46" t="s">
        <v>282</v>
      </c>
      <c r="N323" s="34">
        <f t="shared" si="7"/>
        <v>131</v>
      </c>
    </row>
    <row r="324" spans="9:14">
      <c r="I324" s="201">
        <v>1995</v>
      </c>
      <c r="J324" s="202" t="s">
        <v>13</v>
      </c>
      <c r="M324" s="46" t="s">
        <v>281</v>
      </c>
      <c r="N324" s="34">
        <f t="shared" ref="N324:N387" si="8">MATCH(M324,G:G,0)</f>
        <v>132</v>
      </c>
    </row>
    <row r="325" spans="9:14">
      <c r="I325" s="201">
        <v>1995</v>
      </c>
      <c r="J325" s="202" t="s">
        <v>13</v>
      </c>
      <c r="M325" s="46" t="s">
        <v>281</v>
      </c>
      <c r="N325" s="34">
        <f t="shared" si="8"/>
        <v>132</v>
      </c>
    </row>
    <row r="326" spans="9:14">
      <c r="I326" s="201">
        <v>1996</v>
      </c>
      <c r="J326" s="202" t="s">
        <v>25</v>
      </c>
      <c r="M326" s="46" t="s">
        <v>710</v>
      </c>
      <c r="N326" s="34">
        <f t="shared" si="8"/>
        <v>133</v>
      </c>
    </row>
    <row r="327" spans="9:14">
      <c r="I327" s="201">
        <v>1996</v>
      </c>
      <c r="J327" s="202" t="s">
        <v>25</v>
      </c>
      <c r="M327" s="46" t="s">
        <v>710</v>
      </c>
      <c r="N327" s="34">
        <f t="shared" si="8"/>
        <v>133</v>
      </c>
    </row>
    <row r="328" spans="9:14">
      <c r="I328" s="201">
        <v>1996</v>
      </c>
      <c r="J328" s="202" t="s">
        <v>25</v>
      </c>
      <c r="M328" s="46" t="s">
        <v>710</v>
      </c>
      <c r="N328" s="34">
        <f t="shared" si="8"/>
        <v>133</v>
      </c>
    </row>
    <row r="329" spans="9:14">
      <c r="I329" s="201">
        <v>1996</v>
      </c>
      <c r="J329" s="202" t="s">
        <v>25</v>
      </c>
      <c r="M329" s="46" t="s">
        <v>710</v>
      </c>
      <c r="N329" s="34">
        <f t="shared" si="8"/>
        <v>133</v>
      </c>
    </row>
    <row r="330" spans="9:14">
      <c r="I330" s="201">
        <v>1997</v>
      </c>
      <c r="J330" s="202" t="s">
        <v>25</v>
      </c>
      <c r="M330" s="46" t="s">
        <v>715</v>
      </c>
      <c r="N330" s="34">
        <f t="shared" si="8"/>
        <v>135</v>
      </c>
    </row>
    <row r="331" spans="9:14">
      <c r="I331" s="201">
        <v>1997</v>
      </c>
      <c r="J331" s="202" t="s">
        <v>25</v>
      </c>
      <c r="M331" s="46" t="s">
        <v>715</v>
      </c>
      <c r="N331" s="34">
        <f t="shared" si="8"/>
        <v>135</v>
      </c>
    </row>
    <row r="332" spans="9:14">
      <c r="I332" s="201">
        <v>1997</v>
      </c>
      <c r="J332" s="202" t="s">
        <v>13</v>
      </c>
      <c r="M332" s="46" t="s">
        <v>719</v>
      </c>
      <c r="N332" s="34">
        <f t="shared" si="8"/>
        <v>136</v>
      </c>
    </row>
    <row r="333" spans="9:14">
      <c r="I333" s="201">
        <v>1997</v>
      </c>
      <c r="J333" s="202" t="s">
        <v>25</v>
      </c>
      <c r="M333" s="46" t="s">
        <v>715</v>
      </c>
      <c r="N333" s="34">
        <f t="shared" si="8"/>
        <v>135</v>
      </c>
    </row>
    <row r="334" spans="9:14">
      <c r="I334" s="201">
        <v>1998</v>
      </c>
      <c r="J334" s="202" t="s">
        <v>25</v>
      </c>
      <c r="M334" s="46" t="s">
        <v>241</v>
      </c>
      <c r="N334" s="34">
        <f t="shared" si="8"/>
        <v>137</v>
      </c>
    </row>
    <row r="335" spans="9:14">
      <c r="I335" s="201">
        <v>1998</v>
      </c>
      <c r="J335" s="202" t="s">
        <v>25</v>
      </c>
      <c r="M335" s="46" t="s">
        <v>241</v>
      </c>
      <c r="N335" s="34">
        <f t="shared" si="8"/>
        <v>137</v>
      </c>
    </row>
    <row r="336" spans="9:14">
      <c r="I336" s="201">
        <v>1998</v>
      </c>
      <c r="J336" s="202" t="s">
        <v>25</v>
      </c>
      <c r="M336" s="46" t="s">
        <v>241</v>
      </c>
      <c r="N336" s="34">
        <f t="shared" si="8"/>
        <v>137</v>
      </c>
    </row>
    <row r="337" spans="9:14">
      <c r="I337" s="201">
        <v>1998</v>
      </c>
      <c r="J337" s="202" t="s">
        <v>13</v>
      </c>
      <c r="M337" s="46" t="s">
        <v>725</v>
      </c>
      <c r="N337" s="34">
        <f t="shared" si="8"/>
        <v>138</v>
      </c>
    </row>
    <row r="338" spans="9:14">
      <c r="I338" s="201">
        <v>1999</v>
      </c>
      <c r="J338" s="202" t="s">
        <v>25</v>
      </c>
      <c r="M338" s="46" t="s">
        <v>727</v>
      </c>
      <c r="N338" s="34">
        <f t="shared" si="8"/>
        <v>139</v>
      </c>
    </row>
    <row r="339" spans="9:14">
      <c r="I339" s="201">
        <v>1999</v>
      </c>
      <c r="J339" s="202" t="s">
        <v>25</v>
      </c>
      <c r="M339" s="46" t="s">
        <v>727</v>
      </c>
      <c r="N339" s="34">
        <f t="shared" si="8"/>
        <v>139</v>
      </c>
    </row>
    <row r="340" spans="9:14">
      <c r="I340" s="201">
        <v>1999</v>
      </c>
      <c r="J340" s="202" t="s">
        <v>25</v>
      </c>
      <c r="M340" s="46" t="s">
        <v>727</v>
      </c>
      <c r="N340" s="34">
        <f t="shared" si="8"/>
        <v>139</v>
      </c>
    </row>
    <row r="341" spans="9:14">
      <c r="I341" s="201">
        <v>2000</v>
      </c>
      <c r="J341" s="202" t="s">
        <v>13</v>
      </c>
      <c r="M341" s="46" t="s">
        <v>731</v>
      </c>
      <c r="N341" s="34">
        <f t="shared" si="8"/>
        <v>142</v>
      </c>
    </row>
    <row r="342" spans="9:14">
      <c r="I342" s="201">
        <v>2000</v>
      </c>
      <c r="J342" s="202" t="s">
        <v>25</v>
      </c>
      <c r="M342" s="46" t="s">
        <v>244</v>
      </c>
      <c r="N342" s="34">
        <f t="shared" si="8"/>
        <v>141</v>
      </c>
    </row>
    <row r="343" spans="9:14">
      <c r="I343" s="201">
        <v>2001</v>
      </c>
      <c r="J343" s="202" t="s">
        <v>25</v>
      </c>
      <c r="M343" s="46" t="s">
        <v>246</v>
      </c>
      <c r="N343" s="34">
        <f t="shared" si="8"/>
        <v>143</v>
      </c>
    </row>
    <row r="344" spans="9:14">
      <c r="I344" s="201">
        <v>2001</v>
      </c>
      <c r="J344" s="202" t="s">
        <v>25</v>
      </c>
      <c r="M344" s="46" t="s">
        <v>246</v>
      </c>
      <c r="N344" s="34">
        <f t="shared" si="8"/>
        <v>143</v>
      </c>
    </row>
    <row r="345" spans="9:14">
      <c r="I345" s="201">
        <v>2001</v>
      </c>
      <c r="J345" s="202" t="s">
        <v>13</v>
      </c>
      <c r="M345" s="46" t="s">
        <v>736</v>
      </c>
      <c r="N345" s="34">
        <f t="shared" si="8"/>
        <v>144</v>
      </c>
    </row>
    <row r="346" spans="9:14">
      <c r="I346" s="201">
        <v>2002</v>
      </c>
      <c r="J346" s="202" t="s">
        <v>25</v>
      </c>
      <c r="M346" s="46" t="s">
        <v>248</v>
      </c>
      <c r="N346" s="34">
        <f t="shared" si="8"/>
        <v>145</v>
      </c>
    </row>
    <row r="347" spans="9:14">
      <c r="I347" s="201">
        <v>2002</v>
      </c>
      <c r="J347" s="202" t="s">
        <v>25</v>
      </c>
      <c r="M347" s="46" t="s">
        <v>248</v>
      </c>
      <c r="N347" s="34">
        <f t="shared" si="8"/>
        <v>145</v>
      </c>
    </row>
    <row r="348" spans="9:14">
      <c r="I348" s="201">
        <v>2003</v>
      </c>
      <c r="J348" s="202" t="s">
        <v>25</v>
      </c>
      <c r="M348" s="46" t="s">
        <v>154</v>
      </c>
      <c r="N348" s="34">
        <f t="shared" si="8"/>
        <v>147</v>
      </c>
    </row>
    <row r="349" spans="9:14">
      <c r="I349" s="201">
        <v>2004</v>
      </c>
      <c r="J349" s="202"/>
      <c r="M349" s="46">
        <v>2004</v>
      </c>
      <c r="N349" s="34" t="e">
        <f t="shared" si="8"/>
        <v>#N/A</v>
      </c>
    </row>
    <row r="350" spans="9:14">
      <c r="I350" s="201">
        <v>2004</v>
      </c>
      <c r="J350" s="202" t="s">
        <v>25</v>
      </c>
      <c r="M350" s="46" t="s">
        <v>742</v>
      </c>
      <c r="N350" s="34">
        <f t="shared" si="8"/>
        <v>149</v>
      </c>
    </row>
    <row r="351" spans="9:14">
      <c r="I351" s="201">
        <v>2005</v>
      </c>
      <c r="J351" s="202" t="s">
        <v>13</v>
      </c>
      <c r="M351" s="46" t="s">
        <v>253</v>
      </c>
      <c r="N351" s="34">
        <f t="shared" si="8"/>
        <v>154</v>
      </c>
    </row>
    <row r="352" spans="9:14">
      <c r="I352" s="201">
        <v>2005</v>
      </c>
      <c r="J352" s="202" t="s">
        <v>13</v>
      </c>
      <c r="M352" s="46" t="s">
        <v>253</v>
      </c>
      <c r="N352" s="34">
        <f t="shared" si="8"/>
        <v>154</v>
      </c>
    </row>
    <row r="353" spans="9:14">
      <c r="I353" s="201">
        <v>2005</v>
      </c>
      <c r="J353" s="202" t="s">
        <v>25</v>
      </c>
      <c r="M353" s="46" t="s">
        <v>758</v>
      </c>
      <c r="N353" s="34">
        <f t="shared" si="8"/>
        <v>153</v>
      </c>
    </row>
    <row r="354" spans="9:14">
      <c r="I354" s="201">
        <v>2005</v>
      </c>
      <c r="J354" s="202" t="s">
        <v>25</v>
      </c>
      <c r="M354" s="46" t="s">
        <v>758</v>
      </c>
      <c r="N354" s="34">
        <f t="shared" si="8"/>
        <v>153</v>
      </c>
    </row>
    <row r="355" spans="9:14">
      <c r="I355" s="201">
        <v>2007</v>
      </c>
      <c r="J355" s="202" t="s">
        <v>13</v>
      </c>
      <c r="M355" s="46" t="s">
        <v>196</v>
      </c>
      <c r="N355" s="34">
        <f t="shared" si="8"/>
        <v>160</v>
      </c>
    </row>
    <row r="356" spans="9:14">
      <c r="I356" s="201">
        <v>2007</v>
      </c>
      <c r="J356" s="202" t="s">
        <v>13</v>
      </c>
      <c r="M356" s="46" t="s">
        <v>196</v>
      </c>
      <c r="N356" s="34">
        <f t="shared" si="8"/>
        <v>160</v>
      </c>
    </row>
    <row r="357" spans="9:14">
      <c r="I357" s="201">
        <v>2008</v>
      </c>
      <c r="J357" s="202" t="s">
        <v>13</v>
      </c>
      <c r="M357" s="46" t="s">
        <v>206</v>
      </c>
      <c r="N357" s="34">
        <f t="shared" si="8"/>
        <v>162</v>
      </c>
    </row>
    <row r="358" spans="9:14">
      <c r="I358" s="201">
        <v>2010</v>
      </c>
      <c r="J358" s="202" t="s">
        <v>12</v>
      </c>
      <c r="M358" s="46" t="s">
        <v>231</v>
      </c>
      <c r="N358" s="34" t="e">
        <f t="shared" si="8"/>
        <v>#N/A</v>
      </c>
    </row>
    <row r="359" spans="9:14">
      <c r="I359" s="201">
        <v>2011</v>
      </c>
      <c r="J359" s="202" t="s">
        <v>25</v>
      </c>
      <c r="M359" s="46" t="s">
        <v>88</v>
      </c>
      <c r="N359" s="34">
        <f t="shared" si="8"/>
        <v>167</v>
      </c>
    </row>
    <row r="360" spans="9:14">
      <c r="I360" s="201">
        <v>2011</v>
      </c>
      <c r="J360" s="202" t="s">
        <v>12</v>
      </c>
      <c r="M360" s="46" t="s">
        <v>95</v>
      </c>
      <c r="N360" s="34" t="e">
        <f t="shared" si="8"/>
        <v>#N/A</v>
      </c>
    </row>
    <row r="361" spans="9:14">
      <c r="I361" s="201">
        <v>2011</v>
      </c>
      <c r="J361" s="202" t="s">
        <v>13</v>
      </c>
      <c r="M361" s="46" t="s">
        <v>90</v>
      </c>
      <c r="N361" s="34">
        <f t="shared" si="8"/>
        <v>168</v>
      </c>
    </row>
    <row r="362" spans="9:14">
      <c r="I362" s="199">
        <v>2011</v>
      </c>
      <c r="J362" s="198" t="s">
        <v>25</v>
      </c>
      <c r="M362" s="46" t="s">
        <v>88</v>
      </c>
      <c r="N362" s="34">
        <f t="shared" si="8"/>
        <v>167</v>
      </c>
    </row>
    <row r="363" spans="9:14">
      <c r="I363" s="199">
        <v>2011</v>
      </c>
      <c r="J363" s="198" t="s">
        <v>13</v>
      </c>
      <c r="M363" s="46" t="s">
        <v>90</v>
      </c>
      <c r="N363" s="34">
        <f t="shared" si="8"/>
        <v>168</v>
      </c>
    </row>
    <row r="364" spans="9:14">
      <c r="I364" s="199">
        <v>2011</v>
      </c>
      <c r="J364" s="198" t="s">
        <v>12</v>
      </c>
      <c r="M364" s="46"/>
    </row>
    <row r="365" spans="9:14">
      <c r="I365" s="201">
        <v>2012</v>
      </c>
      <c r="J365" s="202" t="s">
        <v>25</v>
      </c>
      <c r="M365" s="46" t="s">
        <v>768</v>
      </c>
      <c r="N365" s="34">
        <f t="shared" si="8"/>
        <v>169</v>
      </c>
    </row>
    <row r="366" spans="9:14">
      <c r="I366" s="201">
        <v>2012</v>
      </c>
      <c r="J366" s="202" t="s">
        <v>25</v>
      </c>
      <c r="M366" s="46" t="s">
        <v>768</v>
      </c>
      <c r="N366" s="34">
        <f t="shared" si="8"/>
        <v>169</v>
      </c>
    </row>
    <row r="367" spans="9:14">
      <c r="I367" s="201">
        <v>2012</v>
      </c>
      <c r="J367" s="202" t="s">
        <v>25</v>
      </c>
      <c r="M367" s="46" t="s">
        <v>768</v>
      </c>
      <c r="N367" s="34">
        <f t="shared" si="8"/>
        <v>169</v>
      </c>
    </row>
    <row r="368" spans="9:14">
      <c r="I368" s="203">
        <v>2012</v>
      </c>
      <c r="J368" s="204" t="s">
        <v>25</v>
      </c>
      <c r="M368" s="46" t="s">
        <v>768</v>
      </c>
      <c r="N368" s="34">
        <f t="shared" si="8"/>
        <v>169</v>
      </c>
    </row>
    <row r="369" spans="9:14">
      <c r="I369" s="203">
        <v>2012</v>
      </c>
      <c r="J369" s="204" t="s">
        <v>13</v>
      </c>
      <c r="M369" s="46" t="s">
        <v>100</v>
      </c>
      <c r="N369" s="34">
        <f t="shared" si="8"/>
        <v>170</v>
      </c>
    </row>
    <row r="370" spans="9:14">
      <c r="I370" s="203">
        <v>2012</v>
      </c>
      <c r="J370" s="204" t="s">
        <v>12</v>
      </c>
      <c r="M370" s="46" t="s">
        <v>103</v>
      </c>
      <c r="N370" s="34" t="e">
        <f t="shared" si="8"/>
        <v>#N/A</v>
      </c>
    </row>
    <row r="371" spans="9:14">
      <c r="I371" s="229">
        <v>2012</v>
      </c>
      <c r="J371" s="200" t="s">
        <v>13</v>
      </c>
      <c r="M371" s="46" t="s">
        <v>100</v>
      </c>
      <c r="N371" s="34">
        <f t="shared" si="8"/>
        <v>170</v>
      </c>
    </row>
    <row r="372" spans="9:14">
      <c r="I372" s="229">
        <v>2012</v>
      </c>
      <c r="J372" s="200" t="s">
        <v>12</v>
      </c>
      <c r="M372" s="46"/>
    </row>
    <row r="373" spans="9:14">
      <c r="I373" s="203">
        <v>2013</v>
      </c>
      <c r="J373" s="204" t="s">
        <v>25</v>
      </c>
      <c r="M373" s="46" t="s">
        <v>775</v>
      </c>
      <c r="N373" s="34">
        <f t="shared" si="8"/>
        <v>171</v>
      </c>
    </row>
    <row r="374" spans="9:14">
      <c r="I374" s="203">
        <v>2013</v>
      </c>
      <c r="J374" s="204" t="s">
        <v>25</v>
      </c>
      <c r="M374" s="46" t="s">
        <v>775</v>
      </c>
      <c r="N374" s="34">
        <f t="shared" si="8"/>
        <v>171</v>
      </c>
    </row>
    <row r="375" spans="9:14">
      <c r="I375" s="203">
        <v>2013</v>
      </c>
      <c r="J375" s="204" t="s">
        <v>25</v>
      </c>
      <c r="M375" s="46" t="s">
        <v>775</v>
      </c>
      <c r="N375" s="34">
        <f t="shared" si="8"/>
        <v>171</v>
      </c>
    </row>
    <row r="376" spans="9:14">
      <c r="I376" s="203">
        <v>2013</v>
      </c>
      <c r="J376" s="204" t="s">
        <v>13</v>
      </c>
      <c r="M376" s="46" t="s">
        <v>106</v>
      </c>
      <c r="N376" s="34">
        <f t="shared" si="8"/>
        <v>172</v>
      </c>
    </row>
    <row r="377" spans="9:14">
      <c r="I377" s="203">
        <v>2013</v>
      </c>
      <c r="J377" s="204" t="s">
        <v>12</v>
      </c>
      <c r="M377" s="46" t="s">
        <v>109</v>
      </c>
      <c r="N377" s="34" t="e">
        <f t="shared" si="8"/>
        <v>#N/A</v>
      </c>
    </row>
    <row r="378" spans="9:14">
      <c r="I378" s="229">
        <v>2013</v>
      </c>
      <c r="J378" s="200" t="s">
        <v>13</v>
      </c>
      <c r="M378" s="46" t="s">
        <v>106</v>
      </c>
      <c r="N378" s="34">
        <f t="shared" si="8"/>
        <v>172</v>
      </c>
    </row>
    <row r="379" spans="9:14">
      <c r="I379" s="229">
        <v>2013</v>
      </c>
      <c r="J379" s="200" t="s">
        <v>12</v>
      </c>
      <c r="M379" s="46"/>
    </row>
    <row r="380" spans="9:14">
      <c r="I380" s="203">
        <v>2014</v>
      </c>
      <c r="J380" s="204" t="s">
        <v>25</v>
      </c>
      <c r="M380" s="46" t="s">
        <v>781</v>
      </c>
      <c r="N380" s="34">
        <f t="shared" si="8"/>
        <v>173</v>
      </c>
    </row>
    <row r="381" spans="9:14">
      <c r="I381" s="203">
        <v>2014</v>
      </c>
      <c r="J381" s="204" t="s">
        <v>12</v>
      </c>
      <c r="M381" s="46" t="s">
        <v>116</v>
      </c>
      <c r="N381" s="34" t="e">
        <f t="shared" si="8"/>
        <v>#N/A</v>
      </c>
    </row>
    <row r="382" spans="9:14">
      <c r="I382" s="203">
        <v>2014</v>
      </c>
      <c r="J382" s="204" t="s">
        <v>13</v>
      </c>
      <c r="M382" s="46" t="s">
        <v>112</v>
      </c>
      <c r="N382" s="34">
        <f t="shared" si="8"/>
        <v>174</v>
      </c>
    </row>
    <row r="383" spans="9:14">
      <c r="I383" s="229">
        <v>2014</v>
      </c>
      <c r="J383" s="200" t="s">
        <v>13</v>
      </c>
      <c r="M383" s="46" t="s">
        <v>112</v>
      </c>
      <c r="N383" s="34">
        <f t="shared" si="8"/>
        <v>174</v>
      </c>
    </row>
    <row r="384" spans="9:14">
      <c r="I384" s="229">
        <v>2014</v>
      </c>
      <c r="J384" s="200" t="s">
        <v>12</v>
      </c>
      <c r="M384" s="46"/>
    </row>
    <row r="385" spans="9:14">
      <c r="I385" s="203">
        <v>2015</v>
      </c>
      <c r="J385" s="204" t="s">
        <v>25</v>
      </c>
      <c r="M385" s="46" t="s">
        <v>785</v>
      </c>
      <c r="N385" s="34">
        <f t="shared" si="8"/>
        <v>175</v>
      </c>
    </row>
    <row r="386" spans="9:14">
      <c r="I386" s="203">
        <v>2015</v>
      </c>
      <c r="J386" s="204" t="s">
        <v>25</v>
      </c>
      <c r="M386" s="46" t="s">
        <v>785</v>
      </c>
      <c r="N386" s="34">
        <f t="shared" si="8"/>
        <v>175</v>
      </c>
    </row>
    <row r="387" spans="9:14">
      <c r="I387" s="203">
        <v>2015</v>
      </c>
      <c r="J387" s="204" t="s">
        <v>13</v>
      </c>
      <c r="M387" s="46" t="s">
        <v>271</v>
      </c>
      <c r="N387" s="34">
        <f t="shared" si="8"/>
        <v>176</v>
      </c>
    </row>
    <row r="388" spans="9:14">
      <c r="I388" s="203">
        <v>2015</v>
      </c>
      <c r="J388" s="204" t="s">
        <v>25</v>
      </c>
      <c r="M388" s="46" t="s">
        <v>785</v>
      </c>
      <c r="N388" s="34">
        <f t="shared" ref="N388:N446" si="9">MATCH(M388,G:G,0)</f>
        <v>175</v>
      </c>
    </row>
    <row r="389" spans="9:14">
      <c r="I389" s="203">
        <v>2015</v>
      </c>
      <c r="J389" s="204" t="s">
        <v>12</v>
      </c>
      <c r="M389" s="46" t="s">
        <v>121</v>
      </c>
      <c r="N389" s="34" t="e">
        <f t="shared" si="9"/>
        <v>#N/A</v>
      </c>
    </row>
    <row r="390" spans="9:14">
      <c r="I390" s="229">
        <v>2015</v>
      </c>
      <c r="J390" s="200" t="s">
        <v>12</v>
      </c>
      <c r="M390" s="46"/>
    </row>
    <row r="391" spans="9:14">
      <c r="I391" s="203">
        <v>2016</v>
      </c>
      <c r="J391" s="204" t="s">
        <v>25</v>
      </c>
      <c r="M391" s="46" t="s">
        <v>791</v>
      </c>
      <c r="N391" s="34">
        <f t="shared" si="9"/>
        <v>177</v>
      </c>
    </row>
    <row r="392" spans="9:14">
      <c r="I392" s="203">
        <v>2016</v>
      </c>
      <c r="J392" s="204" t="s">
        <v>25</v>
      </c>
      <c r="M392" s="46" t="s">
        <v>791</v>
      </c>
      <c r="N392" s="34">
        <f t="shared" si="9"/>
        <v>177</v>
      </c>
    </row>
    <row r="393" spans="9:14">
      <c r="I393" s="203">
        <v>2016</v>
      </c>
      <c r="J393" s="204" t="s">
        <v>25</v>
      </c>
      <c r="M393" s="46" t="s">
        <v>791</v>
      </c>
      <c r="N393" s="34">
        <f t="shared" si="9"/>
        <v>177</v>
      </c>
    </row>
    <row r="394" spans="9:14">
      <c r="I394" s="203">
        <v>2016</v>
      </c>
      <c r="J394" s="204" t="s">
        <v>25</v>
      </c>
      <c r="M394" s="46" t="s">
        <v>791</v>
      </c>
      <c r="N394" s="34">
        <f t="shared" si="9"/>
        <v>177</v>
      </c>
    </row>
    <row r="395" spans="9:14">
      <c r="I395" s="203">
        <v>2016</v>
      </c>
      <c r="J395" s="204" t="s">
        <v>25</v>
      </c>
      <c r="M395" s="46" t="s">
        <v>791</v>
      </c>
      <c r="N395" s="34">
        <f t="shared" si="9"/>
        <v>177</v>
      </c>
    </row>
    <row r="396" spans="9:14">
      <c r="I396" s="203">
        <v>2016</v>
      </c>
      <c r="J396" s="204" t="s">
        <v>13</v>
      </c>
      <c r="M396" s="46" t="s">
        <v>125</v>
      </c>
      <c r="N396" s="34">
        <f t="shared" si="9"/>
        <v>178</v>
      </c>
    </row>
    <row r="397" spans="9:14">
      <c r="I397" s="203">
        <v>2016</v>
      </c>
      <c r="J397" s="204" t="s">
        <v>12</v>
      </c>
      <c r="M397" s="46" t="s">
        <v>129</v>
      </c>
      <c r="N397" s="34" t="e">
        <f t="shared" si="9"/>
        <v>#N/A</v>
      </c>
    </row>
    <row r="398" spans="9:14">
      <c r="I398" s="229">
        <v>2016</v>
      </c>
      <c r="J398" s="200" t="s">
        <v>13</v>
      </c>
      <c r="M398" s="46" t="s">
        <v>125</v>
      </c>
      <c r="N398" s="34">
        <f t="shared" si="9"/>
        <v>178</v>
      </c>
    </row>
    <row r="399" spans="9:14">
      <c r="I399" s="229">
        <v>2016</v>
      </c>
      <c r="J399" s="200" t="s">
        <v>12</v>
      </c>
      <c r="M399" s="46"/>
    </row>
    <row r="400" spans="9:14">
      <c r="I400" s="203">
        <v>2017</v>
      </c>
      <c r="J400" s="204" t="s">
        <v>25</v>
      </c>
      <c r="M400" s="46" t="s">
        <v>799</v>
      </c>
      <c r="N400" s="34">
        <f t="shared" si="9"/>
        <v>179</v>
      </c>
    </row>
    <row r="401" spans="9:14">
      <c r="I401" s="203">
        <v>2017</v>
      </c>
      <c r="J401" s="204" t="s">
        <v>25</v>
      </c>
      <c r="M401" s="46" t="s">
        <v>799</v>
      </c>
      <c r="N401" s="34">
        <f t="shared" si="9"/>
        <v>179</v>
      </c>
    </row>
    <row r="402" spans="9:14">
      <c r="I402" s="203">
        <v>2017</v>
      </c>
      <c r="J402" s="204" t="s">
        <v>13</v>
      </c>
      <c r="M402" s="46" t="s">
        <v>133</v>
      </c>
      <c r="N402" s="34">
        <f t="shared" si="9"/>
        <v>180</v>
      </c>
    </row>
    <row r="403" spans="9:14">
      <c r="I403" s="203">
        <v>2017</v>
      </c>
      <c r="J403" s="204" t="s">
        <v>12</v>
      </c>
      <c r="M403" s="46" t="s">
        <v>137</v>
      </c>
      <c r="N403" s="34" t="e">
        <f t="shared" si="9"/>
        <v>#N/A</v>
      </c>
    </row>
    <row r="404" spans="9:14">
      <c r="I404" s="229">
        <v>2017</v>
      </c>
      <c r="J404" s="200" t="s">
        <v>13</v>
      </c>
      <c r="M404" s="46" t="s">
        <v>133</v>
      </c>
      <c r="N404" s="34">
        <f t="shared" si="9"/>
        <v>180</v>
      </c>
    </row>
    <row r="405" spans="9:14">
      <c r="I405" s="229">
        <v>2017</v>
      </c>
      <c r="J405" s="200" t="s">
        <v>12</v>
      </c>
      <c r="M405" s="46"/>
    </row>
    <row r="406" spans="9:14">
      <c r="I406" s="203">
        <v>2018</v>
      </c>
      <c r="J406" s="204" t="s">
        <v>25</v>
      </c>
      <c r="M406" s="46" t="s">
        <v>804</v>
      </c>
      <c r="N406" s="34">
        <f t="shared" si="9"/>
        <v>181</v>
      </c>
    </row>
    <row r="407" spans="9:14">
      <c r="I407" s="203">
        <v>2018</v>
      </c>
      <c r="J407" s="204" t="s">
        <v>25</v>
      </c>
      <c r="M407" s="46" t="s">
        <v>804</v>
      </c>
      <c r="N407" s="34">
        <f t="shared" si="9"/>
        <v>181</v>
      </c>
    </row>
    <row r="408" spans="9:14">
      <c r="I408" s="203">
        <v>2018</v>
      </c>
      <c r="J408" s="204" t="s">
        <v>25</v>
      </c>
      <c r="M408" s="46" t="s">
        <v>804</v>
      </c>
      <c r="N408" s="34">
        <f t="shared" si="9"/>
        <v>181</v>
      </c>
    </row>
    <row r="409" spans="9:14">
      <c r="I409" s="203">
        <v>2018</v>
      </c>
      <c r="J409" s="204" t="s">
        <v>13</v>
      </c>
      <c r="M409" s="46" t="s">
        <v>141</v>
      </c>
      <c r="N409" s="34">
        <f t="shared" si="9"/>
        <v>182</v>
      </c>
    </row>
    <row r="410" spans="9:14">
      <c r="I410" s="203">
        <v>2018</v>
      </c>
      <c r="J410" s="204" t="s">
        <v>12</v>
      </c>
      <c r="M410" s="46" t="s">
        <v>145</v>
      </c>
      <c r="N410" s="34" t="e">
        <f t="shared" si="9"/>
        <v>#N/A</v>
      </c>
    </row>
    <row r="411" spans="9:14">
      <c r="I411" s="229">
        <v>2018</v>
      </c>
      <c r="J411" s="200" t="s">
        <v>12</v>
      </c>
      <c r="M411" s="46"/>
    </row>
    <row r="412" spans="9:14">
      <c r="I412" s="229">
        <v>2018</v>
      </c>
      <c r="J412" s="200" t="s">
        <v>13</v>
      </c>
      <c r="M412" s="46" t="s">
        <v>141</v>
      </c>
      <c r="N412" s="34">
        <f t="shared" si="9"/>
        <v>182</v>
      </c>
    </row>
    <row r="413" spans="9:14">
      <c r="I413" s="203">
        <v>2019</v>
      </c>
      <c r="J413" s="204" t="s">
        <v>25</v>
      </c>
      <c r="M413" s="46" t="s">
        <v>810</v>
      </c>
      <c r="N413" s="34">
        <f t="shared" si="9"/>
        <v>183</v>
      </c>
    </row>
    <row r="414" spans="9:14">
      <c r="I414" s="203">
        <v>2019</v>
      </c>
      <c r="J414" s="204" t="s">
        <v>25</v>
      </c>
      <c r="M414" s="46" t="s">
        <v>810</v>
      </c>
      <c r="N414" s="34">
        <f t="shared" si="9"/>
        <v>183</v>
      </c>
    </row>
    <row r="415" spans="9:14">
      <c r="I415" s="203">
        <v>2019</v>
      </c>
      <c r="J415" s="204" t="s">
        <v>12</v>
      </c>
      <c r="M415" s="46" t="s">
        <v>155</v>
      </c>
      <c r="N415" s="34" t="e">
        <f t="shared" si="9"/>
        <v>#N/A</v>
      </c>
    </row>
    <row r="416" spans="9:14">
      <c r="I416" s="203">
        <v>2019</v>
      </c>
      <c r="J416" s="204" t="s">
        <v>13</v>
      </c>
      <c r="M416" s="46" t="s">
        <v>150</v>
      </c>
      <c r="N416" s="34">
        <f t="shared" si="9"/>
        <v>184</v>
      </c>
    </row>
    <row r="417" spans="9:14">
      <c r="I417" s="229">
        <v>2019</v>
      </c>
      <c r="J417" s="200" t="s">
        <v>13</v>
      </c>
      <c r="M417" s="46" t="s">
        <v>150</v>
      </c>
      <c r="N417" s="34">
        <f t="shared" si="9"/>
        <v>184</v>
      </c>
    </row>
    <row r="418" spans="9:14">
      <c r="I418" s="229">
        <v>2019</v>
      </c>
      <c r="J418" s="200" t="s">
        <v>12</v>
      </c>
      <c r="M418" s="94"/>
    </row>
    <row r="419" spans="9:14">
      <c r="I419" s="203">
        <v>2020</v>
      </c>
      <c r="J419" s="204" t="s">
        <v>25</v>
      </c>
      <c r="M419" s="46" t="s">
        <v>815</v>
      </c>
      <c r="N419" s="34">
        <f t="shared" si="9"/>
        <v>185</v>
      </c>
    </row>
    <row r="420" spans="9:14">
      <c r="I420" s="203">
        <v>2020</v>
      </c>
      <c r="J420" s="204" t="s">
        <v>12</v>
      </c>
      <c r="M420" s="46" t="s">
        <v>165</v>
      </c>
      <c r="N420" s="34" t="e">
        <f t="shared" si="9"/>
        <v>#N/A</v>
      </c>
    </row>
    <row r="421" spans="9:14">
      <c r="I421" s="203">
        <v>2020</v>
      </c>
      <c r="J421" s="204" t="s">
        <v>13</v>
      </c>
      <c r="M421" s="46" t="s">
        <v>160</v>
      </c>
      <c r="N421" s="34">
        <f t="shared" si="9"/>
        <v>186</v>
      </c>
    </row>
    <row r="422" spans="9:14">
      <c r="I422" s="229">
        <v>2020</v>
      </c>
      <c r="J422" s="200" t="s">
        <v>12</v>
      </c>
      <c r="M422" s="46"/>
    </row>
    <row r="423" spans="9:14">
      <c r="I423" s="229">
        <v>2020</v>
      </c>
      <c r="J423" s="200" t="s">
        <v>13</v>
      </c>
      <c r="M423" s="46" t="s">
        <v>160</v>
      </c>
      <c r="N423" s="34">
        <f t="shared" si="9"/>
        <v>186</v>
      </c>
    </row>
    <row r="424" spans="9:14">
      <c r="I424" s="229">
        <v>2020</v>
      </c>
      <c r="J424" s="200" t="s">
        <v>25</v>
      </c>
      <c r="M424" s="46" t="s">
        <v>815</v>
      </c>
      <c r="N424" s="34">
        <f t="shared" si="9"/>
        <v>185</v>
      </c>
    </row>
    <row r="425" spans="9:14">
      <c r="I425" s="203">
        <v>2021</v>
      </c>
      <c r="J425" s="204" t="s">
        <v>25</v>
      </c>
      <c r="M425" s="46" t="s">
        <v>819</v>
      </c>
      <c r="N425" s="34" t="e">
        <f t="shared" si="9"/>
        <v>#N/A</v>
      </c>
    </row>
    <row r="426" spans="9:14">
      <c r="I426" s="203">
        <v>2021</v>
      </c>
      <c r="J426" s="204" t="s">
        <v>13</v>
      </c>
      <c r="M426" s="46" t="s">
        <v>170</v>
      </c>
      <c r="N426" s="34" t="e">
        <f t="shared" si="9"/>
        <v>#N/A</v>
      </c>
    </row>
    <row r="427" spans="9:14">
      <c r="I427" s="203">
        <v>2021</v>
      </c>
      <c r="J427" s="204" t="s">
        <v>12</v>
      </c>
      <c r="M427" s="46" t="s">
        <v>175</v>
      </c>
      <c r="N427" s="34" t="e">
        <f t="shared" si="9"/>
        <v>#N/A</v>
      </c>
    </row>
    <row r="428" spans="9:14">
      <c r="I428" s="203">
        <v>2021</v>
      </c>
      <c r="J428" s="204" t="s">
        <v>25</v>
      </c>
      <c r="M428" s="46" t="s">
        <v>819</v>
      </c>
      <c r="N428" s="34" t="e">
        <f t="shared" si="9"/>
        <v>#N/A</v>
      </c>
    </row>
    <row r="429" spans="9:14">
      <c r="I429" s="229">
        <v>2021</v>
      </c>
      <c r="J429" s="200" t="s">
        <v>25</v>
      </c>
      <c r="M429" s="46" t="s">
        <v>819</v>
      </c>
      <c r="N429" s="34" t="e">
        <f t="shared" si="9"/>
        <v>#N/A</v>
      </c>
    </row>
    <row r="430" spans="9:14">
      <c r="I430" s="229">
        <v>2021</v>
      </c>
      <c r="J430" s="200" t="s">
        <v>13</v>
      </c>
      <c r="M430" s="46" t="s">
        <v>170</v>
      </c>
      <c r="N430" s="34" t="e">
        <f t="shared" si="9"/>
        <v>#N/A</v>
      </c>
    </row>
    <row r="431" spans="9:14">
      <c r="I431" s="229">
        <v>2021</v>
      </c>
      <c r="J431" s="200" t="s">
        <v>12</v>
      </c>
      <c r="M431" s="46" t="s">
        <v>175</v>
      </c>
      <c r="N431" s="34" t="e">
        <f t="shared" si="9"/>
        <v>#N/A</v>
      </c>
    </row>
    <row r="432" spans="9:14">
      <c r="I432" s="203">
        <v>2022</v>
      </c>
      <c r="J432" s="204" t="s">
        <v>25</v>
      </c>
      <c r="M432" s="46" t="s">
        <v>179</v>
      </c>
      <c r="N432" s="34" t="e">
        <f t="shared" si="9"/>
        <v>#N/A</v>
      </c>
    </row>
    <row r="433" spans="9:14">
      <c r="I433" s="203">
        <v>2022</v>
      </c>
      <c r="J433" s="204" t="s">
        <v>13</v>
      </c>
      <c r="M433" s="46" t="s">
        <v>183</v>
      </c>
      <c r="N433" s="34" t="e">
        <f t="shared" si="9"/>
        <v>#N/A</v>
      </c>
    </row>
    <row r="434" spans="9:14">
      <c r="I434" s="203">
        <v>2022</v>
      </c>
      <c r="J434" s="204" t="s">
        <v>12</v>
      </c>
      <c r="M434" s="46" t="s">
        <v>186</v>
      </c>
      <c r="N434" s="34" t="e">
        <f t="shared" si="9"/>
        <v>#N/A</v>
      </c>
    </row>
    <row r="435" spans="9:14">
      <c r="I435" s="229">
        <v>2022</v>
      </c>
      <c r="J435" s="200" t="s">
        <v>25</v>
      </c>
      <c r="M435" s="46" t="s">
        <v>179</v>
      </c>
      <c r="N435" s="34" t="e">
        <f t="shared" si="9"/>
        <v>#N/A</v>
      </c>
    </row>
    <row r="436" spans="9:14">
      <c r="I436" s="229">
        <v>2022</v>
      </c>
      <c r="J436" s="200" t="s">
        <v>13</v>
      </c>
      <c r="M436" s="46" t="s">
        <v>183</v>
      </c>
      <c r="N436" s="34" t="e">
        <f t="shared" si="9"/>
        <v>#N/A</v>
      </c>
    </row>
    <row r="437" spans="9:14">
      <c r="I437" s="229">
        <v>2022</v>
      </c>
      <c r="J437" s="200" t="s">
        <v>12</v>
      </c>
      <c r="M437" s="46" t="s">
        <v>186</v>
      </c>
      <c r="N437" s="34" t="e">
        <f t="shared" si="9"/>
        <v>#N/A</v>
      </c>
    </row>
    <row r="438" spans="9:14">
      <c r="I438" s="229">
        <v>2022</v>
      </c>
      <c r="J438" s="200" t="s">
        <v>25</v>
      </c>
      <c r="M438" s="46" t="s">
        <v>179</v>
      </c>
      <c r="N438" s="34" t="e">
        <f t="shared" si="9"/>
        <v>#N/A</v>
      </c>
    </row>
    <row r="439" spans="9:14">
      <c r="I439" s="203">
        <v>2023</v>
      </c>
      <c r="J439" s="204" t="s">
        <v>25</v>
      </c>
      <c r="M439" s="46" t="s">
        <v>200</v>
      </c>
      <c r="N439" s="34" t="e">
        <f t="shared" si="9"/>
        <v>#N/A</v>
      </c>
    </row>
    <row r="440" spans="9:14">
      <c r="I440" s="203">
        <v>2023</v>
      </c>
      <c r="J440" s="204" t="s">
        <v>12</v>
      </c>
      <c r="M440" s="46" t="s">
        <v>207</v>
      </c>
      <c r="N440" s="34" t="e">
        <f t="shared" si="9"/>
        <v>#N/A</v>
      </c>
    </row>
    <row r="441" spans="9:14">
      <c r="I441" s="203">
        <v>2023</v>
      </c>
      <c r="J441" s="204" t="s">
        <v>25</v>
      </c>
      <c r="M441" s="46" t="s">
        <v>200</v>
      </c>
      <c r="N441" s="34" t="e">
        <f t="shared" si="9"/>
        <v>#N/A</v>
      </c>
    </row>
    <row r="442" spans="9:14">
      <c r="I442" s="229">
        <v>2023</v>
      </c>
      <c r="J442" s="200" t="s">
        <v>12</v>
      </c>
      <c r="M442" s="46" t="s">
        <v>207</v>
      </c>
      <c r="N442" s="34" t="e">
        <f t="shared" si="9"/>
        <v>#N/A</v>
      </c>
    </row>
    <row r="443" spans="9:14">
      <c r="I443" s="229">
        <v>2023</v>
      </c>
      <c r="J443" s="200" t="s">
        <v>13</v>
      </c>
      <c r="M443" s="46" t="s">
        <v>203</v>
      </c>
      <c r="N443" s="34" t="e">
        <f t="shared" si="9"/>
        <v>#N/A</v>
      </c>
    </row>
    <row r="444" spans="9:14">
      <c r="I444" s="203">
        <v>2024</v>
      </c>
      <c r="J444" s="204" t="s">
        <v>25</v>
      </c>
      <c r="M444" s="46" t="s">
        <v>1176</v>
      </c>
      <c r="N444" s="34" t="e">
        <f t="shared" si="9"/>
        <v>#N/A</v>
      </c>
    </row>
    <row r="445" spans="9:14">
      <c r="I445" s="229">
        <v>2024</v>
      </c>
      <c r="J445" s="200" t="s">
        <v>25</v>
      </c>
      <c r="M445" s="46" t="s">
        <v>1176</v>
      </c>
      <c r="N445" s="34" t="e">
        <f t="shared" si="9"/>
        <v>#N/A</v>
      </c>
    </row>
    <row r="446" spans="9:14">
      <c r="I446" s="229">
        <v>2024</v>
      </c>
      <c r="J446" s="200" t="s">
        <v>12</v>
      </c>
      <c r="M446" s="46" t="s">
        <v>1177</v>
      </c>
      <c r="N446" s="34" t="e">
        <f t="shared" si="9"/>
        <v>#N/A</v>
      </c>
    </row>
  </sheetData>
  <sheetProtection selectLockedCells="1" selectUnlockedCells="1"/>
  <conditionalFormatting sqref="K1:K1048576">
    <cfRule type="duplicateValues" dxfId="64" priority="1"/>
  </conditionalFormatting>
  <pageMargins left="0.78749999999999998" right="0.78749999999999998" top="1.0527777777777778" bottom="1.0527777777777778" header="0.78749999999999998" footer="0.78749999999999998"/>
  <pageSetup firstPageNumber="0" orientation="portrait" verticalDpi="300" r:id="rId1"/>
  <headerFooter alignWithMargins="0">
    <oddHeader>&amp;C&amp;"Times New Roman,Regular"&amp;12&amp;A</oddHeader>
    <oddFooter>&amp;C&amp;"Times New Roman,Regular"&amp;12Page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88E1-5866-441A-9460-BBCCF91E4302}">
  <sheetPr codeName="Sheet7">
    <tabColor theme="7" tint="0.79998168889431442"/>
  </sheetPr>
  <dimension ref="A1:R344"/>
  <sheetViews>
    <sheetView workbookViewId="0"/>
  </sheetViews>
  <sheetFormatPr defaultColWidth="11.42578125" defaultRowHeight="15"/>
  <cols>
    <col min="1" max="1" width="11.42578125" style="73"/>
    <col min="2" max="2" width="9" style="73" bestFit="1" customWidth="1"/>
    <col min="3" max="4" width="15.28515625" style="73" bestFit="1" customWidth="1"/>
    <col min="5" max="5" width="15.28515625" style="73" customWidth="1"/>
    <col min="6" max="6" width="13.7109375" style="76" customWidth="1"/>
    <col min="7" max="7" width="11.85546875" style="74" customWidth="1"/>
    <col min="8" max="8" width="12.42578125" style="73" customWidth="1"/>
    <col min="9" max="9" width="12.85546875" style="73" customWidth="1"/>
    <col min="10" max="12" width="11.42578125" style="73"/>
    <col min="13" max="13" width="32.28515625" style="73" bestFit="1" customWidth="1"/>
    <col min="14" max="15" width="11.42578125" style="73"/>
    <col min="16" max="16" width="10" style="3" customWidth="1"/>
    <col min="19" max="16384" width="11.42578125" style="73"/>
  </cols>
  <sheetData>
    <row r="1" spans="1:18" ht="60">
      <c r="A1" s="86" t="s">
        <v>1154</v>
      </c>
      <c r="B1" s="87" t="s">
        <v>20</v>
      </c>
      <c r="C1" s="87" t="s">
        <v>1155</v>
      </c>
      <c r="D1" s="87" t="s">
        <v>1156</v>
      </c>
      <c r="E1" s="71"/>
      <c r="F1" s="88" t="s">
        <v>1157</v>
      </c>
      <c r="G1" s="89" t="s">
        <v>1158</v>
      </c>
      <c r="H1" s="88" t="s">
        <v>1159</v>
      </c>
      <c r="I1" s="90" t="s">
        <v>1160</v>
      </c>
      <c r="J1" s="73">
        <f>COUNTIF(F:F,"=#N/A")</f>
        <v>266</v>
      </c>
      <c r="P1" s="189" t="s">
        <v>240</v>
      </c>
      <c r="Q1" s="189" t="s">
        <v>9</v>
      </c>
      <c r="R1" s="189" t="s">
        <v>1384</v>
      </c>
    </row>
    <row r="2" spans="1:18" ht="15.75">
      <c r="A2" s="91">
        <v>1916</v>
      </c>
      <c r="D2" s="92" t="s">
        <v>1161</v>
      </c>
      <c r="E2" s="92"/>
      <c r="F2" s="76" t="e">
        <f>MATCH(A2,H:H,0)</f>
        <v>#N/A</v>
      </c>
      <c r="G2" s="74" t="e">
        <f>IF([2]!Dimes[[#This Row],[Mint]]="",[2]!Dimes[[#This Row],[Date]],[2]!Dimes[[#This Row],[Date]]&amp;" "&amp;[2]!Dimes[[#This Row],[Mint]])</f>
        <v>#REF!</v>
      </c>
      <c r="H2" s="74">
        <v>1939</v>
      </c>
      <c r="I2" s="73">
        <f>MATCH(H2,A:A,0)</f>
        <v>57</v>
      </c>
      <c r="M2" s="188" t="s">
        <v>1947</v>
      </c>
      <c r="N2" s="188"/>
      <c r="P2" s="3" t="s">
        <v>147</v>
      </c>
      <c r="R2" t="e">
        <f>MATCH(P2,Dimes!N:N,0)</f>
        <v>#N/A</v>
      </c>
    </row>
    <row r="3" spans="1:18" ht="15.75">
      <c r="A3" s="91" t="s">
        <v>232</v>
      </c>
      <c r="D3" s="92" t="s">
        <v>1161</v>
      </c>
      <c r="E3" s="92"/>
      <c r="F3" s="76" t="e">
        <f t="shared" ref="F3:F66" si="0">MATCH(A3,H:H,0)</f>
        <v>#N/A</v>
      </c>
      <c r="G3" s="74" t="e">
        <f>IF([2]!Dimes[[#This Row],[Mint]]="",[2]!Dimes[[#This Row],[Date]],[2]!Dimes[[#This Row],[Date]]&amp;" "&amp;[2]!Dimes[[#This Row],[Mint]])</f>
        <v>#REF!</v>
      </c>
      <c r="H3" s="74">
        <v>1941</v>
      </c>
      <c r="I3" s="73" t="e">
        <f t="shared" ref="I3:I66" si="1">MATCH(H3,A:A,0)</f>
        <v>#N/A</v>
      </c>
      <c r="M3" s="188" t="s">
        <v>1920</v>
      </c>
      <c r="N3" s="188" t="s">
        <v>1869</v>
      </c>
      <c r="P3" s="3" t="s">
        <v>992</v>
      </c>
      <c r="R3" t="e">
        <f>MATCH(P3,Dimes!N:N,0)</f>
        <v>#N/A</v>
      </c>
    </row>
    <row r="4" spans="1:18" ht="15.75">
      <c r="A4" s="91" t="s">
        <v>234</v>
      </c>
      <c r="D4" s="92" t="s">
        <v>1161</v>
      </c>
      <c r="E4" s="92"/>
      <c r="F4" s="76" t="e">
        <f t="shared" si="0"/>
        <v>#N/A</v>
      </c>
      <c r="G4" s="74" t="e">
        <f>IF([2]!Dimes[[#This Row],[Mint]]="",[2]!Dimes[[#This Row],[Date]],[2]!Dimes[[#This Row],[Date]]&amp;" "&amp;[2]!Dimes[[#This Row],[Mint]])</f>
        <v>#REF!</v>
      </c>
      <c r="H4" s="74">
        <v>1942</v>
      </c>
      <c r="I4" s="73">
        <f t="shared" si="1"/>
        <v>63</v>
      </c>
      <c r="M4" s="188" t="s">
        <v>1948</v>
      </c>
      <c r="N4" s="188" t="s">
        <v>1949</v>
      </c>
      <c r="P4" s="3" t="s">
        <v>152</v>
      </c>
      <c r="R4" t="e">
        <f>MATCH(P4,Dimes!N:N,0)</f>
        <v>#N/A</v>
      </c>
    </row>
    <row r="5" spans="1:18" ht="15.75">
      <c r="A5" s="91">
        <v>1917</v>
      </c>
      <c r="D5" s="92" t="s">
        <v>1161</v>
      </c>
      <c r="E5" s="92"/>
      <c r="F5" s="76" t="e">
        <f t="shared" si="0"/>
        <v>#N/A</v>
      </c>
      <c r="G5" s="74" t="e">
        <f>IF([2]!Dimes[[#This Row],[Mint]]="",[2]!Dimes[[#This Row],[Date]],[2]!Dimes[[#This Row],[Date]]&amp;" "&amp;[2]!Dimes[[#This Row],[Mint]])</f>
        <v>#REF!</v>
      </c>
      <c r="H5" s="74" t="s">
        <v>147</v>
      </c>
      <c r="I5" s="73">
        <f t="shared" si="1"/>
        <v>79</v>
      </c>
      <c r="M5" s="188" t="s">
        <v>1950</v>
      </c>
      <c r="N5" s="188" t="s">
        <v>1951</v>
      </c>
      <c r="P5" s="3" t="s">
        <v>157</v>
      </c>
      <c r="R5" t="e">
        <f>MATCH(P5,Dimes!N:N,0)</f>
        <v>#N/A</v>
      </c>
    </row>
    <row r="6" spans="1:18" ht="15.75">
      <c r="A6" s="91" t="s">
        <v>237</v>
      </c>
      <c r="D6" s="92" t="s">
        <v>1161</v>
      </c>
      <c r="E6" s="92"/>
      <c r="F6" s="76" t="e">
        <f t="shared" si="0"/>
        <v>#N/A</v>
      </c>
      <c r="G6" s="74" t="e">
        <f>IF([2]!Dimes[[#This Row],[Mint]]="",[2]!Dimes[[#This Row],[Date]],[2]!Dimes[[#This Row],[Date]]&amp;" "&amp;[2]!Dimes[[#This Row],[Mint]])</f>
        <v>#REF!</v>
      </c>
      <c r="H6" s="74">
        <v>1946</v>
      </c>
      <c r="I6" s="73">
        <f t="shared" si="1"/>
        <v>78</v>
      </c>
      <c r="M6" s="188" t="s">
        <v>1952</v>
      </c>
      <c r="N6" s="188" t="s">
        <v>1942</v>
      </c>
      <c r="P6" s="3">
        <v>1947</v>
      </c>
      <c r="R6" t="e">
        <f>MATCH(P6,Dimes!N:N,0)</f>
        <v>#N/A</v>
      </c>
    </row>
    <row r="7" spans="1:18" ht="15.75">
      <c r="A7" s="91" t="s">
        <v>85</v>
      </c>
      <c r="D7" s="92" t="s">
        <v>1161</v>
      </c>
      <c r="E7" s="92"/>
      <c r="F7" s="76" t="e">
        <f t="shared" si="0"/>
        <v>#N/A</v>
      </c>
      <c r="G7" s="74" t="e">
        <f>IF([2]!Dimes[[#This Row],[Mint]]="",[2]!Dimes[[#This Row],[Date]],[2]!Dimes[[#This Row],[Date]]&amp;" "&amp;[2]!Dimes[[#This Row],[Mint]])</f>
        <v>#REF!</v>
      </c>
      <c r="H7" s="74">
        <v>1951</v>
      </c>
      <c r="I7" s="73">
        <f t="shared" si="1"/>
        <v>93</v>
      </c>
      <c r="M7" s="188" t="s">
        <v>1953</v>
      </c>
      <c r="N7" s="188" t="s">
        <v>1954</v>
      </c>
      <c r="P7" s="3" t="s">
        <v>162</v>
      </c>
      <c r="R7" t="e">
        <f>MATCH(P7,Dimes!N:N,0)</f>
        <v>#N/A</v>
      </c>
    </row>
    <row r="8" spans="1:18" ht="15.75">
      <c r="A8" s="91">
        <v>1918</v>
      </c>
      <c r="D8" s="92" t="s">
        <v>1161</v>
      </c>
      <c r="E8" s="92"/>
      <c r="F8" s="76" t="e">
        <f t="shared" si="0"/>
        <v>#N/A</v>
      </c>
      <c r="G8" s="74" t="e">
        <f>IF([2]!Dimes[[#This Row],[Mint]]="",[2]!Dimes[[#This Row],[Date]],[2]!Dimes[[#This Row],[Date]]&amp;" "&amp;[2]!Dimes[[#This Row],[Mint]])</f>
        <v>#REF!</v>
      </c>
      <c r="H8" s="74">
        <v>1954</v>
      </c>
      <c r="I8" s="73">
        <f t="shared" si="1"/>
        <v>102</v>
      </c>
      <c r="M8" s="188" t="s">
        <v>1955</v>
      </c>
      <c r="N8" s="188" t="s">
        <v>1956</v>
      </c>
      <c r="P8" s="3" t="s">
        <v>167</v>
      </c>
      <c r="R8" t="e">
        <f>MATCH(P8,Dimes!N:N,0)</f>
        <v>#N/A</v>
      </c>
    </row>
    <row r="9" spans="1:18" ht="15.75">
      <c r="A9" s="91" t="s">
        <v>91</v>
      </c>
      <c r="D9" s="92" t="s">
        <v>1161</v>
      </c>
      <c r="E9" s="92"/>
      <c r="F9" s="76" t="e">
        <f t="shared" si="0"/>
        <v>#N/A</v>
      </c>
      <c r="G9" s="74" t="e">
        <f>IF([2]!Dimes[[#This Row],[Mint]]="",[2]!Dimes[[#This Row],[Date]],[2]!Dimes[[#This Row],[Date]]&amp;" "&amp;[2]!Dimes[[#This Row],[Mint]])</f>
        <v>#REF!</v>
      </c>
      <c r="H9" s="74">
        <v>1957</v>
      </c>
      <c r="I9" s="73">
        <f t="shared" si="1"/>
        <v>111</v>
      </c>
      <c r="P9" s="3">
        <v>1948</v>
      </c>
      <c r="R9" t="e">
        <f>MATCH(P9,Dimes!N:N,0)</f>
        <v>#N/A</v>
      </c>
    </row>
    <row r="10" spans="1:18" ht="15.75">
      <c r="A10" s="91" t="s">
        <v>96</v>
      </c>
      <c r="D10" s="92" t="s">
        <v>1161</v>
      </c>
      <c r="E10" s="92"/>
      <c r="F10" s="76" t="e">
        <f t="shared" si="0"/>
        <v>#N/A</v>
      </c>
      <c r="G10" s="74" t="e">
        <f>IF([2]!Dimes[[#This Row],[Mint]]="",[2]!Dimes[[#This Row],[Date]],[2]!Dimes[[#This Row],[Date]]&amp;" "&amp;[2]!Dimes[[#This Row],[Mint]])</f>
        <v>#REF!</v>
      </c>
      <c r="H10" s="74">
        <v>1960</v>
      </c>
      <c r="I10" s="73">
        <f t="shared" si="1"/>
        <v>117</v>
      </c>
      <c r="P10" s="3" t="s">
        <v>172</v>
      </c>
      <c r="R10" t="e">
        <f>MATCH(P10,Dimes!N:N,0)</f>
        <v>#N/A</v>
      </c>
    </row>
    <row r="11" spans="1:18" ht="15.75">
      <c r="A11" s="91">
        <v>1919</v>
      </c>
      <c r="D11" s="92" t="s">
        <v>1161</v>
      </c>
      <c r="E11" s="92"/>
      <c r="F11" s="76" t="e">
        <f t="shared" si="0"/>
        <v>#N/A</v>
      </c>
      <c r="G11" s="74" t="e">
        <f>IF([2]!Dimes[[#This Row],[Mint]]="",[2]!Dimes[[#This Row],[Date]],[2]!Dimes[[#This Row],[Date]]&amp;" "&amp;[2]!Dimes[[#This Row],[Mint]])</f>
        <v>#REF!</v>
      </c>
      <c r="H11" s="74" t="s">
        <v>1002</v>
      </c>
      <c r="I11" s="73" t="e">
        <f t="shared" si="1"/>
        <v>#N/A</v>
      </c>
      <c r="P11" s="3" t="s">
        <v>65</v>
      </c>
      <c r="R11" t="e">
        <f>MATCH(P11,Dimes!N:N,0)</f>
        <v>#N/A</v>
      </c>
    </row>
    <row r="12" spans="1:18" ht="15.75">
      <c r="A12" s="91" t="s">
        <v>1162</v>
      </c>
      <c r="D12" s="92" t="s">
        <v>1161</v>
      </c>
      <c r="E12" s="92"/>
      <c r="F12" s="76" t="e">
        <f t="shared" si="0"/>
        <v>#N/A</v>
      </c>
      <c r="G12" s="74" t="e">
        <f>IF([2]!Dimes[[#This Row],[Mint]]="",[2]!Dimes[[#This Row],[Date]],[2]!Dimes[[#This Row],[Date]]&amp;" "&amp;[2]!Dimes[[#This Row],[Mint]])</f>
        <v>#REF!</v>
      </c>
      <c r="H12" s="74" t="s">
        <v>554</v>
      </c>
      <c r="I12" s="73">
        <f t="shared" si="1"/>
        <v>126</v>
      </c>
      <c r="P12" s="3">
        <v>1949</v>
      </c>
      <c r="R12" t="e">
        <f>MATCH(P12,Dimes!N:N,0)</f>
        <v>#N/A</v>
      </c>
    </row>
    <row r="13" spans="1:18" ht="15.75">
      <c r="A13" s="91" t="s">
        <v>1163</v>
      </c>
      <c r="D13" s="92" t="s">
        <v>1161</v>
      </c>
      <c r="E13" s="92"/>
      <c r="F13" s="76" t="e">
        <f t="shared" si="0"/>
        <v>#N/A</v>
      </c>
      <c r="G13" s="74" t="e">
        <f>IF([2]!Dimes[[#This Row],[Mint]]="",[2]!Dimes[[#This Row],[Date]],[2]!Dimes[[#This Row],[Date]]&amp;" "&amp;[2]!Dimes[[#This Row],[Mint]])</f>
        <v>#REF!</v>
      </c>
      <c r="H13" s="74">
        <v>1965</v>
      </c>
      <c r="I13" s="73">
        <f t="shared" si="1"/>
        <v>127</v>
      </c>
      <c r="P13" s="3" t="s">
        <v>67</v>
      </c>
      <c r="R13" t="e">
        <f>MATCH(P13,Dimes!N:N,0)</f>
        <v>#N/A</v>
      </c>
    </row>
    <row r="14" spans="1:18" ht="15.75">
      <c r="A14" s="91">
        <v>1920</v>
      </c>
      <c r="D14" s="92" t="s">
        <v>1161</v>
      </c>
      <c r="E14" s="92"/>
      <c r="F14" s="76" t="e">
        <f t="shared" si="0"/>
        <v>#N/A</v>
      </c>
      <c r="G14" s="74" t="e">
        <f>IF([2]!Dimes[[#This Row],[Mint]]="",[2]!Dimes[[#This Row],[Date]],[2]!Dimes[[#This Row],[Date]]&amp;" "&amp;[2]!Dimes[[#This Row],[Mint]])</f>
        <v>#REF!</v>
      </c>
      <c r="H14" s="74">
        <v>1965</v>
      </c>
      <c r="I14" s="73">
        <f t="shared" si="1"/>
        <v>127</v>
      </c>
      <c r="P14" s="3" t="s">
        <v>188</v>
      </c>
      <c r="R14" t="e">
        <f>MATCH(P14,Dimes!N:N,0)</f>
        <v>#N/A</v>
      </c>
    </row>
    <row r="15" spans="1:18" ht="15.75">
      <c r="A15" s="91" t="s">
        <v>110</v>
      </c>
      <c r="D15" s="92" t="s">
        <v>1161</v>
      </c>
      <c r="E15" s="92"/>
      <c r="F15" s="76" t="e">
        <f t="shared" si="0"/>
        <v>#N/A</v>
      </c>
      <c r="G15" s="74" t="e">
        <f>IF([2]!Dimes[[#This Row],[Mint]]="",[2]!Dimes[[#This Row],[Date]],[2]!Dimes[[#This Row],[Date]]&amp;" "&amp;[2]!Dimes[[#This Row],[Mint]])</f>
        <v>#REF!</v>
      </c>
      <c r="H15" s="74">
        <v>1966</v>
      </c>
      <c r="I15" s="73">
        <f t="shared" si="1"/>
        <v>128</v>
      </c>
      <c r="P15" s="3">
        <v>1950</v>
      </c>
      <c r="R15" t="e">
        <f>MATCH(P15,Dimes!N:N,0)</f>
        <v>#N/A</v>
      </c>
    </row>
    <row r="16" spans="1:18" ht="15.75">
      <c r="A16" s="91">
        <v>1921</v>
      </c>
      <c r="D16" s="92" t="s">
        <v>1161</v>
      </c>
      <c r="E16" s="92"/>
      <c r="F16" s="76" t="e">
        <f t="shared" si="0"/>
        <v>#N/A</v>
      </c>
      <c r="G16" s="74" t="e">
        <f>IF([2]!Dimes[[#This Row],[Mint]]="",[2]!Dimes[[#This Row],[Date]],[2]!Dimes[[#This Row],[Date]]&amp;" "&amp;[2]!Dimes[[#This Row],[Mint]])</f>
        <v>#REF!</v>
      </c>
      <c r="H16" s="74">
        <v>1966</v>
      </c>
      <c r="I16" s="73">
        <f t="shared" si="1"/>
        <v>128</v>
      </c>
      <c r="P16" s="3" t="s">
        <v>252</v>
      </c>
      <c r="R16" t="e">
        <f>MATCH(P16,Dimes!N:N,0)</f>
        <v>#N/A</v>
      </c>
    </row>
    <row r="17" spans="1:18" ht="15.75">
      <c r="A17" s="91" t="s">
        <v>1164</v>
      </c>
      <c r="D17" s="92" t="s">
        <v>1161</v>
      </c>
      <c r="E17" s="92"/>
      <c r="F17" s="76" t="e">
        <f t="shared" si="0"/>
        <v>#N/A</v>
      </c>
      <c r="G17" s="74" t="e">
        <f>IF([2]!Dimes[[#This Row],[Mint]]="",[2]!Dimes[[#This Row],[Date]],[2]!Dimes[[#This Row],[Date]]&amp;" "&amp;[2]!Dimes[[#This Row],[Mint]])</f>
        <v>#REF!</v>
      </c>
      <c r="H17" s="74">
        <v>1967</v>
      </c>
      <c r="I17" s="73">
        <f t="shared" si="1"/>
        <v>129</v>
      </c>
      <c r="P17" s="3" t="s">
        <v>254</v>
      </c>
      <c r="R17" t="e">
        <f>MATCH(P17,Dimes!N:N,0)</f>
        <v>#N/A</v>
      </c>
    </row>
    <row r="18" spans="1:18" ht="15.75">
      <c r="A18" s="91">
        <v>1923</v>
      </c>
      <c r="D18" s="92" t="s">
        <v>1161</v>
      </c>
      <c r="E18" s="92"/>
      <c r="F18" s="76" t="e">
        <f t="shared" si="0"/>
        <v>#N/A</v>
      </c>
      <c r="G18" s="74" t="e">
        <f>IF([2]!Dimes[[#This Row],[Mint]]="",[2]!Dimes[[#This Row],[Date]],[2]!Dimes[[#This Row],[Date]]&amp;" "&amp;[2]!Dimes[[#This Row],[Mint]])</f>
        <v>#REF!</v>
      </c>
      <c r="H18" s="74">
        <v>1967</v>
      </c>
      <c r="I18" s="73">
        <f t="shared" si="1"/>
        <v>129</v>
      </c>
      <c r="P18" s="3">
        <v>1951</v>
      </c>
      <c r="R18" t="e">
        <f>MATCH(P18,Dimes!N:N,0)</f>
        <v>#N/A</v>
      </c>
    </row>
    <row r="19" spans="1:18" ht="15.75">
      <c r="A19" s="91" t="s">
        <v>1165</v>
      </c>
      <c r="D19" s="92" t="s">
        <v>1161</v>
      </c>
      <c r="E19" s="92"/>
      <c r="F19" s="76" t="e">
        <f t="shared" si="0"/>
        <v>#N/A</v>
      </c>
      <c r="G19" s="74" t="e">
        <f>IF([2]!Dimes[[#This Row],[Mint]]="",[2]!Dimes[[#This Row],[Date]],[2]!Dimes[[#This Row],[Date]]&amp;" "&amp;[2]!Dimes[[#This Row],[Mint]])</f>
        <v>#REF!</v>
      </c>
      <c r="H19" s="74">
        <v>1967</v>
      </c>
      <c r="I19" s="73">
        <f t="shared" si="1"/>
        <v>129</v>
      </c>
      <c r="P19" s="3" t="s">
        <v>197</v>
      </c>
      <c r="R19" t="e">
        <f>MATCH(P19,Dimes!N:N,0)</f>
        <v>#N/A</v>
      </c>
    </row>
    <row r="20" spans="1:18" ht="15.75">
      <c r="A20" s="91">
        <v>1924</v>
      </c>
      <c r="D20" s="92" t="s">
        <v>1161</v>
      </c>
      <c r="E20" s="92"/>
      <c r="F20" s="76" t="e">
        <f t="shared" si="0"/>
        <v>#N/A</v>
      </c>
      <c r="G20" s="74" t="e">
        <f>IF([2]!Dimes[[#This Row],[Mint]]="",[2]!Dimes[[#This Row],[Date]],[2]!Dimes[[#This Row],[Date]]&amp;" "&amp;[2]!Dimes[[#This Row],[Mint]])</f>
        <v>#REF!</v>
      </c>
      <c r="H20" s="74">
        <v>1969</v>
      </c>
      <c r="I20" s="73">
        <f t="shared" si="1"/>
        <v>133</v>
      </c>
      <c r="P20" s="3" t="s">
        <v>70</v>
      </c>
      <c r="R20" t="e">
        <f>MATCH(P20,Dimes!N:N,0)</f>
        <v>#N/A</v>
      </c>
    </row>
    <row r="21" spans="1:18" ht="15.75">
      <c r="A21" s="91" t="s">
        <v>42</v>
      </c>
      <c r="D21" s="92" t="s">
        <v>1161</v>
      </c>
      <c r="E21" s="92"/>
      <c r="F21" s="76" t="e">
        <f t="shared" si="0"/>
        <v>#N/A</v>
      </c>
      <c r="G21" s="74" t="e">
        <f>IF([2]!Dimes[[#This Row],[Mint]]="",[2]!Dimes[[#This Row],[Date]],[2]!Dimes[[#This Row],[Date]]&amp;" "&amp;[2]!Dimes[[#This Row],[Mint]])</f>
        <v>#REF!</v>
      </c>
      <c r="H21" s="74" t="s">
        <v>575</v>
      </c>
      <c r="I21" s="73">
        <f t="shared" si="1"/>
        <v>134</v>
      </c>
      <c r="P21" s="3">
        <v>1952</v>
      </c>
      <c r="R21" t="e">
        <f>MATCH(P21,Dimes!N:N,0)</f>
        <v>#N/A</v>
      </c>
    </row>
    <row r="22" spans="1:18" ht="15.75">
      <c r="A22" s="91" t="s">
        <v>138</v>
      </c>
      <c r="D22" s="92" t="s">
        <v>1161</v>
      </c>
      <c r="E22" s="92"/>
      <c r="F22" s="76" t="e">
        <f t="shared" si="0"/>
        <v>#N/A</v>
      </c>
      <c r="G22" s="74" t="e">
        <f>IF([2]!Dimes[[#This Row],[Mint]]="",[2]!Dimes[[#This Row],[Date]],[2]!Dimes[[#This Row],[Date]]&amp;" "&amp;[2]!Dimes[[#This Row],[Mint]])</f>
        <v>#REF!</v>
      </c>
      <c r="H22" s="74">
        <v>1970</v>
      </c>
      <c r="I22" s="73">
        <f t="shared" si="1"/>
        <v>136</v>
      </c>
      <c r="P22" s="3" t="s">
        <v>73</v>
      </c>
      <c r="R22" t="e">
        <f>MATCH(P22,Dimes!N:N,0)</f>
        <v>#N/A</v>
      </c>
    </row>
    <row r="23" spans="1:18" ht="15.75">
      <c r="A23" s="91">
        <v>1925</v>
      </c>
      <c r="D23" s="92" t="s">
        <v>1161</v>
      </c>
      <c r="E23" s="92"/>
      <c r="F23" s="76" t="e">
        <f t="shared" si="0"/>
        <v>#N/A</v>
      </c>
      <c r="G23" s="74" t="e">
        <f>IF([2]!Dimes[[#This Row],[Mint]]="",[2]!Dimes[[#This Row],[Date]],[2]!Dimes[[#This Row],[Date]]&amp;" "&amp;[2]!Dimes[[#This Row],[Mint]])</f>
        <v>#REF!</v>
      </c>
      <c r="H23" s="74" t="s">
        <v>583</v>
      </c>
      <c r="I23" s="73">
        <f t="shared" si="1"/>
        <v>137</v>
      </c>
      <c r="P23" s="3" t="s">
        <v>212</v>
      </c>
      <c r="R23" t="e">
        <f>MATCH(P23,Dimes!N:N,0)</f>
        <v>#N/A</v>
      </c>
    </row>
    <row r="24" spans="1:18" ht="15.75">
      <c r="A24" s="91" t="s">
        <v>146</v>
      </c>
      <c r="D24" s="92" t="s">
        <v>1161</v>
      </c>
      <c r="E24" s="92"/>
      <c r="F24" s="76" t="e">
        <f t="shared" si="0"/>
        <v>#N/A</v>
      </c>
      <c r="G24" s="74" t="e">
        <f>IF([2]!Dimes[[#This Row],[Mint]]="",[2]!Dimes[[#This Row],[Date]],[2]!Dimes[[#This Row],[Date]]&amp;" "&amp;[2]!Dimes[[#This Row],[Mint]])</f>
        <v>#REF!</v>
      </c>
      <c r="H24" s="74">
        <v>1974</v>
      </c>
      <c r="I24" s="73">
        <f t="shared" si="1"/>
        <v>148</v>
      </c>
      <c r="P24" s="3">
        <v>1953</v>
      </c>
      <c r="R24" t="e">
        <f>MATCH(P24,Dimes!N:N,0)</f>
        <v>#N/A</v>
      </c>
    </row>
    <row r="25" spans="1:18" ht="15.75">
      <c r="A25" s="91" t="s">
        <v>151</v>
      </c>
      <c r="D25" s="92" t="s">
        <v>1161</v>
      </c>
      <c r="E25" s="92"/>
      <c r="F25" s="76" t="e">
        <f t="shared" si="0"/>
        <v>#N/A</v>
      </c>
      <c r="G25" s="74" t="e">
        <f>IF([2]!Dimes[[#This Row],[Mint]]="",[2]!Dimes[[#This Row],[Date]],[2]!Dimes[[#This Row],[Date]]&amp;" "&amp;[2]!Dimes[[#This Row],[Mint]])</f>
        <v>#REF!</v>
      </c>
      <c r="H25" s="74">
        <v>1975</v>
      </c>
      <c r="I25" s="73">
        <f t="shared" si="1"/>
        <v>151</v>
      </c>
      <c r="P25" s="3" t="s">
        <v>78</v>
      </c>
      <c r="R25" t="e">
        <f>MATCH(P25,Dimes!N:N,0)</f>
        <v>#N/A</v>
      </c>
    </row>
    <row r="26" spans="1:18" ht="15.75">
      <c r="A26" s="91">
        <v>1926</v>
      </c>
      <c r="D26" s="92" t="s">
        <v>1161</v>
      </c>
      <c r="E26" s="92"/>
      <c r="F26" s="76" t="e">
        <f t="shared" si="0"/>
        <v>#N/A</v>
      </c>
      <c r="G26" s="74" t="e">
        <f>IF([2]!Dimes[[#This Row],[Mint]]="",[2]!Dimes[[#This Row],[Date]],[2]!Dimes[[#This Row],[Date]]&amp;" "&amp;[2]!Dimes[[#This Row],[Mint]])</f>
        <v>#REF!</v>
      </c>
      <c r="H26" s="74" t="s">
        <v>148</v>
      </c>
      <c r="I26" s="73">
        <f t="shared" si="1"/>
        <v>158</v>
      </c>
      <c r="P26" s="3" t="s">
        <v>81</v>
      </c>
      <c r="R26" t="e">
        <f>MATCH(P26,Dimes!N:N,0)</f>
        <v>#N/A</v>
      </c>
    </row>
    <row r="27" spans="1:18" ht="15.75">
      <c r="A27" s="91" t="s">
        <v>156</v>
      </c>
      <c r="D27" s="92" t="s">
        <v>1161</v>
      </c>
      <c r="E27" s="92"/>
      <c r="F27" s="76" t="e">
        <f t="shared" si="0"/>
        <v>#N/A</v>
      </c>
      <c r="G27" s="74" t="e">
        <f>IF([2]!Dimes[[#This Row],[Mint]]="",[2]!Dimes[[#This Row],[Date]],[2]!Dimes[[#This Row],[Date]]&amp;" "&amp;[2]!Dimes[[#This Row],[Mint]])</f>
        <v>#REF!</v>
      </c>
      <c r="H27" s="74" t="s">
        <v>245</v>
      </c>
      <c r="I27" s="73">
        <f t="shared" si="1"/>
        <v>170</v>
      </c>
      <c r="P27" s="3">
        <v>1954</v>
      </c>
      <c r="R27" t="e">
        <f>MATCH(P27,Dimes!N:N,0)</f>
        <v>#N/A</v>
      </c>
    </row>
    <row r="28" spans="1:18" ht="15.75">
      <c r="A28" s="91" t="s">
        <v>161</v>
      </c>
      <c r="D28" s="92" t="s">
        <v>1161</v>
      </c>
      <c r="E28" s="92"/>
      <c r="F28" s="76" t="e">
        <f t="shared" si="0"/>
        <v>#N/A</v>
      </c>
      <c r="G28" s="74" t="e">
        <f>IF([2]!Dimes[[#This Row],[Mint]]="",[2]!Dimes[[#This Row],[Date]],[2]!Dimes[[#This Row],[Date]]&amp;" "&amp;[2]!Dimes[[#This Row],[Mint]])</f>
        <v>#REF!</v>
      </c>
      <c r="H28" s="74" t="s">
        <v>243</v>
      </c>
      <c r="I28" s="73">
        <f t="shared" si="1"/>
        <v>171</v>
      </c>
      <c r="P28" s="3" t="s">
        <v>64</v>
      </c>
      <c r="R28" t="e">
        <f>MATCH(P28,Dimes!N:N,0)</f>
        <v>#N/A</v>
      </c>
    </row>
    <row r="29" spans="1:18" ht="15.75">
      <c r="A29" s="91">
        <v>1927</v>
      </c>
      <c r="D29" s="92" t="s">
        <v>1161</v>
      </c>
      <c r="E29" s="92"/>
      <c r="F29" s="76" t="e">
        <f t="shared" si="0"/>
        <v>#N/A</v>
      </c>
      <c r="G29" s="74" t="e">
        <f>IF([2]!Dimes[[#This Row],[Mint]]="",[2]!Dimes[[#This Row],[Date]],[2]!Dimes[[#This Row],[Date]]&amp;" "&amp;[2]!Dimes[[#This Row],[Mint]])</f>
        <v>#REF!</v>
      </c>
      <c r="H29" s="74" t="s">
        <v>245</v>
      </c>
      <c r="I29" s="73">
        <f t="shared" si="1"/>
        <v>170</v>
      </c>
      <c r="P29" s="3" t="s">
        <v>229</v>
      </c>
      <c r="R29" t="e">
        <f>MATCH(P29,Dimes!N:N,0)</f>
        <v>#N/A</v>
      </c>
    </row>
    <row r="30" spans="1:18" ht="15.75">
      <c r="A30" s="91" t="s">
        <v>166</v>
      </c>
      <c r="D30" s="92" t="s">
        <v>1161</v>
      </c>
      <c r="E30" s="92"/>
      <c r="F30" s="76" t="e">
        <f t="shared" si="0"/>
        <v>#N/A</v>
      </c>
      <c r="G30" s="74" t="e">
        <f>IF([2]!Dimes[[#This Row],[Mint]]="",[2]!Dimes[[#This Row],[Date]],[2]!Dimes[[#This Row],[Date]]&amp;" "&amp;[2]!Dimes[[#This Row],[Mint]])</f>
        <v>#REF!</v>
      </c>
      <c r="H30" s="74" t="s">
        <v>655</v>
      </c>
      <c r="I30" s="73">
        <f t="shared" si="1"/>
        <v>174</v>
      </c>
      <c r="P30" s="3">
        <v>1955</v>
      </c>
      <c r="R30" t="e">
        <f>MATCH(P30,Dimes!N:N,0)</f>
        <v>#N/A</v>
      </c>
    </row>
    <row r="31" spans="1:18" ht="15.75">
      <c r="A31" s="91" t="s">
        <v>171</v>
      </c>
      <c r="D31" s="92" t="s">
        <v>1161</v>
      </c>
      <c r="E31" s="92"/>
      <c r="F31" s="76" t="e">
        <f t="shared" si="0"/>
        <v>#N/A</v>
      </c>
      <c r="G31" s="74" t="e">
        <f>IF([2]!Dimes[[#This Row],[Mint]]="",[2]!Dimes[[#This Row],[Date]],[2]!Dimes[[#This Row],[Date]]&amp;" "&amp;[2]!Dimes[[#This Row],[Mint]])</f>
        <v>#REF!</v>
      </c>
      <c r="H31" s="74" t="s">
        <v>249</v>
      </c>
      <c r="I31" s="73">
        <f t="shared" si="1"/>
        <v>178</v>
      </c>
      <c r="P31" s="3" t="s">
        <v>269</v>
      </c>
      <c r="R31" t="e">
        <f>MATCH(P31,Dimes!N:N,0)</f>
        <v>#N/A</v>
      </c>
    </row>
    <row r="32" spans="1:18" ht="15.75">
      <c r="A32" s="91">
        <v>1928</v>
      </c>
      <c r="D32" s="92" t="s">
        <v>1161</v>
      </c>
      <c r="E32" s="92"/>
      <c r="F32" s="76" t="e">
        <f t="shared" si="0"/>
        <v>#N/A</v>
      </c>
      <c r="G32" s="74" t="e">
        <f>IF([2]!Dimes[[#This Row],[Mint]]="",[2]!Dimes[[#This Row],[Date]],[2]!Dimes[[#This Row],[Date]]&amp;" "&amp;[2]!Dimes[[#This Row],[Mint]])</f>
        <v>#REF!</v>
      </c>
      <c r="H32" s="74" t="s">
        <v>671</v>
      </c>
      <c r="I32" s="73">
        <f t="shared" si="1"/>
        <v>183</v>
      </c>
      <c r="P32" s="3" t="s">
        <v>236</v>
      </c>
      <c r="R32" t="e">
        <f>MATCH(P32,Dimes!N:N,0)</f>
        <v>#N/A</v>
      </c>
    </row>
    <row r="33" spans="1:18" ht="15.75">
      <c r="A33" s="91" t="s">
        <v>176</v>
      </c>
      <c r="D33" s="92" t="s">
        <v>1161</v>
      </c>
      <c r="E33" s="92"/>
      <c r="F33" s="76" t="e">
        <f t="shared" si="0"/>
        <v>#N/A</v>
      </c>
      <c r="G33" s="74" t="e">
        <f>IF([2]!Dimes[[#This Row],[Mint]]="",[2]!Dimes[[#This Row],[Date]],[2]!Dimes[[#This Row],[Date]]&amp;" "&amp;[2]!Dimes[[#This Row],[Mint]])</f>
        <v>#REF!</v>
      </c>
      <c r="H33" s="74" t="s">
        <v>201</v>
      </c>
      <c r="I33" s="73">
        <f t="shared" si="1"/>
        <v>184</v>
      </c>
      <c r="P33" s="3">
        <v>1956</v>
      </c>
      <c r="R33" t="e">
        <f>MATCH(P33,Dimes!N:N,0)</f>
        <v>#N/A</v>
      </c>
    </row>
    <row r="34" spans="1:18" ht="15.75">
      <c r="A34" s="91" t="s">
        <v>180</v>
      </c>
      <c r="D34" s="92" t="s">
        <v>1161</v>
      </c>
      <c r="E34" s="92"/>
      <c r="F34" s="76" t="e">
        <f t="shared" si="0"/>
        <v>#N/A</v>
      </c>
      <c r="G34" s="74" t="e">
        <f>IF([2]!Dimes[[#This Row],[Mint]]="",[2]!Dimes[[#This Row],[Date]],[2]!Dimes[[#This Row],[Date]]&amp;" "&amp;[2]!Dimes[[#This Row],[Mint]])</f>
        <v>#REF!</v>
      </c>
      <c r="H34" s="74" t="s">
        <v>671</v>
      </c>
      <c r="I34" s="73">
        <f t="shared" si="1"/>
        <v>183</v>
      </c>
      <c r="P34" s="3" t="s">
        <v>275</v>
      </c>
      <c r="R34" t="e">
        <f>MATCH(P34,Dimes!N:N,0)</f>
        <v>#N/A</v>
      </c>
    </row>
    <row r="35" spans="1:18" ht="15.75">
      <c r="A35" s="91">
        <v>1929</v>
      </c>
      <c r="D35" s="92" t="s">
        <v>1161</v>
      </c>
      <c r="E35" s="92"/>
      <c r="F35" s="76" t="e">
        <f t="shared" si="0"/>
        <v>#N/A</v>
      </c>
      <c r="G35" s="74" t="e">
        <f>IF([2]!Dimes[[#This Row],[Mint]]="",[2]!Dimes[[#This Row],[Date]],[2]!Dimes[[#This Row],[Date]]&amp;" "&amp;[2]!Dimes[[#This Row],[Mint]])</f>
        <v>#REF!</v>
      </c>
      <c r="H35" s="74" t="s">
        <v>671</v>
      </c>
      <c r="I35" s="73">
        <f t="shared" si="1"/>
        <v>183</v>
      </c>
      <c r="P35" s="3">
        <v>1957</v>
      </c>
      <c r="R35" t="e">
        <f>MATCH(P35,Dimes!N:N,0)</f>
        <v>#N/A</v>
      </c>
    </row>
    <row r="36" spans="1:18" ht="15.75">
      <c r="A36" s="91" t="s">
        <v>187</v>
      </c>
      <c r="D36" s="92" t="s">
        <v>1161</v>
      </c>
      <c r="E36" s="92"/>
      <c r="F36" s="76" t="e">
        <f t="shared" si="0"/>
        <v>#N/A</v>
      </c>
      <c r="G36" s="74" t="e">
        <f>IF([2]!Dimes[[#This Row],[Mint]]="",[2]!Dimes[[#This Row],[Date]],[2]!Dimes[[#This Row],[Date]]&amp;" "&amp;[2]!Dimes[[#This Row],[Mint]])</f>
        <v>#REF!</v>
      </c>
      <c r="H36" s="74" t="s">
        <v>257</v>
      </c>
      <c r="I36" s="73">
        <f t="shared" si="1"/>
        <v>186</v>
      </c>
      <c r="P36" s="3" t="s">
        <v>278</v>
      </c>
      <c r="R36" t="e">
        <f>MATCH(P36,Dimes!N:N,0)</f>
        <v>#N/A</v>
      </c>
    </row>
    <row r="37" spans="1:18" ht="15.75">
      <c r="A37" s="91" t="s">
        <v>191</v>
      </c>
      <c r="D37" s="92" t="s">
        <v>1161</v>
      </c>
      <c r="E37" s="92"/>
      <c r="F37" s="76" t="e">
        <f t="shared" si="0"/>
        <v>#N/A</v>
      </c>
      <c r="G37" s="74" t="e">
        <f>IF([2]!Dimes[[#This Row],[Mint]]="",[2]!Dimes[[#This Row],[Date]],[2]!Dimes[[#This Row],[Date]]&amp;" "&amp;[2]!Dimes[[#This Row],[Mint]])</f>
        <v>#REF!</v>
      </c>
      <c r="H37" s="74" t="s">
        <v>257</v>
      </c>
      <c r="I37" s="73">
        <f t="shared" si="1"/>
        <v>186</v>
      </c>
      <c r="P37" s="3">
        <v>1958</v>
      </c>
      <c r="R37" t="e">
        <f>MATCH(P37,Dimes!N:N,0)</f>
        <v>#N/A</v>
      </c>
    </row>
    <row r="38" spans="1:18" ht="15.75">
      <c r="A38" s="91">
        <v>1930</v>
      </c>
      <c r="D38" s="92" t="s">
        <v>1161</v>
      </c>
      <c r="E38" s="92"/>
      <c r="F38" s="76" t="e">
        <f t="shared" si="0"/>
        <v>#N/A</v>
      </c>
      <c r="G38" s="74" t="e">
        <f>IF([2]!Dimes[[#This Row],[Mint]]="",[2]!Dimes[[#This Row],[Date]],[2]!Dimes[[#This Row],[Date]]&amp;" "&amp;[2]!Dimes[[#This Row],[Mint]])</f>
        <v>#REF!</v>
      </c>
      <c r="H38" s="74" t="s">
        <v>675</v>
      </c>
      <c r="I38" s="73">
        <f t="shared" si="1"/>
        <v>190</v>
      </c>
      <c r="P38" s="3" t="s">
        <v>68</v>
      </c>
      <c r="R38" t="e">
        <f>MATCH(P38,Dimes!N:N,0)</f>
        <v>#N/A</v>
      </c>
    </row>
    <row r="39" spans="1:18" ht="15.75">
      <c r="A39" s="91" t="s">
        <v>194</v>
      </c>
      <c r="D39" s="92" t="s">
        <v>1161</v>
      </c>
      <c r="E39" s="92"/>
      <c r="F39" s="76" t="e">
        <f t="shared" si="0"/>
        <v>#N/A</v>
      </c>
      <c r="G39" s="74" t="e">
        <f>IF([2]!Dimes[[#This Row],[Mint]]="",[2]!Dimes[[#This Row],[Date]],[2]!Dimes[[#This Row],[Date]]&amp;" "&amp;[2]!Dimes[[#This Row],[Mint]])</f>
        <v>#REF!</v>
      </c>
      <c r="H39" s="74" t="s">
        <v>678</v>
      </c>
      <c r="I39" s="73">
        <f t="shared" si="1"/>
        <v>193</v>
      </c>
      <c r="P39" s="3">
        <v>1959</v>
      </c>
      <c r="R39" t="e">
        <f>MATCH(P39,Dimes!N:N,0)</f>
        <v>#N/A</v>
      </c>
    </row>
    <row r="40" spans="1:18" ht="15.75">
      <c r="A40" s="91">
        <v>1931</v>
      </c>
      <c r="D40" s="92" t="s">
        <v>1161</v>
      </c>
      <c r="E40" s="92"/>
      <c r="F40" s="76" t="e">
        <f t="shared" si="0"/>
        <v>#N/A</v>
      </c>
      <c r="G40" s="74" t="e">
        <f>IF([2]!Dimes[[#This Row],[Mint]]="",[2]!Dimes[[#This Row],[Date]],[2]!Dimes[[#This Row],[Date]]&amp;" "&amp;[2]!Dimes[[#This Row],[Mint]])</f>
        <v>#REF!</v>
      </c>
      <c r="H40" s="74" t="s">
        <v>678</v>
      </c>
      <c r="I40" s="73">
        <f t="shared" si="1"/>
        <v>193</v>
      </c>
      <c r="P40" s="3" t="s">
        <v>71</v>
      </c>
      <c r="R40" t="e">
        <f>MATCH(P40,Dimes!N:N,0)</f>
        <v>#N/A</v>
      </c>
    </row>
    <row r="41" spans="1:18" ht="15.75">
      <c r="A41" s="91" t="s">
        <v>1166</v>
      </c>
      <c r="D41" s="92" t="s">
        <v>1161</v>
      </c>
      <c r="E41" s="92"/>
      <c r="F41" s="76" t="e">
        <f t="shared" si="0"/>
        <v>#N/A</v>
      </c>
      <c r="G41" s="74" t="e">
        <f>IF([2]!Dimes[[#This Row],[Mint]]="",[2]!Dimes[[#This Row],[Date]],[2]!Dimes[[#This Row],[Date]]&amp;" "&amp;[2]!Dimes[[#This Row],[Mint]])</f>
        <v>#REF!</v>
      </c>
      <c r="H41" s="74" t="s">
        <v>263</v>
      </c>
      <c r="I41" s="73">
        <f t="shared" si="1"/>
        <v>195</v>
      </c>
      <c r="P41" s="3">
        <v>1960</v>
      </c>
      <c r="R41" t="e">
        <f>MATCH(P41,Dimes!N:N,0)</f>
        <v>#N/A</v>
      </c>
    </row>
    <row r="42" spans="1:18" ht="15.75">
      <c r="A42" s="91" t="s">
        <v>39</v>
      </c>
      <c r="D42" s="92" t="s">
        <v>1161</v>
      </c>
      <c r="E42" s="92"/>
      <c r="F42" s="76" t="e">
        <f t="shared" si="0"/>
        <v>#N/A</v>
      </c>
      <c r="G42" s="74" t="e">
        <f>IF([2]!Dimes[[#This Row],[Mint]]="",[2]!Dimes[[#This Row],[Date]],[2]!Dimes[[#This Row],[Date]]&amp;" "&amp;[2]!Dimes[[#This Row],[Mint]])</f>
        <v>#REF!</v>
      </c>
      <c r="H42" s="74" t="s">
        <v>687</v>
      </c>
      <c r="I42" s="73">
        <f t="shared" si="1"/>
        <v>198</v>
      </c>
      <c r="P42" s="3" t="s">
        <v>74</v>
      </c>
      <c r="R42" t="e">
        <f>MATCH(P42,Dimes!N:N,0)</f>
        <v>#N/A</v>
      </c>
    </row>
    <row r="43" spans="1:18" ht="15.75">
      <c r="A43" s="91">
        <v>1934</v>
      </c>
      <c r="D43" s="92" t="s">
        <v>1161</v>
      </c>
      <c r="E43" s="92"/>
      <c r="F43" s="76" t="e">
        <f t="shared" si="0"/>
        <v>#N/A</v>
      </c>
      <c r="G43" s="74" t="e">
        <f>IF([2]!Dimes[[#This Row],[Mint]]="",[2]!Dimes[[#This Row],[Date]],[2]!Dimes[[#This Row],[Date]]&amp;" "&amp;[2]!Dimes[[#This Row],[Mint]])</f>
        <v>#REF!</v>
      </c>
      <c r="H43" s="74" t="s">
        <v>270</v>
      </c>
      <c r="I43" s="73">
        <f t="shared" si="1"/>
        <v>201</v>
      </c>
      <c r="P43" s="3">
        <v>1961</v>
      </c>
      <c r="R43" t="e">
        <f>MATCH(P43,Dimes!N:N,0)</f>
        <v>#N/A</v>
      </c>
    </row>
    <row r="44" spans="1:18" ht="15.75">
      <c r="A44" s="91" t="s">
        <v>204</v>
      </c>
      <c r="D44" s="92" t="s">
        <v>1161</v>
      </c>
      <c r="E44" s="92"/>
      <c r="F44" s="76" t="e">
        <f t="shared" si="0"/>
        <v>#N/A</v>
      </c>
      <c r="G44" s="74" t="e">
        <f>IF([2]!Dimes[[#This Row],[Mint]]="",[2]!Dimes[[#This Row],[Date]],[2]!Dimes[[#This Row],[Date]]&amp;" "&amp;[2]!Dimes[[#This Row],[Mint]])</f>
        <v>#REF!</v>
      </c>
      <c r="H44" s="74" t="s">
        <v>691</v>
      </c>
      <c r="I44" s="73">
        <f t="shared" si="1"/>
        <v>204</v>
      </c>
      <c r="P44" s="3" t="s">
        <v>76</v>
      </c>
      <c r="R44" t="e">
        <f>MATCH(P44,Dimes!N:N,0)</f>
        <v>#N/A</v>
      </c>
    </row>
    <row r="45" spans="1:18" ht="15.75">
      <c r="A45" s="91">
        <v>1935</v>
      </c>
      <c r="D45" s="92" t="s">
        <v>1161</v>
      </c>
      <c r="E45" s="92"/>
      <c r="F45" s="76" t="e">
        <f t="shared" si="0"/>
        <v>#N/A</v>
      </c>
      <c r="G45" s="74" t="e">
        <f>IF([2]!Dimes[[#This Row],[Mint]]="",[2]!Dimes[[#This Row],[Date]],[2]!Dimes[[#This Row],[Date]]&amp;" "&amp;[2]!Dimes[[#This Row],[Mint]])</f>
        <v>#REF!</v>
      </c>
      <c r="H45" s="74" t="s">
        <v>274</v>
      </c>
      <c r="I45" s="73">
        <f t="shared" si="1"/>
        <v>205</v>
      </c>
      <c r="P45" s="3">
        <v>1962</v>
      </c>
      <c r="R45" t="e">
        <f>MATCH(P45,Dimes!N:N,0)</f>
        <v>#N/A</v>
      </c>
    </row>
    <row r="46" spans="1:18" ht="15.75">
      <c r="A46" s="91" t="s">
        <v>208</v>
      </c>
      <c r="D46" s="92" t="s">
        <v>1161</v>
      </c>
      <c r="E46" s="92"/>
      <c r="F46" s="76" t="e">
        <f t="shared" si="0"/>
        <v>#N/A</v>
      </c>
      <c r="G46" s="74" t="e">
        <f>IF([2]!Dimes[[#This Row],[Mint]]="",[2]!Dimes[[#This Row],[Date]],[2]!Dimes[[#This Row],[Date]]&amp;" "&amp;[2]!Dimes[[#This Row],[Mint]])</f>
        <v>#REF!</v>
      </c>
      <c r="H46" s="74" t="s">
        <v>102</v>
      </c>
      <c r="I46" s="73">
        <f t="shared" si="1"/>
        <v>208</v>
      </c>
      <c r="P46" s="3" t="s">
        <v>79</v>
      </c>
      <c r="R46" t="e">
        <f>MATCH(P46,Dimes!N:N,0)</f>
        <v>#N/A</v>
      </c>
    </row>
    <row r="47" spans="1:18" ht="15.75">
      <c r="A47" s="91" t="s">
        <v>211</v>
      </c>
      <c r="D47" s="92" t="s">
        <v>1161</v>
      </c>
      <c r="E47" s="92"/>
      <c r="F47" s="76" t="e">
        <f t="shared" si="0"/>
        <v>#N/A</v>
      </c>
      <c r="G47" s="74" t="e">
        <f>IF([2]!Dimes[[#This Row],[Mint]]="",[2]!Dimes[[#This Row],[Date]],[2]!Dimes[[#This Row],[Date]]&amp;" "&amp;[2]!Dimes[[#This Row],[Mint]])</f>
        <v>#REF!</v>
      </c>
      <c r="H47" s="74" t="s">
        <v>102</v>
      </c>
      <c r="I47" s="73">
        <f t="shared" si="1"/>
        <v>208</v>
      </c>
      <c r="P47" s="3">
        <v>1963</v>
      </c>
      <c r="R47" t="e">
        <f>MATCH(P47,Dimes!N:N,0)</f>
        <v>#N/A</v>
      </c>
    </row>
    <row r="48" spans="1:18" ht="15.75">
      <c r="A48" s="91">
        <v>1936</v>
      </c>
      <c r="D48" s="92" t="s">
        <v>1161</v>
      </c>
      <c r="E48" s="92"/>
      <c r="F48" s="76" t="e">
        <f t="shared" si="0"/>
        <v>#N/A</v>
      </c>
      <c r="G48" s="74" t="e">
        <f>IF([2]!Dimes[[#This Row],[Mint]]="",[2]!Dimes[[#This Row],[Date]],[2]!Dimes[[#This Row],[Date]]&amp;" "&amp;[2]!Dimes[[#This Row],[Mint]])</f>
        <v>#REF!</v>
      </c>
      <c r="H48" s="74" t="s">
        <v>102</v>
      </c>
      <c r="I48" s="73">
        <f t="shared" si="1"/>
        <v>208</v>
      </c>
      <c r="P48" s="3" t="s">
        <v>554</v>
      </c>
      <c r="R48" t="e">
        <f>MATCH(P48,Dimes!N:N,0)</f>
        <v>#N/A</v>
      </c>
    </row>
    <row r="49" spans="1:18" ht="15.75">
      <c r="A49" s="91" t="s">
        <v>215</v>
      </c>
      <c r="D49" s="92" t="s">
        <v>1161</v>
      </c>
      <c r="E49" s="92"/>
      <c r="F49" s="76" t="e">
        <f t="shared" si="0"/>
        <v>#N/A</v>
      </c>
      <c r="G49" s="74" t="e">
        <f>IF([2]!Dimes[[#This Row],[Mint]]="",[2]!Dimes[[#This Row],[Date]],[2]!Dimes[[#This Row],[Date]]&amp;" "&amp;[2]!Dimes[[#This Row],[Mint]])</f>
        <v>#REF!</v>
      </c>
      <c r="H49" s="74" t="s">
        <v>108</v>
      </c>
      <c r="I49" s="73">
        <f t="shared" si="1"/>
        <v>213</v>
      </c>
      <c r="P49" s="3">
        <v>1964</v>
      </c>
      <c r="R49" t="e">
        <f>MATCH(P49,Dimes!N:N,0)</f>
        <v>#N/A</v>
      </c>
    </row>
    <row r="50" spans="1:18" ht="15.75">
      <c r="A50" s="91" t="s">
        <v>219</v>
      </c>
      <c r="D50" s="92" t="s">
        <v>1161</v>
      </c>
      <c r="E50" s="92"/>
      <c r="F50" s="76" t="e">
        <f t="shared" si="0"/>
        <v>#N/A</v>
      </c>
      <c r="G50" s="74" t="e">
        <f>IF([2]!Dimes[[#This Row],[Mint]]="",[2]!Dimes[[#This Row],[Date]],[2]!Dimes[[#This Row],[Date]]&amp;" "&amp;[2]!Dimes[[#This Row],[Mint]])</f>
        <v>#REF!</v>
      </c>
      <c r="H50" s="74" t="s">
        <v>108</v>
      </c>
      <c r="I50" s="73">
        <f t="shared" si="1"/>
        <v>213</v>
      </c>
      <c r="P50" s="3">
        <v>1965</v>
      </c>
      <c r="R50" t="e">
        <f>MATCH(P50,Dimes!N:N,0)</f>
        <v>#N/A</v>
      </c>
    </row>
    <row r="51" spans="1:18" ht="15.75">
      <c r="A51" s="91">
        <v>1937</v>
      </c>
      <c r="D51" s="92" t="s">
        <v>1161</v>
      </c>
      <c r="E51" s="92"/>
      <c r="F51" s="76" t="e">
        <f t="shared" si="0"/>
        <v>#N/A</v>
      </c>
      <c r="G51" s="74" t="e">
        <f>IF([2]!Dimes[[#This Row],[Mint]]="",[2]!Dimes[[#This Row],[Date]],[2]!Dimes[[#This Row],[Date]]&amp;" "&amp;[2]!Dimes[[#This Row],[Mint]])</f>
        <v>#REF!</v>
      </c>
      <c r="H51" s="74" t="s">
        <v>698</v>
      </c>
      <c r="I51" s="73">
        <f t="shared" si="1"/>
        <v>212</v>
      </c>
      <c r="P51" s="3">
        <v>1966</v>
      </c>
      <c r="R51" t="e">
        <f>MATCH(P51,Dimes!N:N,0)</f>
        <v>#N/A</v>
      </c>
    </row>
    <row r="52" spans="1:18" ht="15.75">
      <c r="A52" s="91" t="s">
        <v>451</v>
      </c>
      <c r="D52" s="92" t="s">
        <v>1161</v>
      </c>
      <c r="E52" s="92"/>
      <c r="F52" s="76" t="e">
        <f t="shared" si="0"/>
        <v>#N/A</v>
      </c>
      <c r="G52" s="74" t="e">
        <f>IF([2]!Dimes[[#This Row],[Mint]]="",[2]!Dimes[[#This Row],[Date]],[2]!Dimes[[#This Row],[Date]]&amp;" "&amp;[2]!Dimes[[#This Row],[Mint]])</f>
        <v>#REF!</v>
      </c>
      <c r="H52" s="74" t="s">
        <v>108</v>
      </c>
      <c r="I52" s="73">
        <f t="shared" si="1"/>
        <v>213</v>
      </c>
      <c r="P52" s="3">
        <v>1967</v>
      </c>
      <c r="R52" t="e">
        <f>MATCH(P52,Dimes!N:N,0)</f>
        <v>#N/A</v>
      </c>
    </row>
    <row r="53" spans="1:18" ht="15.75">
      <c r="A53" s="91" t="s">
        <v>1167</v>
      </c>
      <c r="D53" s="92" t="s">
        <v>1161</v>
      </c>
      <c r="E53" s="92"/>
      <c r="F53" s="76" t="e">
        <f t="shared" si="0"/>
        <v>#N/A</v>
      </c>
      <c r="G53" s="74" t="e">
        <f>IF([2]!Dimes[[#This Row],[Mint]]="",[2]!Dimes[[#This Row],[Date]],[2]!Dimes[[#This Row],[Date]]&amp;" "&amp;[2]!Dimes[[#This Row],[Mint]])</f>
        <v>#REF!</v>
      </c>
      <c r="H53" s="74" t="s">
        <v>698</v>
      </c>
      <c r="I53" s="73">
        <f t="shared" si="1"/>
        <v>212</v>
      </c>
      <c r="P53" s="3" t="s">
        <v>93</v>
      </c>
      <c r="R53" t="e">
        <f>MATCH(P53,Dimes!N:N,0)</f>
        <v>#N/A</v>
      </c>
    </row>
    <row r="54" spans="1:18" ht="15.75">
      <c r="A54" s="91">
        <v>1938</v>
      </c>
      <c r="D54" s="92" t="s">
        <v>1161</v>
      </c>
      <c r="E54" s="92"/>
      <c r="F54" s="76" t="e">
        <f t="shared" si="0"/>
        <v>#N/A</v>
      </c>
      <c r="G54" s="74" t="e">
        <f>IF([2]!Dimes[[#This Row],[Mint]]="",[2]!Dimes[[#This Row],[Date]],[2]!Dimes[[#This Row],[Date]]&amp;" "&amp;[2]!Dimes[[#This Row],[Mint]])</f>
        <v>#REF!</v>
      </c>
      <c r="H54" s="74" t="s">
        <v>282</v>
      </c>
      <c r="I54" s="73">
        <f t="shared" si="1"/>
        <v>216</v>
      </c>
      <c r="P54" s="3">
        <v>1968</v>
      </c>
      <c r="R54" t="e">
        <f>MATCH(P54,Dimes!N:N,0)</f>
        <v>#N/A</v>
      </c>
    </row>
    <row r="55" spans="1:18" ht="15.75">
      <c r="A55" s="91" t="s">
        <v>224</v>
      </c>
      <c r="D55" s="92" t="s">
        <v>1161</v>
      </c>
      <c r="E55" s="92"/>
      <c r="F55" s="76" t="e">
        <f t="shared" si="0"/>
        <v>#N/A</v>
      </c>
      <c r="G55" s="74" t="e">
        <f>IF([2]!Dimes[[#This Row],[Mint]]="",[2]!Dimes[[#This Row],[Date]],[2]!Dimes[[#This Row],[Date]]&amp;" "&amp;[2]!Dimes[[#This Row],[Mint]])</f>
        <v>#REF!</v>
      </c>
      <c r="H55" s="74" t="s">
        <v>282</v>
      </c>
      <c r="I55" s="73">
        <f t="shared" si="1"/>
        <v>216</v>
      </c>
      <c r="P55" s="3" t="s">
        <v>98</v>
      </c>
      <c r="R55" t="e">
        <f>MATCH(P55,Dimes!N:N,0)</f>
        <v>#N/A</v>
      </c>
    </row>
    <row r="56" spans="1:18" ht="15.75">
      <c r="A56" s="91" t="s">
        <v>228</v>
      </c>
      <c r="D56" s="92" t="s">
        <v>1161</v>
      </c>
      <c r="E56" s="92"/>
      <c r="F56" s="76" t="e">
        <f t="shared" si="0"/>
        <v>#N/A</v>
      </c>
      <c r="G56" s="74" t="e">
        <f>IF([2]!Dimes[[#This Row],[Mint]]="",[2]!Dimes[[#This Row],[Date]],[2]!Dimes[[#This Row],[Date]]&amp;" "&amp;[2]!Dimes[[#This Row],[Mint]])</f>
        <v>#REF!</v>
      </c>
      <c r="H56" s="74" t="s">
        <v>710</v>
      </c>
      <c r="I56" s="73">
        <f t="shared" si="1"/>
        <v>220</v>
      </c>
      <c r="P56" s="3">
        <v>1969</v>
      </c>
      <c r="R56" t="e">
        <f>MATCH(P56,Dimes!N:N,0)</f>
        <v>#N/A</v>
      </c>
    </row>
    <row r="57" spans="1:18" ht="15.75">
      <c r="A57" s="91">
        <v>1939</v>
      </c>
      <c r="D57" s="92" t="s">
        <v>1161</v>
      </c>
      <c r="E57" s="92"/>
      <c r="F57" s="76">
        <f t="shared" si="0"/>
        <v>2</v>
      </c>
      <c r="G57" s="74" t="e">
        <f>IF([2]!Dimes[[#This Row],[Mint]]="",[2]!Dimes[[#This Row],[Date]],[2]!Dimes[[#This Row],[Date]]&amp;" "&amp;[2]!Dimes[[#This Row],[Mint]])</f>
        <v>#REF!</v>
      </c>
      <c r="H57" s="74" t="s">
        <v>710</v>
      </c>
      <c r="I57" s="73">
        <f t="shared" si="1"/>
        <v>220</v>
      </c>
      <c r="P57" s="3" t="s">
        <v>583</v>
      </c>
      <c r="R57" t="e">
        <f>MATCH(P57,[2]Dimes!AC:AC,0)</f>
        <v>#N/A</v>
      </c>
    </row>
    <row r="58" spans="1:18" ht="15.75">
      <c r="A58" s="91" t="s">
        <v>233</v>
      </c>
      <c r="D58" s="92" t="s">
        <v>1161</v>
      </c>
      <c r="E58" s="92"/>
      <c r="F58" s="76" t="e">
        <f t="shared" si="0"/>
        <v>#N/A</v>
      </c>
      <c r="G58" s="74" t="e">
        <f>IF([2]!Dimes[[#This Row],[Mint]]="",[2]!Dimes[[#This Row],[Date]],[2]!Dimes[[#This Row],[Date]]&amp;" "&amp;[2]!Dimes[[#This Row],[Mint]])</f>
        <v>#REF!</v>
      </c>
      <c r="H58" s="74" t="s">
        <v>710</v>
      </c>
      <c r="I58" s="73">
        <f t="shared" si="1"/>
        <v>220</v>
      </c>
      <c r="P58" s="3">
        <v>1970</v>
      </c>
      <c r="R58" t="e">
        <f>MATCH(P58,Dimes!N:N,0)</f>
        <v>#N/A</v>
      </c>
    </row>
    <row r="59" spans="1:18" ht="15.75">
      <c r="A59" s="91" t="s">
        <v>235</v>
      </c>
      <c r="D59" s="92" t="s">
        <v>1161</v>
      </c>
      <c r="E59" s="92"/>
      <c r="F59" s="76" t="e">
        <f t="shared" si="0"/>
        <v>#N/A</v>
      </c>
      <c r="G59" s="74" t="e">
        <f>IF([2]!Dimes[[#This Row],[Mint]]="",[2]!Dimes[[#This Row],[Date]],[2]!Dimes[[#This Row],[Date]]&amp;" "&amp;[2]!Dimes[[#This Row],[Mint]])</f>
        <v>#REF!</v>
      </c>
      <c r="H59" s="74" t="s">
        <v>115</v>
      </c>
      <c r="I59" s="73">
        <f t="shared" si="1"/>
        <v>221</v>
      </c>
      <c r="P59" s="3" t="s">
        <v>101</v>
      </c>
      <c r="R59" t="e">
        <f>MATCH(P59,Dimes!N:N,0)</f>
        <v>#N/A</v>
      </c>
    </row>
    <row r="60" spans="1:18" ht="15.75">
      <c r="A60" s="91">
        <v>1940</v>
      </c>
      <c r="D60" s="92" t="s">
        <v>1161</v>
      </c>
      <c r="E60" s="92"/>
      <c r="F60" s="76" t="e">
        <f t="shared" si="0"/>
        <v>#N/A</v>
      </c>
      <c r="G60" s="74" t="e">
        <f>IF([2]!Dimes[[#This Row],[Mint]]="",[2]!Dimes[[#This Row],[Date]],[2]!Dimes[[#This Row],[Date]]&amp;" "&amp;[2]!Dimes[[#This Row],[Mint]])</f>
        <v>#REF!</v>
      </c>
      <c r="H60" s="74" t="s">
        <v>115</v>
      </c>
      <c r="I60" s="73">
        <f t="shared" si="1"/>
        <v>221</v>
      </c>
      <c r="P60" s="3" t="s">
        <v>255</v>
      </c>
      <c r="R60" t="e">
        <f>MATCH(P60,Dimes!N:N,0)</f>
        <v>#N/A</v>
      </c>
    </row>
    <row r="61" spans="1:18" ht="15.75">
      <c r="A61" s="91" t="s">
        <v>466</v>
      </c>
      <c r="D61" s="92" t="s">
        <v>1161</v>
      </c>
      <c r="E61" s="92"/>
      <c r="F61" s="76" t="e">
        <f t="shared" si="0"/>
        <v>#N/A</v>
      </c>
      <c r="G61" s="74" t="e">
        <f>IF([2]!Dimes[[#This Row],[Mint]]="",[2]!Dimes[[#This Row],[Date]],[2]!Dimes[[#This Row],[Date]]&amp;" "&amp;[2]!Dimes[[#This Row],[Mint]])</f>
        <v>#REF!</v>
      </c>
      <c r="H61" s="74" t="s">
        <v>115</v>
      </c>
      <c r="I61" s="73">
        <f t="shared" si="1"/>
        <v>221</v>
      </c>
      <c r="P61" s="3" t="s">
        <v>256</v>
      </c>
      <c r="R61" t="e">
        <f>MATCH(P61,Dimes!N:N,0)</f>
        <v>#N/A</v>
      </c>
    </row>
    <row r="62" spans="1:18" ht="15.75">
      <c r="A62" s="91" t="s">
        <v>238</v>
      </c>
      <c r="D62" s="92" t="s">
        <v>1161</v>
      </c>
      <c r="E62" s="92"/>
      <c r="F62" s="76" t="e">
        <f t="shared" si="0"/>
        <v>#N/A</v>
      </c>
      <c r="G62" s="74" t="e">
        <f>IF([2]!Dimes[[#This Row],[Mint]]="",[2]!Dimes[[#This Row],[Date]],[2]!Dimes[[#This Row],[Date]]&amp;" "&amp;[2]!Dimes[[#This Row],[Mint]])</f>
        <v>#REF!</v>
      </c>
      <c r="H62" s="74" t="s">
        <v>715</v>
      </c>
      <c r="I62" s="73">
        <f t="shared" si="1"/>
        <v>225</v>
      </c>
      <c r="P62" s="3" t="s">
        <v>114</v>
      </c>
      <c r="R62" t="e">
        <f>MATCH(P62,Dimes!N:N,0)</f>
        <v>#N/A</v>
      </c>
    </row>
    <row r="63" spans="1:18" ht="15.75">
      <c r="A63" s="91">
        <v>1942</v>
      </c>
      <c r="B63" s="92" t="s">
        <v>1168</v>
      </c>
      <c r="D63" s="92" t="s">
        <v>1161</v>
      </c>
      <c r="E63" s="92"/>
      <c r="F63" s="76">
        <f t="shared" si="0"/>
        <v>4</v>
      </c>
      <c r="G63" s="74" t="e">
        <f>IF([2]!Dimes[[#This Row],[Mint]]="",[2]!Dimes[[#This Row],[Date]],[2]!Dimes[[#This Row],[Date]]&amp;" "&amp;[2]!Dimes[[#This Row],[Mint]])</f>
        <v>#REF!</v>
      </c>
      <c r="H63" s="74" t="s">
        <v>715</v>
      </c>
      <c r="I63" s="73">
        <f t="shared" si="1"/>
        <v>225</v>
      </c>
      <c r="P63" s="3" t="s">
        <v>258</v>
      </c>
      <c r="R63" t="e">
        <f>MATCH(P63,[2]Dimes!AC:AC,0)</f>
        <v>#N/A</v>
      </c>
    </row>
    <row r="64" spans="1:18" ht="15.75">
      <c r="A64" s="91">
        <v>1942</v>
      </c>
      <c r="D64" s="92" t="s">
        <v>1161</v>
      </c>
      <c r="E64" s="92"/>
      <c r="F64" s="76">
        <f t="shared" si="0"/>
        <v>4</v>
      </c>
      <c r="G64" s="74" t="e">
        <f>IF([2]!Dimes[[#This Row],[Mint]]="",[2]!Dimes[[#This Row],[Date]],[2]!Dimes[[#This Row],[Date]]&amp;" "&amp;[2]!Dimes[[#This Row],[Mint]])</f>
        <v>#REF!</v>
      </c>
      <c r="H64" s="74" t="s">
        <v>719</v>
      </c>
      <c r="I64" s="73">
        <f t="shared" si="1"/>
        <v>226</v>
      </c>
      <c r="P64" s="3" t="s">
        <v>259</v>
      </c>
      <c r="R64" t="e">
        <f>MATCH(P64,[2]Dimes!AC:AC,0)</f>
        <v>#N/A</v>
      </c>
    </row>
    <row r="65" spans="1:18" ht="15.75">
      <c r="A65" s="91" t="s">
        <v>92</v>
      </c>
      <c r="B65" s="92" t="s">
        <v>1168</v>
      </c>
      <c r="D65" s="92" t="s">
        <v>1161</v>
      </c>
      <c r="E65" s="92"/>
      <c r="F65" s="76" t="e">
        <f t="shared" si="0"/>
        <v>#N/A</v>
      </c>
      <c r="G65" s="74" t="e">
        <f>IF([2]!Dimes[[#This Row],[Mint]]="",[2]!Dimes[[#This Row],[Date]],[2]!Dimes[[#This Row],[Date]]&amp;" "&amp;[2]!Dimes[[#This Row],[Mint]])</f>
        <v>#REF!</v>
      </c>
      <c r="H65" s="74" t="s">
        <v>719</v>
      </c>
      <c r="I65" s="73">
        <f t="shared" si="1"/>
        <v>226</v>
      </c>
      <c r="P65" s="3" t="s">
        <v>119</v>
      </c>
      <c r="R65" t="e">
        <f>MATCH(P65,Dimes!N:N,0)</f>
        <v>#N/A</v>
      </c>
    </row>
    <row r="66" spans="1:18" ht="15.75">
      <c r="A66" s="91" t="s">
        <v>92</v>
      </c>
      <c r="D66" s="92" t="s">
        <v>1161</v>
      </c>
      <c r="E66" s="92"/>
      <c r="F66" s="76" t="e">
        <f t="shared" si="0"/>
        <v>#N/A</v>
      </c>
      <c r="G66" s="74" t="e">
        <f>IF([2]!Dimes[[#This Row],[Mint]]="",[2]!Dimes[[#This Row],[Date]],[2]!Dimes[[#This Row],[Date]]&amp;" "&amp;[2]!Dimes[[#This Row],[Mint]])</f>
        <v>#REF!</v>
      </c>
      <c r="H66" s="74" t="s">
        <v>725</v>
      </c>
      <c r="I66" s="73">
        <f t="shared" si="1"/>
        <v>230</v>
      </c>
      <c r="P66" s="3" t="s">
        <v>123</v>
      </c>
      <c r="R66" t="e">
        <f>MATCH(P66,Dimes!N:N,0)</f>
        <v>#N/A</v>
      </c>
    </row>
    <row r="67" spans="1:18" ht="15.75">
      <c r="A67" s="91" t="s">
        <v>97</v>
      </c>
      <c r="D67" s="92" t="s">
        <v>1161</v>
      </c>
      <c r="E67" s="92"/>
      <c r="F67" s="76" t="e">
        <f t="shared" ref="F67:F130" si="2">MATCH(A67,H:H,0)</f>
        <v>#N/A</v>
      </c>
      <c r="G67" s="74" t="e">
        <f>IF([2]!Dimes[[#This Row],[Mint]]="",[2]!Dimes[[#This Row],[Date]],[2]!Dimes[[#This Row],[Date]]&amp;" "&amp;[2]!Dimes[[#This Row],[Mint]])</f>
        <v>#REF!</v>
      </c>
      <c r="H67" s="74" t="s">
        <v>725</v>
      </c>
      <c r="I67" s="73">
        <f t="shared" ref="I67:I130" si="3">MATCH(H67,A:A,0)</f>
        <v>230</v>
      </c>
      <c r="P67" s="3" t="s">
        <v>260</v>
      </c>
      <c r="R67" t="e">
        <f>MATCH(P67,Dimes!N:N,0)</f>
        <v>#N/A</v>
      </c>
    </row>
    <row r="68" spans="1:18" ht="15.75">
      <c r="A68" s="91">
        <v>1943</v>
      </c>
      <c r="D68" s="92" t="s">
        <v>1161</v>
      </c>
      <c r="E68" s="92"/>
      <c r="F68" s="76" t="e">
        <f t="shared" si="2"/>
        <v>#N/A</v>
      </c>
      <c r="G68" s="74" t="e">
        <f>IF([2]!Dimes[[#This Row],[Mint]]="",[2]!Dimes[[#This Row],[Date]],[2]!Dimes[[#This Row],[Date]]&amp;" "&amp;[2]!Dimes[[#This Row],[Mint]])</f>
        <v>#REF!</v>
      </c>
      <c r="H68" s="74" t="s">
        <v>241</v>
      </c>
      <c r="I68" s="73">
        <f t="shared" si="3"/>
        <v>229</v>
      </c>
      <c r="P68" s="3" t="s">
        <v>127</v>
      </c>
      <c r="R68" t="e">
        <f>MATCH(P68,Dimes!N:N,0)</f>
        <v>#N/A</v>
      </c>
    </row>
    <row r="69" spans="1:18" ht="15.75">
      <c r="A69" s="91" t="s">
        <v>107</v>
      </c>
      <c r="D69" s="92" t="s">
        <v>1161</v>
      </c>
      <c r="E69" s="92"/>
      <c r="F69" s="76" t="e">
        <f t="shared" si="2"/>
        <v>#N/A</v>
      </c>
      <c r="G69" s="74" t="e">
        <f>IF([2]!Dimes[[#This Row],[Mint]]="",[2]!Dimes[[#This Row],[Date]],[2]!Dimes[[#This Row],[Date]]&amp;" "&amp;[2]!Dimes[[#This Row],[Mint]])</f>
        <v>#REF!</v>
      </c>
      <c r="H69" s="74" t="s">
        <v>725</v>
      </c>
      <c r="I69" s="73">
        <f t="shared" si="3"/>
        <v>230</v>
      </c>
      <c r="P69" s="3" t="s">
        <v>262</v>
      </c>
      <c r="R69" t="e">
        <f>MATCH(P69,Dimes!N:N,0)</f>
        <v>#N/A</v>
      </c>
    </row>
    <row r="70" spans="1:18" ht="15.75">
      <c r="A70" s="91" t="s">
        <v>122</v>
      </c>
      <c r="D70" s="92" t="s">
        <v>1161</v>
      </c>
      <c r="E70" s="92"/>
      <c r="F70" s="76" t="e">
        <f t="shared" si="2"/>
        <v>#N/A</v>
      </c>
      <c r="G70" s="74" t="e">
        <f>IF([2]!Dimes[[#This Row],[Mint]]="",[2]!Dimes[[#This Row],[Date]],[2]!Dimes[[#This Row],[Date]]&amp;" "&amp;[2]!Dimes[[#This Row],[Mint]])</f>
        <v>#REF!</v>
      </c>
      <c r="H70" s="74" t="s">
        <v>128</v>
      </c>
      <c r="I70" s="73">
        <f t="shared" si="3"/>
        <v>234</v>
      </c>
      <c r="P70" s="3" t="s">
        <v>264</v>
      </c>
      <c r="R70" t="e">
        <f>MATCH(P70,Dimes!N:N,0)</f>
        <v>#N/A</v>
      </c>
    </row>
    <row r="71" spans="1:18" ht="15.75">
      <c r="A71" s="91">
        <v>1944</v>
      </c>
      <c r="D71" s="92" t="s">
        <v>1161</v>
      </c>
      <c r="E71" s="92"/>
      <c r="F71" s="76" t="e">
        <f t="shared" si="2"/>
        <v>#N/A</v>
      </c>
      <c r="G71" s="74" t="e">
        <f>IF([2]!Dimes[[#This Row],[Mint]]="",[2]!Dimes[[#This Row],[Date]],[2]!Dimes[[#This Row],[Date]]&amp;" "&amp;[2]!Dimes[[#This Row],[Mint]])</f>
        <v>#REF!</v>
      </c>
      <c r="H71" s="74" t="s">
        <v>727</v>
      </c>
      <c r="I71" s="73">
        <f t="shared" si="3"/>
        <v>233</v>
      </c>
      <c r="P71" s="3" t="s">
        <v>131</v>
      </c>
      <c r="R71" t="e">
        <f>MATCH(P71,Dimes!N:N,0)</f>
        <v>#N/A</v>
      </c>
    </row>
    <row r="72" spans="1:18" ht="15.75">
      <c r="A72" s="91" t="s">
        <v>126</v>
      </c>
      <c r="D72" s="92" t="s">
        <v>1161</v>
      </c>
      <c r="E72" s="92"/>
      <c r="F72" s="76" t="e">
        <f t="shared" si="2"/>
        <v>#N/A</v>
      </c>
      <c r="G72" s="74" t="e">
        <f>IF([2]!Dimes[[#This Row],[Mint]]="",[2]!Dimes[[#This Row],[Date]],[2]!Dimes[[#This Row],[Date]]&amp;" "&amp;[2]!Dimes[[#This Row],[Mint]])</f>
        <v>#REF!</v>
      </c>
      <c r="H72" s="74" t="s">
        <v>727</v>
      </c>
      <c r="I72" s="73">
        <f t="shared" si="3"/>
        <v>233</v>
      </c>
      <c r="P72" s="3" t="s">
        <v>266</v>
      </c>
      <c r="R72" t="e">
        <f>MATCH(P72,Dimes!N:N,0)</f>
        <v>#N/A</v>
      </c>
    </row>
    <row r="73" spans="1:18" ht="15.75">
      <c r="A73" s="91" t="s">
        <v>130</v>
      </c>
      <c r="D73" s="92" t="s">
        <v>1161</v>
      </c>
      <c r="E73" s="92"/>
      <c r="F73" s="76" t="e">
        <f t="shared" si="2"/>
        <v>#N/A</v>
      </c>
      <c r="G73" s="74" t="e">
        <f>IF([2]!Dimes[[#This Row],[Mint]]="",[2]!Dimes[[#This Row],[Date]],[2]!Dimes[[#This Row],[Date]]&amp;" "&amp;[2]!Dimes[[#This Row],[Mint]])</f>
        <v>#REF!</v>
      </c>
      <c r="H73" s="74" t="s">
        <v>128</v>
      </c>
      <c r="I73" s="73">
        <f t="shared" si="3"/>
        <v>234</v>
      </c>
      <c r="P73" s="3" t="s">
        <v>267</v>
      </c>
      <c r="R73" t="e">
        <f>MATCH(P73,Dimes!N:N,0)</f>
        <v>#N/A</v>
      </c>
    </row>
    <row r="74" spans="1:18" ht="15.75">
      <c r="A74" s="91">
        <v>1945</v>
      </c>
      <c r="D74" s="92" t="s">
        <v>1161</v>
      </c>
      <c r="E74" s="92"/>
      <c r="F74" s="76" t="e">
        <f t="shared" si="2"/>
        <v>#N/A</v>
      </c>
      <c r="G74" s="74" t="e">
        <f>IF([2]!Dimes[[#This Row],[Mint]]="",[2]!Dimes[[#This Row],[Date]],[2]!Dimes[[#This Row],[Date]]&amp;" "&amp;[2]!Dimes[[#This Row],[Mint]])</f>
        <v>#REF!</v>
      </c>
      <c r="H74" s="74" t="s">
        <v>731</v>
      </c>
      <c r="I74" s="73">
        <f t="shared" si="3"/>
        <v>238</v>
      </c>
      <c r="P74" s="3" t="s">
        <v>135</v>
      </c>
      <c r="R74" t="e">
        <f>MATCH(P74,Dimes!N:N,0)</f>
        <v>#N/A</v>
      </c>
    </row>
    <row r="75" spans="1:18" ht="15.75">
      <c r="A75" s="91" t="s">
        <v>139</v>
      </c>
      <c r="D75" s="92" t="s">
        <v>1161</v>
      </c>
      <c r="E75" s="92"/>
      <c r="F75" s="76" t="e">
        <f t="shared" si="2"/>
        <v>#N/A</v>
      </c>
      <c r="G75" s="74" t="e">
        <f>IF([2]!Dimes[[#This Row],[Mint]]="",[2]!Dimes[[#This Row],[Date]],[2]!Dimes[[#This Row],[Date]]&amp;" "&amp;[2]!Dimes[[#This Row],[Mint]])</f>
        <v>#REF!</v>
      </c>
      <c r="H75" s="74" t="s">
        <v>731</v>
      </c>
      <c r="I75" s="73">
        <f t="shared" si="3"/>
        <v>238</v>
      </c>
      <c r="P75" s="3" t="s">
        <v>272</v>
      </c>
      <c r="R75" t="e">
        <f>MATCH(P75,Dimes!N:N,0)</f>
        <v>#N/A</v>
      </c>
    </row>
    <row r="76" spans="1:18" ht="15.75">
      <c r="A76" s="91" t="s">
        <v>142</v>
      </c>
      <c r="D76" s="92" t="s">
        <v>1161</v>
      </c>
      <c r="E76" s="92"/>
      <c r="F76" s="76" t="e">
        <f t="shared" si="2"/>
        <v>#N/A</v>
      </c>
      <c r="G76" s="74" t="e">
        <f>IF([2]!Dimes[[#This Row],[Mint]]="",[2]!Dimes[[#This Row],[Date]],[2]!Dimes[[#This Row],[Date]]&amp;" "&amp;[2]!Dimes[[#This Row],[Mint]])</f>
        <v>#REF!</v>
      </c>
      <c r="H76" s="74" t="s">
        <v>736</v>
      </c>
      <c r="I76" s="73">
        <f t="shared" si="3"/>
        <v>242</v>
      </c>
      <c r="P76" s="3" t="s">
        <v>273</v>
      </c>
      <c r="R76" t="e">
        <f>MATCH(P76,Dimes!N:N,0)</f>
        <v>#N/A</v>
      </c>
    </row>
    <row r="77" spans="1:18" ht="15.75">
      <c r="A77" s="91" t="s">
        <v>142</v>
      </c>
      <c r="B77" s="92" t="s">
        <v>1169</v>
      </c>
      <c r="D77" s="92" t="s">
        <v>1161</v>
      </c>
      <c r="E77" s="92"/>
      <c r="F77" s="76" t="e">
        <f t="shared" si="2"/>
        <v>#N/A</v>
      </c>
      <c r="G77" s="74" t="e">
        <f>IF([2]!Dimes[[#This Row],[Mint]]="",[2]!Dimes[[#This Row],[Date]],[2]!Dimes[[#This Row],[Date]]&amp;" "&amp;[2]!Dimes[[#This Row],[Mint]])</f>
        <v>#REF!</v>
      </c>
      <c r="H77" s="74" t="s">
        <v>144</v>
      </c>
      <c r="I77" s="73">
        <f t="shared" si="3"/>
        <v>246</v>
      </c>
      <c r="P77" s="3" t="s">
        <v>143</v>
      </c>
      <c r="R77" t="e">
        <f>MATCH(P77,Dimes!N:N,0)</f>
        <v>#N/A</v>
      </c>
    </row>
    <row r="78" spans="1:18" ht="15.75">
      <c r="A78" s="91">
        <v>1946</v>
      </c>
      <c r="D78" s="92" t="s">
        <v>1170</v>
      </c>
      <c r="E78" s="92"/>
      <c r="F78" s="76">
        <f t="shared" si="2"/>
        <v>6</v>
      </c>
      <c r="G78" s="74" t="e">
        <f>IF([2]!Dimes[[#This Row],[Mint]]="",[2]!Dimes[[#This Row],[Date]],[2]!Dimes[[#This Row],[Date]]&amp;" "&amp;[2]!Dimes[[#This Row],[Mint]])</f>
        <v>#REF!</v>
      </c>
      <c r="H78" s="74" t="s">
        <v>154</v>
      </c>
      <c r="I78" s="73">
        <f t="shared" si="3"/>
        <v>249</v>
      </c>
      <c r="P78" s="3" t="s">
        <v>148</v>
      </c>
      <c r="R78" t="e">
        <f>MATCH(P78,[2]Dimes!AC:AC,0)</f>
        <v>#N/A</v>
      </c>
    </row>
    <row r="79" spans="1:18" ht="15.75">
      <c r="A79" s="91" t="s">
        <v>147</v>
      </c>
      <c r="D79" s="92" t="s">
        <v>1170</v>
      </c>
      <c r="E79" s="92"/>
      <c r="F79" s="76">
        <f t="shared" si="2"/>
        <v>5</v>
      </c>
      <c r="G79" s="74" t="e">
        <f>IF([2]!Dimes[[#This Row],[Mint]]="",[2]!Dimes[[#This Row],[Date]],[2]!Dimes[[#This Row],[Date]]&amp;" "&amp;[2]!Dimes[[#This Row],[Mint]])</f>
        <v>#REF!</v>
      </c>
      <c r="H79" s="74" t="s">
        <v>154</v>
      </c>
      <c r="I79" s="73">
        <f t="shared" si="3"/>
        <v>249</v>
      </c>
      <c r="P79" s="3" t="s">
        <v>276</v>
      </c>
      <c r="R79" t="e">
        <f>MATCH(P79,[2]Dimes!AC:AC,0)</f>
        <v>#N/A</v>
      </c>
    </row>
    <row r="80" spans="1:18" ht="15.75">
      <c r="A80" s="91" t="s">
        <v>152</v>
      </c>
      <c r="D80" s="92" t="s">
        <v>1170</v>
      </c>
      <c r="E80" s="92"/>
      <c r="F80" s="76" t="e">
        <f t="shared" si="2"/>
        <v>#N/A</v>
      </c>
      <c r="G80" s="74" t="e">
        <f>IF([2]!Dimes[[#This Row],[Mint]]="",[2]!Dimes[[#This Row],[Date]],[2]!Dimes[[#This Row],[Date]]&amp;" "&amp;[2]!Dimes[[#This Row],[Mint]])</f>
        <v>#REF!</v>
      </c>
      <c r="H80" s="74" t="s">
        <v>742</v>
      </c>
      <c r="I80" s="73">
        <f t="shared" si="3"/>
        <v>253</v>
      </c>
      <c r="P80" s="3" t="s">
        <v>153</v>
      </c>
      <c r="R80" t="e">
        <f>MATCH(P80,Dimes!N:N,0)</f>
        <v>#N/A</v>
      </c>
    </row>
    <row r="81" spans="1:18" ht="15.75">
      <c r="A81" s="91">
        <v>1947</v>
      </c>
      <c r="D81" s="92" t="s">
        <v>1170</v>
      </c>
      <c r="E81" s="92"/>
      <c r="F81" s="76" t="e">
        <f t="shared" si="2"/>
        <v>#N/A</v>
      </c>
      <c r="G81" s="74" t="e">
        <f>IF([2]!Dimes[[#This Row],[Mint]]="",[2]!Dimes[[#This Row],[Date]],[2]!Dimes[[#This Row],[Date]]&amp;" "&amp;[2]!Dimes[[#This Row],[Mint]])</f>
        <v>#REF!</v>
      </c>
      <c r="H81" s="74" t="s">
        <v>742</v>
      </c>
      <c r="I81" s="73">
        <f t="shared" si="3"/>
        <v>253</v>
      </c>
      <c r="P81" s="3" t="s">
        <v>158</v>
      </c>
      <c r="R81" t="e">
        <f>MATCH(P81,Dimes!N:N,0)</f>
        <v>#N/A</v>
      </c>
    </row>
    <row r="82" spans="1:18" ht="15.75">
      <c r="A82" s="91" t="s">
        <v>157</v>
      </c>
      <c r="D82" s="92" t="s">
        <v>1170</v>
      </c>
      <c r="E82" s="92"/>
      <c r="F82" s="76" t="e">
        <f t="shared" si="2"/>
        <v>#N/A</v>
      </c>
      <c r="G82" s="74" t="e">
        <f>IF([2]!Dimes[[#This Row],[Mint]]="",[2]!Dimes[[#This Row],[Date]],[2]!Dimes[[#This Row],[Date]]&amp;" "&amp;[2]!Dimes[[#This Row],[Mint]])</f>
        <v>#REF!</v>
      </c>
      <c r="H82" s="74" t="s">
        <v>758</v>
      </c>
      <c r="I82" s="73">
        <f t="shared" si="3"/>
        <v>257</v>
      </c>
      <c r="P82" s="3" t="s">
        <v>280</v>
      </c>
      <c r="R82" t="e">
        <f>MATCH(P82,Dimes!N:N,0)</f>
        <v>#N/A</v>
      </c>
    </row>
    <row r="83" spans="1:18" ht="15.75">
      <c r="A83" s="91" t="s">
        <v>162</v>
      </c>
      <c r="D83" s="92" t="s">
        <v>1170</v>
      </c>
      <c r="E83" s="92"/>
      <c r="F83" s="76" t="e">
        <f t="shared" si="2"/>
        <v>#N/A</v>
      </c>
      <c r="G83" s="74" t="e">
        <f>IF([2]!Dimes[[#This Row],[Mint]]="",[2]!Dimes[[#This Row],[Date]],[2]!Dimes[[#This Row],[Date]]&amp;" "&amp;[2]!Dimes[[#This Row],[Mint]])</f>
        <v>#REF!</v>
      </c>
      <c r="H83" s="74" t="s">
        <v>758</v>
      </c>
      <c r="I83" s="73">
        <f t="shared" si="3"/>
        <v>257</v>
      </c>
      <c r="P83" s="3" t="s">
        <v>163</v>
      </c>
      <c r="R83" t="e">
        <f>MATCH(P83,Dimes!N:N,0)</f>
        <v>#N/A</v>
      </c>
    </row>
    <row r="84" spans="1:18" ht="15.75">
      <c r="A84" s="91">
        <v>1948</v>
      </c>
      <c r="D84" s="92" t="s">
        <v>1170</v>
      </c>
      <c r="E84" s="92"/>
      <c r="F84" s="76" t="e">
        <f t="shared" si="2"/>
        <v>#N/A</v>
      </c>
      <c r="G84" s="74" t="e">
        <f>IF([2]!Dimes[[#This Row],[Mint]]="",[2]!Dimes[[#This Row],[Date]],[2]!Dimes[[#This Row],[Date]]&amp;" "&amp;[2]!Dimes[[#This Row],[Mint]])</f>
        <v>#REF!</v>
      </c>
      <c r="H84" s="74" t="s">
        <v>182</v>
      </c>
      <c r="I84" s="73">
        <f t="shared" si="3"/>
        <v>261</v>
      </c>
      <c r="P84" s="3" t="s">
        <v>168</v>
      </c>
      <c r="R84" t="e">
        <f>MATCH(P84,Dimes!N:N,0)</f>
        <v>#N/A</v>
      </c>
    </row>
    <row r="85" spans="1:18" ht="15.75">
      <c r="A85" s="91" t="s">
        <v>167</v>
      </c>
      <c r="D85" s="92" t="s">
        <v>1170</v>
      </c>
      <c r="E85" s="92"/>
      <c r="F85" s="76" t="e">
        <f t="shared" si="2"/>
        <v>#N/A</v>
      </c>
      <c r="G85" s="74" t="e">
        <f>IF([2]!Dimes[[#This Row],[Mint]]="",[2]!Dimes[[#This Row],[Date]],[2]!Dimes[[#This Row],[Date]]&amp;" "&amp;[2]!Dimes[[#This Row],[Mint]])</f>
        <v>#REF!</v>
      </c>
      <c r="H85" s="74" t="s">
        <v>193</v>
      </c>
      <c r="I85" s="73">
        <f t="shared" si="3"/>
        <v>265</v>
      </c>
      <c r="P85" s="3" t="s">
        <v>283</v>
      </c>
      <c r="R85" t="e">
        <f>MATCH(P85,Dimes!N:N,0)</f>
        <v>#N/A</v>
      </c>
    </row>
    <row r="86" spans="1:18" ht="15.75">
      <c r="A86" s="91" t="s">
        <v>172</v>
      </c>
      <c r="D86" s="92" t="s">
        <v>1170</v>
      </c>
      <c r="E86" s="92"/>
      <c r="F86" s="76" t="e">
        <f t="shared" si="2"/>
        <v>#N/A</v>
      </c>
      <c r="G86" s="74" t="e">
        <f>IF([2]!Dimes[[#This Row],[Mint]]="",[2]!Dimes[[#This Row],[Date]],[2]!Dimes[[#This Row],[Date]]&amp;" "&amp;[2]!Dimes[[#This Row],[Mint]])</f>
        <v>#REF!</v>
      </c>
      <c r="H86" s="74" t="s">
        <v>193</v>
      </c>
      <c r="I86" s="73">
        <f t="shared" si="3"/>
        <v>265</v>
      </c>
      <c r="P86" s="3" t="s">
        <v>173</v>
      </c>
      <c r="R86" t="e">
        <f>MATCH(P86,Dimes!N:N,0)</f>
        <v>#N/A</v>
      </c>
    </row>
    <row r="87" spans="1:18" ht="15.75">
      <c r="A87" s="91">
        <v>1949</v>
      </c>
      <c r="D87" s="92" t="s">
        <v>1170</v>
      </c>
      <c r="E87" s="92"/>
      <c r="F87" s="76" t="e">
        <f t="shared" si="2"/>
        <v>#N/A</v>
      </c>
      <c r="G87" s="74" t="e">
        <f>IF([2]!Dimes[[#This Row],[Mint]]="",[2]!Dimes[[#This Row],[Date]],[2]!Dimes[[#This Row],[Date]]&amp;" "&amp;[2]!Dimes[[#This Row],[Mint]])</f>
        <v>#REF!</v>
      </c>
      <c r="H87" s="74" t="s">
        <v>193</v>
      </c>
      <c r="I87" s="73">
        <f t="shared" si="3"/>
        <v>265</v>
      </c>
      <c r="P87" s="3" t="s">
        <v>177</v>
      </c>
      <c r="R87" t="e">
        <f>MATCH(P87,Dimes!N:N,0)</f>
        <v>#N/A</v>
      </c>
    </row>
    <row r="88" spans="1:18" ht="15.75">
      <c r="A88" s="91" t="s">
        <v>65</v>
      </c>
      <c r="D88" s="92" t="s">
        <v>1170</v>
      </c>
      <c r="E88" s="92"/>
      <c r="F88" s="76" t="e">
        <f t="shared" si="2"/>
        <v>#N/A</v>
      </c>
      <c r="G88" s="74" t="e">
        <f>IF([2]!Dimes[[#This Row],[Mint]]="",[2]!Dimes[[#This Row],[Date]],[2]!Dimes[[#This Row],[Date]]&amp;" "&amp;[2]!Dimes[[#This Row],[Mint]])</f>
        <v>#REF!</v>
      </c>
      <c r="H88" s="74" t="s">
        <v>193</v>
      </c>
      <c r="I88" s="73">
        <f t="shared" si="3"/>
        <v>265</v>
      </c>
      <c r="P88" s="3" t="s">
        <v>242</v>
      </c>
      <c r="R88" t="e">
        <f>MATCH(P88,Dimes!N:N,0)</f>
        <v>#N/A</v>
      </c>
    </row>
    <row r="89" spans="1:18" ht="15.75">
      <c r="A89" s="91" t="s">
        <v>67</v>
      </c>
      <c r="D89" s="92" t="s">
        <v>1170</v>
      </c>
      <c r="E89" s="92"/>
      <c r="F89" s="76" t="e">
        <f t="shared" si="2"/>
        <v>#N/A</v>
      </c>
      <c r="G89" s="74" t="e">
        <f>IF([2]!Dimes[[#This Row],[Mint]]="",[2]!Dimes[[#This Row],[Date]],[2]!Dimes[[#This Row],[Date]]&amp;" "&amp;[2]!Dimes[[#This Row],[Mint]])</f>
        <v>#REF!</v>
      </c>
      <c r="H89" s="74" t="s">
        <v>206</v>
      </c>
      <c r="I89" s="73">
        <f t="shared" si="3"/>
        <v>270</v>
      </c>
      <c r="P89" s="3" t="s">
        <v>181</v>
      </c>
      <c r="R89" t="e">
        <f>MATCH(P89,Dimes!N:N,0)</f>
        <v>#N/A</v>
      </c>
    </row>
    <row r="90" spans="1:18" ht="15.75">
      <c r="A90" s="91">
        <v>1950</v>
      </c>
      <c r="D90" s="92" t="s">
        <v>1170</v>
      </c>
      <c r="E90" s="92"/>
      <c r="F90" s="76" t="e">
        <f t="shared" si="2"/>
        <v>#N/A</v>
      </c>
      <c r="G90" s="74" t="e">
        <f>IF([2]!Dimes[[#This Row],[Mint]]="",[2]!Dimes[[#This Row],[Date]],[2]!Dimes[[#This Row],[Date]]&amp;" "&amp;[2]!Dimes[[#This Row],[Mint]])</f>
        <v>#REF!</v>
      </c>
      <c r="H90" s="74" t="s">
        <v>202</v>
      </c>
      <c r="I90" s="73">
        <f t="shared" si="3"/>
        <v>269</v>
      </c>
      <c r="P90" s="3" t="s">
        <v>243</v>
      </c>
      <c r="R90" t="e">
        <f>MATCH(P90,Dimes!N:N,0)</f>
        <v>#N/A</v>
      </c>
    </row>
    <row r="91" spans="1:18" ht="15.75">
      <c r="A91" s="91" t="s">
        <v>188</v>
      </c>
      <c r="D91" s="92" t="s">
        <v>1170</v>
      </c>
      <c r="E91" s="92"/>
      <c r="F91" s="76" t="e">
        <f t="shared" si="2"/>
        <v>#N/A</v>
      </c>
      <c r="G91" s="74" t="e">
        <f>IF([2]!Dimes[[#This Row],[Mint]]="",[2]!Dimes[[#This Row],[Date]],[2]!Dimes[[#This Row],[Date]]&amp;" "&amp;[2]!Dimes[[#This Row],[Mint]])</f>
        <v>#REF!</v>
      </c>
      <c r="H91" s="74" t="s">
        <v>222</v>
      </c>
      <c r="I91" s="73">
        <f t="shared" si="3"/>
        <v>277</v>
      </c>
      <c r="P91" s="3" t="s">
        <v>245</v>
      </c>
      <c r="R91" t="e">
        <f>MATCH(P91,Dimes!N:N,0)</f>
        <v>#N/A</v>
      </c>
    </row>
    <row r="92" spans="1:18" ht="15.75">
      <c r="A92" s="91" t="s">
        <v>252</v>
      </c>
      <c r="D92" s="92" t="s">
        <v>1170</v>
      </c>
      <c r="E92" s="92"/>
      <c r="F92" s="76" t="e">
        <f t="shared" si="2"/>
        <v>#N/A</v>
      </c>
      <c r="G92" s="74" t="e">
        <f>IF([2]!Dimes[[#This Row],[Mint]]="",[2]!Dimes[[#This Row],[Date]],[2]!Dimes[[#This Row],[Date]]&amp;" "&amp;[2]!Dimes[[#This Row],[Mint]])</f>
        <v>#REF!</v>
      </c>
      <c r="H92" s="74" t="s">
        <v>222</v>
      </c>
      <c r="I92" s="73">
        <f t="shared" si="3"/>
        <v>277</v>
      </c>
      <c r="P92" s="3" t="s">
        <v>184</v>
      </c>
      <c r="R92" t="e">
        <f>MATCH(P92,Dimes!N:N,0)</f>
        <v>#N/A</v>
      </c>
    </row>
    <row r="93" spans="1:18" ht="15.75">
      <c r="A93" s="91">
        <v>1951</v>
      </c>
      <c r="D93" s="92" t="s">
        <v>1170</v>
      </c>
      <c r="E93" s="92"/>
      <c r="F93" s="76">
        <f t="shared" si="2"/>
        <v>7</v>
      </c>
      <c r="G93" s="74" t="e">
        <f>IF([2]!Dimes[[#This Row],[Mint]]="",[2]!Dimes[[#This Row],[Date]],[2]!Dimes[[#This Row],[Date]]&amp;" "&amp;[2]!Dimes[[#This Row],[Mint]])</f>
        <v>#REF!</v>
      </c>
      <c r="H93" s="74" t="s">
        <v>222</v>
      </c>
      <c r="I93" s="73">
        <f t="shared" si="3"/>
        <v>277</v>
      </c>
      <c r="P93" s="3" t="s">
        <v>247</v>
      </c>
      <c r="R93" t="e">
        <f>MATCH(P93,[2]Dimes!AC:AC,0)</f>
        <v>#N/A</v>
      </c>
    </row>
    <row r="94" spans="1:18" ht="15.75">
      <c r="A94" s="91" t="s">
        <v>254</v>
      </c>
      <c r="D94" s="92" t="s">
        <v>1170</v>
      </c>
      <c r="E94" s="92"/>
      <c r="F94" s="76" t="e">
        <f t="shared" si="2"/>
        <v>#N/A</v>
      </c>
      <c r="G94" s="74" t="e">
        <f>IF([2]!Dimes[[#This Row],[Mint]]="",[2]!Dimes[[#This Row],[Date]],[2]!Dimes[[#This Row],[Date]]&amp;" "&amp;[2]!Dimes[[#This Row],[Mint]])</f>
        <v>#REF!</v>
      </c>
      <c r="H94" s="74" t="s">
        <v>222</v>
      </c>
      <c r="I94" s="73">
        <f t="shared" si="3"/>
        <v>277</v>
      </c>
      <c r="P94" s="3" t="s">
        <v>655</v>
      </c>
      <c r="R94" t="e">
        <f>MATCH(P94,Dimes!N:N,0)</f>
        <v>#N/A</v>
      </c>
    </row>
    <row r="95" spans="1:18" ht="15.75">
      <c r="A95" s="91" t="s">
        <v>197</v>
      </c>
      <c r="D95" s="92" t="s">
        <v>1170</v>
      </c>
      <c r="E95" s="92"/>
      <c r="F95" s="76" t="e">
        <f t="shared" si="2"/>
        <v>#N/A</v>
      </c>
      <c r="G95" s="74" t="e">
        <f>IF([2]!Dimes[[#This Row],[Mint]]="",[2]!Dimes[[#This Row],[Date]],[2]!Dimes[[#This Row],[Date]]&amp;" "&amp;[2]!Dimes[[#This Row],[Mint]])</f>
        <v>#REF!</v>
      </c>
      <c r="H95" s="74" t="s">
        <v>88</v>
      </c>
      <c r="I95" s="73">
        <f t="shared" si="3"/>
        <v>281</v>
      </c>
      <c r="P95" s="3" t="s">
        <v>189</v>
      </c>
      <c r="R95" t="e">
        <f>MATCH(P95,Dimes!N:N,0)</f>
        <v>#N/A</v>
      </c>
    </row>
    <row r="96" spans="1:18" ht="15.75">
      <c r="A96" s="91">
        <v>1952</v>
      </c>
      <c r="D96" s="92" t="s">
        <v>1170</v>
      </c>
      <c r="E96" s="92"/>
      <c r="F96" s="76" t="e">
        <f t="shared" si="2"/>
        <v>#N/A</v>
      </c>
      <c r="G96" s="74" t="e">
        <f>IF([2]!Dimes[[#This Row],[Mint]]="",[2]!Dimes[[#This Row],[Date]],[2]!Dimes[[#This Row],[Date]]&amp;" "&amp;[2]!Dimes[[#This Row],[Mint]])</f>
        <v>#REF!</v>
      </c>
      <c r="H96" s="74" t="s">
        <v>88</v>
      </c>
      <c r="I96" s="73">
        <f t="shared" si="3"/>
        <v>281</v>
      </c>
      <c r="P96" s="3" t="s">
        <v>249</v>
      </c>
      <c r="R96" t="e">
        <f>MATCH(P96,Dimes!N:N,0)</f>
        <v>#N/A</v>
      </c>
    </row>
    <row r="97" spans="1:18" ht="15.75">
      <c r="A97" s="91" t="s">
        <v>70</v>
      </c>
      <c r="D97" s="92" t="s">
        <v>1170</v>
      </c>
      <c r="E97" s="92"/>
      <c r="F97" s="76" t="e">
        <f t="shared" si="2"/>
        <v>#N/A</v>
      </c>
      <c r="G97" s="74" t="e">
        <f>IF([2]!Dimes[[#This Row],[Mint]]="",[2]!Dimes[[#This Row],[Date]],[2]!Dimes[[#This Row],[Date]]&amp;" "&amp;[2]!Dimes[[#This Row],[Mint]])</f>
        <v>#REF!</v>
      </c>
      <c r="H97" s="74" t="s">
        <v>88</v>
      </c>
      <c r="I97" s="73">
        <f t="shared" si="3"/>
        <v>281</v>
      </c>
      <c r="P97" s="3" t="s">
        <v>250</v>
      </c>
      <c r="R97" t="e">
        <f>MATCH(P97,Dimes!N:N,0)</f>
        <v>#N/A</v>
      </c>
    </row>
    <row r="98" spans="1:18" ht="15.75">
      <c r="A98" s="91" t="s">
        <v>73</v>
      </c>
      <c r="D98" s="92" t="s">
        <v>1170</v>
      </c>
      <c r="E98" s="92"/>
      <c r="F98" s="76" t="e">
        <f t="shared" si="2"/>
        <v>#N/A</v>
      </c>
      <c r="G98" s="74" t="e">
        <f>IF([2]!Dimes[[#This Row],[Mint]]="",[2]!Dimes[[#This Row],[Date]],[2]!Dimes[[#This Row],[Date]]&amp;" "&amp;[2]!Dimes[[#This Row],[Mint]])</f>
        <v>#REF!</v>
      </c>
      <c r="H98" s="74" t="s">
        <v>88</v>
      </c>
      <c r="I98" s="73">
        <f t="shared" si="3"/>
        <v>281</v>
      </c>
      <c r="P98" s="3" t="s">
        <v>192</v>
      </c>
      <c r="R98" t="e">
        <f>MATCH(P98,Dimes!N:N,0)</f>
        <v>#N/A</v>
      </c>
    </row>
    <row r="99" spans="1:18" ht="15.75">
      <c r="A99" s="91">
        <v>1953</v>
      </c>
      <c r="D99" s="92" t="s">
        <v>1170</v>
      </c>
      <c r="E99" s="92"/>
      <c r="F99" s="76" t="e">
        <f t="shared" si="2"/>
        <v>#N/A</v>
      </c>
      <c r="G99" s="74" t="e">
        <f>IF([2]!Dimes[[#This Row],[Mint]]="",[2]!Dimes[[#This Row],[Date]],[2]!Dimes[[#This Row],[Date]]&amp;" "&amp;[2]!Dimes[[#This Row],[Mint]])</f>
        <v>#REF!</v>
      </c>
      <c r="H99" s="74" t="s">
        <v>88</v>
      </c>
      <c r="I99" s="73">
        <f t="shared" si="3"/>
        <v>281</v>
      </c>
      <c r="P99" s="3" t="s">
        <v>251</v>
      </c>
      <c r="R99" t="e">
        <f>MATCH(P99,Dimes!N:N,0)</f>
        <v>#N/A</v>
      </c>
    </row>
    <row r="100" spans="1:18" ht="15.75">
      <c r="A100" s="91" t="s">
        <v>212</v>
      </c>
      <c r="D100" s="92" t="s">
        <v>1170</v>
      </c>
      <c r="E100" s="92"/>
      <c r="F100" s="76" t="e">
        <f t="shared" si="2"/>
        <v>#N/A</v>
      </c>
      <c r="G100" s="74" t="e">
        <f>IF([2]!Dimes[[#This Row],[Mint]]="",[2]!Dimes[[#This Row],[Date]],[2]!Dimes[[#This Row],[Date]]&amp;" "&amp;[2]!Dimes[[#This Row],[Mint]])</f>
        <v>#REF!</v>
      </c>
      <c r="H100" s="74" t="s">
        <v>90</v>
      </c>
      <c r="I100" s="73">
        <f t="shared" si="3"/>
        <v>282</v>
      </c>
      <c r="P100" s="3" t="s">
        <v>195</v>
      </c>
      <c r="R100" t="e">
        <f>MATCH(P100,Dimes!N:N,0)</f>
        <v>#N/A</v>
      </c>
    </row>
    <row r="101" spans="1:18" ht="15.75">
      <c r="A101" s="91" t="s">
        <v>78</v>
      </c>
      <c r="D101" s="92" t="s">
        <v>1170</v>
      </c>
      <c r="E101" s="92"/>
      <c r="F101" s="76" t="e">
        <f t="shared" si="2"/>
        <v>#N/A</v>
      </c>
      <c r="G101" s="74" t="e">
        <f>IF([2]!Dimes[[#This Row],[Mint]]="",[2]!Dimes[[#This Row],[Date]],[2]!Dimes[[#This Row],[Date]]&amp;" "&amp;[2]!Dimes[[#This Row],[Mint]])</f>
        <v>#REF!</v>
      </c>
      <c r="H101" s="74" t="s">
        <v>768</v>
      </c>
      <c r="I101" s="73">
        <f t="shared" si="3"/>
        <v>285</v>
      </c>
      <c r="P101" s="3" t="s">
        <v>198</v>
      </c>
      <c r="R101" t="e">
        <f>MATCH(P101,Dimes!N:N,0)</f>
        <v>#N/A</v>
      </c>
    </row>
    <row r="102" spans="1:18" ht="15.75">
      <c r="A102" s="91">
        <v>1954</v>
      </c>
      <c r="D102" s="92" t="s">
        <v>1170</v>
      </c>
      <c r="E102" s="92"/>
      <c r="F102" s="76">
        <f t="shared" si="2"/>
        <v>8</v>
      </c>
      <c r="G102" s="74" t="e">
        <f>IF([2]!Dimes[[#This Row],[Mint]]="",[2]!Dimes[[#This Row],[Date]],[2]!Dimes[[#This Row],[Date]]&amp;" "&amp;[2]!Dimes[[#This Row],[Mint]])</f>
        <v>#REF!</v>
      </c>
      <c r="H102" s="74" t="s">
        <v>768</v>
      </c>
      <c r="I102" s="73">
        <f t="shared" si="3"/>
        <v>285</v>
      </c>
      <c r="P102" s="3" t="s">
        <v>201</v>
      </c>
      <c r="R102" t="e">
        <f>MATCH(P102,[2]Dimes!AC:AC,0)</f>
        <v>#N/A</v>
      </c>
    </row>
    <row r="103" spans="1:18" ht="15.75">
      <c r="A103" s="91" t="s">
        <v>81</v>
      </c>
      <c r="D103" s="92" t="s">
        <v>1170</v>
      </c>
      <c r="E103" s="92"/>
      <c r="F103" s="76" t="e">
        <f t="shared" si="2"/>
        <v>#N/A</v>
      </c>
      <c r="G103" s="74" t="e">
        <f>IF([2]!Dimes[[#This Row],[Mint]]="",[2]!Dimes[[#This Row],[Date]],[2]!Dimes[[#This Row],[Date]]&amp;" "&amp;[2]!Dimes[[#This Row],[Mint]])</f>
        <v>#REF!</v>
      </c>
      <c r="H103" s="74" t="s">
        <v>768</v>
      </c>
      <c r="I103" s="73">
        <f t="shared" si="3"/>
        <v>285</v>
      </c>
      <c r="P103" s="3" t="s">
        <v>671</v>
      </c>
      <c r="R103" t="e">
        <f>MATCH(P103,Dimes!N:N,0)</f>
        <v>#N/A</v>
      </c>
    </row>
    <row r="104" spans="1:18" ht="15.75">
      <c r="A104" s="91" t="s">
        <v>64</v>
      </c>
      <c r="D104" s="92" t="s">
        <v>1170</v>
      </c>
      <c r="E104" s="92"/>
      <c r="F104" s="76" t="e">
        <f t="shared" si="2"/>
        <v>#N/A</v>
      </c>
      <c r="G104" s="74" t="e">
        <f>IF([2]!Dimes[[#This Row],[Mint]]="",[2]!Dimes[[#This Row],[Date]],[2]!Dimes[[#This Row],[Date]]&amp;" "&amp;[2]!Dimes[[#This Row],[Mint]])</f>
        <v>#REF!</v>
      </c>
      <c r="H104" s="74" t="s">
        <v>768</v>
      </c>
      <c r="I104" s="73">
        <f t="shared" si="3"/>
        <v>285</v>
      </c>
      <c r="P104" s="3" t="s">
        <v>205</v>
      </c>
      <c r="R104" t="e">
        <f>MATCH(P104,Dimes!N:N,0)</f>
        <v>#N/A</v>
      </c>
    </row>
    <row r="105" spans="1:18" ht="15.75">
      <c r="A105" s="91">
        <v>1955</v>
      </c>
      <c r="D105" s="92" t="s">
        <v>1170</v>
      </c>
      <c r="E105" s="92"/>
      <c r="F105" s="76" t="e">
        <f t="shared" si="2"/>
        <v>#N/A</v>
      </c>
      <c r="G105" s="74" t="e">
        <f>IF([2]!Dimes[[#This Row],[Mint]]="",[2]!Dimes[[#This Row],[Date]],[2]!Dimes[[#This Row],[Date]]&amp;" "&amp;[2]!Dimes[[#This Row],[Mint]])</f>
        <v>#REF!</v>
      </c>
      <c r="H105" s="74" t="s">
        <v>775</v>
      </c>
      <c r="I105" s="73">
        <f t="shared" si="3"/>
        <v>289</v>
      </c>
      <c r="P105" s="3" t="s">
        <v>209</v>
      </c>
      <c r="R105" t="e">
        <f>MATCH(P105,Dimes!N:N,0)</f>
        <v>#N/A</v>
      </c>
    </row>
    <row r="106" spans="1:18" ht="15.75">
      <c r="A106" s="91" t="s">
        <v>229</v>
      </c>
      <c r="D106" s="92" t="s">
        <v>1170</v>
      </c>
      <c r="E106" s="92"/>
      <c r="F106" s="76" t="e">
        <f t="shared" si="2"/>
        <v>#N/A</v>
      </c>
      <c r="G106" s="74" t="e">
        <f>IF([2]!Dimes[[#This Row],[Mint]]="",[2]!Dimes[[#This Row],[Date]],[2]!Dimes[[#This Row],[Date]]&amp;" "&amp;[2]!Dimes[[#This Row],[Mint]])</f>
        <v>#REF!</v>
      </c>
      <c r="H106" s="74" t="s">
        <v>775</v>
      </c>
      <c r="I106" s="73">
        <f t="shared" si="3"/>
        <v>289</v>
      </c>
      <c r="P106" s="3" t="s">
        <v>257</v>
      </c>
      <c r="R106" t="e">
        <f>MATCH(P106,Dimes!N:N,0)</f>
        <v>#N/A</v>
      </c>
    </row>
    <row r="107" spans="1:18" ht="15.75">
      <c r="A107" s="91" t="s">
        <v>269</v>
      </c>
      <c r="D107" s="92" t="s">
        <v>1170</v>
      </c>
      <c r="E107" s="92"/>
      <c r="F107" s="76" t="e">
        <f t="shared" si="2"/>
        <v>#N/A</v>
      </c>
      <c r="G107" s="74" t="e">
        <f>IF([2]!Dimes[[#This Row],[Mint]]="",[2]!Dimes[[#This Row],[Date]],[2]!Dimes[[#This Row],[Date]]&amp;" "&amp;[2]!Dimes[[#This Row],[Mint]])</f>
        <v>#REF!</v>
      </c>
      <c r="H107" s="74" t="s">
        <v>781</v>
      </c>
      <c r="I107" s="73">
        <f t="shared" si="3"/>
        <v>293</v>
      </c>
      <c r="P107" s="3" t="s">
        <v>213</v>
      </c>
      <c r="R107" t="e">
        <f>MATCH(P107,Dimes!N:N,0)</f>
        <v>#N/A</v>
      </c>
    </row>
    <row r="108" spans="1:18" ht="15.75">
      <c r="A108" s="91">
        <v>1956</v>
      </c>
      <c r="D108" s="92" t="s">
        <v>1170</v>
      </c>
      <c r="E108" s="92"/>
      <c r="F108" s="76" t="e">
        <f t="shared" si="2"/>
        <v>#N/A</v>
      </c>
      <c r="G108" s="74" t="e">
        <f>IF([2]!Dimes[[#This Row],[Mint]]="",[2]!Dimes[[#This Row],[Date]],[2]!Dimes[[#This Row],[Date]]&amp;" "&amp;[2]!Dimes[[#This Row],[Mint]])</f>
        <v>#REF!</v>
      </c>
      <c r="H108" s="74" t="s">
        <v>781</v>
      </c>
      <c r="I108" s="73">
        <f t="shared" si="3"/>
        <v>293</v>
      </c>
      <c r="P108" s="3" t="s">
        <v>675</v>
      </c>
      <c r="R108" t="e">
        <f>MATCH(P108,Dimes!N:N,0)</f>
        <v>#N/A</v>
      </c>
    </row>
    <row r="109" spans="1:18" ht="15.75">
      <c r="A109" s="91" t="s">
        <v>236</v>
      </c>
      <c r="D109" s="92" t="s">
        <v>1170</v>
      </c>
      <c r="E109" s="92"/>
      <c r="F109" s="76" t="e">
        <f t="shared" si="2"/>
        <v>#N/A</v>
      </c>
      <c r="G109" s="74" t="e">
        <f>IF([2]!Dimes[[#This Row],[Mint]]="",[2]!Dimes[[#This Row],[Date]],[2]!Dimes[[#This Row],[Date]]&amp;" "&amp;[2]!Dimes[[#This Row],[Mint]])</f>
        <v>#REF!</v>
      </c>
      <c r="H109" s="74" t="s">
        <v>781</v>
      </c>
      <c r="I109" s="73">
        <f t="shared" si="3"/>
        <v>293</v>
      </c>
      <c r="P109" s="3" t="s">
        <v>216</v>
      </c>
      <c r="R109" t="e">
        <f>MATCH(P109,Dimes!N:N,0)</f>
        <v>#N/A</v>
      </c>
    </row>
    <row r="110" spans="1:18" ht="15.75">
      <c r="A110" s="91" t="s">
        <v>1171</v>
      </c>
      <c r="D110" s="92" t="s">
        <v>1170</v>
      </c>
      <c r="E110" s="92"/>
      <c r="F110" s="76" t="e">
        <f t="shared" si="2"/>
        <v>#N/A</v>
      </c>
      <c r="G110" s="74" t="e">
        <f>IF([2]!Dimes[[#This Row],[Mint]]="",[2]!Dimes[[#This Row],[Date]],[2]!Dimes[[#This Row],[Date]]&amp;" "&amp;[2]!Dimes[[#This Row],[Mint]])</f>
        <v>#REF!</v>
      </c>
      <c r="H110" s="74" t="s">
        <v>781</v>
      </c>
      <c r="I110" s="73">
        <f t="shared" si="3"/>
        <v>293</v>
      </c>
      <c r="P110" s="3" t="s">
        <v>220</v>
      </c>
      <c r="R110" t="e">
        <f>MATCH(P110,Dimes!N:N,0)</f>
        <v>#N/A</v>
      </c>
    </row>
    <row r="111" spans="1:18" ht="15.75">
      <c r="A111" s="91">
        <v>1957</v>
      </c>
      <c r="D111" s="92" t="s">
        <v>1170</v>
      </c>
      <c r="E111" s="92"/>
      <c r="F111" s="76">
        <f t="shared" si="2"/>
        <v>9</v>
      </c>
      <c r="G111" s="74" t="e">
        <f>IF([2]!Dimes[[#This Row],[Mint]]="",[2]!Dimes[[#This Row],[Date]],[2]!Dimes[[#This Row],[Date]]&amp;" "&amp;[2]!Dimes[[#This Row],[Mint]])</f>
        <v>#REF!</v>
      </c>
      <c r="H111" s="74" t="s">
        <v>781</v>
      </c>
      <c r="I111" s="73">
        <f t="shared" si="3"/>
        <v>293</v>
      </c>
      <c r="P111" s="3" t="s">
        <v>678</v>
      </c>
      <c r="R111" t="e">
        <f>MATCH(P111,[2]Dimes!AC:AC,0)</f>
        <v>#N/A</v>
      </c>
    </row>
    <row r="112" spans="1:18" ht="15.75">
      <c r="A112" s="91" t="s">
        <v>275</v>
      </c>
      <c r="D112" s="92" t="s">
        <v>1170</v>
      </c>
      <c r="E112" s="92"/>
      <c r="F112" s="76" t="e">
        <f t="shared" si="2"/>
        <v>#N/A</v>
      </c>
      <c r="G112" s="74" t="e">
        <f>IF([2]!Dimes[[#This Row],[Mint]]="",[2]!Dimes[[#This Row],[Date]],[2]!Dimes[[#This Row],[Date]]&amp;" "&amp;[2]!Dimes[[#This Row],[Mint]])</f>
        <v>#REF!</v>
      </c>
      <c r="H112" s="74" t="s">
        <v>781</v>
      </c>
      <c r="I112" s="73">
        <f t="shared" si="3"/>
        <v>293</v>
      </c>
      <c r="P112" s="3" t="s">
        <v>221</v>
      </c>
      <c r="R112" t="e">
        <f>MATCH(P112,Dimes!N:N,0)</f>
        <v>#N/A</v>
      </c>
    </row>
    <row r="113" spans="1:18" ht="15.75">
      <c r="A113" s="91">
        <v>1958</v>
      </c>
      <c r="D113" s="92" t="s">
        <v>1170</v>
      </c>
      <c r="E113" s="92"/>
      <c r="F113" s="76" t="e">
        <f t="shared" si="2"/>
        <v>#N/A</v>
      </c>
      <c r="G113" s="74" t="e">
        <f>IF([2]!Dimes[[#This Row],[Mint]]="",[2]!Dimes[[#This Row],[Date]],[2]!Dimes[[#This Row],[Date]]&amp;" "&amp;[2]!Dimes[[#This Row],[Mint]])</f>
        <v>#REF!</v>
      </c>
      <c r="H113" s="74" t="s">
        <v>781</v>
      </c>
      <c r="I113" s="73">
        <f t="shared" si="3"/>
        <v>293</v>
      </c>
      <c r="P113" s="3" t="s">
        <v>225</v>
      </c>
      <c r="R113" t="e">
        <f>MATCH(P113,Dimes!N:N,0)</f>
        <v>#N/A</v>
      </c>
    </row>
    <row r="114" spans="1:18" ht="15.75">
      <c r="A114" s="91" t="s">
        <v>278</v>
      </c>
      <c r="D114" s="92" t="s">
        <v>1170</v>
      </c>
      <c r="E114" s="92"/>
      <c r="F114" s="76" t="e">
        <f t="shared" si="2"/>
        <v>#N/A</v>
      </c>
      <c r="G114" s="74" t="e">
        <f>IF([2]!Dimes[[#This Row],[Mint]]="",[2]!Dimes[[#This Row],[Date]],[2]!Dimes[[#This Row],[Date]]&amp;" "&amp;[2]!Dimes[[#This Row],[Mint]])</f>
        <v>#REF!</v>
      </c>
      <c r="H114" s="74" t="s">
        <v>785</v>
      </c>
      <c r="I114" s="73">
        <f t="shared" si="3"/>
        <v>297</v>
      </c>
      <c r="P114" s="3" t="s">
        <v>261</v>
      </c>
      <c r="R114" t="e">
        <f>MATCH(P114,Dimes!N:N,0)</f>
        <v>#N/A</v>
      </c>
    </row>
    <row r="115" spans="1:18" ht="15.75">
      <c r="A115" s="91">
        <v>1959</v>
      </c>
      <c r="D115" s="92" t="s">
        <v>1170</v>
      </c>
      <c r="E115" s="92"/>
      <c r="F115" s="76" t="e">
        <f t="shared" si="2"/>
        <v>#N/A</v>
      </c>
      <c r="G115" s="74" t="e">
        <f>IF([2]!Dimes[[#This Row],[Mint]]="",[2]!Dimes[[#This Row],[Date]],[2]!Dimes[[#This Row],[Date]]&amp;" "&amp;[2]!Dimes[[#This Row],[Mint]])</f>
        <v>#REF!</v>
      </c>
      <c r="H115" s="74" t="s">
        <v>785</v>
      </c>
      <c r="I115" s="73">
        <f t="shared" si="3"/>
        <v>297</v>
      </c>
      <c r="P115" s="3" t="s">
        <v>263</v>
      </c>
      <c r="R115" t="e">
        <f>MATCH(P115,Dimes!N:N,0)</f>
        <v>#N/A</v>
      </c>
    </row>
    <row r="116" spans="1:18" ht="15.75">
      <c r="A116" s="91" t="s">
        <v>68</v>
      </c>
      <c r="D116" s="92" t="s">
        <v>1170</v>
      </c>
      <c r="E116" s="92"/>
      <c r="F116" s="76" t="e">
        <f t="shared" si="2"/>
        <v>#N/A</v>
      </c>
      <c r="G116" s="74" t="e">
        <f>IF([2]!Dimes[[#This Row],[Mint]]="",[2]!Dimes[[#This Row],[Date]],[2]!Dimes[[#This Row],[Date]]&amp;" "&amp;[2]!Dimes[[#This Row],[Mint]])</f>
        <v>#REF!</v>
      </c>
      <c r="H116" s="74" t="s">
        <v>785</v>
      </c>
      <c r="I116" s="73">
        <f t="shared" si="3"/>
        <v>297</v>
      </c>
      <c r="P116" s="3" t="s">
        <v>230</v>
      </c>
      <c r="R116" t="e">
        <f>MATCH(P116,Dimes!N:N,0)</f>
        <v>#N/A</v>
      </c>
    </row>
    <row r="117" spans="1:18" ht="15.75">
      <c r="A117" s="91">
        <v>1960</v>
      </c>
      <c r="D117" s="92" t="s">
        <v>1170</v>
      </c>
      <c r="E117" s="92"/>
      <c r="F117" s="76">
        <f t="shared" si="2"/>
        <v>10</v>
      </c>
      <c r="G117" s="74" t="e">
        <f>IF([2]!Dimes[[#This Row],[Mint]]="",[2]!Dimes[[#This Row],[Date]],[2]!Dimes[[#This Row],[Date]]&amp;" "&amp;[2]!Dimes[[#This Row],[Mint]])</f>
        <v>#REF!</v>
      </c>
      <c r="H117" s="74" t="s">
        <v>791</v>
      </c>
      <c r="I117" s="73">
        <f t="shared" si="3"/>
        <v>301</v>
      </c>
      <c r="P117" s="3" t="s">
        <v>265</v>
      </c>
      <c r="R117" t="e">
        <f>MATCH(P117,[2]Dimes!AC:AC,0)</f>
        <v>#N/A</v>
      </c>
    </row>
    <row r="118" spans="1:18" ht="15.75">
      <c r="A118" s="91" t="s">
        <v>71</v>
      </c>
      <c r="D118" s="92" t="s">
        <v>1170</v>
      </c>
      <c r="E118" s="92"/>
      <c r="F118" s="76" t="e">
        <f t="shared" si="2"/>
        <v>#N/A</v>
      </c>
      <c r="G118" s="74" t="e">
        <f>IF([2]!Dimes[[#This Row],[Mint]]="",[2]!Dimes[[#This Row],[Date]],[2]!Dimes[[#This Row],[Date]]&amp;" "&amp;[2]!Dimes[[#This Row],[Mint]])</f>
        <v>#REF!</v>
      </c>
      <c r="H118" s="74" t="s">
        <v>791</v>
      </c>
      <c r="I118" s="73">
        <f t="shared" si="3"/>
        <v>301</v>
      </c>
      <c r="P118" s="3" t="s">
        <v>687</v>
      </c>
      <c r="R118" t="e">
        <f>MATCH(P118,Dimes!N:N,0)</f>
        <v>#N/A</v>
      </c>
    </row>
    <row r="119" spans="1:18" ht="15.75">
      <c r="A119" s="91">
        <v>1961</v>
      </c>
      <c r="D119" s="92" t="s">
        <v>1170</v>
      </c>
      <c r="E119" s="92"/>
      <c r="F119" s="76" t="e">
        <f t="shared" si="2"/>
        <v>#N/A</v>
      </c>
      <c r="G119" s="74" t="e">
        <f>IF([2]!Dimes[[#This Row],[Mint]]="",[2]!Dimes[[#This Row],[Date]],[2]!Dimes[[#This Row],[Date]]&amp;" "&amp;[2]!Dimes[[#This Row],[Mint]])</f>
        <v>#REF!</v>
      </c>
      <c r="H119" s="74" t="s">
        <v>791</v>
      </c>
      <c r="I119" s="73">
        <f t="shared" si="3"/>
        <v>301</v>
      </c>
      <c r="P119" s="3" t="s">
        <v>87</v>
      </c>
      <c r="R119" t="e">
        <f>MATCH(P119,Dimes!N:N,0)</f>
        <v>#N/A</v>
      </c>
    </row>
    <row r="120" spans="1:18" ht="15.75">
      <c r="A120" s="91" t="s">
        <v>74</v>
      </c>
      <c r="D120" s="92" t="s">
        <v>1170</v>
      </c>
      <c r="E120" s="92"/>
      <c r="F120" s="76" t="e">
        <f t="shared" si="2"/>
        <v>#N/A</v>
      </c>
      <c r="G120" s="74" t="e">
        <f>IF([2]!Dimes[[#This Row],[Mint]]="",[2]!Dimes[[#This Row],[Date]],[2]!Dimes[[#This Row],[Date]]&amp;" "&amp;[2]!Dimes[[#This Row],[Mint]])</f>
        <v>#REF!</v>
      </c>
      <c r="H120" s="74" t="s">
        <v>791</v>
      </c>
      <c r="I120" s="73">
        <f t="shared" si="3"/>
        <v>301</v>
      </c>
      <c r="P120" s="3" t="s">
        <v>268</v>
      </c>
      <c r="R120" t="e">
        <f>MATCH(P120,Dimes!N:N,0)</f>
        <v>#N/A</v>
      </c>
    </row>
    <row r="121" spans="1:18" ht="15.75">
      <c r="A121" s="91">
        <v>1962</v>
      </c>
      <c r="D121" s="92" t="s">
        <v>1170</v>
      </c>
      <c r="E121" s="92"/>
      <c r="F121" s="76" t="e">
        <f t="shared" si="2"/>
        <v>#N/A</v>
      </c>
      <c r="G121" s="74" t="e">
        <f>IF([2]!Dimes[[#This Row],[Mint]]="",[2]!Dimes[[#This Row],[Date]],[2]!Dimes[[#This Row],[Date]]&amp;" "&amp;[2]!Dimes[[#This Row],[Mint]])</f>
        <v>#REF!</v>
      </c>
      <c r="H121" s="74" t="s">
        <v>791</v>
      </c>
      <c r="I121" s="73">
        <f t="shared" si="3"/>
        <v>301</v>
      </c>
      <c r="P121" s="3" t="s">
        <v>270</v>
      </c>
      <c r="R121" t="e">
        <f>MATCH(P121,Dimes!N:N,0)</f>
        <v>#N/A</v>
      </c>
    </row>
    <row r="122" spans="1:18" ht="15.75">
      <c r="A122" s="91" t="s">
        <v>76</v>
      </c>
      <c r="D122" s="92" t="s">
        <v>1170</v>
      </c>
      <c r="E122" s="92"/>
      <c r="F122" s="76" t="e">
        <f t="shared" si="2"/>
        <v>#N/A</v>
      </c>
      <c r="G122" s="74" t="e">
        <f>IF([2]!Dimes[[#This Row],[Mint]]="",[2]!Dimes[[#This Row],[Date]],[2]!Dimes[[#This Row],[Date]]&amp;" "&amp;[2]!Dimes[[#This Row],[Mint]])</f>
        <v>#REF!</v>
      </c>
      <c r="H122" s="74" t="s">
        <v>125</v>
      </c>
      <c r="I122" s="73">
        <f t="shared" si="3"/>
        <v>302</v>
      </c>
      <c r="P122" s="3" t="s">
        <v>94</v>
      </c>
      <c r="R122" t="e">
        <f>MATCH(P122,Dimes!N:N,0)</f>
        <v>#N/A</v>
      </c>
    </row>
    <row r="123" spans="1:18" ht="15.75">
      <c r="A123" s="91">
        <v>1963</v>
      </c>
      <c r="D123" s="92" t="s">
        <v>1170</v>
      </c>
      <c r="E123" s="92"/>
      <c r="F123" s="76" t="e">
        <f t="shared" si="2"/>
        <v>#N/A</v>
      </c>
      <c r="G123" s="74" t="e">
        <f>IF([2]!Dimes[[#This Row],[Mint]]="",[2]!Dimes[[#This Row],[Date]],[2]!Dimes[[#This Row],[Date]]&amp;" "&amp;[2]!Dimes[[#This Row],[Mint]])</f>
        <v>#REF!</v>
      </c>
      <c r="H123" s="74" t="s">
        <v>791</v>
      </c>
      <c r="I123" s="73">
        <f t="shared" si="3"/>
        <v>301</v>
      </c>
      <c r="P123" s="3" t="s">
        <v>274</v>
      </c>
      <c r="R123" t="e">
        <f>MATCH(P123,Dimes!N:N,0)</f>
        <v>#N/A</v>
      </c>
    </row>
    <row r="124" spans="1:18" ht="15.75">
      <c r="A124" s="91" t="s">
        <v>79</v>
      </c>
      <c r="D124" s="92" t="s">
        <v>1170</v>
      </c>
      <c r="E124" s="92"/>
      <c r="F124" s="76" t="e">
        <f t="shared" si="2"/>
        <v>#N/A</v>
      </c>
      <c r="G124" s="74" t="e">
        <f>IF([2]!Dimes[[#This Row],[Mint]]="",[2]!Dimes[[#This Row],[Date]],[2]!Dimes[[#This Row],[Date]]&amp;" "&amp;[2]!Dimes[[#This Row],[Mint]])</f>
        <v>#REF!</v>
      </c>
      <c r="H124" s="74" t="s">
        <v>125</v>
      </c>
      <c r="I124" s="73">
        <f t="shared" si="3"/>
        <v>302</v>
      </c>
      <c r="P124" s="3" t="s">
        <v>691</v>
      </c>
      <c r="R124" t="e">
        <f>MATCH(P124,Dimes!N:N,0)</f>
        <v>#N/A</v>
      </c>
    </row>
    <row r="125" spans="1:18" ht="15.75">
      <c r="A125" s="91">
        <v>1964</v>
      </c>
      <c r="D125" s="92" t="s">
        <v>1170</v>
      </c>
      <c r="E125" s="92"/>
      <c r="F125" s="76" t="e">
        <f t="shared" si="2"/>
        <v>#N/A</v>
      </c>
      <c r="G125" s="74" t="e">
        <f>IF([2]!Dimes[[#This Row],[Mint]]="",[2]!Dimes[[#This Row],[Date]],[2]!Dimes[[#This Row],[Date]]&amp;" "&amp;[2]!Dimes[[#This Row],[Mint]])</f>
        <v>#REF!</v>
      </c>
      <c r="H125" s="74" t="s">
        <v>791</v>
      </c>
      <c r="I125" s="73">
        <f t="shared" si="3"/>
        <v>301</v>
      </c>
      <c r="P125" s="3" t="s">
        <v>99</v>
      </c>
      <c r="R125" t="e">
        <f>MATCH(P125,Dimes!N:N,0)</f>
        <v>#N/A</v>
      </c>
    </row>
    <row r="126" spans="1:18" ht="15.75">
      <c r="A126" s="91" t="s">
        <v>554</v>
      </c>
      <c r="D126" s="92" t="s">
        <v>1170</v>
      </c>
      <c r="E126" s="92"/>
      <c r="F126" s="76">
        <f t="shared" si="2"/>
        <v>12</v>
      </c>
      <c r="G126" s="74" t="e">
        <f>IF([2]!Dimes[[#This Row],[Mint]]="",[2]!Dimes[[#This Row],[Date]],[2]!Dimes[[#This Row],[Date]]&amp;" "&amp;[2]!Dimes[[#This Row],[Mint]])</f>
        <v>#REF!</v>
      </c>
      <c r="H126" s="74" t="s">
        <v>799</v>
      </c>
      <c r="I126" s="73">
        <f t="shared" si="3"/>
        <v>305</v>
      </c>
      <c r="P126" s="3" t="s">
        <v>277</v>
      </c>
      <c r="R126" t="e">
        <f>MATCH(P126,[2]Dimes!AC:AC,0)</f>
        <v>#N/A</v>
      </c>
    </row>
    <row r="127" spans="1:18" ht="15.75">
      <c r="A127" s="91">
        <v>1965</v>
      </c>
      <c r="D127" s="92" t="s">
        <v>1170</v>
      </c>
      <c r="E127" s="92"/>
      <c r="F127" s="76">
        <f t="shared" si="2"/>
        <v>13</v>
      </c>
      <c r="G127" s="74" t="e">
        <f>IF([2]!Dimes[[#This Row],[Mint]]="",[2]!Dimes[[#This Row],[Date]],[2]!Dimes[[#This Row],[Date]]&amp;" "&amp;[2]!Dimes[[#This Row],[Mint]])</f>
        <v>#REF!</v>
      </c>
      <c r="H127" s="74" t="s">
        <v>799</v>
      </c>
      <c r="I127" s="73">
        <f t="shared" si="3"/>
        <v>305</v>
      </c>
      <c r="P127" s="3" t="s">
        <v>102</v>
      </c>
      <c r="R127" t="e">
        <f>MATCH(P127,[2]Dimes!AC:AC,0)</f>
        <v>#N/A</v>
      </c>
    </row>
    <row r="128" spans="1:18" ht="15.75">
      <c r="A128" s="91">
        <v>1966</v>
      </c>
      <c r="D128" s="92" t="s">
        <v>1170</v>
      </c>
      <c r="E128" s="92"/>
      <c r="F128" s="76">
        <f t="shared" si="2"/>
        <v>15</v>
      </c>
      <c r="G128" s="74" t="e">
        <f>IF([2]!Dimes[[#This Row],[Mint]]="",[2]!Dimes[[#This Row],[Date]],[2]!Dimes[[#This Row],[Date]]&amp;" "&amp;[2]!Dimes[[#This Row],[Mint]])</f>
        <v>#REF!</v>
      </c>
      <c r="H128" s="74" t="s">
        <v>799</v>
      </c>
      <c r="I128" s="73">
        <f t="shared" si="3"/>
        <v>305</v>
      </c>
      <c r="P128" s="3" t="s">
        <v>105</v>
      </c>
      <c r="R128" t="e">
        <f>MATCH(P128,[2]Dimes!AC:AC,0)</f>
        <v>#N/A</v>
      </c>
    </row>
    <row r="129" spans="1:18" ht="15.75">
      <c r="A129" s="91">
        <v>1967</v>
      </c>
      <c r="D129" s="92" t="s">
        <v>1170</v>
      </c>
      <c r="E129" s="92"/>
      <c r="F129" s="76">
        <f t="shared" si="2"/>
        <v>17</v>
      </c>
      <c r="G129" s="74" t="e">
        <f>IF([2]!Dimes[[#This Row],[Mint]]="",[2]!Dimes[[#This Row],[Date]],[2]!Dimes[[#This Row],[Date]]&amp;" "&amp;[2]!Dimes[[#This Row],[Mint]])</f>
        <v>#REF!</v>
      </c>
      <c r="H129" s="74" t="s">
        <v>799</v>
      </c>
      <c r="I129" s="73">
        <f t="shared" si="3"/>
        <v>305</v>
      </c>
      <c r="P129" s="3" t="s">
        <v>108</v>
      </c>
      <c r="R129" t="e">
        <f>MATCH(P129,[2]Dimes!AC:AC,0)</f>
        <v>#N/A</v>
      </c>
    </row>
    <row r="130" spans="1:18" ht="15.75">
      <c r="A130" s="91">
        <v>1968</v>
      </c>
      <c r="D130" s="92" t="s">
        <v>1170</v>
      </c>
      <c r="E130" s="92"/>
      <c r="F130" s="76" t="e">
        <f t="shared" si="2"/>
        <v>#N/A</v>
      </c>
      <c r="G130" s="74" t="e">
        <f>IF([2]!Dimes[[#This Row],[Mint]]="",[2]!Dimes[[#This Row],[Date]],[2]!Dimes[[#This Row],[Date]]&amp;" "&amp;[2]!Dimes[[#This Row],[Mint]])</f>
        <v>#REF!</v>
      </c>
      <c r="H130" s="74" t="s">
        <v>799</v>
      </c>
      <c r="I130" s="73">
        <f t="shared" si="3"/>
        <v>305</v>
      </c>
      <c r="P130" s="3" t="s">
        <v>698</v>
      </c>
      <c r="R130" t="e">
        <f>MATCH(P130,Dimes!N:N,0)</f>
        <v>#N/A</v>
      </c>
    </row>
    <row r="131" spans="1:18" ht="15.75">
      <c r="A131" s="91" t="s">
        <v>93</v>
      </c>
      <c r="D131" s="92" t="s">
        <v>1170</v>
      </c>
      <c r="E131" s="92"/>
      <c r="F131" s="76" t="e">
        <f t="shared" ref="F131:F194" si="4">MATCH(A131,H:H,0)</f>
        <v>#N/A</v>
      </c>
      <c r="G131" s="74" t="e">
        <f>IF([2]!Dimes[[#This Row],[Mint]]="",[2]!Dimes[[#This Row],[Date]],[2]!Dimes[[#This Row],[Date]]&amp;" "&amp;[2]!Dimes[[#This Row],[Mint]])</f>
        <v>#REF!</v>
      </c>
      <c r="H131" s="74" t="s">
        <v>804</v>
      </c>
      <c r="I131" s="73">
        <f t="shared" ref="I131:I145" si="5">MATCH(H131,A:A,0)</f>
        <v>309</v>
      </c>
      <c r="P131" s="3" t="s">
        <v>279</v>
      </c>
      <c r="R131" t="e">
        <f>MATCH(P131,Dimes!N:N,0)</f>
        <v>#N/A</v>
      </c>
    </row>
    <row r="132" spans="1:18" ht="15.75">
      <c r="A132" s="91" t="s">
        <v>98</v>
      </c>
      <c r="B132" s="92" t="s">
        <v>20</v>
      </c>
      <c r="D132" s="92" t="s">
        <v>1170</v>
      </c>
      <c r="E132" s="92"/>
      <c r="F132" s="76" t="e">
        <f t="shared" si="4"/>
        <v>#N/A</v>
      </c>
      <c r="G132" s="74" t="e">
        <f>IF([2]!Dimes[[#This Row],[Mint]]="",[2]!Dimes[[#This Row],[Date]],[2]!Dimes[[#This Row],[Date]]&amp;" "&amp;[2]!Dimes[[#This Row],[Mint]])</f>
        <v>#REF!</v>
      </c>
      <c r="H132" s="74" t="s">
        <v>804</v>
      </c>
      <c r="I132" s="73">
        <f t="shared" si="5"/>
        <v>309</v>
      </c>
      <c r="P132" s="3" t="s">
        <v>281</v>
      </c>
      <c r="R132" t="e">
        <f>MATCH(P132,Dimes!N:N,0)</f>
        <v>#N/A</v>
      </c>
    </row>
    <row r="133" spans="1:18" ht="15.75">
      <c r="A133" s="91">
        <v>1969</v>
      </c>
      <c r="D133" s="92" t="s">
        <v>1170</v>
      </c>
      <c r="E133" s="92"/>
      <c r="F133" s="76">
        <f t="shared" si="4"/>
        <v>20</v>
      </c>
      <c r="G133" s="74" t="e">
        <f>IF([2]!Dimes[[#This Row],[Mint]]="",[2]!Dimes[[#This Row],[Date]],[2]!Dimes[[#This Row],[Date]]&amp;" "&amp;[2]!Dimes[[#This Row],[Mint]])</f>
        <v>#REF!</v>
      </c>
      <c r="H133" s="74" t="s">
        <v>804</v>
      </c>
      <c r="I133" s="73">
        <f t="shared" si="5"/>
        <v>309</v>
      </c>
      <c r="P133" s="3" t="s">
        <v>282</v>
      </c>
      <c r="R133" t="e">
        <f>MATCH(P133,[2]Dimes!AC:AC,0)</f>
        <v>#N/A</v>
      </c>
    </row>
    <row r="134" spans="1:18" ht="15.75">
      <c r="A134" s="91" t="s">
        <v>575</v>
      </c>
      <c r="D134" s="92" t="s">
        <v>1170</v>
      </c>
      <c r="E134" s="92"/>
      <c r="F134" s="76">
        <f t="shared" si="4"/>
        <v>21</v>
      </c>
      <c r="G134" s="74" t="e">
        <f>IF([2]!Dimes[[#This Row],[Mint]]="",[2]!Dimes[[#This Row],[Date]],[2]!Dimes[[#This Row],[Date]]&amp;" "&amp;[2]!Dimes[[#This Row],[Mint]])</f>
        <v>#REF!</v>
      </c>
      <c r="H134" s="74" t="s">
        <v>804</v>
      </c>
      <c r="I134" s="73">
        <f t="shared" si="5"/>
        <v>309</v>
      </c>
      <c r="P134" s="3" t="s">
        <v>111</v>
      </c>
      <c r="R134" t="e">
        <f>MATCH(P134,[2]Dimes!AC:AC,0)</f>
        <v>#N/A</v>
      </c>
    </row>
    <row r="135" spans="1:18" ht="15.75">
      <c r="A135" s="91" t="s">
        <v>581</v>
      </c>
      <c r="B135" s="92" t="s">
        <v>20</v>
      </c>
      <c r="D135" s="92" t="s">
        <v>1170</v>
      </c>
      <c r="E135" s="92"/>
      <c r="F135" s="76" t="e">
        <f t="shared" si="4"/>
        <v>#N/A</v>
      </c>
      <c r="G135" s="74" t="e">
        <f>IF([2]!Dimes[[#This Row],[Mint]]="",[2]!Dimes[[#This Row],[Date]],[2]!Dimes[[#This Row],[Date]]&amp;" "&amp;[2]!Dimes[[#This Row],[Mint]])</f>
        <v>#REF!</v>
      </c>
      <c r="H135" s="74" t="s">
        <v>810</v>
      </c>
      <c r="I135" s="73">
        <f t="shared" si="5"/>
        <v>313</v>
      </c>
      <c r="P135" s="3" t="s">
        <v>115</v>
      </c>
      <c r="R135" t="e">
        <f>MATCH(P135,Dimes!N:N,0)</f>
        <v>#N/A</v>
      </c>
    </row>
    <row r="136" spans="1:18" ht="15.75">
      <c r="A136" s="91">
        <v>1970</v>
      </c>
      <c r="D136" s="92" t="s">
        <v>1170</v>
      </c>
      <c r="E136" s="92"/>
      <c r="F136" s="76">
        <f t="shared" si="4"/>
        <v>22</v>
      </c>
      <c r="G136" s="74" t="e">
        <f>IF([2]!Dimes[[#This Row],[Mint]]="",[2]!Dimes[[#This Row],[Date]],[2]!Dimes[[#This Row],[Date]]&amp;" "&amp;[2]!Dimes[[#This Row],[Mint]])</f>
        <v>#REF!</v>
      </c>
      <c r="H136" s="74" t="s">
        <v>810</v>
      </c>
      <c r="I136" s="73">
        <f t="shared" si="5"/>
        <v>313</v>
      </c>
      <c r="P136" s="3" t="s">
        <v>710</v>
      </c>
      <c r="R136" t="e">
        <f>MATCH(P136,[2]Dimes!AC:AC,0)</f>
        <v>#N/A</v>
      </c>
    </row>
    <row r="137" spans="1:18" ht="15.75">
      <c r="A137" s="91" t="s">
        <v>583</v>
      </c>
      <c r="D137" s="92" t="s">
        <v>1170</v>
      </c>
      <c r="E137" s="92"/>
      <c r="F137" s="76">
        <f t="shared" si="4"/>
        <v>23</v>
      </c>
      <c r="G137" s="74" t="e">
        <f>IF([2]!Dimes[[#This Row],[Mint]]="",[2]!Dimes[[#This Row],[Date]],[2]!Dimes[[#This Row],[Date]]&amp;" "&amp;[2]!Dimes[[#This Row],[Mint]])</f>
        <v>#REF!</v>
      </c>
      <c r="H137" s="74" t="s">
        <v>810</v>
      </c>
      <c r="I137" s="73">
        <f t="shared" si="5"/>
        <v>313</v>
      </c>
      <c r="P137" s="3" t="s">
        <v>284</v>
      </c>
      <c r="R137" t="e">
        <f>MATCH(P137,[2]Dimes!AC:AC,0)</f>
        <v>#N/A</v>
      </c>
    </row>
    <row r="138" spans="1:18" ht="15.75">
      <c r="A138" s="91" t="s">
        <v>101</v>
      </c>
      <c r="B138" s="92" t="s">
        <v>20</v>
      </c>
      <c r="D138" s="92" t="s">
        <v>1170</v>
      </c>
      <c r="E138" s="92"/>
      <c r="F138" s="76" t="e">
        <f t="shared" si="4"/>
        <v>#N/A</v>
      </c>
      <c r="G138" s="74" t="e">
        <f>IF([2]!Dimes[[#This Row],[Mint]]="",[2]!Dimes[[#This Row],[Date]],[2]!Dimes[[#This Row],[Date]]&amp;" "&amp;[2]!Dimes[[#This Row],[Mint]])</f>
        <v>#REF!</v>
      </c>
      <c r="H138" s="74" t="s">
        <v>815</v>
      </c>
      <c r="I138" s="73">
        <f t="shared" si="5"/>
        <v>317</v>
      </c>
      <c r="P138" s="3" t="s">
        <v>285</v>
      </c>
      <c r="R138" t="e">
        <f>MATCH(P138,Dimes!N:N,0)</f>
        <v>#N/A</v>
      </c>
    </row>
    <row r="139" spans="1:18" ht="15.75">
      <c r="A139" s="91">
        <v>1971</v>
      </c>
      <c r="D139" s="92" t="s">
        <v>1170</v>
      </c>
      <c r="E139" s="92"/>
      <c r="F139" s="76" t="e">
        <f t="shared" si="4"/>
        <v>#N/A</v>
      </c>
      <c r="G139" s="74" t="e">
        <f>IF([2]!Dimes[[#This Row],[Mint]]="",[2]!Dimes[[#This Row],[Date]],[2]!Dimes[[#This Row],[Date]]&amp;" "&amp;[2]!Dimes[[#This Row],[Mint]])</f>
        <v>#REF!</v>
      </c>
      <c r="H139" s="74" t="s">
        <v>815</v>
      </c>
      <c r="I139" s="73">
        <f t="shared" si="5"/>
        <v>317</v>
      </c>
      <c r="P139" s="3" t="s">
        <v>719</v>
      </c>
      <c r="R139" t="e">
        <f>MATCH(P139,Dimes!N:N,0)</f>
        <v>#N/A</v>
      </c>
    </row>
    <row r="140" spans="1:18" ht="15.75">
      <c r="A140" s="91" t="s">
        <v>255</v>
      </c>
      <c r="D140" s="92" t="s">
        <v>1170</v>
      </c>
      <c r="E140" s="92"/>
      <c r="F140" s="76" t="e">
        <f t="shared" si="4"/>
        <v>#N/A</v>
      </c>
      <c r="G140" s="74" t="e">
        <f>IF([2]!Dimes[[#This Row],[Mint]]="",[2]!Dimes[[#This Row],[Date]],[2]!Dimes[[#This Row],[Date]]&amp;" "&amp;[2]!Dimes[[#This Row],[Mint]])</f>
        <v>#REF!</v>
      </c>
      <c r="H140" s="74" t="s">
        <v>815</v>
      </c>
      <c r="I140" s="73">
        <f t="shared" si="5"/>
        <v>317</v>
      </c>
      <c r="P140" s="3" t="s">
        <v>715</v>
      </c>
      <c r="R140" t="e">
        <f>MATCH(P140,Dimes!N:N,0)</f>
        <v>#N/A</v>
      </c>
    </row>
    <row r="141" spans="1:18" ht="15.75">
      <c r="A141" s="91" t="s">
        <v>114</v>
      </c>
      <c r="B141" s="92" t="s">
        <v>20</v>
      </c>
      <c r="D141" s="92" t="s">
        <v>1170</v>
      </c>
      <c r="E141" s="92"/>
      <c r="F141" s="76" t="e">
        <f t="shared" si="4"/>
        <v>#N/A</v>
      </c>
      <c r="G141" s="74" t="e">
        <f>IF([2]!Dimes[[#This Row],[Mint]]="",[2]!Dimes[[#This Row],[Date]],[2]!Dimes[[#This Row],[Date]]&amp;" "&amp;[2]!Dimes[[#This Row],[Mint]])</f>
        <v>#REF!</v>
      </c>
      <c r="H141" s="74" t="s">
        <v>819</v>
      </c>
      <c r="I141" s="73">
        <f t="shared" si="5"/>
        <v>321</v>
      </c>
      <c r="P141" s="3" t="s">
        <v>120</v>
      </c>
      <c r="R141" t="e">
        <f>MATCH(P141,Dimes!N:N,0)</f>
        <v>#N/A</v>
      </c>
    </row>
    <row r="142" spans="1:18" ht="15.75">
      <c r="A142" s="91">
        <v>1972</v>
      </c>
      <c r="D142" s="92" t="s">
        <v>1170</v>
      </c>
      <c r="E142" s="92"/>
      <c r="F142" s="76" t="e">
        <f t="shared" si="4"/>
        <v>#N/A</v>
      </c>
      <c r="G142" s="74" t="e">
        <f>IF([2]!Dimes[[#This Row],[Mint]]="",[2]!Dimes[[#This Row],[Date]],[2]!Dimes[[#This Row],[Date]]&amp;" "&amp;[2]!Dimes[[#This Row],[Mint]])</f>
        <v>#REF!</v>
      </c>
      <c r="H142" s="74" t="s">
        <v>819</v>
      </c>
      <c r="I142" s="73">
        <f t="shared" si="5"/>
        <v>321</v>
      </c>
      <c r="P142" s="3" t="s">
        <v>725</v>
      </c>
      <c r="R142" t="e">
        <f>MATCH(P142,Dimes!N:N,0)</f>
        <v>#N/A</v>
      </c>
    </row>
    <row r="143" spans="1:18" ht="15.75">
      <c r="A143" s="91" t="s">
        <v>258</v>
      </c>
      <c r="D143" s="92" t="s">
        <v>1170</v>
      </c>
      <c r="E143" s="92"/>
      <c r="F143" s="76" t="e">
        <f t="shared" si="4"/>
        <v>#N/A</v>
      </c>
      <c r="G143" s="74" t="e">
        <f>IF([2]!Dimes[[#This Row],[Mint]]="",[2]!Dimes[[#This Row],[Date]],[2]!Dimes[[#This Row],[Date]]&amp;" "&amp;[2]!Dimes[[#This Row],[Mint]])</f>
        <v>#REF!</v>
      </c>
      <c r="H143" s="74" t="s">
        <v>183</v>
      </c>
      <c r="I143" s="73">
        <f t="shared" si="5"/>
        <v>326</v>
      </c>
      <c r="P143" s="3" t="s">
        <v>241</v>
      </c>
      <c r="R143" t="e">
        <f>MATCH(P143,Dimes!N:N,0)</f>
        <v>#N/A</v>
      </c>
    </row>
    <row r="144" spans="1:18" ht="15.75">
      <c r="A144" s="91" t="s">
        <v>119</v>
      </c>
      <c r="B144" s="92" t="s">
        <v>20</v>
      </c>
      <c r="D144" s="92" t="s">
        <v>1170</v>
      </c>
      <c r="E144" s="92"/>
      <c r="F144" s="76" t="e">
        <f t="shared" si="4"/>
        <v>#N/A</v>
      </c>
      <c r="G144" s="74" t="e">
        <f>IF([2]!Dimes[[#This Row],[Mint]]="",[2]!Dimes[[#This Row],[Date]],[2]!Dimes[[#This Row],[Date]]&amp;" "&amp;[2]!Dimes[[#This Row],[Mint]])</f>
        <v>#REF!</v>
      </c>
      <c r="H144" s="74" t="s">
        <v>179</v>
      </c>
      <c r="I144" s="73">
        <f t="shared" si="5"/>
        <v>325</v>
      </c>
      <c r="P144" s="3" t="s">
        <v>124</v>
      </c>
      <c r="R144" t="e">
        <f>MATCH(P144,Dimes!N:N,0)</f>
        <v>#N/A</v>
      </c>
    </row>
    <row r="145" spans="1:18" ht="15.75">
      <c r="A145" s="91">
        <v>1973</v>
      </c>
      <c r="D145" s="92" t="s">
        <v>1170</v>
      </c>
      <c r="E145" s="92"/>
      <c r="F145" s="76" t="e">
        <f t="shared" si="4"/>
        <v>#N/A</v>
      </c>
      <c r="H145" s="73" t="s">
        <v>200</v>
      </c>
      <c r="I145" s="73">
        <f t="shared" si="5"/>
        <v>329</v>
      </c>
      <c r="P145" s="3" t="s">
        <v>128</v>
      </c>
      <c r="R145" t="e">
        <f>MATCH(P145,Dimes!N:N,0)</f>
        <v>#N/A</v>
      </c>
    </row>
    <row r="146" spans="1:18" ht="15.75">
      <c r="A146" s="91" t="s">
        <v>123</v>
      </c>
      <c r="D146" s="92" t="s">
        <v>1170</v>
      </c>
      <c r="E146" s="92"/>
      <c r="F146" s="76" t="e">
        <f t="shared" si="4"/>
        <v>#N/A</v>
      </c>
      <c r="P146" s="3" t="s">
        <v>727</v>
      </c>
      <c r="R146" t="e">
        <f>MATCH(P146,Dimes!N:N,0)</f>
        <v>#N/A</v>
      </c>
    </row>
    <row r="147" spans="1:18" ht="15.75">
      <c r="A147" s="91" t="s">
        <v>127</v>
      </c>
      <c r="B147" s="92" t="s">
        <v>20</v>
      </c>
      <c r="D147" s="92" t="s">
        <v>1170</v>
      </c>
      <c r="E147" s="92"/>
      <c r="F147" s="76" t="e">
        <f t="shared" si="4"/>
        <v>#N/A</v>
      </c>
      <c r="P147" s="3" t="s">
        <v>132</v>
      </c>
      <c r="R147" t="e">
        <f>MATCH(P147,Dimes!N:N,0)</f>
        <v>#N/A</v>
      </c>
    </row>
    <row r="148" spans="1:18" ht="15.75">
      <c r="A148" s="91">
        <v>1974</v>
      </c>
      <c r="D148" s="92" t="s">
        <v>1170</v>
      </c>
      <c r="E148" s="92"/>
      <c r="F148" s="76">
        <f t="shared" si="4"/>
        <v>24</v>
      </c>
      <c r="P148" s="3" t="s">
        <v>731</v>
      </c>
      <c r="R148" t="e">
        <f>MATCH(P148,[2]Dimes!AC:AC,0)</f>
        <v>#N/A</v>
      </c>
    </row>
    <row r="149" spans="1:18" ht="15.75">
      <c r="A149" s="91" t="s">
        <v>262</v>
      </c>
      <c r="D149" s="92" t="s">
        <v>1170</v>
      </c>
      <c r="E149" s="92"/>
      <c r="F149" s="76" t="e">
        <f t="shared" si="4"/>
        <v>#N/A</v>
      </c>
      <c r="P149" s="3" t="s">
        <v>244</v>
      </c>
      <c r="R149" t="e">
        <f>MATCH(P149,Dimes!N:N,0)</f>
        <v>#N/A</v>
      </c>
    </row>
    <row r="150" spans="1:18" ht="15.75">
      <c r="A150" s="91" t="s">
        <v>131</v>
      </c>
      <c r="B150" s="92" t="s">
        <v>20</v>
      </c>
      <c r="D150" s="92" t="s">
        <v>1170</v>
      </c>
      <c r="E150" s="92"/>
      <c r="F150" s="76" t="e">
        <f t="shared" si="4"/>
        <v>#N/A</v>
      </c>
      <c r="P150" s="3" t="s">
        <v>136</v>
      </c>
      <c r="R150" t="e">
        <f>MATCH(P150,Dimes!N:N,0)</f>
        <v>#N/A</v>
      </c>
    </row>
    <row r="151" spans="1:18" ht="15.75">
      <c r="A151" s="91">
        <v>1975</v>
      </c>
      <c r="D151" s="92" t="s">
        <v>1170</v>
      </c>
      <c r="E151" s="92"/>
      <c r="F151" s="76">
        <f t="shared" si="4"/>
        <v>25</v>
      </c>
      <c r="P151" s="3" t="s">
        <v>736</v>
      </c>
      <c r="R151" t="e">
        <f>MATCH(P151,[2]Dimes!AC:AC,0)</f>
        <v>#N/A</v>
      </c>
    </row>
    <row r="152" spans="1:18" ht="15.75">
      <c r="A152" s="91" t="s">
        <v>266</v>
      </c>
      <c r="D152" s="92" t="s">
        <v>1170</v>
      </c>
      <c r="E152" s="92"/>
      <c r="F152" s="76" t="e">
        <f t="shared" si="4"/>
        <v>#N/A</v>
      </c>
      <c r="P152" s="3" t="s">
        <v>246</v>
      </c>
      <c r="R152" t="e">
        <f>MATCH(P152,Dimes!N:N,0)</f>
        <v>#N/A</v>
      </c>
    </row>
    <row r="153" spans="1:18" ht="15.75">
      <c r="A153" s="91" t="s">
        <v>135</v>
      </c>
      <c r="B153" s="92" t="s">
        <v>20</v>
      </c>
      <c r="D153" s="92" t="s">
        <v>1170</v>
      </c>
      <c r="E153" s="92"/>
      <c r="F153" s="76" t="e">
        <f t="shared" si="4"/>
        <v>#N/A</v>
      </c>
      <c r="P153" s="3" t="s">
        <v>140</v>
      </c>
      <c r="R153" t="e">
        <f>MATCH(P153,Dimes!N:N,0)</f>
        <v>#N/A</v>
      </c>
    </row>
    <row r="154" spans="1:18" ht="15.75">
      <c r="A154" s="91">
        <v>1976</v>
      </c>
      <c r="D154" s="92" t="s">
        <v>1170</v>
      </c>
      <c r="E154" s="92"/>
      <c r="F154" s="76" t="e">
        <f t="shared" si="4"/>
        <v>#N/A</v>
      </c>
      <c r="P154" s="3" t="s">
        <v>144</v>
      </c>
      <c r="R154" t="e">
        <f>MATCH(P154,Dimes!N:N,0)</f>
        <v>#N/A</v>
      </c>
    </row>
    <row r="155" spans="1:18" ht="15.75">
      <c r="A155" s="91" t="s">
        <v>272</v>
      </c>
      <c r="D155" s="92" t="s">
        <v>1170</v>
      </c>
      <c r="E155" s="92"/>
      <c r="F155" s="76" t="e">
        <f t="shared" si="4"/>
        <v>#N/A</v>
      </c>
      <c r="P155" s="3" t="s">
        <v>248</v>
      </c>
      <c r="R155" t="e">
        <f>MATCH(P155,Dimes!N:N,0)</f>
        <v>#N/A</v>
      </c>
    </row>
    <row r="156" spans="1:18" ht="15.75">
      <c r="A156" s="91" t="s">
        <v>143</v>
      </c>
      <c r="B156" s="92" t="s">
        <v>20</v>
      </c>
      <c r="D156" s="92" t="s">
        <v>1170</v>
      </c>
      <c r="E156" s="92"/>
      <c r="F156" s="76" t="e">
        <f t="shared" si="4"/>
        <v>#N/A</v>
      </c>
      <c r="P156" s="3" t="s">
        <v>149</v>
      </c>
      <c r="R156" t="e">
        <f>MATCH(P156,Dimes!N:N,0)</f>
        <v>#N/A</v>
      </c>
    </row>
    <row r="157" spans="1:18" ht="15.75">
      <c r="A157" s="91">
        <v>1977</v>
      </c>
      <c r="D157" s="92" t="s">
        <v>1170</v>
      </c>
      <c r="E157" s="92"/>
      <c r="F157" s="76" t="e">
        <f t="shared" si="4"/>
        <v>#N/A</v>
      </c>
      <c r="P157" s="3" t="s">
        <v>159</v>
      </c>
      <c r="R157" t="e">
        <f>MATCH(P157,Dimes!N:N,0)</f>
        <v>#N/A</v>
      </c>
    </row>
    <row r="158" spans="1:18" ht="15.75">
      <c r="A158" s="91" t="s">
        <v>148</v>
      </c>
      <c r="D158" s="92" t="s">
        <v>1170</v>
      </c>
      <c r="E158" s="92"/>
      <c r="F158" s="76">
        <f t="shared" si="4"/>
        <v>26</v>
      </c>
      <c r="P158" s="3" t="s">
        <v>154</v>
      </c>
      <c r="R158" t="e">
        <f>MATCH(P158,[2]Dimes!AC:AC,0)</f>
        <v>#N/A</v>
      </c>
    </row>
    <row r="159" spans="1:18" ht="15.75">
      <c r="A159" s="91" t="s">
        <v>153</v>
      </c>
      <c r="B159" s="92" t="s">
        <v>20</v>
      </c>
      <c r="D159" s="92" t="s">
        <v>1170</v>
      </c>
      <c r="E159" s="92"/>
      <c r="F159" s="76" t="e">
        <f t="shared" si="4"/>
        <v>#N/A</v>
      </c>
      <c r="P159" s="3" t="s">
        <v>164</v>
      </c>
      <c r="R159" t="e">
        <f>MATCH(P159,Dimes!N:N,0)</f>
        <v>#N/A</v>
      </c>
    </row>
    <row r="160" spans="1:18" ht="15.75">
      <c r="A160" s="91">
        <v>1978</v>
      </c>
      <c r="D160" s="92" t="s">
        <v>1170</v>
      </c>
      <c r="E160" s="92"/>
      <c r="F160" s="76" t="e">
        <f t="shared" si="4"/>
        <v>#N/A</v>
      </c>
      <c r="P160" s="3" t="s">
        <v>169</v>
      </c>
      <c r="R160" t="e">
        <f>MATCH(P160,Dimes!N:N,0)</f>
        <v>#N/A</v>
      </c>
    </row>
    <row r="161" spans="1:18" ht="15.75">
      <c r="A161" s="91" t="s">
        <v>158</v>
      </c>
      <c r="D161" s="92" t="s">
        <v>1170</v>
      </c>
      <c r="E161" s="92"/>
      <c r="F161" s="76" t="e">
        <f t="shared" si="4"/>
        <v>#N/A</v>
      </c>
      <c r="P161" s="3" t="s">
        <v>742</v>
      </c>
      <c r="R161" t="e">
        <f>MATCH(P161,Dimes!N:N,0)</f>
        <v>#N/A</v>
      </c>
    </row>
    <row r="162" spans="1:18" ht="15.75">
      <c r="A162" s="91" t="s">
        <v>163</v>
      </c>
      <c r="B162" s="92" t="s">
        <v>20</v>
      </c>
      <c r="D162" s="92" t="s">
        <v>1170</v>
      </c>
      <c r="E162" s="92"/>
      <c r="F162" s="76" t="e">
        <f t="shared" si="4"/>
        <v>#N/A</v>
      </c>
      <c r="P162" s="3" t="s">
        <v>174</v>
      </c>
      <c r="R162" t="e">
        <f>MATCH(P162,Dimes!N:N,0)</f>
        <v>#N/A</v>
      </c>
    </row>
    <row r="163" spans="1:18" ht="15.75">
      <c r="A163" s="91">
        <v>1979</v>
      </c>
      <c r="D163" s="92" t="s">
        <v>1170</v>
      </c>
      <c r="E163" s="92"/>
      <c r="F163" s="76" t="e">
        <f t="shared" si="4"/>
        <v>#N/A</v>
      </c>
      <c r="P163" s="3" t="s">
        <v>253</v>
      </c>
      <c r="R163" t="e">
        <f>MATCH(P163,Dimes!N:N,0)</f>
        <v>#N/A</v>
      </c>
    </row>
    <row r="164" spans="1:18" ht="15.75">
      <c r="A164" s="91" t="s">
        <v>168</v>
      </c>
      <c r="D164" s="92" t="s">
        <v>1170</v>
      </c>
      <c r="E164" s="92"/>
      <c r="F164" s="76" t="e">
        <f t="shared" si="4"/>
        <v>#N/A</v>
      </c>
      <c r="P164" s="3" t="s">
        <v>758</v>
      </c>
      <c r="R164" t="e">
        <f>MATCH(P164,Dimes!N:N,0)</f>
        <v>#N/A</v>
      </c>
    </row>
    <row r="165" spans="1:18" ht="15.75">
      <c r="A165" s="91" t="s">
        <v>173</v>
      </c>
      <c r="B165" s="92" t="s">
        <v>20</v>
      </c>
      <c r="C165" s="92" t="s">
        <v>1172</v>
      </c>
      <c r="D165" s="92" t="s">
        <v>1170</v>
      </c>
      <c r="E165" s="92"/>
      <c r="F165" s="76" t="e">
        <f t="shared" si="4"/>
        <v>#N/A</v>
      </c>
      <c r="P165" s="3" t="s">
        <v>178</v>
      </c>
      <c r="R165" t="e">
        <f>MATCH(P165,Dimes!N:N,0)</f>
        <v>#N/A</v>
      </c>
    </row>
    <row r="166" spans="1:18" ht="15.75">
      <c r="A166" s="91" t="s">
        <v>173</v>
      </c>
      <c r="B166" s="92" t="s">
        <v>20</v>
      </c>
      <c r="C166" s="92" t="s">
        <v>1173</v>
      </c>
      <c r="D166" s="92" t="s">
        <v>1170</v>
      </c>
      <c r="E166" s="92"/>
      <c r="F166" s="76" t="e">
        <f t="shared" si="4"/>
        <v>#N/A</v>
      </c>
      <c r="P166" s="3" t="s">
        <v>185</v>
      </c>
      <c r="R166" t="e">
        <f>MATCH(P166,Dimes!N:N,0)</f>
        <v>#N/A</v>
      </c>
    </row>
    <row r="167" spans="1:18">
      <c r="A167" s="92" t="s">
        <v>242</v>
      </c>
      <c r="D167" s="92" t="s">
        <v>1170</v>
      </c>
      <c r="E167" s="92"/>
      <c r="F167" s="76" t="e">
        <f t="shared" si="4"/>
        <v>#N/A</v>
      </c>
      <c r="P167" s="3" t="s">
        <v>182</v>
      </c>
      <c r="R167" t="e">
        <f>MATCH(P167,Dimes!N:N,0)</f>
        <v>#N/A</v>
      </c>
    </row>
    <row r="168" spans="1:18">
      <c r="A168" s="92" t="s">
        <v>177</v>
      </c>
      <c r="D168" s="92" t="s">
        <v>1170</v>
      </c>
      <c r="E168" s="92"/>
      <c r="F168" s="76" t="e">
        <f t="shared" si="4"/>
        <v>#N/A</v>
      </c>
      <c r="P168" s="3" t="s">
        <v>190</v>
      </c>
      <c r="R168" t="e">
        <f>MATCH(P168,Dimes!N:N,0)</f>
        <v>#N/A</v>
      </c>
    </row>
    <row r="169" spans="1:18">
      <c r="A169" s="92" t="s">
        <v>181</v>
      </c>
      <c r="B169" s="92" t="s">
        <v>20</v>
      </c>
      <c r="D169" s="92" t="s">
        <v>1170</v>
      </c>
      <c r="E169" s="92"/>
      <c r="F169" s="76" t="e">
        <f t="shared" si="4"/>
        <v>#N/A</v>
      </c>
      <c r="P169" s="3" t="s">
        <v>196</v>
      </c>
      <c r="R169" t="e">
        <f>MATCH(P169,Dimes!N:N,0)</f>
        <v>#N/A</v>
      </c>
    </row>
    <row r="170" spans="1:18">
      <c r="A170" s="92" t="s">
        <v>245</v>
      </c>
      <c r="D170" s="92" t="s">
        <v>1170</v>
      </c>
      <c r="E170" s="92"/>
      <c r="F170" s="76">
        <f t="shared" si="4"/>
        <v>27</v>
      </c>
      <c r="P170" s="3" t="s">
        <v>193</v>
      </c>
      <c r="R170" t="e">
        <f>MATCH(P170,[2]Dimes!AC:AC,0)</f>
        <v>#N/A</v>
      </c>
    </row>
    <row r="171" spans="1:18">
      <c r="A171" s="92" t="s">
        <v>243</v>
      </c>
      <c r="D171" s="92" t="s">
        <v>1170</v>
      </c>
      <c r="E171" s="92"/>
      <c r="F171" s="76">
        <f t="shared" si="4"/>
        <v>28</v>
      </c>
      <c r="P171" s="3" t="s">
        <v>199</v>
      </c>
      <c r="R171" t="e">
        <f>MATCH(P171,[2]Dimes!AC:AC,0)</f>
        <v>#N/A</v>
      </c>
    </row>
    <row r="172" spans="1:18">
      <c r="A172" s="92" t="s">
        <v>184</v>
      </c>
      <c r="B172" s="92" t="s">
        <v>20</v>
      </c>
      <c r="C172" s="92" t="s">
        <v>1172</v>
      </c>
      <c r="D172" s="92" t="s">
        <v>1170</v>
      </c>
      <c r="E172" s="92"/>
      <c r="F172" s="76" t="e">
        <f t="shared" si="4"/>
        <v>#N/A</v>
      </c>
      <c r="P172" s="3" t="s">
        <v>206</v>
      </c>
      <c r="R172" t="e">
        <f>MATCH(P172,Dimes!N:N,0)</f>
        <v>#N/A</v>
      </c>
    </row>
    <row r="173" spans="1:18">
      <c r="A173" s="92" t="s">
        <v>184</v>
      </c>
      <c r="B173" s="92" t="s">
        <v>20</v>
      </c>
      <c r="C173" s="92" t="s">
        <v>1173</v>
      </c>
      <c r="D173" s="92" t="s">
        <v>1170</v>
      </c>
      <c r="E173" s="92"/>
      <c r="F173" s="76" t="e">
        <f t="shared" si="4"/>
        <v>#N/A</v>
      </c>
      <c r="P173" s="3" t="s">
        <v>202</v>
      </c>
      <c r="R173" t="e">
        <f>MATCH(P173,Dimes!N:N,0)</f>
        <v>#N/A</v>
      </c>
    </row>
    <row r="174" spans="1:18" ht="15.75">
      <c r="A174" s="91" t="s">
        <v>655</v>
      </c>
      <c r="D174" s="92" t="s">
        <v>1170</v>
      </c>
      <c r="E174" s="92"/>
      <c r="F174" s="76">
        <f t="shared" si="4"/>
        <v>30</v>
      </c>
      <c r="P174" s="3" t="s">
        <v>210</v>
      </c>
      <c r="R174" t="e">
        <f>MATCH(P174,[2]Dimes!AC:AC,0)</f>
        <v>#N/A</v>
      </c>
    </row>
    <row r="175" spans="1:18" ht="15.75">
      <c r="A175" s="91" t="s">
        <v>247</v>
      </c>
      <c r="D175" s="92" t="s">
        <v>1170</v>
      </c>
      <c r="E175" s="92"/>
      <c r="F175" s="76" t="e">
        <f t="shared" si="4"/>
        <v>#N/A</v>
      </c>
      <c r="P175" s="3" t="s">
        <v>217</v>
      </c>
      <c r="R175" t="e">
        <f>MATCH(P175,Dimes!N:N,0)</f>
        <v>#N/A</v>
      </c>
    </row>
    <row r="176" spans="1:18" ht="15.75">
      <c r="A176" s="91" t="s">
        <v>189</v>
      </c>
      <c r="B176" s="92" t="s">
        <v>20</v>
      </c>
      <c r="D176" s="92" t="s">
        <v>1170</v>
      </c>
      <c r="E176" s="92"/>
      <c r="F176" s="76" t="e">
        <f t="shared" si="4"/>
        <v>#N/A</v>
      </c>
      <c r="P176" s="3" t="s">
        <v>214</v>
      </c>
      <c r="R176" t="e">
        <f>MATCH(P176,Dimes!N:N,0)</f>
        <v>#N/A</v>
      </c>
    </row>
    <row r="177" spans="1:18" ht="15.75">
      <c r="A177" s="91" t="s">
        <v>250</v>
      </c>
      <c r="D177" s="92" t="s">
        <v>1170</v>
      </c>
      <c r="E177" s="92"/>
      <c r="F177" s="76" t="e">
        <f t="shared" si="4"/>
        <v>#N/A</v>
      </c>
      <c r="P177" s="3" t="s">
        <v>40</v>
      </c>
      <c r="R177" t="e">
        <f>MATCH(P177,Dimes!N:N,0)</f>
        <v>#N/A</v>
      </c>
    </row>
    <row r="178" spans="1:18" ht="15.75">
      <c r="A178" s="91" t="s">
        <v>249</v>
      </c>
      <c r="D178" s="92" t="s">
        <v>1170</v>
      </c>
      <c r="E178" s="92"/>
      <c r="F178" s="76">
        <f t="shared" si="4"/>
        <v>31</v>
      </c>
      <c r="P178" s="3" t="s">
        <v>226</v>
      </c>
      <c r="R178" t="e">
        <f>MATCH(P178,[2]Dimes!AC:AC,0)</f>
        <v>#N/A</v>
      </c>
    </row>
    <row r="179" spans="1:18" ht="15.75">
      <c r="A179" s="91" t="s">
        <v>192</v>
      </c>
      <c r="B179" s="92" t="s">
        <v>20</v>
      </c>
      <c r="D179" s="92" t="s">
        <v>1170</v>
      </c>
      <c r="E179" s="92"/>
      <c r="F179" s="76" t="e">
        <f t="shared" si="4"/>
        <v>#N/A</v>
      </c>
      <c r="P179" s="3" t="s">
        <v>222</v>
      </c>
      <c r="R179" t="e">
        <f>MATCH(P179,Dimes!N:N,0)</f>
        <v>#N/A</v>
      </c>
    </row>
    <row r="180" spans="1:18" ht="15.75">
      <c r="A180" s="91" t="s">
        <v>195</v>
      </c>
      <c r="D180" s="92" t="s">
        <v>1170</v>
      </c>
      <c r="E180" s="92"/>
      <c r="F180" s="76" t="e">
        <f t="shared" si="4"/>
        <v>#N/A</v>
      </c>
      <c r="P180" s="3" t="s">
        <v>90</v>
      </c>
      <c r="R180" t="e">
        <f>MATCH(P180,Dimes!N:N,0)</f>
        <v>#N/A</v>
      </c>
    </row>
    <row r="181" spans="1:18" ht="15.75">
      <c r="A181" s="91" t="s">
        <v>251</v>
      </c>
      <c r="D181" s="92" t="s">
        <v>1170</v>
      </c>
      <c r="E181" s="92"/>
      <c r="F181" s="76" t="e">
        <f t="shared" si="4"/>
        <v>#N/A</v>
      </c>
      <c r="P181" s="3" t="s">
        <v>88</v>
      </c>
      <c r="R181" t="e">
        <f>MATCH(P181,Dimes!N:N,0)</f>
        <v>#N/A</v>
      </c>
    </row>
    <row r="182" spans="1:18" ht="15.75">
      <c r="A182" s="91" t="s">
        <v>198</v>
      </c>
      <c r="B182" s="92" t="s">
        <v>20</v>
      </c>
      <c r="D182" s="92" t="s">
        <v>1170</v>
      </c>
      <c r="E182" s="92"/>
      <c r="F182" s="76" t="e">
        <f t="shared" si="4"/>
        <v>#N/A</v>
      </c>
      <c r="P182" s="3" t="s">
        <v>100</v>
      </c>
      <c r="R182" t="e">
        <f>MATCH(P182,Dimes!N:N,0)</f>
        <v>#N/A</v>
      </c>
    </row>
    <row r="183" spans="1:18" ht="15.75">
      <c r="A183" s="91" t="s">
        <v>671</v>
      </c>
      <c r="D183" s="92" t="s">
        <v>1170</v>
      </c>
      <c r="E183" s="92"/>
      <c r="F183" s="76">
        <f t="shared" si="4"/>
        <v>32</v>
      </c>
      <c r="P183" s="3" t="s">
        <v>768</v>
      </c>
      <c r="R183" t="e">
        <f>MATCH(P183,[2]Dimes!AC:AC,0)</f>
        <v>#N/A</v>
      </c>
    </row>
    <row r="184" spans="1:18" ht="15.75">
      <c r="A184" s="91" t="s">
        <v>201</v>
      </c>
      <c r="D184" s="92" t="s">
        <v>1170</v>
      </c>
      <c r="E184" s="92"/>
      <c r="F184" s="76">
        <f t="shared" si="4"/>
        <v>33</v>
      </c>
      <c r="P184" s="3" t="s">
        <v>106</v>
      </c>
      <c r="R184" t="e">
        <f>MATCH(P184,[2]Dimes!AC:AC,0)</f>
        <v>#N/A</v>
      </c>
    </row>
    <row r="185" spans="1:18" ht="15.75">
      <c r="A185" s="91" t="s">
        <v>205</v>
      </c>
      <c r="B185" s="92" t="s">
        <v>20</v>
      </c>
      <c r="D185" s="92" t="s">
        <v>1170</v>
      </c>
      <c r="E185" s="92"/>
      <c r="F185" s="76" t="e">
        <f t="shared" si="4"/>
        <v>#N/A</v>
      </c>
      <c r="P185" s="3" t="s">
        <v>775</v>
      </c>
      <c r="R185" t="e">
        <f>MATCH(P185,Dimes!N:N,0)</f>
        <v>#N/A</v>
      </c>
    </row>
    <row r="186" spans="1:18" ht="15.75">
      <c r="A186" s="91" t="s">
        <v>257</v>
      </c>
      <c r="D186" s="92" t="s">
        <v>1170</v>
      </c>
      <c r="E186" s="92"/>
      <c r="F186" s="76">
        <f t="shared" si="4"/>
        <v>36</v>
      </c>
      <c r="P186" s="3" t="s">
        <v>112</v>
      </c>
      <c r="R186" t="e">
        <f>MATCH(P186,[2]Dimes!AC:AC,0)</f>
        <v>#N/A</v>
      </c>
    </row>
    <row r="187" spans="1:18" ht="15.75">
      <c r="A187" s="91" t="s">
        <v>209</v>
      </c>
      <c r="D187" s="92" t="s">
        <v>1170</v>
      </c>
      <c r="E187" s="92"/>
      <c r="F187" s="76" t="e">
        <f t="shared" si="4"/>
        <v>#N/A</v>
      </c>
      <c r="P187" s="3" t="s">
        <v>781</v>
      </c>
      <c r="R187" t="e">
        <f>MATCH(P187,Dimes!N:N,0)</f>
        <v>#N/A</v>
      </c>
    </row>
    <row r="188" spans="1:18" ht="15.75">
      <c r="A188" s="91" t="s">
        <v>213</v>
      </c>
      <c r="B188" s="92" t="s">
        <v>20</v>
      </c>
      <c r="D188" s="92" t="s">
        <v>1170</v>
      </c>
      <c r="E188" s="92"/>
      <c r="F188" s="76" t="e">
        <f t="shared" si="4"/>
        <v>#N/A</v>
      </c>
      <c r="P188" s="3" t="s">
        <v>271</v>
      </c>
      <c r="R188" t="e">
        <f>MATCH(P188,Dimes!N:N,0)</f>
        <v>#N/A</v>
      </c>
    </row>
    <row r="189" spans="1:18" ht="15.75">
      <c r="A189" s="91" t="s">
        <v>216</v>
      </c>
      <c r="D189" s="92" t="s">
        <v>1170</v>
      </c>
      <c r="E189" s="92"/>
      <c r="F189" s="76" t="e">
        <f t="shared" si="4"/>
        <v>#N/A</v>
      </c>
      <c r="P189" s="3" t="s">
        <v>785</v>
      </c>
      <c r="R189" t="e">
        <f>MATCH(P189,Dimes!N:N,0)</f>
        <v>#N/A</v>
      </c>
    </row>
    <row r="190" spans="1:18" ht="15.75">
      <c r="A190" s="91" t="s">
        <v>675</v>
      </c>
      <c r="D190" s="92" t="s">
        <v>1170</v>
      </c>
      <c r="E190" s="92"/>
      <c r="F190" s="76">
        <f t="shared" si="4"/>
        <v>38</v>
      </c>
      <c r="P190" s="3" t="s">
        <v>125</v>
      </c>
      <c r="R190" t="e">
        <f>MATCH(P190,[2]Dimes!AC:AC,0)</f>
        <v>#N/A</v>
      </c>
    </row>
    <row r="191" spans="1:18" ht="15.75">
      <c r="A191" s="91" t="s">
        <v>220</v>
      </c>
      <c r="B191" s="92" t="s">
        <v>20</v>
      </c>
      <c r="D191" s="92" t="s">
        <v>1170</v>
      </c>
      <c r="E191" s="92"/>
      <c r="F191" s="76" t="e">
        <f t="shared" si="4"/>
        <v>#N/A</v>
      </c>
      <c r="P191" s="3" t="s">
        <v>791</v>
      </c>
      <c r="R191" t="e">
        <f>MATCH(P191,Dimes!N:N,0)</f>
        <v>#N/A</v>
      </c>
    </row>
    <row r="192" spans="1:18" ht="15.75">
      <c r="A192" s="91" t="s">
        <v>221</v>
      </c>
      <c r="D192" s="92" t="s">
        <v>1170</v>
      </c>
      <c r="E192" s="92"/>
      <c r="F192" s="76" t="e">
        <f t="shared" si="4"/>
        <v>#N/A</v>
      </c>
      <c r="P192" s="3" t="s">
        <v>133</v>
      </c>
      <c r="R192" t="e">
        <f>MATCH(P192,Dimes!N:N,0)</f>
        <v>#N/A</v>
      </c>
    </row>
    <row r="193" spans="1:18" ht="15.75">
      <c r="A193" s="91" t="s">
        <v>678</v>
      </c>
      <c r="D193" s="92" t="s">
        <v>1170</v>
      </c>
      <c r="E193" s="92"/>
      <c r="F193" s="76">
        <f t="shared" si="4"/>
        <v>39</v>
      </c>
      <c r="P193" s="3" t="s">
        <v>799</v>
      </c>
      <c r="R193" t="e">
        <f>MATCH(P193,[2]Dimes!AC:AC,0)</f>
        <v>#N/A</v>
      </c>
    </row>
    <row r="194" spans="1:18" ht="15.75">
      <c r="A194" s="91" t="s">
        <v>225</v>
      </c>
      <c r="B194" s="92" t="s">
        <v>20</v>
      </c>
      <c r="D194" s="92" t="s">
        <v>1170</v>
      </c>
      <c r="E194" s="92"/>
      <c r="F194" s="76" t="e">
        <f t="shared" si="4"/>
        <v>#N/A</v>
      </c>
      <c r="P194" s="3" t="s">
        <v>141</v>
      </c>
      <c r="R194" t="e">
        <f>MATCH(P194,Dimes!N:N,0)</f>
        <v>#N/A</v>
      </c>
    </row>
    <row r="195" spans="1:18" ht="15.75">
      <c r="A195" s="91" t="s">
        <v>263</v>
      </c>
      <c r="D195" s="92" t="s">
        <v>1170</v>
      </c>
      <c r="E195" s="92"/>
      <c r="F195" s="76">
        <f t="shared" ref="F195:F258" si="6">MATCH(A195,H:H,0)</f>
        <v>41</v>
      </c>
      <c r="P195" s="3" t="s">
        <v>804</v>
      </c>
      <c r="R195" t="e">
        <f>MATCH(P195,[2]Dimes!AC:AC,0)</f>
        <v>#N/A</v>
      </c>
    </row>
    <row r="196" spans="1:18" ht="15.75">
      <c r="A196" s="91" t="s">
        <v>261</v>
      </c>
      <c r="D196" s="92" t="s">
        <v>1170</v>
      </c>
      <c r="E196" s="92"/>
      <c r="F196" s="76" t="e">
        <f t="shared" si="6"/>
        <v>#N/A</v>
      </c>
      <c r="P196" s="3" t="s">
        <v>150</v>
      </c>
      <c r="R196" t="e">
        <f>MATCH(P196,Dimes!N:N,0)</f>
        <v>#N/A</v>
      </c>
    </row>
    <row r="197" spans="1:18" ht="15.75">
      <c r="A197" s="91" t="s">
        <v>230</v>
      </c>
      <c r="B197" s="92" t="s">
        <v>20</v>
      </c>
      <c r="D197" s="92" t="s">
        <v>1170</v>
      </c>
      <c r="E197" s="92"/>
      <c r="F197" s="76" t="e">
        <f t="shared" si="6"/>
        <v>#N/A</v>
      </c>
      <c r="P197" s="3" t="s">
        <v>810</v>
      </c>
      <c r="R197" t="e">
        <f>MATCH(P197,Dimes!N:N,0)</f>
        <v>#N/A</v>
      </c>
    </row>
    <row r="198" spans="1:18" ht="15.75">
      <c r="A198" s="91" t="s">
        <v>687</v>
      </c>
      <c r="D198" s="92" t="s">
        <v>1170</v>
      </c>
      <c r="E198" s="92"/>
      <c r="F198" s="76">
        <f t="shared" si="6"/>
        <v>42</v>
      </c>
      <c r="P198" s="3" t="s">
        <v>160</v>
      </c>
      <c r="R198" t="e">
        <f>MATCH(P198,[2]Dimes!AC:AC,0)</f>
        <v>#N/A</v>
      </c>
    </row>
    <row r="199" spans="1:18" ht="15.75">
      <c r="A199" s="91" t="s">
        <v>265</v>
      </c>
      <c r="D199" s="92" t="s">
        <v>1170</v>
      </c>
      <c r="E199" s="92"/>
      <c r="F199" s="76" t="e">
        <f t="shared" si="6"/>
        <v>#N/A</v>
      </c>
      <c r="P199" s="3" t="s">
        <v>815</v>
      </c>
      <c r="R199" t="e">
        <f>MATCH(P199,Dimes!N:N,0)</f>
        <v>#N/A</v>
      </c>
    </row>
    <row r="200" spans="1:18" ht="15.75">
      <c r="A200" s="91" t="s">
        <v>87</v>
      </c>
      <c r="B200" s="92" t="s">
        <v>20</v>
      </c>
      <c r="D200" s="92" t="s">
        <v>1170</v>
      </c>
      <c r="E200" s="92"/>
      <c r="F200" s="76" t="e">
        <f t="shared" si="6"/>
        <v>#N/A</v>
      </c>
    </row>
    <row r="201" spans="1:18" ht="15.75">
      <c r="A201" s="91" t="s">
        <v>270</v>
      </c>
      <c r="D201" s="92" t="s">
        <v>1170</v>
      </c>
      <c r="E201" s="92"/>
      <c r="F201" s="76">
        <f t="shared" si="6"/>
        <v>43</v>
      </c>
    </row>
    <row r="202" spans="1:18" ht="15.75">
      <c r="A202" s="91" t="s">
        <v>268</v>
      </c>
      <c r="D202" s="92" t="s">
        <v>1170</v>
      </c>
      <c r="E202" s="92"/>
      <c r="F202" s="76" t="e">
        <f t="shared" si="6"/>
        <v>#N/A</v>
      </c>
    </row>
    <row r="203" spans="1:18" ht="15.75">
      <c r="A203" s="91" t="s">
        <v>94</v>
      </c>
      <c r="B203" s="92" t="s">
        <v>20</v>
      </c>
      <c r="D203" s="92" t="s">
        <v>1170</v>
      </c>
      <c r="E203" s="92"/>
      <c r="F203" s="76" t="e">
        <f t="shared" si="6"/>
        <v>#N/A</v>
      </c>
    </row>
    <row r="204" spans="1:18" ht="15.75">
      <c r="A204" s="91" t="s">
        <v>691</v>
      </c>
      <c r="D204" s="92" t="s">
        <v>1170</v>
      </c>
      <c r="E204" s="92"/>
      <c r="F204" s="76">
        <f t="shared" si="6"/>
        <v>44</v>
      </c>
    </row>
    <row r="205" spans="1:18" ht="15.75">
      <c r="A205" s="91" t="s">
        <v>274</v>
      </c>
      <c r="D205" s="92" t="s">
        <v>1170</v>
      </c>
      <c r="E205" s="92"/>
      <c r="F205" s="76">
        <f t="shared" si="6"/>
        <v>45</v>
      </c>
    </row>
    <row r="206" spans="1:18" ht="15.75">
      <c r="A206" s="91" t="s">
        <v>99</v>
      </c>
      <c r="B206" s="92" t="s">
        <v>20</v>
      </c>
      <c r="D206" s="92" t="s">
        <v>1170</v>
      </c>
      <c r="E206" s="92"/>
      <c r="F206" s="76" t="e">
        <f t="shared" si="6"/>
        <v>#N/A</v>
      </c>
    </row>
    <row r="207" spans="1:18" ht="15.75">
      <c r="A207" s="91" t="s">
        <v>99</v>
      </c>
      <c r="B207" s="92" t="s">
        <v>20</v>
      </c>
      <c r="C207" s="92" t="s">
        <v>1174</v>
      </c>
      <c r="D207" s="92" t="s">
        <v>1170</v>
      </c>
      <c r="E207" s="92"/>
      <c r="F207" s="76" t="e">
        <f t="shared" si="6"/>
        <v>#N/A</v>
      </c>
    </row>
    <row r="208" spans="1:18" ht="15.75">
      <c r="A208" s="91" t="s">
        <v>102</v>
      </c>
      <c r="D208" s="92" t="s">
        <v>1170</v>
      </c>
      <c r="E208" s="92"/>
      <c r="F208" s="76">
        <f t="shared" si="6"/>
        <v>46</v>
      </c>
    </row>
    <row r="209" spans="1:6" ht="15.75">
      <c r="A209" s="91" t="s">
        <v>277</v>
      </c>
      <c r="D209" s="92" t="s">
        <v>1170</v>
      </c>
      <c r="E209" s="92"/>
      <c r="F209" s="76" t="e">
        <f t="shared" si="6"/>
        <v>#N/A</v>
      </c>
    </row>
    <row r="210" spans="1:6" ht="15.75">
      <c r="A210" s="91" t="s">
        <v>105</v>
      </c>
      <c r="B210" s="92" t="s">
        <v>20</v>
      </c>
      <c r="D210" s="92" t="s">
        <v>1170</v>
      </c>
      <c r="E210" s="92"/>
      <c r="F210" s="76" t="e">
        <f t="shared" si="6"/>
        <v>#N/A</v>
      </c>
    </row>
    <row r="211" spans="1:6" ht="15.75">
      <c r="A211" s="91" t="s">
        <v>105</v>
      </c>
      <c r="B211" s="92" t="s">
        <v>20</v>
      </c>
      <c r="C211" s="92" t="s">
        <v>1174</v>
      </c>
      <c r="D211" s="92" t="s">
        <v>1170</v>
      </c>
      <c r="E211" s="92"/>
      <c r="F211" s="76" t="e">
        <f t="shared" si="6"/>
        <v>#N/A</v>
      </c>
    </row>
    <row r="212" spans="1:6" ht="15.75">
      <c r="A212" s="91" t="s">
        <v>698</v>
      </c>
      <c r="D212" s="92" t="s">
        <v>1170</v>
      </c>
      <c r="E212" s="92"/>
      <c r="F212" s="76">
        <f t="shared" si="6"/>
        <v>51</v>
      </c>
    </row>
    <row r="213" spans="1:6" ht="15.75">
      <c r="A213" s="91" t="s">
        <v>108</v>
      </c>
      <c r="D213" s="92" t="s">
        <v>1170</v>
      </c>
      <c r="E213" s="92"/>
      <c r="F213" s="76">
        <f t="shared" si="6"/>
        <v>49</v>
      </c>
    </row>
    <row r="214" spans="1:6" ht="15.75">
      <c r="A214" s="91" t="s">
        <v>279</v>
      </c>
      <c r="B214" s="92" t="s">
        <v>20</v>
      </c>
      <c r="D214" s="92" t="s">
        <v>1170</v>
      </c>
      <c r="E214" s="92"/>
      <c r="F214" s="76" t="e">
        <f t="shared" si="6"/>
        <v>#N/A</v>
      </c>
    </row>
    <row r="215" spans="1:6" ht="15.75">
      <c r="A215" s="91" t="s">
        <v>279</v>
      </c>
      <c r="B215" s="92" t="s">
        <v>20</v>
      </c>
      <c r="C215" s="92" t="s">
        <v>1174</v>
      </c>
      <c r="D215" s="92" t="s">
        <v>1170</v>
      </c>
      <c r="E215" s="92"/>
      <c r="F215" s="76" t="e">
        <f t="shared" si="6"/>
        <v>#N/A</v>
      </c>
    </row>
    <row r="216" spans="1:6" ht="15.75">
      <c r="A216" s="91" t="s">
        <v>282</v>
      </c>
      <c r="D216" s="92" t="s">
        <v>1170</v>
      </c>
      <c r="E216" s="92"/>
      <c r="F216" s="76">
        <f t="shared" si="6"/>
        <v>54</v>
      </c>
    </row>
    <row r="217" spans="1:6" ht="15.75">
      <c r="A217" s="91" t="s">
        <v>281</v>
      </c>
      <c r="D217" s="92" t="s">
        <v>1170</v>
      </c>
      <c r="E217" s="92"/>
      <c r="F217" s="76" t="e">
        <f t="shared" si="6"/>
        <v>#N/A</v>
      </c>
    </row>
    <row r="218" spans="1:6" ht="15.75">
      <c r="A218" s="91" t="s">
        <v>111</v>
      </c>
      <c r="B218" s="92" t="s">
        <v>20</v>
      </c>
      <c r="D218" s="92" t="s">
        <v>1170</v>
      </c>
      <c r="E218" s="92"/>
      <c r="F218" s="76" t="e">
        <f t="shared" si="6"/>
        <v>#N/A</v>
      </c>
    </row>
    <row r="219" spans="1:6" ht="15.75">
      <c r="A219" s="91" t="s">
        <v>111</v>
      </c>
      <c r="B219" s="92" t="s">
        <v>20</v>
      </c>
      <c r="C219" s="92" t="s">
        <v>1174</v>
      </c>
      <c r="D219" s="92" t="s">
        <v>1170</v>
      </c>
      <c r="E219" s="92"/>
      <c r="F219" s="76" t="e">
        <f t="shared" si="6"/>
        <v>#N/A</v>
      </c>
    </row>
    <row r="220" spans="1:6" ht="15.75">
      <c r="A220" s="91" t="s">
        <v>710</v>
      </c>
      <c r="D220" s="92" t="s">
        <v>1170</v>
      </c>
      <c r="E220" s="92"/>
      <c r="F220" s="76">
        <f t="shared" si="6"/>
        <v>56</v>
      </c>
    </row>
    <row r="221" spans="1:6" ht="15.75">
      <c r="A221" s="91" t="s">
        <v>115</v>
      </c>
      <c r="D221" s="92" t="s">
        <v>1170</v>
      </c>
      <c r="E221" s="92"/>
      <c r="F221" s="76">
        <f t="shared" si="6"/>
        <v>59</v>
      </c>
    </row>
    <row r="222" spans="1:6" ht="15.75">
      <c r="A222" s="91" t="s">
        <v>284</v>
      </c>
      <c r="B222" s="92" t="s">
        <v>20</v>
      </c>
      <c r="D222" s="92" t="s">
        <v>1170</v>
      </c>
      <c r="E222" s="92"/>
      <c r="F222" s="76" t="e">
        <f t="shared" si="6"/>
        <v>#N/A</v>
      </c>
    </row>
    <row r="223" spans="1:6" ht="15.75">
      <c r="A223" s="91" t="s">
        <v>284</v>
      </c>
      <c r="B223" s="92" t="s">
        <v>20</v>
      </c>
      <c r="C223" s="92" t="s">
        <v>1174</v>
      </c>
      <c r="D223" s="92" t="s">
        <v>1170</v>
      </c>
      <c r="E223" s="92"/>
      <c r="F223" s="76" t="e">
        <f t="shared" si="6"/>
        <v>#N/A</v>
      </c>
    </row>
    <row r="224" spans="1:6" ht="15.75">
      <c r="A224" s="91" t="s">
        <v>285</v>
      </c>
      <c r="D224" s="92" t="s">
        <v>1170</v>
      </c>
      <c r="E224" s="92"/>
      <c r="F224" s="76" t="e">
        <f t="shared" si="6"/>
        <v>#N/A</v>
      </c>
    </row>
    <row r="225" spans="1:6" ht="15.75">
      <c r="A225" s="91" t="s">
        <v>715</v>
      </c>
      <c r="D225" s="92" t="s">
        <v>1170</v>
      </c>
      <c r="E225" s="92"/>
      <c r="F225" s="76">
        <f t="shared" si="6"/>
        <v>62</v>
      </c>
    </row>
    <row r="226" spans="1:6" ht="15.75">
      <c r="A226" s="91" t="s">
        <v>719</v>
      </c>
      <c r="B226" s="92"/>
      <c r="D226" s="92" t="s">
        <v>1170</v>
      </c>
      <c r="E226" s="92"/>
      <c r="F226" s="76">
        <f t="shared" si="6"/>
        <v>64</v>
      </c>
    </row>
    <row r="227" spans="1:6" ht="15.75">
      <c r="A227" s="91" t="s">
        <v>120</v>
      </c>
      <c r="B227" s="92" t="s">
        <v>20</v>
      </c>
      <c r="C227" s="92"/>
      <c r="D227" s="92" t="s">
        <v>1170</v>
      </c>
      <c r="E227" s="92"/>
      <c r="F227" s="76" t="e">
        <f t="shared" si="6"/>
        <v>#N/A</v>
      </c>
    </row>
    <row r="228" spans="1:6" ht="15.75">
      <c r="A228" s="91" t="s">
        <v>120</v>
      </c>
      <c r="B228" s="92" t="s">
        <v>20</v>
      </c>
      <c r="C228" s="92" t="s">
        <v>1174</v>
      </c>
      <c r="D228" s="92" t="s">
        <v>1170</v>
      </c>
      <c r="E228" s="92"/>
      <c r="F228" s="76" t="e">
        <f t="shared" si="6"/>
        <v>#N/A</v>
      </c>
    </row>
    <row r="229" spans="1:6" ht="15.75">
      <c r="A229" s="91" t="s">
        <v>241</v>
      </c>
      <c r="D229" s="92" t="s">
        <v>1170</v>
      </c>
      <c r="E229" s="92"/>
      <c r="F229" s="76">
        <f t="shared" si="6"/>
        <v>68</v>
      </c>
    </row>
    <row r="230" spans="1:6" ht="15.75">
      <c r="A230" s="91" t="s">
        <v>725</v>
      </c>
      <c r="B230" s="92"/>
      <c r="D230" s="92" t="s">
        <v>1170</v>
      </c>
      <c r="E230" s="92"/>
      <c r="F230" s="76">
        <f t="shared" si="6"/>
        <v>66</v>
      </c>
    </row>
    <row r="231" spans="1:6" ht="15.75">
      <c r="A231" s="91" t="s">
        <v>124</v>
      </c>
      <c r="B231" s="92" t="s">
        <v>20</v>
      </c>
      <c r="D231" s="92" t="s">
        <v>1170</v>
      </c>
      <c r="E231" s="92"/>
      <c r="F231" s="76" t="e">
        <f t="shared" si="6"/>
        <v>#N/A</v>
      </c>
    </row>
    <row r="232" spans="1:6" ht="15.75">
      <c r="A232" s="91" t="s">
        <v>124</v>
      </c>
      <c r="B232" s="92" t="s">
        <v>20</v>
      </c>
      <c r="C232" s="92" t="s">
        <v>1174</v>
      </c>
      <c r="D232" s="92" t="s">
        <v>1170</v>
      </c>
      <c r="E232" s="92"/>
      <c r="F232" s="76" t="e">
        <f t="shared" si="6"/>
        <v>#N/A</v>
      </c>
    </row>
    <row r="233" spans="1:6" ht="15.75">
      <c r="A233" s="91" t="s">
        <v>727</v>
      </c>
      <c r="D233" s="92" t="s">
        <v>1170</v>
      </c>
      <c r="E233" s="92"/>
      <c r="F233" s="76">
        <f t="shared" si="6"/>
        <v>71</v>
      </c>
    </row>
    <row r="234" spans="1:6" ht="15.75">
      <c r="A234" s="91" t="s">
        <v>128</v>
      </c>
      <c r="B234" s="92"/>
      <c r="D234" s="92" t="s">
        <v>1170</v>
      </c>
      <c r="E234" s="92"/>
      <c r="F234" s="76">
        <f t="shared" si="6"/>
        <v>70</v>
      </c>
    </row>
    <row r="235" spans="1:6" ht="15.75">
      <c r="A235" s="91" t="s">
        <v>132</v>
      </c>
      <c r="B235" s="92" t="s">
        <v>20</v>
      </c>
      <c r="D235" s="92" t="s">
        <v>1170</v>
      </c>
      <c r="E235" s="92"/>
      <c r="F235" s="76" t="e">
        <f t="shared" si="6"/>
        <v>#N/A</v>
      </c>
    </row>
    <row r="236" spans="1:6" ht="15.75">
      <c r="A236" s="91" t="s">
        <v>132</v>
      </c>
      <c r="B236" s="92" t="s">
        <v>20</v>
      </c>
      <c r="C236" s="92" t="s">
        <v>1174</v>
      </c>
      <c r="D236" s="92" t="s">
        <v>1170</v>
      </c>
      <c r="E236" s="92"/>
      <c r="F236" s="76" t="e">
        <f t="shared" si="6"/>
        <v>#N/A</v>
      </c>
    </row>
    <row r="237" spans="1:6" ht="15.75">
      <c r="A237" s="91" t="s">
        <v>244</v>
      </c>
      <c r="D237" s="92" t="s">
        <v>1170</v>
      </c>
      <c r="E237" s="92"/>
      <c r="F237" s="76" t="e">
        <f t="shared" si="6"/>
        <v>#N/A</v>
      </c>
    </row>
    <row r="238" spans="1:6" ht="15.75">
      <c r="A238" s="91" t="s">
        <v>731</v>
      </c>
      <c r="D238" s="92" t="s">
        <v>1170</v>
      </c>
      <c r="E238" s="92"/>
      <c r="F238" s="76">
        <f t="shared" si="6"/>
        <v>74</v>
      </c>
    </row>
    <row r="239" spans="1:6" ht="15.75">
      <c r="A239" s="91" t="s">
        <v>136</v>
      </c>
      <c r="B239" s="92" t="s">
        <v>20</v>
      </c>
      <c r="D239" s="92" t="s">
        <v>1170</v>
      </c>
      <c r="E239" s="92"/>
      <c r="F239" s="76" t="e">
        <f t="shared" si="6"/>
        <v>#N/A</v>
      </c>
    </row>
    <row r="240" spans="1:6" ht="15.75">
      <c r="A240" s="91" t="s">
        <v>1175</v>
      </c>
      <c r="B240" s="92" t="s">
        <v>20</v>
      </c>
      <c r="C240" s="92" t="s">
        <v>1174</v>
      </c>
      <c r="D240" s="92" t="s">
        <v>1170</v>
      </c>
      <c r="E240" s="92"/>
      <c r="F240" s="76" t="e">
        <f t="shared" si="6"/>
        <v>#N/A</v>
      </c>
    </row>
    <row r="241" spans="1:6" ht="15.75">
      <c r="A241" s="91" t="s">
        <v>246</v>
      </c>
      <c r="D241" s="92" t="s">
        <v>1170</v>
      </c>
      <c r="E241" s="92"/>
      <c r="F241" s="76" t="e">
        <f t="shared" si="6"/>
        <v>#N/A</v>
      </c>
    </row>
    <row r="242" spans="1:6" ht="15.75">
      <c r="A242" s="91" t="s">
        <v>736</v>
      </c>
      <c r="D242" s="92" t="s">
        <v>1170</v>
      </c>
      <c r="E242" s="92"/>
      <c r="F242" s="76">
        <f t="shared" si="6"/>
        <v>76</v>
      </c>
    </row>
    <row r="243" spans="1:6" ht="15.75">
      <c r="A243" s="91" t="s">
        <v>140</v>
      </c>
      <c r="B243" s="92" t="s">
        <v>20</v>
      </c>
      <c r="D243" s="92" t="s">
        <v>1170</v>
      </c>
      <c r="E243" s="92"/>
      <c r="F243" s="76" t="e">
        <f t="shared" si="6"/>
        <v>#N/A</v>
      </c>
    </row>
    <row r="244" spans="1:6" ht="15.75">
      <c r="A244" s="91" t="s">
        <v>140</v>
      </c>
      <c r="B244" s="92" t="s">
        <v>20</v>
      </c>
      <c r="C244" s="92" t="s">
        <v>1174</v>
      </c>
      <c r="D244" s="92" t="s">
        <v>1170</v>
      </c>
      <c r="E244" s="92"/>
      <c r="F244" s="76" t="e">
        <f t="shared" si="6"/>
        <v>#N/A</v>
      </c>
    </row>
    <row r="245" spans="1:6" ht="15.75">
      <c r="A245" s="91" t="s">
        <v>248</v>
      </c>
      <c r="B245" s="91"/>
      <c r="D245" s="92" t="s">
        <v>1170</v>
      </c>
      <c r="E245" s="92"/>
      <c r="F245" s="76" t="e">
        <f t="shared" si="6"/>
        <v>#N/A</v>
      </c>
    </row>
    <row r="246" spans="1:6" ht="15.75">
      <c r="A246" s="91" t="s">
        <v>144</v>
      </c>
      <c r="D246" s="92" t="s">
        <v>1170</v>
      </c>
      <c r="E246" s="92"/>
      <c r="F246" s="76">
        <f t="shared" si="6"/>
        <v>77</v>
      </c>
    </row>
    <row r="247" spans="1:6" ht="15.75">
      <c r="A247" s="91" t="s">
        <v>149</v>
      </c>
      <c r="B247" s="92" t="s">
        <v>20</v>
      </c>
      <c r="D247" s="92" t="s">
        <v>1170</v>
      </c>
      <c r="E247" s="92"/>
      <c r="F247" s="76" t="e">
        <f t="shared" si="6"/>
        <v>#N/A</v>
      </c>
    </row>
    <row r="248" spans="1:6" ht="15.75">
      <c r="A248" s="91" t="s">
        <v>1175</v>
      </c>
      <c r="B248" s="92" t="s">
        <v>20</v>
      </c>
      <c r="C248" s="92" t="s">
        <v>1174</v>
      </c>
      <c r="D248" s="92" t="s">
        <v>1170</v>
      </c>
      <c r="E248" s="92"/>
      <c r="F248" s="76" t="e">
        <f t="shared" si="6"/>
        <v>#N/A</v>
      </c>
    </row>
    <row r="249" spans="1:6" ht="15.75">
      <c r="A249" s="91" t="s">
        <v>154</v>
      </c>
      <c r="D249" s="92" t="s">
        <v>1170</v>
      </c>
      <c r="E249" s="92"/>
      <c r="F249" s="76">
        <f t="shared" si="6"/>
        <v>78</v>
      </c>
    </row>
    <row r="250" spans="1:6" ht="15.75">
      <c r="A250" s="91" t="s">
        <v>159</v>
      </c>
      <c r="D250" s="92" t="s">
        <v>1170</v>
      </c>
      <c r="E250" s="92"/>
      <c r="F250" s="76" t="e">
        <f t="shared" si="6"/>
        <v>#N/A</v>
      </c>
    </row>
    <row r="251" spans="1:6" ht="15.75">
      <c r="A251" s="91" t="s">
        <v>164</v>
      </c>
      <c r="B251" s="92" t="s">
        <v>20</v>
      </c>
      <c r="D251" s="92" t="s">
        <v>1170</v>
      </c>
      <c r="E251" s="92"/>
      <c r="F251" s="76" t="e">
        <f t="shared" si="6"/>
        <v>#N/A</v>
      </c>
    </row>
    <row r="252" spans="1:6" ht="15.75">
      <c r="A252" s="91" t="s">
        <v>164</v>
      </c>
      <c r="B252" s="92" t="s">
        <v>20</v>
      </c>
      <c r="C252" s="92" t="s">
        <v>1174</v>
      </c>
      <c r="D252" s="92" t="s">
        <v>1170</v>
      </c>
      <c r="E252" s="92"/>
      <c r="F252" s="76" t="e">
        <f t="shared" si="6"/>
        <v>#N/A</v>
      </c>
    </row>
    <row r="253" spans="1:6" ht="15.75">
      <c r="A253" s="91" t="s">
        <v>742</v>
      </c>
      <c r="D253" s="92" t="s">
        <v>1170</v>
      </c>
      <c r="E253" s="92"/>
      <c r="F253" s="76">
        <f t="shared" si="6"/>
        <v>80</v>
      </c>
    </row>
    <row r="254" spans="1:6" ht="15.75">
      <c r="A254" s="91" t="s">
        <v>169</v>
      </c>
      <c r="D254" s="92" t="s">
        <v>1170</v>
      </c>
      <c r="E254" s="92"/>
      <c r="F254" s="76" t="e">
        <f t="shared" si="6"/>
        <v>#N/A</v>
      </c>
    </row>
    <row r="255" spans="1:6" ht="15.75">
      <c r="A255" s="91" t="s">
        <v>174</v>
      </c>
      <c r="B255" s="92" t="s">
        <v>20</v>
      </c>
      <c r="D255" s="92" t="s">
        <v>1170</v>
      </c>
      <c r="E255" s="92"/>
      <c r="F255" s="76" t="e">
        <f t="shared" si="6"/>
        <v>#N/A</v>
      </c>
    </row>
    <row r="256" spans="1:6" ht="15.75">
      <c r="A256" s="91" t="s">
        <v>174</v>
      </c>
      <c r="B256" s="92" t="s">
        <v>20</v>
      </c>
      <c r="C256" s="92" t="s">
        <v>1174</v>
      </c>
      <c r="D256" s="92" t="s">
        <v>1170</v>
      </c>
      <c r="E256" s="92"/>
      <c r="F256" s="76" t="e">
        <f t="shared" si="6"/>
        <v>#N/A</v>
      </c>
    </row>
    <row r="257" spans="1:6" ht="15.75">
      <c r="A257" s="91" t="s">
        <v>758</v>
      </c>
      <c r="D257" s="92" t="s">
        <v>1170</v>
      </c>
      <c r="E257" s="92"/>
      <c r="F257" s="76">
        <f t="shared" si="6"/>
        <v>82</v>
      </c>
    </row>
    <row r="258" spans="1:6" ht="15.75">
      <c r="A258" s="91" t="s">
        <v>253</v>
      </c>
      <c r="D258" s="92" t="s">
        <v>1170</v>
      </c>
      <c r="E258" s="92"/>
      <c r="F258" s="76" t="e">
        <f t="shared" si="6"/>
        <v>#N/A</v>
      </c>
    </row>
    <row r="259" spans="1:6" ht="15.75">
      <c r="A259" s="91" t="s">
        <v>178</v>
      </c>
      <c r="B259" s="92" t="s">
        <v>20</v>
      </c>
      <c r="D259" s="92" t="s">
        <v>1170</v>
      </c>
      <c r="E259" s="92"/>
      <c r="F259" s="76" t="e">
        <f t="shared" ref="F259:F322" si="7">MATCH(A259,H:H,0)</f>
        <v>#N/A</v>
      </c>
    </row>
    <row r="260" spans="1:6" ht="15.75">
      <c r="A260" s="91" t="s">
        <v>178</v>
      </c>
      <c r="B260" s="92" t="s">
        <v>20</v>
      </c>
      <c r="C260" s="92" t="s">
        <v>1174</v>
      </c>
      <c r="D260" s="92" t="s">
        <v>1170</v>
      </c>
      <c r="E260" s="92"/>
      <c r="F260" s="76" t="e">
        <f t="shared" si="7"/>
        <v>#N/A</v>
      </c>
    </row>
    <row r="261" spans="1:6" ht="15.75">
      <c r="A261" s="91" t="s">
        <v>182</v>
      </c>
      <c r="D261" s="92" t="s">
        <v>1170</v>
      </c>
      <c r="E261" s="92"/>
      <c r="F261" s="76">
        <f t="shared" si="7"/>
        <v>84</v>
      </c>
    </row>
    <row r="262" spans="1:6" ht="15.75">
      <c r="A262" s="91" t="s">
        <v>185</v>
      </c>
      <c r="D262" s="92" t="s">
        <v>1170</v>
      </c>
      <c r="E262" s="92"/>
      <c r="F262" s="76" t="e">
        <f t="shared" si="7"/>
        <v>#N/A</v>
      </c>
    </row>
    <row r="263" spans="1:6" ht="15.75">
      <c r="A263" s="91" t="s">
        <v>190</v>
      </c>
      <c r="B263" s="92" t="s">
        <v>20</v>
      </c>
      <c r="D263" s="92" t="s">
        <v>1170</v>
      </c>
      <c r="E263" s="92"/>
      <c r="F263" s="76" t="e">
        <f t="shared" si="7"/>
        <v>#N/A</v>
      </c>
    </row>
    <row r="264" spans="1:6" ht="15.75">
      <c r="A264" s="91" t="s">
        <v>190</v>
      </c>
      <c r="B264" s="92" t="s">
        <v>20</v>
      </c>
      <c r="C264" s="92" t="s">
        <v>1174</v>
      </c>
      <c r="D264" s="92" t="s">
        <v>1170</v>
      </c>
      <c r="E264" s="92"/>
      <c r="F264" s="76" t="e">
        <f t="shared" si="7"/>
        <v>#N/A</v>
      </c>
    </row>
    <row r="265" spans="1:6" ht="15.75">
      <c r="A265" s="91" t="s">
        <v>193</v>
      </c>
      <c r="D265" s="92" t="s">
        <v>1170</v>
      </c>
      <c r="E265" s="92"/>
      <c r="F265" s="76">
        <f t="shared" si="7"/>
        <v>85</v>
      </c>
    </row>
    <row r="266" spans="1:6" ht="15.75">
      <c r="A266" s="91" t="s">
        <v>196</v>
      </c>
      <c r="D266" s="92" t="s">
        <v>1170</v>
      </c>
      <c r="E266" s="92"/>
      <c r="F266" s="76" t="e">
        <f t="shared" si="7"/>
        <v>#N/A</v>
      </c>
    </row>
    <row r="267" spans="1:6" ht="15.75">
      <c r="A267" s="91" t="s">
        <v>199</v>
      </c>
      <c r="B267" s="92" t="s">
        <v>20</v>
      </c>
      <c r="D267" s="92" t="s">
        <v>1170</v>
      </c>
      <c r="E267" s="92"/>
      <c r="F267" s="76" t="e">
        <f t="shared" si="7"/>
        <v>#N/A</v>
      </c>
    </row>
    <row r="268" spans="1:6" ht="15.75">
      <c r="A268" s="91" t="s">
        <v>199</v>
      </c>
      <c r="B268" s="92" t="s">
        <v>20</v>
      </c>
      <c r="C268" s="92" t="s">
        <v>1174</v>
      </c>
      <c r="D268" s="92" t="s">
        <v>1170</v>
      </c>
      <c r="E268" s="92"/>
      <c r="F268" s="76" t="e">
        <f t="shared" si="7"/>
        <v>#N/A</v>
      </c>
    </row>
    <row r="269" spans="1:6" ht="15.75">
      <c r="A269" s="91" t="s">
        <v>202</v>
      </c>
      <c r="D269" s="92" t="s">
        <v>1170</v>
      </c>
      <c r="E269" s="92"/>
      <c r="F269" s="76">
        <f t="shared" si="7"/>
        <v>90</v>
      </c>
    </row>
    <row r="270" spans="1:6" ht="15.75">
      <c r="A270" s="91" t="s">
        <v>206</v>
      </c>
      <c r="D270" s="92" t="s">
        <v>1170</v>
      </c>
      <c r="E270" s="92"/>
      <c r="F270" s="76">
        <f t="shared" si="7"/>
        <v>89</v>
      </c>
    </row>
    <row r="271" spans="1:6" ht="15.75">
      <c r="A271" s="91" t="s">
        <v>210</v>
      </c>
      <c r="B271" s="92" t="s">
        <v>20</v>
      </c>
      <c r="D271" s="92" t="s">
        <v>1170</v>
      </c>
      <c r="E271" s="92"/>
      <c r="F271" s="76" t="e">
        <f t="shared" si="7"/>
        <v>#N/A</v>
      </c>
    </row>
    <row r="272" spans="1:6" ht="15.75">
      <c r="A272" s="91" t="s">
        <v>210</v>
      </c>
      <c r="B272" s="92" t="s">
        <v>20</v>
      </c>
      <c r="C272" s="92" t="s">
        <v>1174</v>
      </c>
      <c r="D272" s="92" t="s">
        <v>1170</v>
      </c>
      <c r="E272" s="92"/>
      <c r="F272" s="76" t="e">
        <f t="shared" si="7"/>
        <v>#N/A</v>
      </c>
    </row>
    <row r="273" spans="1:6" ht="15.75">
      <c r="A273" s="91" t="s">
        <v>214</v>
      </c>
      <c r="D273" s="92" t="s">
        <v>1170</v>
      </c>
      <c r="E273" s="92"/>
      <c r="F273" s="76" t="e">
        <f t="shared" si="7"/>
        <v>#N/A</v>
      </c>
    </row>
    <row r="274" spans="1:6" ht="15.75">
      <c r="A274" s="91" t="s">
        <v>217</v>
      </c>
      <c r="D274" s="92" t="s">
        <v>1170</v>
      </c>
      <c r="E274" s="92"/>
      <c r="F274" s="76" t="e">
        <f t="shared" si="7"/>
        <v>#N/A</v>
      </c>
    </row>
    <row r="275" spans="1:6" ht="15.75">
      <c r="A275" s="91" t="s">
        <v>40</v>
      </c>
      <c r="B275" s="92" t="s">
        <v>20</v>
      </c>
      <c r="D275" s="92" t="s">
        <v>1170</v>
      </c>
      <c r="E275" s="92"/>
      <c r="F275" s="76" t="e">
        <f t="shared" si="7"/>
        <v>#N/A</v>
      </c>
    </row>
    <row r="276" spans="1:6" ht="15.75">
      <c r="A276" s="91" t="s">
        <v>40</v>
      </c>
      <c r="B276" s="92" t="s">
        <v>20</v>
      </c>
      <c r="C276" s="92" t="s">
        <v>1174</v>
      </c>
      <c r="D276" s="92" t="s">
        <v>1170</v>
      </c>
      <c r="E276" s="92"/>
      <c r="F276" s="76" t="e">
        <f t="shared" si="7"/>
        <v>#N/A</v>
      </c>
    </row>
    <row r="277" spans="1:6" ht="15.75">
      <c r="A277" s="91" t="s">
        <v>222</v>
      </c>
      <c r="D277" s="92" t="s">
        <v>1170</v>
      </c>
      <c r="E277" s="92"/>
      <c r="F277" s="76">
        <f t="shared" si="7"/>
        <v>91</v>
      </c>
    </row>
    <row r="278" spans="1:6" ht="15.75">
      <c r="A278" s="91" t="s">
        <v>226</v>
      </c>
      <c r="D278" s="92" t="s">
        <v>1170</v>
      </c>
      <c r="E278" s="92"/>
      <c r="F278" s="76" t="e">
        <f t="shared" si="7"/>
        <v>#N/A</v>
      </c>
    </row>
    <row r="279" spans="1:6" ht="15.75">
      <c r="A279" s="91" t="s">
        <v>231</v>
      </c>
      <c r="B279" s="92" t="s">
        <v>20</v>
      </c>
      <c r="D279" s="92" t="s">
        <v>1170</v>
      </c>
      <c r="E279" s="92"/>
      <c r="F279" s="76" t="e">
        <f t="shared" si="7"/>
        <v>#N/A</v>
      </c>
    </row>
    <row r="280" spans="1:6" ht="15.75">
      <c r="A280" s="91" t="s">
        <v>231</v>
      </c>
      <c r="B280" s="92" t="s">
        <v>20</v>
      </c>
      <c r="C280" s="92" t="s">
        <v>1174</v>
      </c>
      <c r="D280" s="92" t="s">
        <v>1170</v>
      </c>
      <c r="E280" s="92"/>
      <c r="F280" s="76" t="e">
        <f t="shared" si="7"/>
        <v>#N/A</v>
      </c>
    </row>
    <row r="281" spans="1:6" ht="15.75">
      <c r="A281" s="91" t="s">
        <v>88</v>
      </c>
      <c r="D281" s="92" t="s">
        <v>1170</v>
      </c>
      <c r="E281" s="92"/>
      <c r="F281" s="76">
        <f t="shared" si="7"/>
        <v>95</v>
      </c>
    </row>
    <row r="282" spans="1:6" ht="15.75">
      <c r="A282" s="91" t="s">
        <v>90</v>
      </c>
      <c r="D282" s="92" t="s">
        <v>1170</v>
      </c>
      <c r="E282" s="92"/>
      <c r="F282" s="76">
        <f t="shared" si="7"/>
        <v>100</v>
      </c>
    </row>
    <row r="283" spans="1:6" ht="15.75">
      <c r="A283" s="91" t="s">
        <v>95</v>
      </c>
      <c r="B283" s="92" t="s">
        <v>20</v>
      </c>
      <c r="D283" s="92" t="s">
        <v>1170</v>
      </c>
      <c r="E283" s="92"/>
      <c r="F283" s="76" t="e">
        <f t="shared" si="7"/>
        <v>#N/A</v>
      </c>
    </row>
    <row r="284" spans="1:6" ht="15.75">
      <c r="A284" s="91" t="s">
        <v>95</v>
      </c>
      <c r="B284" s="92" t="s">
        <v>20</v>
      </c>
      <c r="C284" s="92" t="s">
        <v>1174</v>
      </c>
      <c r="D284" s="92" t="s">
        <v>1170</v>
      </c>
      <c r="E284" s="92"/>
      <c r="F284" s="76" t="e">
        <f t="shared" si="7"/>
        <v>#N/A</v>
      </c>
    </row>
    <row r="285" spans="1:6" ht="15.75">
      <c r="A285" s="91" t="s">
        <v>768</v>
      </c>
      <c r="B285" s="92"/>
      <c r="C285" s="92"/>
      <c r="D285" s="92" t="s">
        <v>1170</v>
      </c>
      <c r="E285" s="92"/>
      <c r="F285" s="76">
        <f t="shared" si="7"/>
        <v>101</v>
      </c>
    </row>
    <row r="286" spans="1:6" ht="15.75">
      <c r="A286" s="91" t="s">
        <v>100</v>
      </c>
      <c r="D286" s="92" t="s">
        <v>1170</v>
      </c>
      <c r="E286" s="92"/>
      <c r="F286" s="76" t="e">
        <f t="shared" si="7"/>
        <v>#N/A</v>
      </c>
    </row>
    <row r="287" spans="1:6" ht="15.75">
      <c r="A287" s="91" t="s">
        <v>103</v>
      </c>
      <c r="B287" s="92" t="s">
        <v>20</v>
      </c>
      <c r="D287" s="92" t="s">
        <v>1170</v>
      </c>
      <c r="E287" s="92"/>
      <c r="F287" s="76" t="e">
        <f t="shared" si="7"/>
        <v>#N/A</v>
      </c>
    </row>
    <row r="288" spans="1:6" ht="15.75">
      <c r="A288" s="91" t="s">
        <v>103</v>
      </c>
      <c r="B288" s="92" t="s">
        <v>20</v>
      </c>
      <c r="C288" s="92" t="s">
        <v>1174</v>
      </c>
      <c r="D288" s="92" t="s">
        <v>1170</v>
      </c>
      <c r="E288" s="92"/>
      <c r="F288" s="76" t="e">
        <f t="shared" si="7"/>
        <v>#N/A</v>
      </c>
    </row>
    <row r="289" spans="1:6" ht="15.75">
      <c r="A289" s="91" t="s">
        <v>775</v>
      </c>
      <c r="D289" s="92" t="s">
        <v>1170</v>
      </c>
      <c r="E289" s="92"/>
      <c r="F289" s="76">
        <f t="shared" si="7"/>
        <v>105</v>
      </c>
    </row>
    <row r="290" spans="1:6" ht="15.75">
      <c r="A290" s="91" t="s">
        <v>106</v>
      </c>
      <c r="D290" s="92" t="s">
        <v>1170</v>
      </c>
      <c r="E290" s="92"/>
      <c r="F290" s="76" t="e">
        <f t="shared" si="7"/>
        <v>#N/A</v>
      </c>
    </row>
    <row r="291" spans="1:6" ht="15.75">
      <c r="A291" s="91" t="s">
        <v>109</v>
      </c>
      <c r="B291" s="92" t="s">
        <v>20</v>
      </c>
      <c r="D291" s="92" t="s">
        <v>1170</v>
      </c>
      <c r="E291" s="92"/>
      <c r="F291" s="76" t="e">
        <f t="shared" si="7"/>
        <v>#N/A</v>
      </c>
    </row>
    <row r="292" spans="1:6" ht="15.75">
      <c r="A292" s="91" t="s">
        <v>109</v>
      </c>
      <c r="B292" s="92" t="s">
        <v>20</v>
      </c>
      <c r="C292" s="92" t="s">
        <v>1174</v>
      </c>
      <c r="D292" s="92" t="s">
        <v>1170</v>
      </c>
      <c r="E292" s="92"/>
      <c r="F292" s="76" t="e">
        <f t="shared" si="7"/>
        <v>#N/A</v>
      </c>
    </row>
    <row r="293" spans="1:6" ht="15.75">
      <c r="A293" s="91" t="s">
        <v>781</v>
      </c>
      <c r="B293" s="92"/>
      <c r="C293" s="92"/>
      <c r="D293" s="92" t="s">
        <v>1170</v>
      </c>
      <c r="E293" s="92"/>
      <c r="F293" s="76">
        <f t="shared" si="7"/>
        <v>107</v>
      </c>
    </row>
    <row r="294" spans="1:6" ht="15.75">
      <c r="A294" s="91" t="s">
        <v>112</v>
      </c>
      <c r="D294" s="92" t="s">
        <v>1170</v>
      </c>
      <c r="E294" s="92"/>
      <c r="F294" s="76" t="e">
        <f t="shared" si="7"/>
        <v>#N/A</v>
      </c>
    </row>
    <row r="295" spans="1:6" ht="15.75">
      <c r="A295" s="91" t="s">
        <v>116</v>
      </c>
      <c r="B295" s="92" t="s">
        <v>20</v>
      </c>
      <c r="D295" s="92" t="s">
        <v>1170</v>
      </c>
      <c r="E295" s="92"/>
      <c r="F295" s="76" t="e">
        <f t="shared" si="7"/>
        <v>#N/A</v>
      </c>
    </row>
    <row r="296" spans="1:6" ht="15.75">
      <c r="A296" s="91" t="s">
        <v>116</v>
      </c>
      <c r="B296" s="92" t="s">
        <v>20</v>
      </c>
      <c r="C296" s="92" t="s">
        <v>1174</v>
      </c>
      <c r="D296" s="92" t="s">
        <v>1170</v>
      </c>
      <c r="E296" s="92"/>
      <c r="F296" s="76" t="e">
        <f t="shared" si="7"/>
        <v>#N/A</v>
      </c>
    </row>
    <row r="297" spans="1:6" ht="15.75">
      <c r="A297" s="91" t="s">
        <v>785</v>
      </c>
      <c r="D297" s="92" t="s">
        <v>1170</v>
      </c>
      <c r="E297" s="92"/>
      <c r="F297" s="76">
        <f t="shared" si="7"/>
        <v>114</v>
      </c>
    </row>
    <row r="298" spans="1:6" ht="15.75">
      <c r="A298" s="91" t="s">
        <v>271</v>
      </c>
      <c r="D298" s="92" t="s">
        <v>1170</v>
      </c>
      <c r="E298" s="92"/>
      <c r="F298" s="76" t="e">
        <f t="shared" si="7"/>
        <v>#N/A</v>
      </c>
    </row>
    <row r="299" spans="1:6" ht="15.75">
      <c r="A299" s="91" t="s">
        <v>121</v>
      </c>
      <c r="B299" s="92" t="s">
        <v>20</v>
      </c>
      <c r="D299" s="92" t="s">
        <v>1170</v>
      </c>
      <c r="E299" s="92"/>
      <c r="F299" s="76" t="e">
        <f t="shared" si="7"/>
        <v>#N/A</v>
      </c>
    </row>
    <row r="300" spans="1:6" ht="15.75">
      <c r="A300" s="91" t="s">
        <v>121</v>
      </c>
      <c r="B300" s="92" t="s">
        <v>20</v>
      </c>
      <c r="C300" s="92" t="s">
        <v>1174</v>
      </c>
      <c r="D300" s="92" t="s">
        <v>1170</v>
      </c>
      <c r="E300" s="92"/>
      <c r="F300" s="76" t="e">
        <f t="shared" si="7"/>
        <v>#N/A</v>
      </c>
    </row>
    <row r="301" spans="1:6" ht="15.75">
      <c r="A301" s="91" t="s">
        <v>791</v>
      </c>
      <c r="D301" s="92" t="s">
        <v>1170</v>
      </c>
      <c r="E301" s="92"/>
      <c r="F301" s="76">
        <f t="shared" si="7"/>
        <v>117</v>
      </c>
    </row>
    <row r="302" spans="1:6" ht="15.75">
      <c r="A302" s="91" t="s">
        <v>125</v>
      </c>
      <c r="D302" s="92" t="s">
        <v>1170</v>
      </c>
      <c r="E302" s="92"/>
      <c r="F302" s="76">
        <f t="shared" si="7"/>
        <v>122</v>
      </c>
    </row>
    <row r="303" spans="1:6" ht="15.75">
      <c r="A303" s="91" t="s">
        <v>129</v>
      </c>
      <c r="B303" s="92" t="s">
        <v>20</v>
      </c>
      <c r="D303" s="92" t="s">
        <v>1170</v>
      </c>
      <c r="E303" s="92"/>
      <c r="F303" s="76" t="e">
        <f t="shared" si="7"/>
        <v>#N/A</v>
      </c>
    </row>
    <row r="304" spans="1:6" ht="15.75">
      <c r="A304" s="91" t="s">
        <v>129</v>
      </c>
      <c r="B304" s="92" t="s">
        <v>20</v>
      </c>
      <c r="C304" s="92" t="s">
        <v>1174</v>
      </c>
      <c r="D304" s="92" t="s">
        <v>1170</v>
      </c>
      <c r="E304" s="92"/>
      <c r="F304" s="76" t="e">
        <f t="shared" si="7"/>
        <v>#N/A</v>
      </c>
    </row>
    <row r="305" spans="1:6" ht="15.75">
      <c r="A305" s="91" t="s">
        <v>799</v>
      </c>
      <c r="D305" s="92" t="s">
        <v>1170</v>
      </c>
      <c r="E305" s="92"/>
      <c r="F305" s="76">
        <f t="shared" si="7"/>
        <v>126</v>
      </c>
    </row>
    <row r="306" spans="1:6" ht="15.75">
      <c r="A306" s="91" t="s">
        <v>133</v>
      </c>
      <c r="D306" s="92" t="s">
        <v>1170</v>
      </c>
      <c r="E306" s="92"/>
      <c r="F306" s="76" t="e">
        <f t="shared" si="7"/>
        <v>#N/A</v>
      </c>
    </row>
    <row r="307" spans="1:6" ht="15.75">
      <c r="A307" s="91" t="s">
        <v>137</v>
      </c>
      <c r="B307" s="92" t="s">
        <v>20</v>
      </c>
      <c r="D307" s="92" t="s">
        <v>1170</v>
      </c>
      <c r="E307" s="92"/>
      <c r="F307" s="76" t="e">
        <f t="shared" si="7"/>
        <v>#N/A</v>
      </c>
    </row>
    <row r="308" spans="1:6" ht="15.75">
      <c r="A308" s="91" t="s">
        <v>137</v>
      </c>
      <c r="B308" s="92" t="s">
        <v>20</v>
      </c>
      <c r="C308" s="92" t="s">
        <v>1174</v>
      </c>
      <c r="D308" s="92" t="s">
        <v>1170</v>
      </c>
      <c r="E308" s="92"/>
      <c r="F308" s="76" t="e">
        <f t="shared" si="7"/>
        <v>#N/A</v>
      </c>
    </row>
    <row r="309" spans="1:6" ht="15.75">
      <c r="A309" s="91" t="s">
        <v>804</v>
      </c>
      <c r="D309" s="92" t="s">
        <v>1170</v>
      </c>
      <c r="E309" s="92"/>
      <c r="F309" s="76">
        <f t="shared" si="7"/>
        <v>131</v>
      </c>
    </row>
    <row r="310" spans="1:6" ht="15.75">
      <c r="A310" s="91" t="s">
        <v>141</v>
      </c>
      <c r="D310" s="92" t="s">
        <v>1170</v>
      </c>
      <c r="E310" s="92"/>
      <c r="F310" s="76" t="e">
        <f t="shared" si="7"/>
        <v>#N/A</v>
      </c>
    </row>
    <row r="311" spans="1:6" ht="15.75">
      <c r="A311" s="91" t="s">
        <v>145</v>
      </c>
      <c r="B311" s="92" t="s">
        <v>20</v>
      </c>
      <c r="D311" s="92" t="s">
        <v>1170</v>
      </c>
      <c r="E311" s="92"/>
      <c r="F311" s="76" t="e">
        <f t="shared" si="7"/>
        <v>#N/A</v>
      </c>
    </row>
    <row r="312" spans="1:6" ht="15.75">
      <c r="A312" s="91" t="s">
        <v>145</v>
      </c>
      <c r="B312" s="92" t="s">
        <v>20</v>
      </c>
      <c r="C312" s="92" t="s">
        <v>1174</v>
      </c>
      <c r="D312" s="92" t="s">
        <v>1170</v>
      </c>
      <c r="E312" s="92"/>
      <c r="F312" s="76" t="e">
        <f t="shared" si="7"/>
        <v>#N/A</v>
      </c>
    </row>
    <row r="313" spans="1:6" ht="15.75">
      <c r="A313" s="91" t="s">
        <v>810</v>
      </c>
      <c r="D313" s="92" t="s">
        <v>1170</v>
      </c>
      <c r="E313" s="92"/>
      <c r="F313" s="76">
        <f t="shared" si="7"/>
        <v>135</v>
      </c>
    </row>
    <row r="314" spans="1:6" ht="15.75">
      <c r="A314" s="91" t="s">
        <v>150</v>
      </c>
      <c r="D314" s="92" t="s">
        <v>1170</v>
      </c>
      <c r="E314" s="92"/>
      <c r="F314" s="76" t="e">
        <f t="shared" si="7"/>
        <v>#N/A</v>
      </c>
    </row>
    <row r="315" spans="1:6" ht="15.75">
      <c r="A315" s="91" t="s">
        <v>155</v>
      </c>
      <c r="B315" s="92" t="s">
        <v>20</v>
      </c>
      <c r="D315" s="92" t="s">
        <v>1170</v>
      </c>
      <c r="E315" s="92"/>
      <c r="F315" s="76" t="e">
        <f t="shared" si="7"/>
        <v>#N/A</v>
      </c>
    </row>
    <row r="316" spans="1:6" ht="15.75">
      <c r="A316" s="91" t="s">
        <v>155</v>
      </c>
      <c r="B316" s="92" t="s">
        <v>20</v>
      </c>
      <c r="C316" s="92" t="s">
        <v>1174</v>
      </c>
      <c r="D316" s="92" t="s">
        <v>1170</v>
      </c>
      <c r="E316" s="92"/>
      <c r="F316" s="76" t="e">
        <f t="shared" si="7"/>
        <v>#N/A</v>
      </c>
    </row>
    <row r="317" spans="1:6" ht="15.75">
      <c r="A317" s="91" t="s">
        <v>815</v>
      </c>
      <c r="D317" s="92" t="s">
        <v>1170</v>
      </c>
      <c r="E317" s="92"/>
      <c r="F317" s="76">
        <f t="shared" si="7"/>
        <v>138</v>
      </c>
    </row>
    <row r="318" spans="1:6" ht="15.75">
      <c r="A318" s="91" t="s">
        <v>160</v>
      </c>
      <c r="D318" s="92" t="s">
        <v>1170</v>
      </c>
      <c r="E318" s="92"/>
      <c r="F318" s="76" t="e">
        <f t="shared" si="7"/>
        <v>#N/A</v>
      </c>
    </row>
    <row r="319" spans="1:6" ht="15.75">
      <c r="A319" s="91" t="s">
        <v>165</v>
      </c>
      <c r="B319" s="92" t="s">
        <v>20</v>
      </c>
      <c r="D319" s="92" t="s">
        <v>1170</v>
      </c>
      <c r="E319" s="92"/>
      <c r="F319" s="76" t="e">
        <f t="shared" si="7"/>
        <v>#N/A</v>
      </c>
    </row>
    <row r="320" spans="1:6" ht="15.75">
      <c r="A320" s="91" t="s">
        <v>165</v>
      </c>
      <c r="B320" s="92" t="s">
        <v>20</v>
      </c>
      <c r="C320" s="92" t="s">
        <v>1174</v>
      </c>
      <c r="D320" s="92" t="s">
        <v>1170</v>
      </c>
      <c r="E320" s="92"/>
      <c r="F320" s="76" t="e">
        <f t="shared" si="7"/>
        <v>#N/A</v>
      </c>
    </row>
    <row r="321" spans="1:6" ht="15.75">
      <c r="A321" s="91" t="s">
        <v>819</v>
      </c>
      <c r="D321" s="92" t="s">
        <v>1170</v>
      </c>
      <c r="E321" s="92"/>
      <c r="F321" s="76">
        <f t="shared" si="7"/>
        <v>141</v>
      </c>
    </row>
    <row r="322" spans="1:6" ht="15.75">
      <c r="A322" s="91" t="s">
        <v>170</v>
      </c>
      <c r="D322" s="92" t="s">
        <v>1170</v>
      </c>
      <c r="E322" s="92"/>
      <c r="F322" s="76" t="e">
        <f t="shared" si="7"/>
        <v>#N/A</v>
      </c>
    </row>
    <row r="323" spans="1:6" ht="15.75">
      <c r="A323" s="91" t="s">
        <v>175</v>
      </c>
      <c r="B323" s="92" t="s">
        <v>20</v>
      </c>
      <c r="D323" s="92" t="s">
        <v>1170</v>
      </c>
      <c r="E323" s="92"/>
      <c r="F323" s="76" t="e">
        <f t="shared" ref="F323:F340" si="8">MATCH(A323,H:H,0)</f>
        <v>#N/A</v>
      </c>
    </row>
    <row r="324" spans="1:6" ht="15.75">
      <c r="A324" s="91" t="s">
        <v>175</v>
      </c>
      <c r="B324" s="92" t="s">
        <v>20</v>
      </c>
      <c r="C324" s="92" t="s">
        <v>1174</v>
      </c>
      <c r="D324" s="92" t="s">
        <v>1170</v>
      </c>
      <c r="E324" s="92"/>
      <c r="F324" s="76" t="e">
        <f t="shared" si="8"/>
        <v>#N/A</v>
      </c>
    </row>
    <row r="325" spans="1:6" ht="15.75">
      <c r="A325" s="91" t="s">
        <v>179</v>
      </c>
      <c r="D325" s="92" t="s">
        <v>1170</v>
      </c>
      <c r="E325" s="92"/>
      <c r="F325" s="76">
        <f t="shared" si="8"/>
        <v>144</v>
      </c>
    </row>
    <row r="326" spans="1:6" ht="15.75">
      <c r="A326" s="91" t="s">
        <v>183</v>
      </c>
      <c r="D326" s="92" t="s">
        <v>1170</v>
      </c>
      <c r="E326" s="92"/>
      <c r="F326" s="76">
        <f t="shared" si="8"/>
        <v>143</v>
      </c>
    </row>
    <row r="327" spans="1:6" ht="15.75">
      <c r="A327" s="91" t="s">
        <v>186</v>
      </c>
      <c r="B327" s="92" t="s">
        <v>20</v>
      </c>
      <c r="D327" s="92" t="s">
        <v>1170</v>
      </c>
      <c r="E327" s="92"/>
      <c r="F327" s="76" t="e">
        <f t="shared" si="8"/>
        <v>#N/A</v>
      </c>
    </row>
    <row r="328" spans="1:6" ht="15.75">
      <c r="A328" s="91" t="s">
        <v>186</v>
      </c>
      <c r="B328" s="92" t="s">
        <v>20</v>
      </c>
      <c r="C328" s="92" t="s">
        <v>1174</v>
      </c>
      <c r="D328" s="92" t="s">
        <v>1170</v>
      </c>
      <c r="E328" s="92"/>
      <c r="F328" s="76" t="e">
        <f t="shared" si="8"/>
        <v>#N/A</v>
      </c>
    </row>
    <row r="329" spans="1:6" ht="15.75">
      <c r="A329" s="91" t="s">
        <v>200</v>
      </c>
      <c r="D329" s="92" t="s">
        <v>1170</v>
      </c>
      <c r="E329" s="92"/>
      <c r="F329" s="76">
        <f t="shared" si="8"/>
        <v>145</v>
      </c>
    </row>
    <row r="330" spans="1:6" ht="15.75">
      <c r="A330" s="91" t="s">
        <v>203</v>
      </c>
      <c r="D330" s="92" t="s">
        <v>1170</v>
      </c>
      <c r="E330" s="92"/>
      <c r="F330" s="76" t="e">
        <f t="shared" si="8"/>
        <v>#N/A</v>
      </c>
    </row>
    <row r="331" spans="1:6" ht="15.75">
      <c r="A331" s="91" t="s">
        <v>207</v>
      </c>
      <c r="B331" s="92" t="s">
        <v>20</v>
      </c>
      <c r="D331" s="92" t="s">
        <v>1170</v>
      </c>
      <c r="E331" s="92"/>
      <c r="F331" s="76" t="e">
        <f t="shared" si="8"/>
        <v>#N/A</v>
      </c>
    </row>
    <row r="332" spans="1:6" ht="15.75">
      <c r="A332" s="91" t="s">
        <v>207</v>
      </c>
      <c r="B332" s="92" t="s">
        <v>20</v>
      </c>
      <c r="C332" s="92" t="s">
        <v>1174</v>
      </c>
      <c r="D332" s="92" t="s">
        <v>1170</v>
      </c>
      <c r="E332" s="92"/>
      <c r="F332" s="76" t="e">
        <f t="shared" si="8"/>
        <v>#N/A</v>
      </c>
    </row>
    <row r="333" spans="1:6" ht="15.75">
      <c r="A333" s="91" t="s">
        <v>1176</v>
      </c>
      <c r="D333" s="92" t="s">
        <v>1170</v>
      </c>
      <c r="E333" s="92"/>
      <c r="F333" s="76" t="e">
        <f t="shared" si="8"/>
        <v>#N/A</v>
      </c>
    </row>
    <row r="334" spans="1:6" ht="15.75">
      <c r="A334" s="91" t="s">
        <v>43</v>
      </c>
      <c r="D334" s="92" t="s">
        <v>1170</v>
      </c>
      <c r="E334" s="92"/>
      <c r="F334" s="76" t="e">
        <f t="shared" si="8"/>
        <v>#N/A</v>
      </c>
    </row>
    <row r="335" spans="1:6" ht="15.75">
      <c r="A335" s="91" t="s">
        <v>1177</v>
      </c>
      <c r="B335" s="92" t="s">
        <v>20</v>
      </c>
      <c r="D335" s="92" t="s">
        <v>1170</v>
      </c>
      <c r="E335" s="92"/>
      <c r="F335" s="76" t="e">
        <f t="shared" si="8"/>
        <v>#N/A</v>
      </c>
    </row>
    <row r="336" spans="1:6" ht="15.75">
      <c r="A336" s="91" t="s">
        <v>1177</v>
      </c>
      <c r="B336" s="92" t="s">
        <v>20</v>
      </c>
      <c r="C336" s="92" t="s">
        <v>1174</v>
      </c>
      <c r="D336" s="92" t="s">
        <v>1170</v>
      </c>
      <c r="E336" s="92"/>
      <c r="F336" s="76" t="e">
        <f t="shared" si="8"/>
        <v>#N/A</v>
      </c>
    </row>
    <row r="337" spans="1:7" ht="15.75">
      <c r="A337" s="91" t="s">
        <v>1178</v>
      </c>
      <c r="D337" s="92" t="s">
        <v>1170</v>
      </c>
      <c r="E337" s="92"/>
      <c r="F337" s="76" t="e">
        <f t="shared" si="8"/>
        <v>#N/A</v>
      </c>
    </row>
    <row r="338" spans="1:7" ht="15.75">
      <c r="A338" s="91" t="s">
        <v>1179</v>
      </c>
      <c r="D338" s="92" t="s">
        <v>1170</v>
      </c>
      <c r="E338" s="92"/>
      <c r="F338" s="76" t="e">
        <f t="shared" si="8"/>
        <v>#N/A</v>
      </c>
    </row>
    <row r="339" spans="1:7" ht="15.75">
      <c r="A339" s="91" t="s">
        <v>1180</v>
      </c>
      <c r="B339" s="92" t="s">
        <v>20</v>
      </c>
      <c r="D339" s="92" t="s">
        <v>1170</v>
      </c>
      <c r="E339" s="92"/>
      <c r="F339" s="76" t="e">
        <f t="shared" si="8"/>
        <v>#N/A</v>
      </c>
    </row>
    <row r="340" spans="1:7" ht="15.75">
      <c r="A340" s="91" t="s">
        <v>1180</v>
      </c>
      <c r="B340" s="92" t="s">
        <v>20</v>
      </c>
      <c r="C340" s="92" t="s">
        <v>1174</v>
      </c>
      <c r="D340" s="92" t="s">
        <v>1170</v>
      </c>
      <c r="E340" s="92"/>
      <c r="F340" s="76" t="e">
        <f t="shared" si="8"/>
        <v>#N/A</v>
      </c>
    </row>
    <row r="343" spans="1:7">
      <c r="F343" s="76">
        <f>COUNTIF(F2:F340,"&lt;&gt;#N/A")</f>
        <v>73</v>
      </c>
      <c r="G343" s="74" t="s">
        <v>4246</v>
      </c>
    </row>
    <row r="344" spans="1:7">
      <c r="F344" s="76">
        <f>COUNTIF(F2:F340,"=#n/a")</f>
        <v>266</v>
      </c>
      <c r="G344" s="74" t="s">
        <v>4247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8E9AC-6A6C-462F-9CDE-0729BBF08F02}">
  <sheetPr codeName="Sheet8">
    <tabColor theme="7" tint="0.79998168889431442"/>
  </sheetPr>
  <dimension ref="A1:S268"/>
  <sheetViews>
    <sheetView workbookViewId="0"/>
  </sheetViews>
  <sheetFormatPr defaultColWidth="8.85546875" defaultRowHeight="15"/>
  <cols>
    <col min="1" max="1" width="11.28515625" style="73" customWidth="1"/>
    <col min="2" max="2" width="8.85546875" style="73"/>
    <col min="3" max="3" width="5" style="73" customWidth="1"/>
    <col min="4" max="4" width="11.28515625" style="73" customWidth="1"/>
    <col min="5" max="5" width="8.85546875" style="73"/>
    <col min="6" max="6" width="5.140625" style="74" customWidth="1"/>
    <col min="7" max="7" width="8.85546875" style="73"/>
    <col min="8" max="8" width="7.7109375" style="73" customWidth="1"/>
    <col min="9" max="9" width="5.140625" style="73" customWidth="1"/>
    <col min="10" max="10" width="10" style="73" customWidth="1"/>
    <col min="11" max="11" width="8.85546875" style="73"/>
    <col min="12" max="12" width="5.140625" style="73" customWidth="1"/>
    <col min="13" max="13" width="10" style="73" customWidth="1"/>
    <col min="14" max="14" width="8.85546875" style="73"/>
    <col min="15" max="15" width="5.140625" style="73" customWidth="1"/>
    <col min="16" max="16" width="10" style="73" customWidth="1"/>
    <col min="17" max="18" width="8.85546875" style="73"/>
    <col min="19" max="19" width="8.85546875" style="72"/>
    <col min="20" max="16384" width="8.85546875" style="73"/>
  </cols>
  <sheetData>
    <row r="1" spans="1:19">
      <c r="A1" s="71" t="s">
        <v>240</v>
      </c>
      <c r="B1" s="71" t="s">
        <v>1384</v>
      </c>
      <c r="D1" s="71" t="s">
        <v>240</v>
      </c>
      <c r="E1" s="71" t="s">
        <v>1384</v>
      </c>
      <c r="G1" s="187" t="str">
        <f>"N/A Count = "&amp;COUNTIF(B:B,"=#n/a")</f>
        <v>N/A Count = 42</v>
      </c>
      <c r="J1" s="71" t="s">
        <v>240</v>
      </c>
      <c r="K1" s="71" t="s">
        <v>1384</v>
      </c>
      <c r="M1" s="71" t="s">
        <v>240</v>
      </c>
      <c r="N1" s="71" t="s">
        <v>1384</v>
      </c>
      <c r="P1" s="71" t="s">
        <v>240</v>
      </c>
      <c r="Q1" s="71" t="s">
        <v>1384</v>
      </c>
    </row>
    <row r="2" spans="1:19">
      <c r="A2" s="74">
        <v>1916</v>
      </c>
      <c r="B2" s="73" t="e">
        <f>MATCH(A2,[2]Dimes!N:N,0)</f>
        <v>#N/A</v>
      </c>
      <c r="D2" s="74" t="s">
        <v>204</v>
      </c>
      <c r="E2" s="73" t="e">
        <f t="shared" ref="E2:E43" si="0">MATCH(D2,J:J,0)</f>
        <v>#N/A</v>
      </c>
      <c r="F2" s="73"/>
      <c r="G2" s="74" t="s">
        <v>254</v>
      </c>
      <c r="H2" s="73" t="str">
        <f>VLOOKUP(G2,[2]Dimes!N2:N216,1)</f>
        <v xml:space="preserve">1951 </v>
      </c>
      <c r="J2" s="74" t="s">
        <v>256</v>
      </c>
      <c r="K2" s="73" t="e">
        <f>MATCH(J2,[2]Dimes!N2:N213,0)</f>
        <v>#N/A</v>
      </c>
      <c r="M2" s="74" t="s">
        <v>213</v>
      </c>
      <c r="N2" s="73" t="e">
        <f t="shared" ref="N2:N43" si="1">MATCH(M2,J:J,0)</f>
        <v>#N/A</v>
      </c>
      <c r="P2" s="74" t="s">
        <v>199</v>
      </c>
      <c r="Q2" s="73" t="e">
        <f t="shared" ref="Q2:Q23" si="2">MATCH(P2,J:J,0)</f>
        <v>#N/A</v>
      </c>
      <c r="S2" s="72">
        <v>1916</v>
      </c>
    </row>
    <row r="3" spans="1:19">
      <c r="A3" s="74" t="s">
        <v>232</v>
      </c>
      <c r="B3" s="73" t="e">
        <f>MATCH(A3,[2]Dimes!N:N,0)</f>
        <v>#N/A</v>
      </c>
      <c r="D3" s="74">
        <v>1935</v>
      </c>
      <c r="E3" s="73" t="e">
        <f t="shared" si="0"/>
        <v>#N/A</v>
      </c>
      <c r="F3" s="73"/>
      <c r="G3" s="74">
        <v>1951</v>
      </c>
      <c r="H3" s="73">
        <f>VLOOKUP(G3,[2]Dimes!N3:N217,1)</f>
        <v>1942</v>
      </c>
      <c r="J3" s="74" t="s">
        <v>114</v>
      </c>
      <c r="K3" s="73" t="e">
        <f>MATCH(J3,[2]Dimes!N3:N214,0)</f>
        <v>#N/A</v>
      </c>
      <c r="M3" s="74" t="s">
        <v>216</v>
      </c>
      <c r="N3" s="73" t="e">
        <f t="shared" si="1"/>
        <v>#N/A</v>
      </c>
      <c r="P3" s="74" t="s">
        <v>202</v>
      </c>
      <c r="Q3" s="73" t="e">
        <f t="shared" si="2"/>
        <v>#N/A</v>
      </c>
      <c r="S3" s="72" t="s">
        <v>232</v>
      </c>
    </row>
    <row r="4" spans="1:19">
      <c r="A4" s="74" t="s">
        <v>234</v>
      </c>
      <c r="B4" s="73" t="e">
        <f>MATCH(A4,[2]Dimes!N:N,0)</f>
        <v>#N/A</v>
      </c>
      <c r="D4" s="74" t="s">
        <v>208</v>
      </c>
      <c r="E4" s="73" t="e">
        <f t="shared" si="0"/>
        <v>#N/A</v>
      </c>
      <c r="F4" s="73"/>
      <c r="G4" s="74" t="s">
        <v>197</v>
      </c>
      <c r="H4" s="73" t="str">
        <f>VLOOKUP(G4,[2]Dimes!N4:N218,1)</f>
        <v xml:space="preserve">1951 </v>
      </c>
      <c r="J4" s="74" t="s">
        <v>258</v>
      </c>
      <c r="K4" s="73" t="e">
        <f>MATCH(J4,[2]Dimes!N4:N215,0)</f>
        <v>#N/A</v>
      </c>
      <c r="M4" s="74" t="s">
        <v>220</v>
      </c>
      <c r="N4" s="73" t="e">
        <f t="shared" si="1"/>
        <v>#N/A</v>
      </c>
      <c r="P4" s="74" t="s">
        <v>210</v>
      </c>
      <c r="Q4" s="73" t="e">
        <f t="shared" si="2"/>
        <v>#N/A</v>
      </c>
      <c r="S4" s="72" t="s">
        <v>234</v>
      </c>
    </row>
    <row r="5" spans="1:19">
      <c r="A5" s="74">
        <v>1917</v>
      </c>
      <c r="B5" s="73" t="e">
        <f>MATCH(A5,[2]Dimes!N:N,0)</f>
        <v>#N/A</v>
      </c>
      <c r="D5" s="74" t="s">
        <v>211</v>
      </c>
      <c r="E5" s="73" t="e">
        <f t="shared" si="0"/>
        <v>#N/A</v>
      </c>
      <c r="F5" s="73"/>
      <c r="G5" s="74" t="s">
        <v>70</v>
      </c>
      <c r="H5" s="73" t="str">
        <f>VLOOKUP(G5,[2]Dimes!N5:N219,1)</f>
        <v xml:space="preserve">1951 </v>
      </c>
      <c r="J5" s="74" t="s">
        <v>259</v>
      </c>
      <c r="K5" s="73" t="e">
        <f>MATCH(J5,[2]Dimes!N5:N216,0)</f>
        <v>#N/A</v>
      </c>
      <c r="M5" s="74" t="s">
        <v>221</v>
      </c>
      <c r="N5" s="73" t="e">
        <f t="shared" si="1"/>
        <v>#N/A</v>
      </c>
      <c r="P5" s="74" t="s">
        <v>217</v>
      </c>
      <c r="Q5" s="73" t="e">
        <f t="shared" si="2"/>
        <v>#N/A</v>
      </c>
      <c r="S5" s="72">
        <v>1917</v>
      </c>
    </row>
    <row r="6" spans="1:19">
      <c r="A6" s="74" t="s">
        <v>237</v>
      </c>
      <c r="B6" s="73" t="e">
        <f>MATCH(A6,[2]Dimes!N:N,0)</f>
        <v>#N/A</v>
      </c>
      <c r="D6" s="74">
        <v>1936</v>
      </c>
      <c r="E6" s="73" t="e">
        <f t="shared" si="0"/>
        <v>#N/A</v>
      </c>
      <c r="F6" s="73"/>
      <c r="G6" s="74">
        <v>1952</v>
      </c>
      <c r="H6" s="73" t="e">
        <f>VLOOKUP(G6,[2]Dimes!N6:N220,1)</f>
        <v>#N/A</v>
      </c>
      <c r="J6" s="74" t="s">
        <v>119</v>
      </c>
      <c r="K6" s="73" t="e">
        <f>MATCH(J6,[2]Dimes!N6:N217,0)</f>
        <v>#N/A</v>
      </c>
      <c r="M6" s="74" t="s">
        <v>225</v>
      </c>
      <c r="N6" s="73" t="e">
        <f t="shared" si="1"/>
        <v>#N/A</v>
      </c>
      <c r="P6" s="74" t="s">
        <v>214</v>
      </c>
      <c r="Q6" s="73" t="e">
        <f t="shared" si="2"/>
        <v>#N/A</v>
      </c>
      <c r="S6" s="72" t="s">
        <v>237</v>
      </c>
    </row>
    <row r="7" spans="1:19">
      <c r="A7" s="74" t="s">
        <v>85</v>
      </c>
      <c r="B7" s="73" t="e">
        <f>MATCH(A7,[2]Dimes!N:N,0)</f>
        <v>#N/A</v>
      </c>
      <c r="D7" s="74" t="s">
        <v>215</v>
      </c>
      <c r="E7" s="73" t="e">
        <f t="shared" si="0"/>
        <v>#N/A</v>
      </c>
      <c r="F7" s="73"/>
      <c r="G7" s="74" t="s">
        <v>73</v>
      </c>
      <c r="H7" s="73" t="str">
        <f>VLOOKUP(G7,[2]Dimes!N7:N221,1)</f>
        <v xml:space="preserve">1951 </v>
      </c>
      <c r="J7" s="74" t="s">
        <v>123</v>
      </c>
      <c r="K7" s="73" t="e">
        <f>MATCH(J7,[2]Dimes!N7:N218,0)</f>
        <v>#N/A</v>
      </c>
      <c r="M7" s="74" t="s">
        <v>261</v>
      </c>
      <c r="N7" s="73" t="e">
        <f t="shared" si="1"/>
        <v>#N/A</v>
      </c>
      <c r="P7" s="74" t="s">
        <v>40</v>
      </c>
      <c r="Q7" s="73" t="e">
        <f t="shared" si="2"/>
        <v>#N/A</v>
      </c>
      <c r="S7" s="72" t="s">
        <v>85</v>
      </c>
    </row>
    <row r="8" spans="1:19">
      <c r="A8" s="74">
        <v>1918</v>
      </c>
      <c r="B8" s="73" t="e">
        <f>MATCH(A8,[2]Dimes!N:N,0)</f>
        <v>#N/A</v>
      </c>
      <c r="D8" s="74" t="s">
        <v>219</v>
      </c>
      <c r="E8" s="73" t="e">
        <f t="shared" si="0"/>
        <v>#N/A</v>
      </c>
      <c r="F8" s="73"/>
      <c r="G8" s="74" t="s">
        <v>212</v>
      </c>
      <c r="H8" s="73" t="e">
        <f>VLOOKUP(G8,[2]Dimes!N8:N222,1)</f>
        <v>#N/A</v>
      </c>
      <c r="J8" s="74" t="s">
        <v>260</v>
      </c>
      <c r="K8" s="73" t="e">
        <f>MATCH(J8,[2]Dimes!N8:N219,0)</f>
        <v>#N/A</v>
      </c>
      <c r="M8" s="74" t="s">
        <v>263</v>
      </c>
      <c r="N8" s="73" t="e">
        <f t="shared" si="1"/>
        <v>#N/A</v>
      </c>
      <c r="P8" s="74" t="s">
        <v>226</v>
      </c>
      <c r="Q8" s="73" t="e">
        <f t="shared" si="2"/>
        <v>#N/A</v>
      </c>
      <c r="S8" s="72">
        <v>1918</v>
      </c>
    </row>
    <row r="9" spans="1:19">
      <c r="A9" s="74" t="s">
        <v>91</v>
      </c>
      <c r="B9" s="73" t="e">
        <f>MATCH(A9,[2]Dimes!N:N,0)</f>
        <v>#N/A</v>
      </c>
      <c r="D9" s="74">
        <v>1937</v>
      </c>
      <c r="E9" s="73" t="e">
        <f t="shared" si="0"/>
        <v>#N/A</v>
      </c>
      <c r="F9" s="73"/>
      <c r="G9" s="74">
        <v>1953</v>
      </c>
      <c r="H9" s="73" t="e">
        <f>VLOOKUP(G9,[2]Dimes!N9:N223,1)</f>
        <v>#N/A</v>
      </c>
      <c r="J9" s="74" t="s">
        <v>127</v>
      </c>
      <c r="K9" s="73" t="e">
        <f>MATCH(J9,[2]Dimes!N9:N220,0)</f>
        <v>#N/A</v>
      </c>
      <c r="M9" s="74" t="s">
        <v>230</v>
      </c>
      <c r="N9" s="73" t="e">
        <f t="shared" si="1"/>
        <v>#N/A</v>
      </c>
      <c r="P9" s="74" t="s">
        <v>100</v>
      </c>
      <c r="Q9" s="73" t="e">
        <f t="shared" si="2"/>
        <v>#N/A</v>
      </c>
      <c r="S9" s="72" t="s">
        <v>91</v>
      </c>
    </row>
    <row r="10" spans="1:19">
      <c r="A10" s="74" t="s">
        <v>96</v>
      </c>
      <c r="B10" s="73" t="e">
        <f>MATCH(A10,[2]Dimes!N:N,0)</f>
        <v>#N/A</v>
      </c>
      <c r="D10" s="74" t="s">
        <v>451</v>
      </c>
      <c r="E10" s="73" t="e">
        <f t="shared" si="0"/>
        <v>#N/A</v>
      </c>
      <c r="F10" s="73"/>
      <c r="G10" s="74" t="s">
        <v>78</v>
      </c>
      <c r="H10" s="73" t="e">
        <f>VLOOKUP(G10,[2]Dimes!N10:N224,1)</f>
        <v>#N/A</v>
      </c>
      <c r="J10" s="74" t="s">
        <v>262</v>
      </c>
      <c r="K10" s="73" t="e">
        <f>MATCH(J10,[2]Dimes!N10:N221,0)</f>
        <v>#N/A</v>
      </c>
      <c r="M10" s="74" t="s">
        <v>265</v>
      </c>
      <c r="N10" s="73" t="e">
        <f t="shared" si="1"/>
        <v>#N/A</v>
      </c>
      <c r="P10" s="74" t="s">
        <v>106</v>
      </c>
      <c r="Q10" s="73" t="e">
        <f t="shared" si="2"/>
        <v>#N/A</v>
      </c>
      <c r="S10" s="72" t="s">
        <v>96</v>
      </c>
    </row>
    <row r="11" spans="1:19">
      <c r="A11" s="74">
        <v>1919</v>
      </c>
      <c r="B11" s="73" t="e">
        <f>MATCH(A11,[2]Dimes!N:N,0)</f>
        <v>#N/A</v>
      </c>
      <c r="D11" s="74" t="s">
        <v>1167</v>
      </c>
      <c r="E11" s="73" t="e">
        <f t="shared" si="0"/>
        <v>#N/A</v>
      </c>
      <c r="F11" s="73"/>
      <c r="G11" s="74" t="s">
        <v>81</v>
      </c>
      <c r="H11" s="73" t="e">
        <f>VLOOKUP(G11,[2]Dimes!N11:N225,1)</f>
        <v>#N/A</v>
      </c>
      <c r="J11" s="74" t="s">
        <v>264</v>
      </c>
      <c r="K11" s="73" t="e">
        <f>MATCH(J11,[2]Dimes!N11:N222,0)</f>
        <v>#N/A</v>
      </c>
      <c r="M11" s="74" t="s">
        <v>87</v>
      </c>
      <c r="N11" s="73" t="e">
        <f t="shared" si="1"/>
        <v>#N/A</v>
      </c>
      <c r="P11" s="74" t="s">
        <v>112</v>
      </c>
      <c r="Q11" s="73" t="e">
        <f t="shared" si="2"/>
        <v>#N/A</v>
      </c>
      <c r="S11" s="72">
        <v>1919</v>
      </c>
    </row>
    <row r="12" spans="1:19">
      <c r="A12" s="74" t="s">
        <v>1162</v>
      </c>
      <c r="B12" s="73" t="e">
        <f>MATCH(A12,[2]Dimes!N:N,0)</f>
        <v>#N/A</v>
      </c>
      <c r="D12" s="74">
        <v>1938</v>
      </c>
      <c r="E12" s="73" t="e">
        <f t="shared" si="0"/>
        <v>#N/A</v>
      </c>
      <c r="F12" s="73"/>
      <c r="G12" s="74">
        <v>1954</v>
      </c>
      <c r="H12" s="73" t="e">
        <f>VLOOKUP(G12,[2]Dimes!N12:N226,1)</f>
        <v>#N/A</v>
      </c>
      <c r="J12" s="74" t="s">
        <v>131</v>
      </c>
      <c r="K12" s="73" t="e">
        <f>MATCH(J12,[2]Dimes!N12:N223,0)</f>
        <v>#N/A</v>
      </c>
      <c r="M12" s="74" t="s">
        <v>268</v>
      </c>
      <c r="N12" s="73" t="e">
        <f t="shared" si="1"/>
        <v>#N/A</v>
      </c>
      <c r="P12" s="74" t="s">
        <v>271</v>
      </c>
      <c r="Q12" s="73" t="e">
        <f t="shared" si="2"/>
        <v>#N/A</v>
      </c>
      <c r="S12" s="72" t="s">
        <v>1162</v>
      </c>
    </row>
    <row r="13" spans="1:19">
      <c r="A13" s="74" t="s">
        <v>1163</v>
      </c>
      <c r="B13" s="73" t="e">
        <f>MATCH(A13,[2]Dimes!N:N,0)</f>
        <v>#N/A</v>
      </c>
      <c r="D13" s="74" t="s">
        <v>224</v>
      </c>
      <c r="E13" s="73" t="e">
        <f t="shared" si="0"/>
        <v>#N/A</v>
      </c>
      <c r="F13" s="73"/>
      <c r="G13" s="74" t="s">
        <v>64</v>
      </c>
      <c r="H13" s="73" t="e">
        <f>VLOOKUP(G13,[2]Dimes!N13:N227,1)</f>
        <v>#N/A</v>
      </c>
      <c r="J13" s="74" t="s">
        <v>266</v>
      </c>
      <c r="K13" s="73" t="e">
        <f>MATCH(J13,[2]Dimes!N13:N224,0)</f>
        <v>#N/A</v>
      </c>
      <c r="M13" s="74" t="s">
        <v>270</v>
      </c>
      <c r="N13" s="73" t="e">
        <f t="shared" si="1"/>
        <v>#N/A</v>
      </c>
      <c r="P13" s="74" t="s">
        <v>125</v>
      </c>
      <c r="Q13" s="73" t="e">
        <f t="shared" si="2"/>
        <v>#N/A</v>
      </c>
      <c r="S13" s="72" t="s">
        <v>1163</v>
      </c>
    </row>
    <row r="14" spans="1:19">
      <c r="A14" s="74">
        <v>1920</v>
      </c>
      <c r="B14" s="73" t="e">
        <f>MATCH(A14,[2]Dimes!N:N,0)</f>
        <v>#N/A</v>
      </c>
      <c r="D14" s="74" t="s">
        <v>228</v>
      </c>
      <c r="E14" s="73" t="e">
        <f t="shared" si="0"/>
        <v>#N/A</v>
      </c>
      <c r="F14" s="73"/>
      <c r="G14" s="74" t="s">
        <v>229</v>
      </c>
      <c r="H14" s="73" t="e">
        <f>VLOOKUP(G14,[2]Dimes!N14:N228,1)</f>
        <v>#N/A</v>
      </c>
      <c r="J14" s="74" t="s">
        <v>267</v>
      </c>
      <c r="K14" s="73" t="e">
        <f>MATCH(J14,[2]Dimes!N14:N225,0)</f>
        <v>#N/A</v>
      </c>
      <c r="M14" s="74" t="s">
        <v>94</v>
      </c>
      <c r="N14" s="73" t="e">
        <f t="shared" si="1"/>
        <v>#N/A</v>
      </c>
      <c r="P14" s="74" t="s">
        <v>133</v>
      </c>
      <c r="Q14" s="73" t="e">
        <f t="shared" si="2"/>
        <v>#N/A</v>
      </c>
      <c r="S14" s="72">
        <v>1920</v>
      </c>
    </row>
    <row r="15" spans="1:19">
      <c r="A15" s="74" t="s">
        <v>110</v>
      </c>
      <c r="B15" s="73" t="e">
        <f>MATCH(A15,[2]Dimes!N:N,0)</f>
        <v>#N/A</v>
      </c>
      <c r="D15" s="74">
        <v>1939</v>
      </c>
      <c r="E15" s="73" t="e">
        <f t="shared" si="0"/>
        <v>#N/A</v>
      </c>
      <c r="F15" s="73"/>
      <c r="G15" s="74">
        <v>1955</v>
      </c>
      <c r="H15" s="73" t="e">
        <f>VLOOKUP(G15,[2]Dimes!N15:N229,1)</f>
        <v>#N/A</v>
      </c>
      <c r="J15" s="74" t="s">
        <v>135</v>
      </c>
      <c r="K15" s="73" t="e">
        <f>MATCH(J15,[2]Dimes!N15:N226,0)</f>
        <v>#N/A</v>
      </c>
      <c r="M15" s="74" t="s">
        <v>274</v>
      </c>
      <c r="N15" s="73" t="e">
        <f t="shared" si="1"/>
        <v>#N/A</v>
      </c>
      <c r="P15" s="74" t="s">
        <v>141</v>
      </c>
      <c r="Q15" s="73" t="e">
        <f t="shared" si="2"/>
        <v>#N/A</v>
      </c>
      <c r="S15" s="72" t="s">
        <v>110</v>
      </c>
    </row>
    <row r="16" spans="1:19">
      <c r="A16" s="74" t="s">
        <v>113</v>
      </c>
      <c r="B16" s="73" t="e">
        <f>MATCH(A16,[2]Dimes!N:N,0)</f>
        <v>#N/A</v>
      </c>
      <c r="D16" s="74" t="s">
        <v>233</v>
      </c>
      <c r="E16" s="73" t="e">
        <f t="shared" si="0"/>
        <v>#N/A</v>
      </c>
      <c r="F16" s="73"/>
      <c r="G16" s="74" t="s">
        <v>269</v>
      </c>
      <c r="H16" s="73" t="e">
        <f>VLOOKUP(G16,[2]Dimes!N16:N230,1)</f>
        <v>#N/A</v>
      </c>
      <c r="J16" s="74" t="s">
        <v>272</v>
      </c>
      <c r="K16" s="73" t="e">
        <f>MATCH(J16,[2]Dimes!N16:N227,0)</f>
        <v>#N/A</v>
      </c>
      <c r="M16" s="74" t="s">
        <v>99</v>
      </c>
      <c r="N16" s="73" t="e">
        <f t="shared" si="1"/>
        <v>#N/A</v>
      </c>
      <c r="P16" s="74" t="s">
        <v>150</v>
      </c>
      <c r="Q16" s="73" t="e">
        <f t="shared" si="2"/>
        <v>#N/A</v>
      </c>
      <c r="S16" s="72">
        <v>1921</v>
      </c>
    </row>
    <row r="17" spans="1:19">
      <c r="A17" s="74" t="s">
        <v>1164</v>
      </c>
      <c r="B17" s="73" t="e">
        <f>MATCH(A17,[2]Dimes!N:N,0)</f>
        <v>#N/A</v>
      </c>
      <c r="D17" s="74" t="s">
        <v>235</v>
      </c>
      <c r="E17" s="73" t="e">
        <f t="shared" si="0"/>
        <v>#N/A</v>
      </c>
      <c r="F17" s="73"/>
      <c r="G17" s="74" t="s">
        <v>236</v>
      </c>
      <c r="H17" s="73" t="e">
        <f>VLOOKUP(G17,[2]Dimes!N17:N231,1)</f>
        <v>#N/A</v>
      </c>
      <c r="J17" s="74" t="s">
        <v>273</v>
      </c>
      <c r="K17" s="73" t="e">
        <f>MATCH(J17,[2]Dimes!N17:N228,0)</f>
        <v>#N/A</v>
      </c>
      <c r="M17" s="74" t="s">
        <v>277</v>
      </c>
      <c r="N17" s="73" t="e">
        <f t="shared" si="1"/>
        <v>#N/A</v>
      </c>
      <c r="O17" s="74"/>
      <c r="P17" s="74" t="s">
        <v>160</v>
      </c>
      <c r="Q17" s="73" t="e">
        <f t="shared" si="2"/>
        <v>#N/A</v>
      </c>
      <c r="S17" s="72" t="s">
        <v>1164</v>
      </c>
    </row>
    <row r="18" spans="1:19">
      <c r="A18" s="74">
        <v>1923</v>
      </c>
      <c r="B18" s="73" t="e">
        <f>MATCH(A18,[2]Dimes!N:N,0)</f>
        <v>#N/A</v>
      </c>
      <c r="D18" s="74">
        <v>1940</v>
      </c>
      <c r="E18" s="73" t="e">
        <f t="shared" si="0"/>
        <v>#N/A</v>
      </c>
      <c r="F18" s="73"/>
      <c r="G18" s="74">
        <v>1956</v>
      </c>
      <c r="H18" s="73" t="e">
        <f>VLOOKUP(G18,[2]Dimes!N18:N232,1)</f>
        <v>#N/A</v>
      </c>
      <c r="J18" s="74" t="s">
        <v>143</v>
      </c>
      <c r="K18" s="73" t="e">
        <f>MATCH(J18,[2]Dimes!N18:N229,0)</f>
        <v>#N/A</v>
      </c>
      <c r="M18" s="74" t="s">
        <v>105</v>
      </c>
      <c r="N18" s="73" t="e">
        <f t="shared" si="1"/>
        <v>#N/A</v>
      </c>
      <c r="O18" s="74"/>
      <c r="P18" s="74" t="s">
        <v>819</v>
      </c>
      <c r="Q18" s="73" t="e">
        <f t="shared" si="2"/>
        <v>#N/A</v>
      </c>
      <c r="S18" s="72">
        <v>1923</v>
      </c>
    </row>
    <row r="19" spans="1:19">
      <c r="A19" s="74" t="s">
        <v>1165</v>
      </c>
      <c r="B19" s="73" t="e">
        <f>MATCH(A19,[2]Dimes!N:N,0)</f>
        <v>#N/A</v>
      </c>
      <c r="D19" s="73" t="s">
        <v>466</v>
      </c>
      <c r="E19" s="73" t="e">
        <f t="shared" si="0"/>
        <v>#N/A</v>
      </c>
      <c r="F19" s="73"/>
      <c r="G19" s="74" t="s">
        <v>275</v>
      </c>
      <c r="H19" s="73" t="e">
        <f>VLOOKUP(G19,[2]Dimes!N19:N233,1)</f>
        <v>#N/A</v>
      </c>
      <c r="J19" s="74" t="s">
        <v>276</v>
      </c>
      <c r="K19" s="73" t="e">
        <f>MATCH(J19,[2]Dimes!N19:N230,0)</f>
        <v>#N/A</v>
      </c>
      <c r="M19" s="74" t="s">
        <v>279</v>
      </c>
      <c r="N19" s="73" t="e">
        <f t="shared" si="1"/>
        <v>#N/A</v>
      </c>
      <c r="O19" s="74"/>
      <c r="P19" s="74" t="s">
        <v>170</v>
      </c>
      <c r="Q19" s="73" t="e">
        <f t="shared" si="2"/>
        <v>#N/A</v>
      </c>
      <c r="S19" s="72" t="s">
        <v>1165</v>
      </c>
    </row>
    <row r="20" spans="1:19">
      <c r="A20" s="74">
        <v>1924</v>
      </c>
      <c r="B20" s="73" t="e">
        <f>MATCH(A20,[2]Dimes!N:N,0)</f>
        <v>#N/A</v>
      </c>
      <c r="D20" s="73" t="s">
        <v>238</v>
      </c>
      <c r="E20" s="73" t="e">
        <f t="shared" si="0"/>
        <v>#N/A</v>
      </c>
      <c r="F20" s="73"/>
      <c r="G20" s="74">
        <v>1957</v>
      </c>
      <c r="H20" s="73" t="e">
        <f>VLOOKUP(G20,[2]Dimes!N20:N234,1)</f>
        <v>#N/A</v>
      </c>
      <c r="J20" s="74" t="s">
        <v>153</v>
      </c>
      <c r="K20" s="73" t="e">
        <f>MATCH(J20,[2]Dimes!N20:N231,0)</f>
        <v>#N/A</v>
      </c>
      <c r="M20" s="74" t="s">
        <v>281</v>
      </c>
      <c r="N20" s="73" t="e">
        <f t="shared" si="1"/>
        <v>#N/A</v>
      </c>
      <c r="O20" s="74"/>
      <c r="P20" s="74" t="s">
        <v>175</v>
      </c>
      <c r="Q20" s="73" t="e">
        <f t="shared" si="2"/>
        <v>#N/A</v>
      </c>
      <c r="S20" s="72">
        <v>1924</v>
      </c>
    </row>
    <row r="21" spans="1:19">
      <c r="A21" s="74" t="s">
        <v>42</v>
      </c>
      <c r="B21" s="73" t="e">
        <f>MATCH(A21,[2]Dimes!N:N,0)</f>
        <v>#N/A</v>
      </c>
      <c r="D21" s="74">
        <v>1943</v>
      </c>
      <c r="E21" s="73" t="e">
        <f t="shared" si="0"/>
        <v>#N/A</v>
      </c>
      <c r="F21" s="73"/>
      <c r="G21" s="74" t="s">
        <v>278</v>
      </c>
      <c r="H21" s="73" t="e">
        <f>VLOOKUP(G21,[2]Dimes!N21:N235,1)</f>
        <v>#N/A</v>
      </c>
      <c r="J21" s="74" t="s">
        <v>158</v>
      </c>
      <c r="K21" s="73" t="e">
        <f>MATCH(J21,[2]Dimes!N21:N232,0)</f>
        <v>#N/A</v>
      </c>
      <c r="M21" s="74" t="s">
        <v>282</v>
      </c>
      <c r="N21" s="73" t="e">
        <f t="shared" si="1"/>
        <v>#N/A</v>
      </c>
      <c r="O21" s="74"/>
      <c r="P21" s="74">
        <v>2022</v>
      </c>
      <c r="Q21" s="73" t="e">
        <f t="shared" si="2"/>
        <v>#N/A</v>
      </c>
      <c r="S21" s="72" t="s">
        <v>42</v>
      </c>
    </row>
    <row r="22" spans="1:19">
      <c r="A22" s="74" t="s">
        <v>138</v>
      </c>
      <c r="B22" s="73" t="e">
        <f>MATCH(A22,[2]Dimes!N:N,0)</f>
        <v>#N/A</v>
      </c>
      <c r="D22" s="74" t="s">
        <v>107</v>
      </c>
      <c r="E22" s="73" t="e">
        <f t="shared" si="0"/>
        <v>#N/A</v>
      </c>
      <c r="F22" s="73"/>
      <c r="G22" s="74">
        <v>1958</v>
      </c>
      <c r="H22" s="73" t="e">
        <f>VLOOKUP(G22,[2]Dimes!N22:N236,1)</f>
        <v>#N/A</v>
      </c>
      <c r="J22" s="74" t="s">
        <v>280</v>
      </c>
      <c r="K22" s="73" t="e">
        <f>MATCH(J22,[2]Dimes!N22:N233,0)</f>
        <v>#N/A</v>
      </c>
      <c r="M22" s="74" t="s">
        <v>111</v>
      </c>
      <c r="N22" s="73" t="e">
        <f t="shared" si="1"/>
        <v>#N/A</v>
      </c>
      <c r="O22" s="74"/>
      <c r="P22" s="74" t="s">
        <v>183</v>
      </c>
      <c r="Q22" s="73" t="e">
        <f t="shared" si="2"/>
        <v>#N/A</v>
      </c>
      <c r="S22" s="72" t="s">
        <v>138</v>
      </c>
    </row>
    <row r="23" spans="1:19">
      <c r="A23" s="74">
        <v>1825</v>
      </c>
      <c r="B23" s="73" t="e">
        <f>MATCH(A23,[2]Dimes!N:N,0)</f>
        <v>#N/A</v>
      </c>
      <c r="D23" s="73" t="s">
        <v>122</v>
      </c>
      <c r="E23" s="73" t="e">
        <f t="shared" si="0"/>
        <v>#N/A</v>
      </c>
      <c r="F23" s="73"/>
      <c r="G23" s="74" t="s">
        <v>68</v>
      </c>
      <c r="H23" s="73" t="e">
        <f>VLOOKUP(G23,[2]Dimes!N23:N237,1)</f>
        <v>#N/A</v>
      </c>
      <c r="J23" s="74" t="s">
        <v>163</v>
      </c>
      <c r="K23" s="73" t="e">
        <f>MATCH(J23,[2]Dimes!N23:N234,0)</f>
        <v>#N/A</v>
      </c>
      <c r="M23" s="74" t="s">
        <v>284</v>
      </c>
      <c r="N23" s="73" t="e">
        <f t="shared" si="1"/>
        <v>#N/A</v>
      </c>
      <c r="O23" s="74"/>
      <c r="P23" s="74" t="s">
        <v>186</v>
      </c>
      <c r="Q23" s="73" t="e">
        <f t="shared" si="2"/>
        <v>#N/A</v>
      </c>
      <c r="S23" s="72">
        <v>1925</v>
      </c>
    </row>
    <row r="24" spans="1:19">
      <c r="A24" s="74" t="s">
        <v>146</v>
      </c>
      <c r="B24" s="73" t="e">
        <f>MATCH(A24,[2]Dimes!N:N,0)</f>
        <v>#N/A</v>
      </c>
      <c r="D24" s="74">
        <v>1944</v>
      </c>
      <c r="E24" s="73" t="e">
        <f t="shared" si="0"/>
        <v>#N/A</v>
      </c>
      <c r="F24" s="73"/>
      <c r="G24" s="74">
        <v>1959</v>
      </c>
      <c r="H24" s="73" t="e">
        <f>VLOOKUP(G24,[2]Dimes!N24:N238,1)</f>
        <v>#N/A</v>
      </c>
      <c r="J24" s="74" t="s">
        <v>168</v>
      </c>
      <c r="K24" s="73" t="e">
        <f>MATCH(J24,[2]Dimes!N24:N235,0)</f>
        <v>#N/A</v>
      </c>
      <c r="M24" s="74" t="s">
        <v>285</v>
      </c>
      <c r="N24" s="73" t="e">
        <f t="shared" si="1"/>
        <v>#N/A</v>
      </c>
      <c r="O24" s="74"/>
      <c r="P24" s="74"/>
      <c r="S24" s="72" t="s">
        <v>146</v>
      </c>
    </row>
    <row r="25" spans="1:19">
      <c r="A25" s="74" t="s">
        <v>151</v>
      </c>
      <c r="B25" s="73" t="e">
        <f>MATCH(A25,[2]Dimes!N:N,0)</f>
        <v>#N/A</v>
      </c>
      <c r="D25" s="74" t="s">
        <v>126</v>
      </c>
      <c r="E25" s="73" t="e">
        <f t="shared" si="0"/>
        <v>#N/A</v>
      </c>
      <c r="F25" s="73"/>
      <c r="G25" s="74" t="s">
        <v>71</v>
      </c>
      <c r="H25" s="73" t="e">
        <f>VLOOKUP(G25,[2]Dimes!N25:N239,1)</f>
        <v>#N/A</v>
      </c>
      <c r="J25" s="74" t="s">
        <v>283</v>
      </c>
      <c r="K25" s="73" t="e">
        <f>MATCH(J25,[2]Dimes!N25:N236,0)</f>
        <v>#N/A</v>
      </c>
      <c r="M25" s="74" t="s">
        <v>120</v>
      </c>
      <c r="N25" s="73" t="e">
        <f t="shared" si="1"/>
        <v>#N/A</v>
      </c>
      <c r="O25" s="74"/>
      <c r="P25" s="74"/>
      <c r="S25" s="72" t="s">
        <v>151</v>
      </c>
    </row>
    <row r="26" spans="1:19">
      <c r="A26" s="74">
        <v>1926</v>
      </c>
      <c r="B26" s="73" t="e">
        <f>MATCH(A26,[2]Dimes!N:N,0)</f>
        <v>#N/A</v>
      </c>
      <c r="D26" s="74" t="s">
        <v>130</v>
      </c>
      <c r="E26" s="73" t="e">
        <f t="shared" si="0"/>
        <v>#N/A</v>
      </c>
      <c r="F26" s="73"/>
      <c r="G26" s="74">
        <v>1960</v>
      </c>
      <c r="H26" s="73" t="e">
        <f>VLOOKUP(G26,[2]Dimes!N26:N240,1)</f>
        <v>#N/A</v>
      </c>
      <c r="J26" s="74" t="s">
        <v>173</v>
      </c>
      <c r="K26" s="73" t="e">
        <f>MATCH(J26,[2]Dimes!N26:N237,0)</f>
        <v>#N/A</v>
      </c>
      <c r="M26" s="74" t="s">
        <v>241</v>
      </c>
      <c r="N26" s="73" t="e">
        <f t="shared" si="1"/>
        <v>#N/A</v>
      </c>
      <c r="O26" s="74"/>
      <c r="S26" s="72">
        <v>1926</v>
      </c>
    </row>
    <row r="27" spans="1:19">
      <c r="A27" s="74" t="s">
        <v>156</v>
      </c>
      <c r="B27" s="73" t="e">
        <f>MATCH(A27,[2]Dimes!N:N,0)</f>
        <v>#N/A</v>
      </c>
      <c r="D27" s="74">
        <v>1945</v>
      </c>
      <c r="E27" s="73" t="e">
        <f t="shared" si="0"/>
        <v>#N/A</v>
      </c>
      <c r="F27" s="73"/>
      <c r="G27" s="74" t="s">
        <v>74</v>
      </c>
      <c r="H27" s="73" t="e">
        <f>VLOOKUP(G27,[2]Dimes!N27:N241,1)</f>
        <v>#N/A</v>
      </c>
      <c r="J27" s="74" t="s">
        <v>177</v>
      </c>
      <c r="K27" s="73" t="e">
        <f>MATCH(J27,[2]Dimes!N27:N238,0)</f>
        <v>#N/A</v>
      </c>
      <c r="M27" s="74" t="s">
        <v>124</v>
      </c>
      <c r="N27" s="73" t="e">
        <f t="shared" si="1"/>
        <v>#N/A</v>
      </c>
      <c r="O27" s="74"/>
      <c r="S27" s="72" t="s">
        <v>156</v>
      </c>
    </row>
    <row r="28" spans="1:19">
      <c r="A28" s="74" t="s">
        <v>161</v>
      </c>
      <c r="B28" s="73" t="e">
        <f>MATCH(A28,[2]Dimes!N:N,0)</f>
        <v>#N/A</v>
      </c>
      <c r="D28" s="74" t="s">
        <v>139</v>
      </c>
      <c r="E28" s="73" t="e">
        <f t="shared" si="0"/>
        <v>#N/A</v>
      </c>
      <c r="F28" s="73"/>
      <c r="G28" s="74">
        <v>1961</v>
      </c>
      <c r="H28" s="73" t="e">
        <f>VLOOKUP(G28,[2]Dimes!N28:N242,1)</f>
        <v>#N/A</v>
      </c>
      <c r="J28" s="74" t="s">
        <v>242</v>
      </c>
      <c r="K28" s="73" t="e">
        <f>MATCH(J28,[2]Dimes!N28:N239,0)</f>
        <v>#N/A</v>
      </c>
      <c r="M28" s="74" t="s">
        <v>132</v>
      </c>
      <c r="N28" s="73" t="e">
        <f t="shared" si="1"/>
        <v>#N/A</v>
      </c>
      <c r="O28" s="74"/>
      <c r="S28" s="72" t="s">
        <v>161</v>
      </c>
    </row>
    <row r="29" spans="1:19">
      <c r="A29" s="74">
        <v>1927</v>
      </c>
      <c r="B29" s="73" t="e">
        <f>MATCH(A29,[2]Dimes!N:N,0)</f>
        <v>#N/A</v>
      </c>
      <c r="D29" s="74" t="s">
        <v>142</v>
      </c>
      <c r="E29" s="73" t="e">
        <f t="shared" si="0"/>
        <v>#N/A</v>
      </c>
      <c r="F29" s="73"/>
      <c r="G29" s="74" t="s">
        <v>76</v>
      </c>
      <c r="H29" s="73" t="e">
        <f>VLOOKUP(G29,[2]Dimes!N29:N243,1)</f>
        <v>#N/A</v>
      </c>
      <c r="J29" s="74" t="s">
        <v>181</v>
      </c>
      <c r="K29" s="73" t="e">
        <f>MATCH(J29,[2]Dimes!N29:N240,0)</f>
        <v>#N/A</v>
      </c>
      <c r="M29" s="74" t="s">
        <v>244</v>
      </c>
      <c r="N29" s="73" t="e">
        <f t="shared" si="1"/>
        <v>#N/A</v>
      </c>
      <c r="O29" s="74"/>
      <c r="S29" s="72">
        <v>1927</v>
      </c>
    </row>
    <row r="30" spans="1:19">
      <c r="A30" s="74" t="s">
        <v>166</v>
      </c>
      <c r="B30" s="73" t="e">
        <f>MATCH(A30,[2]Dimes!N:N,0)</f>
        <v>#N/A</v>
      </c>
      <c r="D30" s="74">
        <v>1946</v>
      </c>
      <c r="E30" s="73" t="e">
        <f t="shared" si="0"/>
        <v>#N/A</v>
      </c>
      <c r="F30" s="73"/>
      <c r="G30" s="74">
        <v>1962</v>
      </c>
      <c r="H30" s="73" t="e">
        <f>VLOOKUP(G30,[2]Dimes!N30:N244,1)</f>
        <v>#N/A</v>
      </c>
      <c r="J30" s="74" t="s">
        <v>243</v>
      </c>
      <c r="K30" s="73" t="e">
        <f>MATCH(J30,[2]Dimes!N30:N241,0)</f>
        <v>#N/A</v>
      </c>
      <c r="M30" s="74" t="s">
        <v>136</v>
      </c>
      <c r="N30" s="73" t="e">
        <f t="shared" si="1"/>
        <v>#N/A</v>
      </c>
      <c r="O30" s="74"/>
      <c r="S30" s="72" t="s">
        <v>166</v>
      </c>
    </row>
    <row r="31" spans="1:19">
      <c r="A31" s="74" t="s">
        <v>171</v>
      </c>
      <c r="B31" s="73" t="e">
        <f>MATCH(A31,[2]Dimes!N:N,0)</f>
        <v>#N/A</v>
      </c>
      <c r="D31" s="74" t="s">
        <v>152</v>
      </c>
      <c r="E31" s="73" t="e">
        <f t="shared" si="0"/>
        <v>#N/A</v>
      </c>
      <c r="F31" s="73"/>
      <c r="G31" s="74" t="s">
        <v>79</v>
      </c>
      <c r="H31" s="73" t="e">
        <f>VLOOKUP(G31,[2]Dimes!N31:N245,1)</f>
        <v>#N/A</v>
      </c>
      <c r="J31" s="74" t="s">
        <v>245</v>
      </c>
      <c r="K31" s="73" t="e">
        <f>MATCH(J31,[2]Dimes!N31:N242,0)</f>
        <v>#N/A</v>
      </c>
      <c r="M31" s="74" t="s">
        <v>246</v>
      </c>
      <c r="N31" s="73" t="e">
        <f t="shared" si="1"/>
        <v>#N/A</v>
      </c>
      <c r="O31" s="74"/>
      <c r="S31" s="72" t="s">
        <v>171</v>
      </c>
    </row>
    <row r="32" spans="1:19">
      <c r="A32" s="74">
        <v>1928</v>
      </c>
      <c r="B32" s="73" t="e">
        <f>MATCH(A32,[2]Dimes!N:N,0)</f>
        <v>#N/A</v>
      </c>
      <c r="D32" s="74" t="s">
        <v>157</v>
      </c>
      <c r="E32" s="73" t="e">
        <f t="shared" si="0"/>
        <v>#N/A</v>
      </c>
      <c r="F32" s="73"/>
      <c r="G32" s="74">
        <v>1963</v>
      </c>
      <c r="H32" s="73" t="e">
        <f>VLOOKUP(G32,[2]Dimes!N32:N246,1)</f>
        <v>#N/A</v>
      </c>
      <c r="J32" s="74" t="s">
        <v>184</v>
      </c>
      <c r="K32" s="73" t="e">
        <f>MATCH(J32,[2]Dimes!N32:N243,0)</f>
        <v>#N/A</v>
      </c>
      <c r="M32" s="74" t="s">
        <v>140</v>
      </c>
      <c r="N32" s="73" t="e">
        <f t="shared" si="1"/>
        <v>#N/A</v>
      </c>
      <c r="O32" s="74"/>
      <c r="S32" s="72">
        <v>1928</v>
      </c>
    </row>
    <row r="33" spans="1:19">
      <c r="A33" s="74" t="s">
        <v>176</v>
      </c>
      <c r="B33" s="73" t="e">
        <f>MATCH(A33,[2]Dimes!N:N,0)</f>
        <v>#N/A</v>
      </c>
      <c r="D33" s="74">
        <v>1947</v>
      </c>
      <c r="E33" s="73" t="e">
        <f t="shared" si="0"/>
        <v>#N/A</v>
      </c>
      <c r="F33" s="73"/>
      <c r="G33" s="74">
        <v>1964</v>
      </c>
      <c r="H33" s="73" t="e">
        <f>VLOOKUP(G33,[2]Dimes!N33:N247,1)</f>
        <v>#N/A</v>
      </c>
      <c r="J33" s="74" t="s">
        <v>247</v>
      </c>
      <c r="K33" s="73" t="e">
        <f>MATCH(J33,[2]Dimes!N33:N244,0)</f>
        <v>#N/A</v>
      </c>
      <c r="M33" s="74" t="s">
        <v>248</v>
      </c>
      <c r="N33" s="73" t="e">
        <f t="shared" si="1"/>
        <v>#N/A</v>
      </c>
      <c r="O33" s="74"/>
      <c r="S33" s="72" t="s">
        <v>176</v>
      </c>
    </row>
    <row r="34" spans="1:19">
      <c r="A34" s="74" t="s">
        <v>180</v>
      </c>
      <c r="B34" s="73" t="e">
        <f>MATCH(A34,[2]Dimes!N:N,0)</f>
        <v>#N/A</v>
      </c>
      <c r="D34" s="74" t="s">
        <v>162</v>
      </c>
      <c r="E34" s="73" t="e">
        <f t="shared" si="0"/>
        <v>#N/A</v>
      </c>
      <c r="F34" s="73"/>
      <c r="G34" s="74">
        <v>1965</v>
      </c>
      <c r="H34" s="73" t="e">
        <f>VLOOKUP(G34,[2]Dimes!N34:N248,1)</f>
        <v>#N/A</v>
      </c>
      <c r="J34" s="74" t="s">
        <v>189</v>
      </c>
      <c r="K34" s="73" t="e">
        <f>MATCH(J34,[2]Dimes!N34:N245,0)</f>
        <v>#N/A</v>
      </c>
      <c r="M34" s="74" t="s">
        <v>149</v>
      </c>
      <c r="N34" s="73" t="e">
        <f t="shared" si="1"/>
        <v>#N/A</v>
      </c>
      <c r="O34" s="74"/>
      <c r="S34" s="72" t="s">
        <v>180</v>
      </c>
    </row>
    <row r="35" spans="1:19">
      <c r="A35" s="74">
        <v>1929</v>
      </c>
      <c r="B35" s="73" t="e">
        <f>MATCH(A35,[2]Dimes!N:N,0)</f>
        <v>#N/A</v>
      </c>
      <c r="D35" s="74" t="s">
        <v>167</v>
      </c>
      <c r="E35" s="73" t="e">
        <f t="shared" si="0"/>
        <v>#N/A</v>
      </c>
      <c r="F35" s="73"/>
      <c r="G35" s="74">
        <v>1966</v>
      </c>
      <c r="H35" s="73" t="e">
        <f>VLOOKUP(G35,[2]Dimes!N35:N249,1)</f>
        <v>#N/A</v>
      </c>
      <c r="J35" s="74" t="s">
        <v>249</v>
      </c>
      <c r="K35" s="73" t="e">
        <f>MATCH(J35,[2]Dimes!N35:N246,0)</f>
        <v>#N/A</v>
      </c>
      <c r="M35" s="74" t="s">
        <v>159</v>
      </c>
      <c r="N35" s="73" t="e">
        <f t="shared" si="1"/>
        <v>#N/A</v>
      </c>
      <c r="O35" s="74"/>
      <c r="S35" s="72">
        <v>1929</v>
      </c>
    </row>
    <row r="36" spans="1:19">
      <c r="A36" s="74" t="s">
        <v>187</v>
      </c>
      <c r="B36" s="73" t="e">
        <f>MATCH(A36,[2]Dimes!N:N,0)</f>
        <v>#N/A</v>
      </c>
      <c r="D36" s="74">
        <v>1948</v>
      </c>
      <c r="E36" s="73" t="e">
        <f t="shared" si="0"/>
        <v>#N/A</v>
      </c>
      <c r="F36" s="73"/>
      <c r="G36" s="74">
        <v>1967</v>
      </c>
      <c r="H36" s="73" t="e">
        <f>VLOOKUP(G36,[2]Dimes!N36:N250,1)</f>
        <v>#N/A</v>
      </c>
      <c r="J36" s="74" t="s">
        <v>250</v>
      </c>
      <c r="K36" s="73" t="e">
        <f>MATCH(J36,[2]Dimes!N36:N247,0)</f>
        <v>#N/A</v>
      </c>
      <c r="M36" s="74" t="s">
        <v>164</v>
      </c>
      <c r="N36" s="73" t="e">
        <f t="shared" si="1"/>
        <v>#N/A</v>
      </c>
      <c r="O36" s="74"/>
      <c r="S36" s="72" t="s">
        <v>187</v>
      </c>
    </row>
    <row r="37" spans="1:19">
      <c r="A37" s="74" t="s">
        <v>191</v>
      </c>
      <c r="B37" s="73" t="e">
        <f>MATCH(A37,[2]Dimes!N:N,0)</f>
        <v>#N/A</v>
      </c>
      <c r="D37" s="74" t="s">
        <v>172</v>
      </c>
      <c r="E37" s="73" t="e">
        <f t="shared" si="0"/>
        <v>#N/A</v>
      </c>
      <c r="F37" s="73"/>
      <c r="G37" s="74" t="s">
        <v>93</v>
      </c>
      <c r="H37" s="73" t="e">
        <f>VLOOKUP(G37,[2]Dimes!N37:N251,1)</f>
        <v>#N/A</v>
      </c>
      <c r="J37" s="74" t="s">
        <v>192</v>
      </c>
      <c r="K37" s="73" t="e">
        <f>MATCH(J37,[2]Dimes!N37:N248,0)</f>
        <v>#N/A</v>
      </c>
      <c r="M37" s="74" t="s">
        <v>169</v>
      </c>
      <c r="N37" s="73" t="e">
        <f t="shared" si="1"/>
        <v>#N/A</v>
      </c>
      <c r="O37" s="74"/>
      <c r="S37" s="72" t="s">
        <v>191</v>
      </c>
    </row>
    <row r="38" spans="1:19">
      <c r="A38" s="74">
        <v>1930</v>
      </c>
      <c r="B38" s="73" t="e">
        <f>MATCH(A38,[2]Dimes!N:N,0)</f>
        <v>#N/A</v>
      </c>
      <c r="D38" s="74" t="s">
        <v>65</v>
      </c>
      <c r="E38" s="73" t="e">
        <f t="shared" si="0"/>
        <v>#N/A</v>
      </c>
      <c r="F38" s="73"/>
      <c r="G38" s="74">
        <v>1968</v>
      </c>
      <c r="H38" s="73" t="e">
        <f>VLOOKUP(G38,[2]Dimes!N39:N252,1)</f>
        <v>#N/A</v>
      </c>
      <c r="J38" s="74" t="s">
        <v>251</v>
      </c>
      <c r="K38" s="73" t="e">
        <f>MATCH(J38,[2]Dimes!N39:N249,0)</f>
        <v>#N/A</v>
      </c>
      <c r="M38" s="74" t="s">
        <v>174</v>
      </c>
      <c r="N38" s="73" t="e">
        <f t="shared" si="1"/>
        <v>#N/A</v>
      </c>
      <c r="O38" s="74"/>
      <c r="S38" s="72">
        <v>1930</v>
      </c>
    </row>
    <row r="39" spans="1:19">
      <c r="A39" s="74" t="s">
        <v>194</v>
      </c>
      <c r="B39" s="73" t="e">
        <f>MATCH(A39,[2]Dimes!N:N,0)</f>
        <v>#N/A</v>
      </c>
      <c r="D39" s="74">
        <v>1949</v>
      </c>
      <c r="E39" s="73" t="e">
        <f t="shared" si="0"/>
        <v>#N/A</v>
      </c>
      <c r="F39" s="73"/>
      <c r="G39" s="74" t="s">
        <v>98</v>
      </c>
      <c r="H39" s="73" t="e">
        <f>VLOOKUP(G39,[2]Dimes!N40:N253,1)</f>
        <v>#N/A</v>
      </c>
      <c r="J39" s="74" t="s">
        <v>195</v>
      </c>
      <c r="K39" s="73" t="e">
        <f>MATCH(J39,[2]Dimes!N40:N250,0)</f>
        <v>#N/A</v>
      </c>
      <c r="M39" s="74" t="s">
        <v>253</v>
      </c>
      <c r="N39" s="73" t="e">
        <f t="shared" si="1"/>
        <v>#N/A</v>
      </c>
      <c r="O39" s="74"/>
      <c r="S39" s="72" t="s">
        <v>194</v>
      </c>
    </row>
    <row r="40" spans="1:19">
      <c r="A40" s="74">
        <v>1931</v>
      </c>
      <c r="B40" s="73" t="e">
        <f>MATCH(A40,[2]Dimes!N:N,0)</f>
        <v>#N/A</v>
      </c>
      <c r="D40" s="74" t="s">
        <v>67</v>
      </c>
      <c r="E40" s="73" t="e">
        <f t="shared" si="0"/>
        <v>#N/A</v>
      </c>
      <c r="F40" s="73"/>
      <c r="G40" s="74">
        <v>1969</v>
      </c>
      <c r="H40" s="73" t="e">
        <f>VLOOKUP(G40,[2]Dimes!N41:N254,1)</f>
        <v>#N/A</v>
      </c>
      <c r="J40" s="74" t="s">
        <v>198</v>
      </c>
      <c r="K40" s="73" t="e">
        <f>MATCH(J40,[2]Dimes!N41:N251,0)</f>
        <v>#N/A</v>
      </c>
      <c r="M40" s="74" t="s">
        <v>178</v>
      </c>
      <c r="N40" s="73" t="e">
        <f t="shared" si="1"/>
        <v>#N/A</v>
      </c>
      <c r="O40" s="74"/>
      <c r="S40" s="72">
        <v>1931</v>
      </c>
    </row>
    <row r="41" spans="1:19">
      <c r="A41" s="74" t="s">
        <v>1166</v>
      </c>
      <c r="B41" s="73" t="e">
        <f>MATCH(A41,[2]Dimes!N:N,0)</f>
        <v>#N/A</v>
      </c>
      <c r="D41" s="74" t="s">
        <v>188</v>
      </c>
      <c r="E41" s="73" t="e">
        <f t="shared" si="0"/>
        <v>#N/A</v>
      </c>
      <c r="F41" s="73"/>
      <c r="G41" s="74">
        <v>1970</v>
      </c>
      <c r="H41" s="73">
        <f>VLOOKUP(G41,[2]Dimes!N2:N218,1)</f>
        <v>1970</v>
      </c>
      <c r="J41" s="74" t="s">
        <v>205</v>
      </c>
      <c r="K41" s="73" t="e">
        <f>MATCH(J41,[2]Dimes!N42:N252,0)</f>
        <v>#N/A</v>
      </c>
      <c r="M41" s="74" t="s">
        <v>185</v>
      </c>
      <c r="N41" s="73" t="e">
        <f t="shared" si="1"/>
        <v>#N/A</v>
      </c>
      <c r="O41" s="74"/>
      <c r="S41" s="72" t="s">
        <v>1166</v>
      </c>
    </row>
    <row r="42" spans="1:19">
      <c r="A42" s="74" t="s">
        <v>39</v>
      </c>
      <c r="B42" s="73" t="e">
        <f>MATCH(A42,[2]Dimes!N:N,0)</f>
        <v>#N/A</v>
      </c>
      <c r="D42" s="74">
        <v>1950</v>
      </c>
      <c r="E42" s="73" t="e">
        <f t="shared" si="0"/>
        <v>#N/A</v>
      </c>
      <c r="F42" s="73"/>
      <c r="G42" s="74" t="s">
        <v>101</v>
      </c>
      <c r="H42" s="73" t="e">
        <f>MATCH(G42,[2]Dimes!N43:N262,0)</f>
        <v>#N/A</v>
      </c>
      <c r="J42" s="74" t="s">
        <v>209</v>
      </c>
      <c r="K42" s="73" t="e">
        <f>MATCH(J42,[2]Dimes!N43:N253,0)</f>
        <v>#N/A</v>
      </c>
      <c r="M42" s="74" t="s">
        <v>190</v>
      </c>
      <c r="N42" s="73" t="e">
        <f t="shared" si="1"/>
        <v>#N/A</v>
      </c>
      <c r="O42" s="74"/>
      <c r="S42" s="72" t="s">
        <v>39</v>
      </c>
    </row>
    <row r="43" spans="1:19">
      <c r="A43" s="74">
        <v>1934</v>
      </c>
      <c r="B43" s="73" t="e">
        <f>MATCH(A43,[2]Dimes!N:N,0)</f>
        <v>#N/A</v>
      </c>
      <c r="D43" s="74" t="s">
        <v>252</v>
      </c>
      <c r="E43" s="73" t="e">
        <f t="shared" si="0"/>
        <v>#N/A</v>
      </c>
      <c r="F43" s="73"/>
      <c r="G43" s="74" t="s">
        <v>255</v>
      </c>
      <c r="H43" s="73" t="e">
        <f>MATCH(G43,[2]Dimes!N44:N263,0)</f>
        <v>#N/A</v>
      </c>
      <c r="J43" s="74" t="s">
        <v>257</v>
      </c>
      <c r="K43" s="73" t="e">
        <f>MATCH(J43,[2]Dimes!N44:N254,0)</f>
        <v>#N/A</v>
      </c>
      <c r="M43" s="74" t="s">
        <v>196</v>
      </c>
      <c r="N43" s="73" t="e">
        <f t="shared" si="1"/>
        <v>#N/A</v>
      </c>
      <c r="O43" s="74"/>
      <c r="S43" s="72">
        <v>1934</v>
      </c>
    </row>
    <row r="44" spans="1:19">
      <c r="F44" s="73"/>
      <c r="S44" s="72" t="s">
        <v>204</v>
      </c>
    </row>
    <row r="45" spans="1:19">
      <c r="A45" s="76">
        <f>COUNTA(A2:A43)</f>
        <v>42</v>
      </c>
      <c r="D45" s="76">
        <f>COUNTA(D2:D43)</f>
        <v>42</v>
      </c>
      <c r="F45" s="73"/>
      <c r="G45" s="76">
        <f>COUNTA(G2:G43)</f>
        <v>42</v>
      </c>
      <c r="J45" s="76">
        <f>COUNTA(J2:J43)</f>
        <v>42</v>
      </c>
      <c r="M45" s="76">
        <f>COUNTA(M2:M43)</f>
        <v>42</v>
      </c>
      <c r="P45" s="76">
        <f>COUNTA(P2:P43)</f>
        <v>22</v>
      </c>
      <c r="S45" s="72">
        <v>1935</v>
      </c>
    </row>
    <row r="46" spans="1:19">
      <c r="F46" s="73"/>
      <c r="O46" s="73">
        <f>SUM(A45:P45)</f>
        <v>232</v>
      </c>
      <c r="S46" s="72" t="s">
        <v>208</v>
      </c>
    </row>
    <row r="47" spans="1:19">
      <c r="F47" s="73"/>
      <c r="S47" s="72" t="s">
        <v>211</v>
      </c>
    </row>
    <row r="48" spans="1:19">
      <c r="F48" s="73"/>
      <c r="S48" s="72">
        <v>1936</v>
      </c>
    </row>
    <row r="49" spans="6:19">
      <c r="F49" s="73"/>
      <c r="S49" s="72" t="s">
        <v>215</v>
      </c>
    </row>
    <row r="50" spans="6:19">
      <c r="F50" s="73"/>
      <c r="S50" s="72" t="s">
        <v>219</v>
      </c>
    </row>
    <row r="51" spans="6:19">
      <c r="F51" s="73"/>
      <c r="S51" s="72">
        <v>1937</v>
      </c>
    </row>
    <row r="52" spans="6:19">
      <c r="F52" s="73"/>
      <c r="S52" s="72" t="s">
        <v>451</v>
      </c>
    </row>
    <row r="53" spans="6:19">
      <c r="F53" s="73"/>
      <c r="S53" s="72" t="s">
        <v>1167</v>
      </c>
    </row>
    <row r="54" spans="6:19">
      <c r="F54" s="73"/>
      <c r="S54" s="72">
        <v>1938</v>
      </c>
    </row>
    <row r="55" spans="6:19">
      <c r="F55" s="73"/>
      <c r="S55" s="72" t="s">
        <v>224</v>
      </c>
    </row>
    <row r="56" spans="6:19">
      <c r="F56" s="73"/>
      <c r="S56" s="72" t="s">
        <v>228</v>
      </c>
    </row>
    <row r="57" spans="6:19">
      <c r="F57" s="73"/>
      <c r="S57" s="72" t="s">
        <v>233</v>
      </c>
    </row>
    <row r="58" spans="6:19">
      <c r="F58" s="73"/>
      <c r="S58" s="72" t="s">
        <v>235</v>
      </c>
    </row>
    <row r="59" spans="6:19">
      <c r="F59" s="73"/>
      <c r="S59" s="72">
        <v>1940</v>
      </c>
    </row>
    <row r="60" spans="6:19">
      <c r="F60" s="73"/>
      <c r="S60" s="72" t="s">
        <v>466</v>
      </c>
    </row>
    <row r="61" spans="6:19">
      <c r="F61" s="73"/>
      <c r="S61" s="72" t="s">
        <v>238</v>
      </c>
    </row>
    <row r="62" spans="6:19">
      <c r="F62" s="73"/>
      <c r="S62" s="72" t="s">
        <v>92</v>
      </c>
    </row>
    <row r="63" spans="6:19">
      <c r="F63" s="73"/>
      <c r="S63" s="72" t="s">
        <v>92</v>
      </c>
    </row>
    <row r="64" spans="6:19">
      <c r="F64" s="73"/>
      <c r="S64" s="72" t="s">
        <v>97</v>
      </c>
    </row>
    <row r="65" spans="6:19">
      <c r="F65" s="73"/>
      <c r="S65" s="72">
        <v>1943</v>
      </c>
    </row>
    <row r="66" spans="6:19">
      <c r="F66" s="73"/>
      <c r="S66" s="72" t="s">
        <v>107</v>
      </c>
    </row>
    <row r="67" spans="6:19">
      <c r="F67" s="73"/>
      <c r="S67" s="72" t="s">
        <v>122</v>
      </c>
    </row>
    <row r="68" spans="6:19">
      <c r="F68" s="73"/>
      <c r="S68" s="72">
        <v>1944</v>
      </c>
    </row>
    <row r="69" spans="6:19">
      <c r="F69" s="73"/>
      <c r="S69" s="72" t="s">
        <v>126</v>
      </c>
    </row>
    <row r="70" spans="6:19">
      <c r="F70" s="73"/>
      <c r="S70" s="72" t="s">
        <v>130</v>
      </c>
    </row>
    <row r="71" spans="6:19">
      <c r="F71" s="73"/>
      <c r="S71" s="72">
        <v>1945</v>
      </c>
    </row>
    <row r="72" spans="6:19">
      <c r="F72" s="73"/>
      <c r="S72" s="72" t="s">
        <v>139</v>
      </c>
    </row>
    <row r="73" spans="6:19">
      <c r="F73" s="73"/>
      <c r="S73" s="72" t="s">
        <v>142</v>
      </c>
    </row>
    <row r="74" spans="6:19">
      <c r="F74" s="73"/>
      <c r="S74" s="72" t="s">
        <v>142</v>
      </c>
    </row>
    <row r="75" spans="6:19">
      <c r="F75" s="73"/>
      <c r="S75" s="72" t="s">
        <v>152</v>
      </c>
    </row>
    <row r="76" spans="6:19">
      <c r="F76" s="73"/>
      <c r="S76" s="72">
        <v>1947</v>
      </c>
    </row>
    <row r="77" spans="6:19">
      <c r="F77" s="73"/>
      <c r="S77" s="72" t="s">
        <v>157</v>
      </c>
    </row>
    <row r="78" spans="6:19">
      <c r="F78" s="73"/>
      <c r="S78" s="72" t="s">
        <v>162</v>
      </c>
    </row>
    <row r="79" spans="6:19">
      <c r="F79" s="73"/>
      <c r="S79" s="72">
        <v>1948</v>
      </c>
    </row>
    <row r="80" spans="6:19">
      <c r="F80" s="73"/>
      <c r="S80" s="72" t="s">
        <v>167</v>
      </c>
    </row>
    <row r="81" spans="6:19">
      <c r="F81" s="73"/>
      <c r="S81" s="72" t="s">
        <v>172</v>
      </c>
    </row>
    <row r="82" spans="6:19">
      <c r="F82" s="73"/>
      <c r="S82" s="72">
        <v>1949</v>
      </c>
    </row>
    <row r="83" spans="6:19">
      <c r="F83" s="73"/>
      <c r="S83" s="72" t="s">
        <v>65</v>
      </c>
    </row>
    <row r="84" spans="6:19">
      <c r="F84" s="73"/>
      <c r="S84" s="72" t="s">
        <v>67</v>
      </c>
    </row>
    <row r="85" spans="6:19">
      <c r="F85" s="73"/>
      <c r="S85" s="72">
        <v>1950</v>
      </c>
    </row>
    <row r="86" spans="6:19">
      <c r="F86" s="73"/>
      <c r="S86" s="72" t="s">
        <v>188</v>
      </c>
    </row>
    <row r="87" spans="6:19">
      <c r="S87" s="72" t="s">
        <v>252</v>
      </c>
    </row>
    <row r="88" spans="6:19">
      <c r="S88" s="72" t="s">
        <v>254</v>
      </c>
    </row>
    <row r="89" spans="6:19">
      <c r="S89" s="72" t="s">
        <v>197</v>
      </c>
    </row>
    <row r="90" spans="6:19">
      <c r="S90" s="72">
        <v>1952</v>
      </c>
    </row>
    <row r="91" spans="6:19">
      <c r="S91" s="72" t="s">
        <v>70</v>
      </c>
    </row>
    <row r="92" spans="6:19">
      <c r="S92" s="72" t="s">
        <v>73</v>
      </c>
    </row>
    <row r="93" spans="6:19">
      <c r="S93" s="72">
        <v>1953</v>
      </c>
    </row>
    <row r="94" spans="6:19">
      <c r="S94" s="72" t="s">
        <v>212</v>
      </c>
    </row>
    <row r="95" spans="6:19">
      <c r="S95" s="72" t="s">
        <v>78</v>
      </c>
    </row>
    <row r="96" spans="6:19">
      <c r="S96" s="72" t="s">
        <v>81</v>
      </c>
    </row>
    <row r="97" spans="19:19">
      <c r="S97" s="72" t="s">
        <v>64</v>
      </c>
    </row>
    <row r="98" spans="19:19">
      <c r="S98" s="72">
        <v>1955</v>
      </c>
    </row>
    <row r="99" spans="19:19">
      <c r="S99" s="72" t="s">
        <v>229</v>
      </c>
    </row>
    <row r="100" spans="19:19">
      <c r="S100" s="72" t="s">
        <v>269</v>
      </c>
    </row>
    <row r="101" spans="19:19">
      <c r="S101" s="72">
        <v>1956</v>
      </c>
    </row>
    <row r="102" spans="19:19">
      <c r="S102" s="72" t="s">
        <v>236</v>
      </c>
    </row>
    <row r="103" spans="19:19">
      <c r="S103" s="72" t="s">
        <v>1171</v>
      </c>
    </row>
    <row r="104" spans="19:19">
      <c r="S104" s="72" t="s">
        <v>275</v>
      </c>
    </row>
    <row r="105" spans="19:19">
      <c r="S105" s="72">
        <v>1958</v>
      </c>
    </row>
    <row r="106" spans="19:19">
      <c r="S106" s="72" t="s">
        <v>278</v>
      </c>
    </row>
    <row r="107" spans="19:19">
      <c r="S107" s="72">
        <v>1959</v>
      </c>
    </row>
    <row r="108" spans="19:19">
      <c r="S108" s="72" t="s">
        <v>68</v>
      </c>
    </row>
    <row r="109" spans="19:19">
      <c r="S109" s="72" t="s">
        <v>71</v>
      </c>
    </row>
    <row r="110" spans="19:19">
      <c r="S110" s="72">
        <v>1961</v>
      </c>
    </row>
    <row r="111" spans="19:19">
      <c r="S111" s="72" t="s">
        <v>74</v>
      </c>
    </row>
    <row r="112" spans="19:19">
      <c r="S112" s="72">
        <v>1962</v>
      </c>
    </row>
    <row r="113" spans="19:19">
      <c r="S113" s="72" t="s">
        <v>76</v>
      </c>
    </row>
    <row r="114" spans="19:19">
      <c r="S114" s="72">
        <v>1963</v>
      </c>
    </row>
    <row r="115" spans="19:19">
      <c r="S115" s="72" t="s">
        <v>79</v>
      </c>
    </row>
    <row r="116" spans="19:19">
      <c r="S116" s="72">
        <v>1964</v>
      </c>
    </row>
    <row r="117" spans="19:19">
      <c r="S117" s="72">
        <v>1968</v>
      </c>
    </row>
    <row r="118" spans="19:19">
      <c r="S118" s="72" t="s">
        <v>93</v>
      </c>
    </row>
    <row r="119" spans="19:19">
      <c r="S119" s="72" t="s">
        <v>98</v>
      </c>
    </row>
    <row r="120" spans="19:19">
      <c r="S120" s="72" t="s">
        <v>581</v>
      </c>
    </row>
    <row r="121" spans="19:19">
      <c r="S121" s="72" t="s">
        <v>101</v>
      </c>
    </row>
    <row r="122" spans="19:19">
      <c r="S122" s="72">
        <v>1971</v>
      </c>
    </row>
    <row r="123" spans="19:19">
      <c r="S123" s="72" t="s">
        <v>255</v>
      </c>
    </row>
    <row r="124" spans="19:19">
      <c r="S124" s="72" t="s">
        <v>114</v>
      </c>
    </row>
    <row r="125" spans="19:19">
      <c r="S125" s="72">
        <v>1972</v>
      </c>
    </row>
    <row r="126" spans="19:19">
      <c r="S126" s="72" t="s">
        <v>258</v>
      </c>
    </row>
    <row r="127" spans="19:19">
      <c r="S127" s="72" t="s">
        <v>119</v>
      </c>
    </row>
    <row r="128" spans="19:19">
      <c r="S128" s="72">
        <v>1973</v>
      </c>
    </row>
    <row r="129" spans="19:19">
      <c r="S129" s="72" t="s">
        <v>123</v>
      </c>
    </row>
    <row r="130" spans="19:19">
      <c r="S130" s="72" t="s">
        <v>127</v>
      </c>
    </row>
    <row r="131" spans="19:19">
      <c r="S131" s="72" t="s">
        <v>262</v>
      </c>
    </row>
    <row r="132" spans="19:19">
      <c r="S132" s="72" t="s">
        <v>131</v>
      </c>
    </row>
    <row r="133" spans="19:19">
      <c r="S133" s="72" t="s">
        <v>266</v>
      </c>
    </row>
    <row r="134" spans="19:19">
      <c r="S134" s="72" t="s">
        <v>135</v>
      </c>
    </row>
    <row r="135" spans="19:19">
      <c r="S135" s="72">
        <v>1976</v>
      </c>
    </row>
    <row r="136" spans="19:19">
      <c r="S136" s="72" t="s">
        <v>272</v>
      </c>
    </row>
    <row r="137" spans="19:19">
      <c r="S137" s="72" t="s">
        <v>143</v>
      </c>
    </row>
    <row r="138" spans="19:19">
      <c r="S138" s="72">
        <v>1977</v>
      </c>
    </row>
    <row r="139" spans="19:19">
      <c r="S139" s="72" t="s">
        <v>153</v>
      </c>
    </row>
    <row r="140" spans="19:19">
      <c r="S140" s="72">
        <v>1978</v>
      </c>
    </row>
    <row r="141" spans="19:19">
      <c r="S141" s="72" t="s">
        <v>158</v>
      </c>
    </row>
    <row r="142" spans="19:19">
      <c r="S142" s="72" t="s">
        <v>163</v>
      </c>
    </row>
    <row r="143" spans="19:19">
      <c r="S143" s="72">
        <v>1979</v>
      </c>
    </row>
    <row r="144" spans="19:19">
      <c r="S144" s="72" t="s">
        <v>168</v>
      </c>
    </row>
    <row r="145" spans="19:19">
      <c r="S145" s="72" t="s">
        <v>173</v>
      </c>
    </row>
    <row r="146" spans="19:19">
      <c r="S146" s="72" t="s">
        <v>173</v>
      </c>
    </row>
    <row r="147" spans="19:19">
      <c r="S147" s="72" t="s">
        <v>242</v>
      </c>
    </row>
    <row r="148" spans="19:19">
      <c r="S148" s="72" t="s">
        <v>177</v>
      </c>
    </row>
    <row r="149" spans="19:19">
      <c r="S149" s="72" t="s">
        <v>181</v>
      </c>
    </row>
    <row r="150" spans="19:19">
      <c r="S150" s="72" t="s">
        <v>184</v>
      </c>
    </row>
    <row r="151" spans="19:19">
      <c r="S151" s="72" t="s">
        <v>184</v>
      </c>
    </row>
    <row r="152" spans="19:19">
      <c r="S152" s="72" t="s">
        <v>247</v>
      </c>
    </row>
    <row r="153" spans="19:19">
      <c r="S153" s="72" t="s">
        <v>189</v>
      </c>
    </row>
    <row r="154" spans="19:19">
      <c r="S154" s="72" t="s">
        <v>250</v>
      </c>
    </row>
    <row r="155" spans="19:19">
      <c r="S155" s="72" t="s">
        <v>192</v>
      </c>
    </row>
    <row r="156" spans="19:19">
      <c r="S156" s="72" t="s">
        <v>195</v>
      </c>
    </row>
    <row r="157" spans="19:19">
      <c r="S157" s="72" t="s">
        <v>251</v>
      </c>
    </row>
    <row r="158" spans="19:19">
      <c r="S158" s="72" t="s">
        <v>198</v>
      </c>
    </row>
    <row r="159" spans="19:19">
      <c r="S159" s="72" t="s">
        <v>205</v>
      </c>
    </row>
    <row r="160" spans="19:19">
      <c r="S160" s="72" t="s">
        <v>209</v>
      </c>
    </row>
    <row r="161" spans="19:19">
      <c r="S161" s="72" t="s">
        <v>213</v>
      </c>
    </row>
    <row r="162" spans="19:19">
      <c r="S162" s="72" t="s">
        <v>216</v>
      </c>
    </row>
    <row r="163" spans="19:19">
      <c r="S163" s="72" t="s">
        <v>220</v>
      </c>
    </row>
    <row r="164" spans="19:19">
      <c r="S164" s="72" t="s">
        <v>221</v>
      </c>
    </row>
    <row r="165" spans="19:19">
      <c r="S165" s="72" t="s">
        <v>225</v>
      </c>
    </row>
    <row r="166" spans="19:19">
      <c r="S166" s="72" t="s">
        <v>261</v>
      </c>
    </row>
    <row r="167" spans="19:19">
      <c r="S167" s="72" t="s">
        <v>230</v>
      </c>
    </row>
    <row r="168" spans="19:19">
      <c r="S168" s="72" t="s">
        <v>265</v>
      </c>
    </row>
    <row r="169" spans="19:19">
      <c r="S169" s="72" t="s">
        <v>87</v>
      </c>
    </row>
    <row r="170" spans="19:19">
      <c r="S170" s="72" t="s">
        <v>268</v>
      </c>
    </row>
    <row r="171" spans="19:19">
      <c r="S171" s="72" t="s">
        <v>94</v>
      </c>
    </row>
    <row r="172" spans="19:19">
      <c r="S172" s="72" t="s">
        <v>99</v>
      </c>
    </row>
    <row r="173" spans="19:19">
      <c r="S173" s="72" t="s">
        <v>99</v>
      </c>
    </row>
    <row r="174" spans="19:19">
      <c r="S174" s="72" t="s">
        <v>277</v>
      </c>
    </row>
    <row r="175" spans="19:19">
      <c r="S175" s="72" t="s">
        <v>105</v>
      </c>
    </row>
    <row r="176" spans="19:19">
      <c r="S176" s="72" t="s">
        <v>105</v>
      </c>
    </row>
    <row r="177" spans="19:19">
      <c r="S177" s="72" t="s">
        <v>279</v>
      </c>
    </row>
    <row r="178" spans="19:19">
      <c r="S178" s="72" t="s">
        <v>279</v>
      </c>
    </row>
    <row r="179" spans="19:19">
      <c r="S179" s="72" t="s">
        <v>281</v>
      </c>
    </row>
    <row r="180" spans="19:19">
      <c r="S180" s="72" t="s">
        <v>111</v>
      </c>
    </row>
    <row r="181" spans="19:19">
      <c r="S181" s="72" t="s">
        <v>111</v>
      </c>
    </row>
    <row r="182" spans="19:19">
      <c r="S182" s="72" t="s">
        <v>284</v>
      </c>
    </row>
    <row r="183" spans="19:19">
      <c r="S183" s="72" t="s">
        <v>284</v>
      </c>
    </row>
    <row r="184" spans="19:19">
      <c r="S184" s="72" t="s">
        <v>285</v>
      </c>
    </row>
    <row r="185" spans="19:19">
      <c r="S185" s="72" t="s">
        <v>120</v>
      </c>
    </row>
    <row r="186" spans="19:19">
      <c r="S186" s="72" t="s">
        <v>120</v>
      </c>
    </row>
    <row r="187" spans="19:19">
      <c r="S187" s="72" t="s">
        <v>124</v>
      </c>
    </row>
    <row r="188" spans="19:19">
      <c r="S188" s="72" t="s">
        <v>124</v>
      </c>
    </row>
    <row r="189" spans="19:19">
      <c r="S189" s="72" t="s">
        <v>132</v>
      </c>
    </row>
    <row r="190" spans="19:19">
      <c r="S190" s="72" t="s">
        <v>132</v>
      </c>
    </row>
    <row r="191" spans="19:19">
      <c r="S191" s="72" t="s">
        <v>244</v>
      </c>
    </row>
    <row r="192" spans="19:19">
      <c r="S192" s="72" t="s">
        <v>136</v>
      </c>
    </row>
    <row r="193" spans="19:19">
      <c r="S193" s="72" t="s">
        <v>1175</v>
      </c>
    </row>
    <row r="194" spans="19:19">
      <c r="S194" s="72" t="s">
        <v>246</v>
      </c>
    </row>
    <row r="195" spans="19:19">
      <c r="S195" s="72" t="s">
        <v>140</v>
      </c>
    </row>
    <row r="196" spans="19:19">
      <c r="S196" s="72" t="s">
        <v>140</v>
      </c>
    </row>
    <row r="197" spans="19:19">
      <c r="S197" s="72" t="s">
        <v>248</v>
      </c>
    </row>
    <row r="198" spans="19:19">
      <c r="S198" s="72" t="s">
        <v>149</v>
      </c>
    </row>
    <row r="199" spans="19:19">
      <c r="S199" s="72" t="s">
        <v>1175</v>
      </c>
    </row>
    <row r="200" spans="19:19">
      <c r="S200" s="72" t="s">
        <v>159</v>
      </c>
    </row>
    <row r="201" spans="19:19">
      <c r="S201" s="72" t="s">
        <v>164</v>
      </c>
    </row>
    <row r="202" spans="19:19">
      <c r="S202" s="72" t="s">
        <v>164</v>
      </c>
    </row>
    <row r="203" spans="19:19">
      <c r="S203" s="72" t="s">
        <v>169</v>
      </c>
    </row>
    <row r="204" spans="19:19">
      <c r="S204" s="72" t="s">
        <v>174</v>
      </c>
    </row>
    <row r="205" spans="19:19">
      <c r="S205" s="72" t="s">
        <v>174</v>
      </c>
    </row>
    <row r="206" spans="19:19">
      <c r="S206" s="72" t="s">
        <v>253</v>
      </c>
    </row>
    <row r="207" spans="19:19">
      <c r="S207" s="72" t="s">
        <v>178</v>
      </c>
    </row>
    <row r="208" spans="19:19">
      <c r="S208" s="72" t="s">
        <v>178</v>
      </c>
    </row>
    <row r="209" spans="19:19">
      <c r="S209" s="72" t="s">
        <v>185</v>
      </c>
    </row>
    <row r="210" spans="19:19">
      <c r="S210" s="72" t="s">
        <v>190</v>
      </c>
    </row>
    <row r="211" spans="19:19">
      <c r="S211" s="72" t="s">
        <v>190</v>
      </c>
    </row>
    <row r="212" spans="19:19">
      <c r="S212" s="72" t="s">
        <v>196</v>
      </c>
    </row>
    <row r="213" spans="19:19">
      <c r="S213" s="72" t="s">
        <v>199</v>
      </c>
    </row>
    <row r="214" spans="19:19">
      <c r="S214" s="72" t="s">
        <v>199</v>
      </c>
    </row>
    <row r="215" spans="19:19">
      <c r="S215" s="72" t="s">
        <v>210</v>
      </c>
    </row>
    <row r="216" spans="19:19">
      <c r="S216" s="72" t="s">
        <v>210</v>
      </c>
    </row>
    <row r="217" spans="19:19">
      <c r="S217" s="72" t="s">
        <v>214</v>
      </c>
    </row>
    <row r="218" spans="19:19">
      <c r="S218" s="72" t="s">
        <v>217</v>
      </c>
    </row>
    <row r="219" spans="19:19">
      <c r="S219" s="72" t="s">
        <v>40</v>
      </c>
    </row>
    <row r="220" spans="19:19">
      <c r="S220" s="72" t="s">
        <v>40</v>
      </c>
    </row>
    <row r="221" spans="19:19">
      <c r="S221" s="72" t="s">
        <v>226</v>
      </c>
    </row>
    <row r="222" spans="19:19">
      <c r="S222" s="72" t="s">
        <v>231</v>
      </c>
    </row>
    <row r="223" spans="19:19">
      <c r="S223" s="72" t="s">
        <v>231</v>
      </c>
    </row>
    <row r="224" spans="19:19">
      <c r="S224" s="72" t="s">
        <v>95</v>
      </c>
    </row>
    <row r="225" spans="19:19">
      <c r="S225" s="72" t="s">
        <v>95</v>
      </c>
    </row>
    <row r="226" spans="19:19">
      <c r="S226" s="72" t="s">
        <v>100</v>
      </c>
    </row>
    <row r="227" spans="19:19">
      <c r="S227" s="72" t="s">
        <v>103</v>
      </c>
    </row>
    <row r="228" spans="19:19">
      <c r="S228" s="72" t="s">
        <v>103</v>
      </c>
    </row>
    <row r="229" spans="19:19">
      <c r="S229" s="72" t="s">
        <v>106</v>
      </c>
    </row>
    <row r="230" spans="19:19">
      <c r="S230" s="72" t="s">
        <v>109</v>
      </c>
    </row>
    <row r="231" spans="19:19">
      <c r="S231" s="72" t="s">
        <v>109</v>
      </c>
    </row>
    <row r="232" spans="19:19">
      <c r="S232" s="72" t="s">
        <v>112</v>
      </c>
    </row>
    <row r="233" spans="19:19">
      <c r="S233" s="72" t="s">
        <v>116</v>
      </c>
    </row>
    <row r="234" spans="19:19">
      <c r="S234" s="72" t="s">
        <v>116</v>
      </c>
    </row>
    <row r="235" spans="19:19">
      <c r="S235" s="72" t="s">
        <v>271</v>
      </c>
    </row>
    <row r="236" spans="19:19">
      <c r="S236" s="72" t="s">
        <v>121</v>
      </c>
    </row>
    <row r="237" spans="19:19">
      <c r="S237" s="72" t="s">
        <v>121</v>
      </c>
    </row>
    <row r="238" spans="19:19">
      <c r="S238" s="72" t="s">
        <v>129</v>
      </c>
    </row>
    <row r="239" spans="19:19">
      <c r="S239" s="72" t="s">
        <v>129</v>
      </c>
    </row>
    <row r="240" spans="19:19">
      <c r="S240" s="72" t="s">
        <v>133</v>
      </c>
    </row>
    <row r="241" spans="19:19">
      <c r="S241" s="72" t="s">
        <v>137</v>
      </c>
    </row>
    <row r="242" spans="19:19">
      <c r="S242" s="72" t="s">
        <v>137</v>
      </c>
    </row>
    <row r="243" spans="19:19">
      <c r="S243" s="72" t="s">
        <v>141</v>
      </c>
    </row>
    <row r="244" spans="19:19">
      <c r="S244" s="72" t="s">
        <v>145</v>
      </c>
    </row>
    <row r="245" spans="19:19">
      <c r="S245" s="72" t="s">
        <v>145</v>
      </c>
    </row>
    <row r="246" spans="19:19">
      <c r="S246" s="72" t="s">
        <v>150</v>
      </c>
    </row>
    <row r="247" spans="19:19">
      <c r="S247" s="72" t="s">
        <v>155</v>
      </c>
    </row>
    <row r="248" spans="19:19">
      <c r="S248" s="72" t="s">
        <v>155</v>
      </c>
    </row>
    <row r="249" spans="19:19">
      <c r="S249" s="72" t="s">
        <v>160</v>
      </c>
    </row>
    <row r="250" spans="19:19">
      <c r="S250" s="72" t="s">
        <v>165</v>
      </c>
    </row>
    <row r="251" spans="19:19">
      <c r="S251" s="72" t="s">
        <v>165</v>
      </c>
    </row>
    <row r="252" spans="19:19">
      <c r="S252" s="72" t="s">
        <v>170</v>
      </c>
    </row>
    <row r="253" spans="19:19">
      <c r="S253" s="72" t="s">
        <v>175</v>
      </c>
    </row>
    <row r="254" spans="19:19">
      <c r="S254" s="72" t="s">
        <v>175</v>
      </c>
    </row>
    <row r="255" spans="19:19">
      <c r="S255" s="72" t="s">
        <v>186</v>
      </c>
    </row>
    <row r="256" spans="19:19">
      <c r="S256" s="72" t="s">
        <v>186</v>
      </c>
    </row>
    <row r="257" spans="19:19">
      <c r="S257" s="72" t="s">
        <v>200</v>
      </c>
    </row>
    <row r="258" spans="19:19">
      <c r="S258" s="72" t="s">
        <v>203</v>
      </c>
    </row>
    <row r="259" spans="19:19">
      <c r="S259" s="72" t="s">
        <v>207</v>
      </c>
    </row>
    <row r="260" spans="19:19">
      <c r="S260" s="72" t="s">
        <v>207</v>
      </c>
    </row>
    <row r="261" spans="19:19">
      <c r="S261" s="72" t="s">
        <v>1176</v>
      </c>
    </row>
    <row r="262" spans="19:19">
      <c r="S262" s="72" t="s">
        <v>43</v>
      </c>
    </row>
    <row r="263" spans="19:19">
      <c r="S263" s="72" t="s">
        <v>1177</v>
      </c>
    </row>
    <row r="264" spans="19:19">
      <c r="S264" s="72" t="s">
        <v>1177</v>
      </c>
    </row>
    <row r="265" spans="19:19">
      <c r="S265" s="72" t="s">
        <v>1178</v>
      </c>
    </row>
    <row r="266" spans="19:19">
      <c r="S266" s="72" t="s">
        <v>1179</v>
      </c>
    </row>
    <row r="267" spans="19:19">
      <c r="S267" s="72" t="s">
        <v>1180</v>
      </c>
    </row>
    <row r="268" spans="19:19">
      <c r="S268" s="72" t="s">
        <v>1180</v>
      </c>
    </row>
  </sheetData>
  <sheetProtection selectLockedCells="1" selectUnlockedCells="1"/>
  <pageMargins left="0.70000000000000007" right="0.70000000000000007" top="0.75" bottom="0.75" header="0.51181102362204722" footer="0.51181102362204722"/>
  <pageSetup firstPageNumber="0" orientation="portrait" horizontalDpi="300" verticalDpi="300"/>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BC4D-D7ED-49F2-BCD0-BC453AA87917}">
  <sheetPr codeName="Sheet9">
    <tabColor theme="8" tint="0.79998168889431442"/>
  </sheetPr>
  <dimension ref="A1:N347"/>
  <sheetViews>
    <sheetView workbookViewId="0"/>
  </sheetViews>
  <sheetFormatPr defaultColWidth="8.85546875" defaultRowHeight="12.75"/>
  <cols>
    <col min="1" max="1" width="9" style="46" customWidth="1"/>
    <col min="2" max="2" width="8.85546875" style="34"/>
    <col min="3" max="3" width="9" style="35" customWidth="1"/>
    <col min="4" max="7" width="8.85546875" style="34"/>
    <col min="8" max="8" width="43.140625" style="34" bestFit="1" customWidth="1"/>
    <col min="9" max="11" width="8.85546875" style="34"/>
    <col min="12" max="12" width="9.5703125" style="34" bestFit="1" customWidth="1"/>
    <col min="13" max="16384" width="8.85546875" style="34"/>
  </cols>
  <sheetData>
    <row r="1" spans="1:14">
      <c r="A1" s="37" t="s">
        <v>240</v>
      </c>
      <c r="B1" s="37" t="s">
        <v>9</v>
      </c>
      <c r="C1" s="37" t="s">
        <v>1384</v>
      </c>
      <c r="H1" s="135" t="s">
        <v>1919</v>
      </c>
      <c r="I1" s="135"/>
      <c r="J1"/>
      <c r="K1"/>
      <c r="L1"/>
      <c r="M1"/>
      <c r="N1"/>
    </row>
    <row r="2" spans="1:14">
      <c r="A2" s="46">
        <v>1932</v>
      </c>
      <c r="C2" s="35" t="e">
        <f>MATCH(A2,[3]Quarters!K:K,0)</f>
        <v>#N/A</v>
      </c>
      <c r="H2" s="135" t="s">
        <v>1920</v>
      </c>
      <c r="I2" s="135" t="s">
        <v>1869</v>
      </c>
      <c r="J2"/>
      <c r="K2"/>
      <c r="L2" t="s">
        <v>1150</v>
      </c>
      <c r="M2" s="185">
        <f>SUM(Quarters!G:G)</f>
        <v>37.9</v>
      </c>
      <c r="N2"/>
    </row>
    <row r="3" spans="1:14">
      <c r="A3" s="46">
        <v>1934</v>
      </c>
      <c r="C3" s="35" t="e">
        <f>MATCH(A3,[3]Quarters!K:K,0)</f>
        <v>#N/A</v>
      </c>
      <c r="H3" s="135" t="s">
        <v>1921</v>
      </c>
      <c r="I3" s="135" t="s">
        <v>1922</v>
      </c>
      <c r="J3"/>
      <c r="K3"/>
      <c r="L3" t="s">
        <v>1151</v>
      </c>
      <c r="M3" s="137">
        <f>SUM(Quarters!H:H)</f>
        <v>60.250000000000007</v>
      </c>
      <c r="N3"/>
    </row>
    <row r="4" spans="1:14">
      <c r="A4" s="46">
        <v>1935</v>
      </c>
      <c r="C4" s="35" t="e">
        <f>MATCH(A4,[3]Quarters!K:K,0)</f>
        <v>#N/A</v>
      </c>
      <c r="H4" s="135" t="s">
        <v>1923</v>
      </c>
      <c r="I4" s="135" t="s">
        <v>1924</v>
      </c>
      <c r="J4"/>
      <c r="K4"/>
      <c r="L4" t="s">
        <v>1152</v>
      </c>
      <c r="M4">
        <f>COUNT(Quarters!I29:I4999)</f>
        <v>122</v>
      </c>
      <c r="N4"/>
    </row>
    <row r="5" spans="1:14">
      <c r="A5" s="46">
        <v>1936</v>
      </c>
      <c r="C5" s="35" t="e">
        <f>MATCH(A5,[3]Quarters!K:K,0)</f>
        <v>#N/A</v>
      </c>
      <c r="H5" s="135" t="s">
        <v>1925</v>
      </c>
      <c r="I5" s="135" t="s">
        <v>1926</v>
      </c>
      <c r="J5"/>
      <c r="K5"/>
      <c r="L5"/>
      <c r="M5"/>
      <c r="N5"/>
    </row>
    <row r="6" spans="1:14">
      <c r="A6" s="46">
        <v>1937</v>
      </c>
      <c r="C6" s="35" t="e">
        <f>MATCH(A6,[3]Quarters!K:K,0)</f>
        <v>#N/A</v>
      </c>
      <c r="H6" s="135" t="s">
        <v>1927</v>
      </c>
      <c r="I6" s="135" t="s">
        <v>1926</v>
      </c>
      <c r="J6"/>
      <c r="K6"/>
      <c r="L6"/>
      <c r="M6"/>
      <c r="N6"/>
    </row>
    <row r="7" spans="1:14">
      <c r="A7" s="46">
        <v>1938</v>
      </c>
      <c r="C7" s="35" t="e">
        <f>MATCH(A7,[3]Quarters!K:K,0)</f>
        <v>#N/A</v>
      </c>
      <c r="H7" s="135" t="s">
        <v>1928</v>
      </c>
      <c r="I7" s="135" t="s">
        <v>1929</v>
      </c>
      <c r="J7"/>
      <c r="K7"/>
      <c r="L7"/>
      <c r="M7"/>
      <c r="N7"/>
    </row>
    <row r="8" spans="1:14">
      <c r="A8" s="46">
        <v>1939</v>
      </c>
      <c r="C8" s="35">
        <f>MATCH(A8,[3]Quarters!K:K,0)</f>
        <v>3</v>
      </c>
      <c r="H8" s="135" t="s">
        <v>1930</v>
      </c>
      <c r="I8" s="134">
        <v>1853</v>
      </c>
      <c r="J8"/>
      <c r="K8"/>
      <c r="L8"/>
      <c r="M8"/>
      <c r="N8"/>
    </row>
    <row r="9" spans="1:14">
      <c r="A9" s="46">
        <v>1940</v>
      </c>
      <c r="C9" s="35" t="e">
        <f>MATCH(A9,[3]Quarters!K:K,0)</f>
        <v>#N/A</v>
      </c>
      <c r="H9" s="135" t="s">
        <v>1931</v>
      </c>
      <c r="I9" s="186" t="s">
        <v>1932</v>
      </c>
      <c r="J9"/>
      <c r="K9"/>
      <c r="L9"/>
      <c r="M9"/>
      <c r="N9"/>
    </row>
    <row r="10" spans="1:14">
      <c r="A10" s="46">
        <v>1941</v>
      </c>
      <c r="C10" s="35" t="e">
        <f>MATCH(A10,[3]Quarters!K:K,0)</f>
        <v>#N/A</v>
      </c>
      <c r="H10" s="135" t="s">
        <v>1933</v>
      </c>
      <c r="I10" s="186" t="s">
        <v>1934</v>
      </c>
      <c r="J10"/>
      <c r="K10"/>
      <c r="L10"/>
      <c r="M10"/>
      <c r="N10"/>
    </row>
    <row r="11" spans="1:14">
      <c r="A11" s="46">
        <v>1942</v>
      </c>
      <c r="C11" s="35">
        <f>MATCH(A11,[3]Quarters!K:K,0)</f>
        <v>4</v>
      </c>
      <c r="H11" s="135" t="s">
        <v>1935</v>
      </c>
      <c r="I11" s="186" t="s">
        <v>1936</v>
      </c>
      <c r="J11"/>
      <c r="K11"/>
      <c r="L11"/>
      <c r="M11"/>
      <c r="N11"/>
    </row>
    <row r="12" spans="1:14">
      <c r="A12" s="46">
        <v>1943</v>
      </c>
      <c r="C12" s="35" t="e">
        <f>MATCH(A12,[3]Quarters!K:K,0)</f>
        <v>#N/A</v>
      </c>
      <c r="H12" s="135" t="s">
        <v>1937</v>
      </c>
      <c r="I12" s="186" t="s">
        <v>1938</v>
      </c>
      <c r="J12"/>
      <c r="K12"/>
      <c r="L12"/>
      <c r="M12"/>
      <c r="N12"/>
    </row>
    <row r="13" spans="1:14">
      <c r="A13" s="46">
        <v>1944</v>
      </c>
      <c r="C13" s="35" t="e">
        <f>MATCH(A13,[3]Quarters!K:K,0)</f>
        <v>#N/A</v>
      </c>
      <c r="H13" s="135" t="s">
        <v>1939</v>
      </c>
      <c r="I13" s="186" t="s">
        <v>1940</v>
      </c>
      <c r="J13"/>
      <c r="K13"/>
      <c r="L13"/>
      <c r="M13"/>
      <c r="N13"/>
    </row>
    <row r="14" spans="1:14">
      <c r="A14" s="46">
        <v>1945</v>
      </c>
      <c r="C14" s="35" t="e">
        <f>MATCH(A14,[3]Quarters!K:K,0)</f>
        <v>#N/A</v>
      </c>
      <c r="H14" s="135" t="s">
        <v>1941</v>
      </c>
      <c r="I14" s="135" t="s">
        <v>1942</v>
      </c>
      <c r="J14"/>
      <c r="K14"/>
      <c r="L14"/>
      <c r="M14"/>
      <c r="N14"/>
    </row>
    <row r="15" spans="1:14">
      <c r="A15" s="46">
        <v>1946</v>
      </c>
      <c r="C15" s="35">
        <f>MATCH(A15,[3]Quarters!K:K,0)</f>
        <v>5</v>
      </c>
      <c r="H15" s="135" t="s">
        <v>1943</v>
      </c>
      <c r="I15" s="135" t="s">
        <v>1944</v>
      </c>
      <c r="J15"/>
      <c r="K15"/>
      <c r="L15"/>
      <c r="M15"/>
      <c r="N15"/>
    </row>
    <row r="16" spans="1:14">
      <c r="A16" s="46">
        <v>1947</v>
      </c>
      <c r="C16" s="35" t="e">
        <f>MATCH(A16,[3]Quarters!K:K,0)</f>
        <v>#N/A</v>
      </c>
      <c r="H16" s="135" t="s">
        <v>1945</v>
      </c>
      <c r="I16" s="135" t="s">
        <v>1946</v>
      </c>
      <c r="J16"/>
      <c r="K16"/>
      <c r="L16"/>
      <c r="M16"/>
      <c r="N16"/>
    </row>
    <row r="17" spans="1:14">
      <c r="A17" s="46">
        <v>1948</v>
      </c>
      <c r="C17" s="35" t="e">
        <f>MATCH(A17,[3]Quarters!K:K,0)</f>
        <v>#N/A</v>
      </c>
      <c r="H17"/>
      <c r="I17"/>
      <c r="J17"/>
      <c r="K17"/>
      <c r="L17"/>
      <c r="M17"/>
      <c r="N17"/>
    </row>
    <row r="18" spans="1:14">
      <c r="A18" s="46">
        <v>1949</v>
      </c>
      <c r="C18" s="35" t="e">
        <f>MATCH(A18,[3]Quarters!K:K,0)</f>
        <v>#N/A</v>
      </c>
    </row>
    <row r="19" spans="1:14">
      <c r="A19" s="46">
        <v>1950</v>
      </c>
      <c r="C19" s="35" t="e">
        <f>MATCH(A19,[3]Quarters!K:K,0)</f>
        <v>#N/A</v>
      </c>
    </row>
    <row r="20" spans="1:14">
      <c r="A20" s="46">
        <v>1951</v>
      </c>
      <c r="C20" s="35" t="e">
        <f>MATCH(A20,[3]Quarters!K:K,0)</f>
        <v>#N/A</v>
      </c>
    </row>
    <row r="21" spans="1:14">
      <c r="A21" s="46">
        <v>1952</v>
      </c>
      <c r="C21" s="35">
        <f>MATCH(A21,[3]Quarters!K:K,0)</f>
        <v>6</v>
      </c>
    </row>
    <row r="22" spans="1:14">
      <c r="A22" s="46">
        <v>1953</v>
      </c>
      <c r="C22" s="35" t="e">
        <f>MATCH(A22,[3]Quarters!K:K,0)</f>
        <v>#N/A</v>
      </c>
    </row>
    <row r="23" spans="1:14">
      <c r="A23" s="46">
        <v>1954</v>
      </c>
      <c r="C23" s="35" t="e">
        <f>MATCH(A23,[3]Quarters!K:K,0)</f>
        <v>#N/A</v>
      </c>
    </row>
    <row r="24" spans="1:14">
      <c r="A24" s="46">
        <v>1955</v>
      </c>
      <c r="C24" s="35" t="e">
        <f>MATCH(A24,[3]Quarters!K:K,0)</f>
        <v>#N/A</v>
      </c>
    </row>
    <row r="25" spans="1:14">
      <c r="A25" s="46">
        <v>1956</v>
      </c>
      <c r="C25" s="35" t="e">
        <f>MATCH(A25,[3]Quarters!K:K,0)</f>
        <v>#N/A</v>
      </c>
    </row>
    <row r="26" spans="1:14">
      <c r="A26" s="46">
        <v>1957</v>
      </c>
      <c r="C26" s="35" t="e">
        <f>MATCH(A26,[3]Quarters!K:K,0)</f>
        <v>#N/A</v>
      </c>
    </row>
    <row r="27" spans="1:14">
      <c r="A27" s="46">
        <v>1958</v>
      </c>
      <c r="C27" s="35" t="e">
        <f>MATCH(A27,[3]Quarters!K:K,0)</f>
        <v>#N/A</v>
      </c>
    </row>
    <row r="28" spans="1:14">
      <c r="A28" s="46">
        <v>1959</v>
      </c>
      <c r="C28" s="35" t="e">
        <f>MATCH(A28,[3]Quarters!K:K,0)</f>
        <v>#N/A</v>
      </c>
    </row>
    <row r="29" spans="1:14">
      <c r="A29" s="46">
        <v>1960</v>
      </c>
      <c r="C29" s="35" t="e">
        <f>MATCH(A29,[3]Quarters!K:K,0)</f>
        <v>#N/A</v>
      </c>
    </row>
    <row r="30" spans="1:14">
      <c r="A30" s="46">
        <v>1961</v>
      </c>
      <c r="C30" s="35" t="e">
        <f>MATCH(A30,[3]Quarters!K:K,0)</f>
        <v>#N/A</v>
      </c>
    </row>
    <row r="31" spans="1:14">
      <c r="A31" s="46">
        <v>1962</v>
      </c>
      <c r="C31" s="35" t="e">
        <f>MATCH(A31,[3]Quarters!K:K,0)</f>
        <v>#N/A</v>
      </c>
    </row>
    <row r="32" spans="1:14">
      <c r="A32" s="46">
        <v>1963</v>
      </c>
      <c r="C32" s="35" t="e">
        <f>MATCH(A32,[3]Quarters!K:K,0)</f>
        <v>#N/A</v>
      </c>
    </row>
    <row r="33" spans="1:3">
      <c r="A33" s="46">
        <v>1964</v>
      </c>
      <c r="C33" s="35" t="e">
        <f>MATCH(A33,[3]Quarters!K:K,0)</f>
        <v>#N/A</v>
      </c>
    </row>
    <row r="34" spans="1:3">
      <c r="A34" s="46">
        <v>1965</v>
      </c>
      <c r="C34" s="35">
        <f>MATCH(A34,[3]Quarters!K:K,0)</f>
        <v>8</v>
      </c>
    </row>
    <row r="35" spans="1:3">
      <c r="A35" s="46">
        <v>1966</v>
      </c>
      <c r="C35" s="35">
        <f>MATCH(A35,[3]Quarters!K:K,0)</f>
        <v>10</v>
      </c>
    </row>
    <row r="36" spans="1:3">
      <c r="A36" s="94">
        <v>1967</v>
      </c>
      <c r="C36" s="35" t="e">
        <f>MATCH(A36,[3]Quarters!K:K,0)</f>
        <v>#N/A</v>
      </c>
    </row>
    <row r="37" spans="1:3">
      <c r="A37" s="46">
        <v>1968</v>
      </c>
      <c r="C37" s="35" t="e">
        <f>MATCH(A37,[3]Quarters!K:K,0)</f>
        <v>#N/A</v>
      </c>
    </row>
    <row r="38" spans="1:3">
      <c r="A38" s="46">
        <v>1969</v>
      </c>
      <c r="C38" s="35" t="e">
        <f>MATCH(A38,[3]Quarters!K:K,0)</f>
        <v>#N/A</v>
      </c>
    </row>
    <row r="39" spans="1:3">
      <c r="A39" s="46">
        <v>1970</v>
      </c>
      <c r="C39" s="35">
        <f>MATCH(A39,[3]Quarters!K:K,0)</f>
        <v>11</v>
      </c>
    </row>
    <row r="40" spans="1:3">
      <c r="A40" s="46" t="s">
        <v>1385</v>
      </c>
      <c r="C40" s="35" t="e">
        <f>MATCH(A40,[3]Quarters!K:K,0)</f>
        <v>#N/A</v>
      </c>
    </row>
    <row r="41" spans="1:3">
      <c r="A41" s="46" t="s">
        <v>1386</v>
      </c>
      <c r="C41" s="35" t="e">
        <f>MATCH(A41,[3]Quarters!K:K,0)</f>
        <v>#N/A</v>
      </c>
    </row>
    <row r="42" spans="1:3">
      <c r="A42" s="46" t="s">
        <v>204</v>
      </c>
      <c r="C42" s="35" t="e">
        <f>MATCH(A42,[3]Quarters!K:K,0)</f>
        <v>#N/A</v>
      </c>
    </row>
    <row r="43" spans="1:3">
      <c r="A43" s="46" t="s">
        <v>208</v>
      </c>
      <c r="C43" s="35" t="e">
        <f>MATCH(A43,[3]Quarters!K:K,0)</f>
        <v>#N/A</v>
      </c>
    </row>
    <row r="44" spans="1:3">
      <c r="A44" s="46" t="s">
        <v>211</v>
      </c>
      <c r="C44" s="35" t="e">
        <f>MATCH(A44,[3]Quarters!K:K,0)</f>
        <v>#N/A</v>
      </c>
    </row>
    <row r="45" spans="1:3">
      <c r="A45" s="46" t="s">
        <v>215</v>
      </c>
      <c r="C45" s="35" t="e">
        <f>MATCH(A45,[3]Quarters!K:K,0)</f>
        <v>#N/A</v>
      </c>
    </row>
    <row r="46" spans="1:3">
      <c r="A46" s="46" t="s">
        <v>219</v>
      </c>
      <c r="C46" s="35" t="e">
        <f>MATCH(A46,[3]Quarters!K:K,0)</f>
        <v>#N/A</v>
      </c>
    </row>
    <row r="47" spans="1:3">
      <c r="A47" s="46" t="s">
        <v>451</v>
      </c>
      <c r="C47" s="35" t="e">
        <f>MATCH(A47,[3]Quarters!K:K,0)</f>
        <v>#N/A</v>
      </c>
    </row>
    <row r="48" spans="1:3">
      <c r="A48" s="46" t="s">
        <v>1167</v>
      </c>
      <c r="C48" s="35" t="e">
        <f>MATCH(A48,[3]Quarters!K:K,0)</f>
        <v>#N/A</v>
      </c>
    </row>
    <row r="49" spans="1:3">
      <c r="A49" s="46" t="s">
        <v>228</v>
      </c>
      <c r="C49" s="35" t="e">
        <f>MATCH(A49,[3]Quarters!K:K,0)</f>
        <v>#N/A</v>
      </c>
    </row>
    <row r="50" spans="1:3">
      <c r="A50" s="46" t="s">
        <v>233</v>
      </c>
      <c r="C50" s="35" t="e">
        <f>MATCH(A50,[3]Quarters!K:K,0)</f>
        <v>#N/A</v>
      </c>
    </row>
    <row r="51" spans="1:3">
      <c r="A51" s="46" t="s">
        <v>235</v>
      </c>
      <c r="C51" s="35" t="e">
        <f>MATCH(A51,[3]Quarters!K:K,0)</f>
        <v>#N/A</v>
      </c>
    </row>
    <row r="52" spans="1:3">
      <c r="A52" s="46" t="s">
        <v>466</v>
      </c>
      <c r="C52" s="35" t="e">
        <f>MATCH(A52,[3]Quarters!K:K,0)</f>
        <v>#N/A</v>
      </c>
    </row>
    <row r="53" spans="1:3">
      <c r="A53" s="46" t="s">
        <v>238</v>
      </c>
      <c r="C53" s="35" t="e">
        <f>MATCH(A53,[3]Quarters!K:K,0)</f>
        <v>#N/A</v>
      </c>
    </row>
    <row r="54" spans="1:3">
      <c r="A54" s="46" t="s">
        <v>475</v>
      </c>
      <c r="C54" s="35" t="e">
        <f>MATCH(A54,[3]Quarters!K:K,0)</f>
        <v>#N/A</v>
      </c>
    </row>
    <row r="55" spans="1:3">
      <c r="A55" s="46" t="s">
        <v>86</v>
      </c>
      <c r="C55" s="35" t="e">
        <f>MATCH(A55,[3]Quarters!K:K,0)</f>
        <v>#N/A</v>
      </c>
    </row>
    <row r="56" spans="1:3">
      <c r="A56" s="46" t="s">
        <v>92</v>
      </c>
      <c r="C56" s="35" t="e">
        <f>MATCH(A56,[3]Quarters!K:K,0)</f>
        <v>#N/A</v>
      </c>
    </row>
    <row r="57" spans="1:3">
      <c r="A57" s="46" t="s">
        <v>97</v>
      </c>
      <c r="C57" s="35" t="e">
        <f>MATCH(A57,[3]Quarters!K:K,0)</f>
        <v>#N/A</v>
      </c>
    </row>
    <row r="58" spans="1:3">
      <c r="A58" s="46" t="s">
        <v>107</v>
      </c>
      <c r="C58" s="35" t="e">
        <f>MATCH(A58,[3]Quarters!K:K,0)</f>
        <v>#N/A</v>
      </c>
    </row>
    <row r="59" spans="1:3">
      <c r="A59" s="46" t="s">
        <v>122</v>
      </c>
      <c r="C59" s="35" t="e">
        <f>MATCH(A59,[3]Quarters!K:K,0)</f>
        <v>#N/A</v>
      </c>
    </row>
    <row r="60" spans="1:3">
      <c r="A60" s="46" t="s">
        <v>126</v>
      </c>
      <c r="C60" s="35" t="e">
        <f>MATCH(A60,[3]Quarters!K:K,0)</f>
        <v>#N/A</v>
      </c>
    </row>
    <row r="61" spans="1:3">
      <c r="A61" s="46" t="s">
        <v>130</v>
      </c>
      <c r="C61" s="35" t="e">
        <f>MATCH(A61,[3]Quarters!K:K,0)</f>
        <v>#N/A</v>
      </c>
    </row>
    <row r="62" spans="1:3">
      <c r="A62" s="46" t="s">
        <v>139</v>
      </c>
      <c r="C62" s="35" t="e">
        <f>MATCH(A62,[3]Quarters!K:K,0)</f>
        <v>#N/A</v>
      </c>
    </row>
    <row r="63" spans="1:3">
      <c r="A63" s="46" t="s">
        <v>142</v>
      </c>
      <c r="C63" s="35" t="e">
        <f>MATCH(A63,[3]Quarters!K:K,0)</f>
        <v>#N/A</v>
      </c>
    </row>
    <row r="64" spans="1:3">
      <c r="A64" s="46" t="s">
        <v>147</v>
      </c>
      <c r="C64" s="35" t="e">
        <f>MATCH(A64,[3]Quarters!K:K,0)</f>
        <v>#N/A</v>
      </c>
    </row>
    <row r="65" spans="1:3">
      <c r="A65" s="46" t="s">
        <v>152</v>
      </c>
      <c r="C65" s="35" t="e">
        <f>MATCH(A65,[3]Quarters!K:K,0)</f>
        <v>#N/A</v>
      </c>
    </row>
    <row r="66" spans="1:3">
      <c r="A66" s="46" t="s">
        <v>157</v>
      </c>
      <c r="C66" s="35" t="e">
        <f>MATCH(A66,[3]Quarters!K:K,0)</f>
        <v>#N/A</v>
      </c>
    </row>
    <row r="67" spans="1:3">
      <c r="A67" s="46" t="s">
        <v>162</v>
      </c>
      <c r="C67" s="35" t="e">
        <f>MATCH(A67,[3]Quarters!K:K,0)</f>
        <v>#N/A</v>
      </c>
    </row>
    <row r="68" spans="1:3">
      <c r="A68" s="46" t="s">
        <v>167</v>
      </c>
      <c r="C68" s="35" t="e">
        <f>MATCH(A68,[3]Quarters!K:K,0)</f>
        <v>#N/A</v>
      </c>
    </row>
    <row r="69" spans="1:3">
      <c r="A69" s="46" t="s">
        <v>172</v>
      </c>
      <c r="C69" s="35" t="e">
        <f>MATCH(A69,[3]Quarters!K:K,0)</f>
        <v>#N/A</v>
      </c>
    </row>
    <row r="70" spans="1:3">
      <c r="A70" s="46" t="s">
        <v>65</v>
      </c>
      <c r="C70" s="35" t="e">
        <f>MATCH(A70,[3]Quarters!K:K,0)</f>
        <v>#N/A</v>
      </c>
    </row>
    <row r="71" spans="1:3">
      <c r="A71" s="46" t="s">
        <v>188</v>
      </c>
      <c r="C71" s="35" t="e">
        <f>MATCH(A71,[3]Quarters!K:K,0)</f>
        <v>#N/A</v>
      </c>
    </row>
    <row r="72" spans="1:3">
      <c r="A72" s="46" t="s">
        <v>252</v>
      </c>
      <c r="C72" s="35" t="e">
        <f>MATCH(A72,[3]Quarters!K:K,0)</f>
        <v>#N/A</v>
      </c>
    </row>
    <row r="73" spans="1:3">
      <c r="A73" s="46" t="s">
        <v>254</v>
      </c>
      <c r="C73" s="35" t="e">
        <f>MATCH(A73,[3]Quarters!K:K,0)</f>
        <v>#N/A</v>
      </c>
    </row>
    <row r="74" spans="1:3">
      <c r="A74" s="46" t="s">
        <v>197</v>
      </c>
      <c r="C74" s="35" t="e">
        <f>MATCH(A74,[3]Quarters!K:K,0)</f>
        <v>#N/A</v>
      </c>
    </row>
    <row r="75" spans="1:3">
      <c r="A75" s="46" t="s">
        <v>70</v>
      </c>
      <c r="C75" s="35" t="e">
        <f>MATCH(A75,[3]Quarters!K:K,0)</f>
        <v>#N/A</v>
      </c>
    </row>
    <row r="76" spans="1:3">
      <c r="A76" s="46" t="s">
        <v>73</v>
      </c>
      <c r="C76" s="35" t="e">
        <f>MATCH(A76,[3]Quarters!K:K,0)</f>
        <v>#N/A</v>
      </c>
    </row>
    <row r="77" spans="1:3">
      <c r="A77" s="46" t="s">
        <v>212</v>
      </c>
      <c r="C77" s="35" t="e">
        <f>MATCH(A77,[3]Quarters!K:K,0)</f>
        <v>#N/A</v>
      </c>
    </row>
    <row r="78" spans="1:3">
      <c r="A78" s="46" t="s">
        <v>78</v>
      </c>
      <c r="C78" s="35" t="e">
        <f>MATCH(A78,[3]Quarters!K:K,0)</f>
        <v>#N/A</v>
      </c>
    </row>
    <row r="79" spans="1:3">
      <c r="A79" s="46" t="s">
        <v>81</v>
      </c>
      <c r="C79" s="35" t="e">
        <f>MATCH(A79,[3]Quarters!K:K,0)</f>
        <v>#N/A</v>
      </c>
    </row>
    <row r="80" spans="1:3">
      <c r="A80" s="46" t="s">
        <v>64</v>
      </c>
      <c r="C80" s="35" t="e">
        <f>MATCH(A80,[3]Quarters!K:K,0)</f>
        <v>#N/A</v>
      </c>
    </row>
    <row r="81" spans="1:3">
      <c r="A81" s="46" t="s">
        <v>229</v>
      </c>
      <c r="C81" s="35" t="e">
        <f>MATCH(A81,[3]Quarters!K:K,0)</f>
        <v>#N/A</v>
      </c>
    </row>
    <row r="82" spans="1:3">
      <c r="A82" s="46" t="s">
        <v>236</v>
      </c>
      <c r="C82" s="35" t="e">
        <f>MATCH(A82,[3]Quarters!K:K,0)</f>
        <v>#N/A</v>
      </c>
    </row>
    <row r="83" spans="1:3">
      <c r="A83" s="46" t="s">
        <v>275</v>
      </c>
      <c r="C83" s="35" t="e">
        <f>MATCH(A83,[3]Quarters!K:K,0)</f>
        <v>#N/A</v>
      </c>
    </row>
    <row r="84" spans="1:3">
      <c r="A84" s="46" t="s">
        <v>278</v>
      </c>
      <c r="C84" s="35" t="e">
        <f>MATCH(A84,[3]Quarters!K:K,0)</f>
        <v>#N/A</v>
      </c>
    </row>
    <row r="85" spans="1:3">
      <c r="A85" s="46" t="s">
        <v>68</v>
      </c>
      <c r="C85" s="35" t="e">
        <f>MATCH(A85,[3]Quarters!K:K,0)</f>
        <v>#N/A</v>
      </c>
    </row>
    <row r="86" spans="1:3">
      <c r="A86" s="46" t="s">
        <v>71</v>
      </c>
      <c r="C86" s="35" t="e">
        <f>MATCH(A86,[3]Quarters!K:K,0)</f>
        <v>#N/A</v>
      </c>
    </row>
    <row r="87" spans="1:3">
      <c r="A87" s="46" t="s">
        <v>74</v>
      </c>
      <c r="C87" s="35" t="e">
        <f>MATCH(A87,[3]Quarters!K:K,0)</f>
        <v>#N/A</v>
      </c>
    </row>
    <row r="88" spans="1:3">
      <c r="A88" s="46" t="s">
        <v>76</v>
      </c>
      <c r="C88" s="35" t="e">
        <f>MATCH(A88,[3]Quarters!K:K,0)</f>
        <v>#N/A</v>
      </c>
    </row>
    <row r="89" spans="1:3">
      <c r="A89" s="46" t="s">
        <v>79</v>
      </c>
      <c r="C89" s="35" t="e">
        <f>MATCH(A89,[3]Quarters!K:K,0)</f>
        <v>#N/A</v>
      </c>
    </row>
    <row r="90" spans="1:3">
      <c r="A90" s="46" t="s">
        <v>554</v>
      </c>
      <c r="C90" s="35" t="e">
        <f>MATCH(A90,[3]Quarters!K:K,0)</f>
        <v>#N/A</v>
      </c>
    </row>
    <row r="91" spans="1:3">
      <c r="A91" s="46" t="s">
        <v>93</v>
      </c>
      <c r="C91" s="35" t="e">
        <f>MATCH(A91,[3]Quarters!K:K,0)</f>
        <v>#N/A</v>
      </c>
    </row>
    <row r="92" spans="1:3">
      <c r="A92" s="46" t="s">
        <v>98</v>
      </c>
      <c r="C92" s="35" t="e">
        <f>MATCH(A92,[3]Quarters!K:K,0)</f>
        <v>#N/A</v>
      </c>
    </row>
    <row r="93" spans="1:3">
      <c r="A93" s="46" t="s">
        <v>575</v>
      </c>
      <c r="C93" s="35" t="e">
        <f>MATCH(A93,[3]Quarters!K:K,0)</f>
        <v>#N/A</v>
      </c>
    </row>
    <row r="94" spans="1:3">
      <c r="A94" s="46" t="s">
        <v>581</v>
      </c>
      <c r="C94" s="35" t="e">
        <f>MATCH(A94,[3]Quarters!K:K,0)</f>
        <v>#N/A</v>
      </c>
    </row>
    <row r="95" spans="1:3">
      <c r="A95" s="46" t="s">
        <v>583</v>
      </c>
      <c r="C95" s="35" t="e">
        <f>MATCH(A95,[3]Quarters!K:K,0)</f>
        <v>#N/A</v>
      </c>
    </row>
    <row r="96" spans="1:3">
      <c r="A96" s="46" t="s">
        <v>101</v>
      </c>
      <c r="C96" s="35" t="e">
        <f>MATCH(A96,[3]Quarters!K:K,0)</f>
        <v>#N/A</v>
      </c>
    </row>
    <row r="97" spans="1:3">
      <c r="A97" s="46" t="s">
        <v>255</v>
      </c>
      <c r="C97" s="35" t="e">
        <f>MATCH(A97,[3]Quarters!K:K,0)</f>
        <v>#N/A</v>
      </c>
    </row>
    <row r="98" spans="1:3">
      <c r="A98" s="46" t="s">
        <v>256</v>
      </c>
      <c r="C98" s="35" t="e">
        <f>MATCH(A98,[3]Quarters!K:K,0)</f>
        <v>#N/A</v>
      </c>
    </row>
    <row r="99" spans="1:3">
      <c r="A99" s="46" t="s">
        <v>114</v>
      </c>
      <c r="C99" s="35" t="e">
        <f>MATCH(A99,[3]Quarters!K:K,0)</f>
        <v>#N/A</v>
      </c>
    </row>
    <row r="100" spans="1:3">
      <c r="A100" s="46" t="s">
        <v>258</v>
      </c>
      <c r="C100" s="35">
        <f>MATCH(A100,[3]Quarters!K:K,0)</f>
        <v>12</v>
      </c>
    </row>
    <row r="101" spans="1:3">
      <c r="A101" s="46" t="s">
        <v>259</v>
      </c>
      <c r="C101" s="35" t="e">
        <f>MATCH(A101,[3]Quarters!K:K,0)</f>
        <v>#N/A</v>
      </c>
    </row>
    <row r="102" spans="1:3">
      <c r="A102" s="46" t="s">
        <v>119</v>
      </c>
      <c r="C102" s="35" t="e">
        <f>MATCH(A102,[3]Quarters!K:K,0)</f>
        <v>#N/A</v>
      </c>
    </row>
    <row r="103" spans="1:3">
      <c r="A103" s="46" t="s">
        <v>123</v>
      </c>
      <c r="C103" s="35" t="e">
        <f>MATCH(A103,[3]Quarters!K:K,0)</f>
        <v>#N/A</v>
      </c>
    </row>
    <row r="104" spans="1:3">
      <c r="A104" s="46" t="s">
        <v>260</v>
      </c>
      <c r="C104" s="35" t="e">
        <f>MATCH(A104,[3]Quarters!K:K,0)</f>
        <v>#N/A</v>
      </c>
    </row>
    <row r="105" spans="1:3">
      <c r="A105" s="46" t="s">
        <v>127</v>
      </c>
      <c r="C105" s="35" t="e">
        <f>MATCH(A105,[3]Quarters!K:K,0)</f>
        <v>#N/A</v>
      </c>
    </row>
    <row r="106" spans="1:3">
      <c r="A106" s="46" t="s">
        <v>262</v>
      </c>
      <c r="C106" s="35" t="e">
        <f>MATCH(A106,[3]Quarters!K:K,0)</f>
        <v>#N/A</v>
      </c>
    </row>
    <row r="107" spans="1:3">
      <c r="A107" s="46" t="s">
        <v>264</v>
      </c>
      <c r="C107" s="35" t="e">
        <f>MATCH(A107,[3]Quarters!K:K,0)</f>
        <v>#N/A</v>
      </c>
    </row>
    <row r="108" spans="1:3">
      <c r="A108" s="46" t="s">
        <v>131</v>
      </c>
      <c r="C108" s="35" t="e">
        <f>MATCH(A108,[3]Quarters!K:K,0)</f>
        <v>#N/A</v>
      </c>
    </row>
    <row r="109" spans="1:3">
      <c r="A109" s="46" t="s">
        <v>266</v>
      </c>
      <c r="C109" s="35" t="e">
        <f>MATCH(A109,[3]Quarters!K:K,0)</f>
        <v>#N/A</v>
      </c>
    </row>
    <row r="110" spans="1:3">
      <c r="A110" s="46" t="s">
        <v>267</v>
      </c>
      <c r="C110" s="35" t="e">
        <f>MATCH(A110,[3]Quarters!K:K,0)</f>
        <v>#N/A</v>
      </c>
    </row>
    <row r="111" spans="1:3">
      <c r="A111" s="46" t="s">
        <v>135</v>
      </c>
      <c r="C111" s="35" t="e">
        <f>MATCH(A111,[3]Quarters!K:K,0)</f>
        <v>#N/A</v>
      </c>
    </row>
    <row r="112" spans="1:3">
      <c r="A112" s="46" t="s">
        <v>272</v>
      </c>
      <c r="C112" s="35">
        <f>MATCH(A112,[3]Quarters!K:K,0)</f>
        <v>19</v>
      </c>
    </row>
    <row r="113" spans="1:3">
      <c r="A113" s="46" t="s">
        <v>273</v>
      </c>
      <c r="C113" s="35">
        <f>MATCH(A113,[3]Quarters!K:K,0)</f>
        <v>17</v>
      </c>
    </row>
    <row r="114" spans="1:3">
      <c r="A114" s="46" t="s">
        <v>143</v>
      </c>
      <c r="C114" s="35" t="e">
        <f>MATCH(A114,[3]Quarters!K:K,0)</f>
        <v>#N/A</v>
      </c>
    </row>
    <row r="115" spans="1:3">
      <c r="A115" s="46" t="s">
        <v>143</v>
      </c>
      <c r="C115" s="35" t="e">
        <f>MATCH(A115,[3]Quarters!K:K,0)</f>
        <v>#N/A</v>
      </c>
    </row>
    <row r="116" spans="1:3">
      <c r="A116" s="46" t="s">
        <v>148</v>
      </c>
      <c r="C116" s="35" t="e">
        <f>MATCH(A116,[3]Quarters!K:K,0)</f>
        <v>#N/A</v>
      </c>
    </row>
    <row r="117" spans="1:3">
      <c r="A117" s="46" t="s">
        <v>276</v>
      </c>
      <c r="C117" s="35" t="e">
        <f>MATCH(A117,[3]Quarters!K:K,0)</f>
        <v>#N/A</v>
      </c>
    </row>
    <row r="118" spans="1:3">
      <c r="A118" s="46" t="s">
        <v>153</v>
      </c>
      <c r="C118" s="35" t="e">
        <f>MATCH(A118,[3]Quarters!K:K,0)</f>
        <v>#N/A</v>
      </c>
    </row>
    <row r="119" spans="1:3">
      <c r="A119" s="46" t="s">
        <v>158</v>
      </c>
      <c r="C119" s="35">
        <f>MATCH(A119,[3]Quarters!K:K,0)</f>
        <v>23</v>
      </c>
    </row>
    <row r="120" spans="1:3">
      <c r="A120" s="46" t="s">
        <v>280</v>
      </c>
      <c r="C120" s="35" t="e">
        <f>MATCH(A120,[3]Quarters!K:K,0)</f>
        <v>#N/A</v>
      </c>
    </row>
    <row r="121" spans="1:3">
      <c r="A121" s="46" t="s">
        <v>163</v>
      </c>
      <c r="C121" s="35" t="e">
        <f>MATCH(A121,[3]Quarters!K:K,0)</f>
        <v>#N/A</v>
      </c>
    </row>
    <row r="122" spans="1:3">
      <c r="A122" s="46" t="s">
        <v>168</v>
      </c>
      <c r="C122" s="35" t="e">
        <f>MATCH(A122,[3]Quarters!K:K,0)</f>
        <v>#N/A</v>
      </c>
    </row>
    <row r="123" spans="1:3">
      <c r="A123" s="46" t="s">
        <v>283</v>
      </c>
      <c r="C123" s="35" t="e">
        <f>MATCH(A123,[3]Quarters!K:K,0)</f>
        <v>#N/A</v>
      </c>
    </row>
    <row r="124" spans="1:3">
      <c r="A124" s="46" t="s">
        <v>173</v>
      </c>
      <c r="C124" s="35" t="e">
        <f>MATCH(A124,[3]Quarters!K:K,0)</f>
        <v>#N/A</v>
      </c>
    </row>
    <row r="125" spans="1:3">
      <c r="A125" s="46" t="s">
        <v>177</v>
      </c>
      <c r="C125" s="35" t="e">
        <f>MATCH(A125,[3]Quarters!K:K,0)</f>
        <v>#N/A</v>
      </c>
    </row>
    <row r="126" spans="1:3">
      <c r="A126" s="46" t="s">
        <v>242</v>
      </c>
      <c r="C126" s="35" t="e">
        <f>MATCH(A126,[3]Quarters!K:K,0)</f>
        <v>#N/A</v>
      </c>
    </row>
    <row r="127" spans="1:3">
      <c r="A127" s="46" t="s">
        <v>181</v>
      </c>
      <c r="C127" s="35" t="e">
        <f>MATCH(A127,[3]Quarters!K:K,0)</f>
        <v>#N/A</v>
      </c>
    </row>
    <row r="128" spans="1:3">
      <c r="A128" s="46" t="s">
        <v>243</v>
      </c>
      <c r="C128" s="35" t="e">
        <f>MATCH(A128,[3]Quarters!K:K,0)</f>
        <v>#N/A</v>
      </c>
    </row>
    <row r="129" spans="1:3">
      <c r="A129" s="46" t="s">
        <v>245</v>
      </c>
      <c r="C129" s="35" t="e">
        <f>MATCH(A129,[3]Quarters!K:K,0)</f>
        <v>#N/A</v>
      </c>
    </row>
    <row r="130" spans="1:3">
      <c r="A130" s="46" t="s">
        <v>184</v>
      </c>
      <c r="C130" s="35" t="e">
        <f>MATCH(A130,[3]Quarters!K:K,0)</f>
        <v>#N/A</v>
      </c>
    </row>
    <row r="131" spans="1:3">
      <c r="A131" s="46" t="s">
        <v>247</v>
      </c>
      <c r="C131" s="35" t="e">
        <f>MATCH(A131,[3]Quarters!K:K,0)</f>
        <v>#N/A</v>
      </c>
    </row>
    <row r="132" spans="1:3">
      <c r="A132" s="46" t="s">
        <v>655</v>
      </c>
      <c r="C132" s="35" t="e">
        <f>MATCH(A132,[3]Quarters!K:K,0)</f>
        <v>#N/A</v>
      </c>
    </row>
    <row r="133" spans="1:3">
      <c r="A133" s="46" t="s">
        <v>189</v>
      </c>
      <c r="C133" s="35" t="e">
        <f>MATCH(A133,[3]Quarters!K:K,0)</f>
        <v>#N/A</v>
      </c>
    </row>
    <row r="134" spans="1:3">
      <c r="A134" s="46" t="s">
        <v>249</v>
      </c>
      <c r="C134" s="35" t="e">
        <f>MATCH(A134,[3]Quarters!K:K,0)</f>
        <v>#N/A</v>
      </c>
    </row>
    <row r="135" spans="1:3">
      <c r="A135" s="46" t="s">
        <v>250</v>
      </c>
      <c r="C135" s="35" t="e">
        <f>MATCH(A135,[3]Quarters!K:K,0)</f>
        <v>#N/A</v>
      </c>
    </row>
    <row r="136" spans="1:3">
      <c r="A136" s="46" t="s">
        <v>192</v>
      </c>
      <c r="C136" s="35" t="e">
        <f>MATCH(A136,[3]Quarters!K:K,0)</f>
        <v>#N/A</v>
      </c>
    </row>
    <row r="137" spans="1:3">
      <c r="A137" s="46" t="s">
        <v>251</v>
      </c>
      <c r="C137" s="35" t="e">
        <f>MATCH(A137,[3]Quarters!K:K,0)</f>
        <v>#N/A</v>
      </c>
    </row>
    <row r="138" spans="1:3">
      <c r="A138" s="46" t="s">
        <v>195</v>
      </c>
      <c r="C138" s="35" t="e">
        <f>MATCH(A138,[3]Quarters!K:K,0)</f>
        <v>#N/A</v>
      </c>
    </row>
    <row r="139" spans="1:3">
      <c r="A139" s="46" t="s">
        <v>198</v>
      </c>
      <c r="C139" s="35" t="e">
        <f>MATCH(A139,[3]Quarters!K:K,0)</f>
        <v>#N/A</v>
      </c>
    </row>
    <row r="140" spans="1:3">
      <c r="A140" s="46" t="s">
        <v>201</v>
      </c>
      <c r="C140" s="35" t="e">
        <f>MATCH(A140,[3]Quarters!K:K,0)</f>
        <v>#N/A</v>
      </c>
    </row>
    <row r="141" spans="1:3">
      <c r="A141" s="46" t="s">
        <v>671</v>
      </c>
      <c r="C141" s="35">
        <f>MATCH(A141,[3]Quarters!K:K,0)</f>
        <v>26</v>
      </c>
    </row>
    <row r="142" spans="1:3">
      <c r="A142" s="46" t="s">
        <v>205</v>
      </c>
      <c r="C142" s="35" t="e">
        <f>MATCH(A142,[3]Quarters!K:K,0)</f>
        <v>#N/A</v>
      </c>
    </row>
    <row r="143" spans="1:3">
      <c r="A143" s="46" t="s">
        <v>209</v>
      </c>
      <c r="C143" s="35" t="e">
        <f>MATCH(A143,[3]Quarters!K:K,0)</f>
        <v>#N/A</v>
      </c>
    </row>
    <row r="144" spans="1:3">
      <c r="A144" s="46" t="s">
        <v>257</v>
      </c>
      <c r="C144" s="35">
        <f>MATCH(A144,[3]Quarters!K:K,0)</f>
        <v>27</v>
      </c>
    </row>
    <row r="145" spans="1:3">
      <c r="A145" s="46" t="s">
        <v>213</v>
      </c>
      <c r="C145" s="35" t="e">
        <f>MATCH(A145,[3]Quarters!K:K,0)</f>
        <v>#N/A</v>
      </c>
    </row>
    <row r="146" spans="1:3">
      <c r="A146" s="46" t="s">
        <v>675</v>
      </c>
      <c r="C146" s="35">
        <f>MATCH(A146,[3]Quarters!K:K,0)</f>
        <v>29</v>
      </c>
    </row>
    <row r="147" spans="1:3">
      <c r="A147" s="46" t="s">
        <v>216</v>
      </c>
      <c r="C147" s="35" t="e">
        <f>MATCH(A147,[3]Quarters!K:K,0)</f>
        <v>#N/A</v>
      </c>
    </row>
    <row r="148" spans="1:3">
      <c r="A148" s="46" t="s">
        <v>220</v>
      </c>
      <c r="C148" s="35" t="e">
        <f>MATCH(A148,[3]Quarters!K:K,0)</f>
        <v>#N/A</v>
      </c>
    </row>
    <row r="149" spans="1:3">
      <c r="A149" s="46" t="s">
        <v>678</v>
      </c>
      <c r="C149" s="35" t="e">
        <f>MATCH(A149,[3]Quarters!K:K,0)</f>
        <v>#N/A</v>
      </c>
    </row>
    <row r="150" spans="1:3">
      <c r="A150" s="46" t="s">
        <v>221</v>
      </c>
      <c r="C150" s="35">
        <f>MATCH(A150,[3]Quarters!K:K,0)</f>
        <v>30</v>
      </c>
    </row>
    <row r="151" spans="1:3">
      <c r="A151" s="46" t="s">
        <v>225</v>
      </c>
      <c r="C151" s="35" t="e">
        <f>MATCH(A151,[3]Quarters!K:K,0)</f>
        <v>#N/A</v>
      </c>
    </row>
    <row r="152" spans="1:3">
      <c r="A152" s="46" t="s">
        <v>261</v>
      </c>
      <c r="C152" s="35">
        <f>MATCH(A152,[3]Quarters!K:K,0)</f>
        <v>31</v>
      </c>
    </row>
    <row r="153" spans="1:3">
      <c r="A153" s="46" t="s">
        <v>263</v>
      </c>
      <c r="C153" s="35" t="e">
        <f>MATCH(A153,[3]Quarters!K:K,0)</f>
        <v>#N/A</v>
      </c>
    </row>
    <row r="154" spans="1:3">
      <c r="A154" s="46" t="s">
        <v>230</v>
      </c>
      <c r="C154" s="35" t="e">
        <f>MATCH(A154,[3]Quarters!K:K,0)</f>
        <v>#N/A</v>
      </c>
    </row>
    <row r="155" spans="1:3">
      <c r="A155" s="46" t="s">
        <v>265</v>
      </c>
      <c r="C155" s="35">
        <f>MATCH(A155,[3]Quarters!K:K,0)</f>
        <v>33</v>
      </c>
    </row>
    <row r="156" spans="1:3">
      <c r="A156" s="46" t="s">
        <v>687</v>
      </c>
      <c r="C156" s="35" t="e">
        <f>MATCH(A156,[3]Quarters!K:K,0)</f>
        <v>#N/A</v>
      </c>
    </row>
    <row r="157" spans="1:3">
      <c r="A157" s="46" t="s">
        <v>87</v>
      </c>
      <c r="C157" s="35" t="e">
        <f>MATCH(A157,[3]Quarters!K:K,0)</f>
        <v>#N/A</v>
      </c>
    </row>
    <row r="158" spans="1:3">
      <c r="A158" s="46" t="s">
        <v>268</v>
      </c>
      <c r="C158" s="35" t="e">
        <f>MATCH(A158,[3]Quarters!K:K,0)</f>
        <v>#N/A</v>
      </c>
    </row>
    <row r="159" spans="1:3">
      <c r="A159" s="46" t="s">
        <v>270</v>
      </c>
      <c r="C159" s="35" t="e">
        <f>MATCH(A159,[3]Quarters!K:K,0)</f>
        <v>#N/A</v>
      </c>
    </row>
    <row r="160" spans="1:3">
      <c r="A160" s="46" t="s">
        <v>94</v>
      </c>
      <c r="C160" s="35" t="e">
        <f>MATCH(A160,[3]Quarters!K:K,0)</f>
        <v>#N/A</v>
      </c>
    </row>
    <row r="161" spans="1:3">
      <c r="A161" s="46" t="s">
        <v>274</v>
      </c>
      <c r="C161" s="35">
        <f>MATCH(A161,[3]Quarters!K:K,0)</f>
        <v>38</v>
      </c>
    </row>
    <row r="162" spans="1:3">
      <c r="A162" s="46" t="s">
        <v>691</v>
      </c>
      <c r="C162" s="35" t="e">
        <f>MATCH(A162,[3]Quarters!K:K,0)</f>
        <v>#N/A</v>
      </c>
    </row>
    <row r="163" spans="1:3">
      <c r="A163" s="46" t="s">
        <v>99</v>
      </c>
      <c r="C163" s="35" t="e">
        <f>MATCH(A163,[3]Quarters!K:K,0)</f>
        <v>#N/A</v>
      </c>
    </row>
    <row r="164" spans="1:3">
      <c r="A164" s="46" t="s">
        <v>99</v>
      </c>
      <c r="C164" s="35" t="e">
        <f>MATCH(A164,[3]Quarters!K:K,0)</f>
        <v>#N/A</v>
      </c>
    </row>
    <row r="165" spans="1:3">
      <c r="A165" s="46" t="s">
        <v>277</v>
      </c>
      <c r="C165" s="35" t="e">
        <f>MATCH(A165,[3]Quarters!K:K,0)</f>
        <v>#N/A</v>
      </c>
    </row>
    <row r="166" spans="1:3">
      <c r="A166" s="46" t="s">
        <v>102</v>
      </c>
      <c r="C166" s="35">
        <f>MATCH(A166,[3]Quarters!K:K,0)</f>
        <v>39</v>
      </c>
    </row>
    <row r="167" spans="1:3">
      <c r="A167" s="46" t="s">
        <v>105</v>
      </c>
      <c r="C167" s="35" t="e">
        <f>MATCH(A167,[3]Quarters!K:K,0)</f>
        <v>#N/A</v>
      </c>
    </row>
    <row r="168" spans="1:3">
      <c r="A168" s="46" t="s">
        <v>105</v>
      </c>
      <c r="C168" s="35" t="e">
        <f>MATCH(A168,[3]Quarters!K:K,0)</f>
        <v>#N/A</v>
      </c>
    </row>
    <row r="169" spans="1:3">
      <c r="A169" s="46" t="s">
        <v>108</v>
      </c>
      <c r="C169" s="35" t="e">
        <f>MATCH(A169,[3]Quarters!K:K,0)</f>
        <v>#N/A</v>
      </c>
    </row>
    <row r="170" spans="1:3">
      <c r="A170" s="46" t="s">
        <v>698</v>
      </c>
      <c r="C170" s="35" t="e">
        <f>MATCH(A170,[3]Quarters!K:K,0)</f>
        <v>#N/A</v>
      </c>
    </row>
    <row r="171" spans="1:3">
      <c r="A171" s="46" t="s">
        <v>279</v>
      </c>
      <c r="C171" s="35" t="e">
        <f>MATCH(A171,[3]Quarters!K:K,0)</f>
        <v>#N/A</v>
      </c>
    </row>
    <row r="172" spans="1:3">
      <c r="A172" s="46" t="s">
        <v>279</v>
      </c>
      <c r="C172" s="35" t="e">
        <f>MATCH(A172,[3]Quarters!K:K,0)</f>
        <v>#N/A</v>
      </c>
    </row>
    <row r="173" spans="1:3">
      <c r="A173" s="46" t="s">
        <v>281</v>
      </c>
      <c r="C173" s="35" t="e">
        <f>MATCH(A173,[3]Quarters!K:K,0)</f>
        <v>#N/A</v>
      </c>
    </row>
    <row r="174" spans="1:3">
      <c r="A174" s="46" t="s">
        <v>282</v>
      </c>
      <c r="C174" s="35" t="e">
        <f>MATCH(A174,[3]Quarters!K:K,0)</f>
        <v>#N/A</v>
      </c>
    </row>
    <row r="175" spans="1:3">
      <c r="A175" s="46" t="s">
        <v>111</v>
      </c>
      <c r="C175" s="35" t="e">
        <f>MATCH(A175,[3]Quarters!K:K,0)</f>
        <v>#N/A</v>
      </c>
    </row>
    <row r="176" spans="1:3">
      <c r="A176" s="46" t="s">
        <v>111</v>
      </c>
      <c r="C176" s="35" t="e">
        <f>MATCH(A176,[3]Quarters!K:K,0)</f>
        <v>#N/A</v>
      </c>
    </row>
    <row r="177" spans="1:3">
      <c r="A177" s="46" t="s">
        <v>115</v>
      </c>
      <c r="C177" s="35">
        <f>MATCH(A177,[3]Quarters!K:K,0)</f>
        <v>41</v>
      </c>
    </row>
    <row r="178" spans="1:3">
      <c r="A178" s="46" t="s">
        <v>710</v>
      </c>
      <c r="C178" s="35">
        <f>MATCH(A178,[3]Quarters!K:K,0)</f>
        <v>40</v>
      </c>
    </row>
    <row r="179" spans="1:3">
      <c r="A179" s="46" t="s">
        <v>284</v>
      </c>
      <c r="C179" s="35" t="e">
        <f>MATCH(A179,[3]Quarters!K:K,0)</f>
        <v>#N/A</v>
      </c>
    </row>
    <row r="180" spans="1:3">
      <c r="A180" s="46" t="s">
        <v>284</v>
      </c>
      <c r="C180" s="35" t="e">
        <f>MATCH(A180,[3]Quarters!K:K,0)</f>
        <v>#N/A</v>
      </c>
    </row>
    <row r="181" spans="1:3">
      <c r="A181" s="46" t="s">
        <v>719</v>
      </c>
      <c r="C181" s="35" t="e">
        <f>MATCH(A181,[3]Quarters!K:K,0)</f>
        <v>#N/A</v>
      </c>
    </row>
    <row r="182" spans="1:3">
      <c r="A182" s="46" t="s">
        <v>715</v>
      </c>
      <c r="C182" s="35" t="e">
        <f>MATCH(A182,[3]Quarters!K:K,0)</f>
        <v>#N/A</v>
      </c>
    </row>
    <row r="183" spans="1:3">
      <c r="A183" s="46" t="s">
        <v>120</v>
      </c>
      <c r="C183" s="35" t="e">
        <f>MATCH(A183,[3]Quarters!K:K,0)</f>
        <v>#N/A</v>
      </c>
    </row>
    <row r="184" spans="1:3">
      <c r="A184" s="46" t="s">
        <v>120</v>
      </c>
      <c r="C184" s="35" t="e">
        <f>MATCH(A184,[3]Quarters!K:K,0)</f>
        <v>#N/A</v>
      </c>
    </row>
    <row r="185" spans="1:3">
      <c r="A185" s="46" t="s">
        <v>725</v>
      </c>
      <c r="C185" s="35" t="e">
        <f>MATCH(A185,[3]Quarters!K:K,0)</f>
        <v>#N/A</v>
      </c>
    </row>
    <row r="186" spans="1:3">
      <c r="A186" s="46" t="s">
        <v>241</v>
      </c>
      <c r="C186" s="35">
        <f>MATCH(A186,[3]Quarters!K:K,0)</f>
        <v>45</v>
      </c>
    </row>
    <row r="187" spans="1:3">
      <c r="A187" s="46" t="s">
        <v>124</v>
      </c>
      <c r="C187" s="35" t="e">
        <f>MATCH(A187,[3]Quarters!K:K,0)</f>
        <v>#N/A</v>
      </c>
    </row>
    <row r="188" spans="1:3">
      <c r="A188" s="94" t="s">
        <v>727</v>
      </c>
      <c r="C188" s="35">
        <f>MATCH(A188,[3]Quarters!K:K,0)</f>
        <v>46</v>
      </c>
    </row>
    <row r="189" spans="1:3">
      <c r="A189" s="94" t="s">
        <v>128</v>
      </c>
      <c r="C189" s="35">
        <f>MATCH(A189,[3]Quarters!K:K,0)</f>
        <v>47</v>
      </c>
    </row>
    <row r="190" spans="1:3">
      <c r="A190" s="94" t="s">
        <v>132</v>
      </c>
      <c r="C190" s="35" t="e">
        <f>MATCH(A190,[3]Quarters!K:K,0)</f>
        <v>#N/A</v>
      </c>
    </row>
    <row r="191" spans="1:3">
      <c r="A191" s="94" t="s">
        <v>244</v>
      </c>
      <c r="C191" s="35">
        <f>MATCH(A191,[3]Quarters!K:K,0)</f>
        <v>76</v>
      </c>
    </row>
    <row r="192" spans="1:3">
      <c r="A192" s="94" t="s">
        <v>731</v>
      </c>
      <c r="C192" s="35" t="e">
        <f>MATCH(A192,[3]Quarters!K:K,0)</f>
        <v>#N/A</v>
      </c>
    </row>
    <row r="193" spans="1:3">
      <c r="A193" s="94" t="s">
        <v>136</v>
      </c>
      <c r="C193" s="35" t="e">
        <f>MATCH(A193,[3]Quarters!K:K,0)</f>
        <v>#N/A</v>
      </c>
    </row>
    <row r="194" spans="1:3">
      <c r="A194" s="94" t="s">
        <v>246</v>
      </c>
      <c r="C194" s="35">
        <f>MATCH(A194,[3]Quarters!K:K,0)</f>
        <v>80</v>
      </c>
    </row>
    <row r="195" spans="1:3">
      <c r="A195" s="94" t="s">
        <v>736</v>
      </c>
      <c r="C195" s="35" t="e">
        <f>MATCH(A195,[3]Quarters!K:K,0)</f>
        <v>#N/A</v>
      </c>
    </row>
    <row r="196" spans="1:3">
      <c r="A196" s="94" t="s">
        <v>140</v>
      </c>
      <c r="C196" s="35" t="e">
        <f>MATCH(A196,[3]Quarters!K:K,0)</f>
        <v>#N/A</v>
      </c>
    </row>
    <row r="197" spans="1:3">
      <c r="A197" s="94" t="s">
        <v>246</v>
      </c>
      <c r="C197" s="35">
        <f>MATCH(A197,[3]Quarters!K:K,0)</f>
        <v>80</v>
      </c>
    </row>
    <row r="198" spans="1:3">
      <c r="A198" s="94" t="s">
        <v>736</v>
      </c>
      <c r="C198" s="35" t="e">
        <f>MATCH(A198,[3]Quarters!K:K,0)</f>
        <v>#N/A</v>
      </c>
    </row>
    <row r="199" spans="1:3">
      <c r="A199" s="94" t="s">
        <v>140</v>
      </c>
      <c r="C199" s="35" t="e">
        <f>MATCH(A199,[3]Quarters!K:K,0)</f>
        <v>#N/A</v>
      </c>
    </row>
    <row r="200" spans="1:3">
      <c r="A200" s="94" t="s">
        <v>248</v>
      </c>
      <c r="C200" s="35">
        <f>MATCH(A200,[3]Quarters!K:K,0)</f>
        <v>85</v>
      </c>
    </row>
    <row r="201" spans="1:3">
      <c r="A201" s="94" t="s">
        <v>144</v>
      </c>
      <c r="C201" s="35" t="e">
        <f>MATCH(A201,[3]Quarters!K:K,0)</f>
        <v>#N/A</v>
      </c>
    </row>
    <row r="202" spans="1:3">
      <c r="A202" s="94" t="s">
        <v>149</v>
      </c>
      <c r="C202" s="35" t="e">
        <f>MATCH(A202,[3]Quarters!K:K,0)</f>
        <v>#N/A</v>
      </c>
    </row>
    <row r="203" spans="1:3">
      <c r="A203" s="94" t="s">
        <v>248</v>
      </c>
      <c r="C203" s="35">
        <f>MATCH(A203,[3]Quarters!K:K,0)</f>
        <v>85</v>
      </c>
    </row>
    <row r="204" spans="1:3">
      <c r="A204" s="94" t="s">
        <v>144</v>
      </c>
      <c r="C204" s="35" t="e">
        <f>MATCH(A204,[3]Quarters!K:K,0)</f>
        <v>#N/A</v>
      </c>
    </row>
    <row r="205" spans="1:3">
      <c r="A205" s="94" t="s">
        <v>149</v>
      </c>
      <c r="C205" s="35" t="e">
        <f>MATCH(A205,[3]Quarters!K:K,0)</f>
        <v>#N/A</v>
      </c>
    </row>
    <row r="206" spans="1:3">
      <c r="A206" s="94" t="s">
        <v>154</v>
      </c>
      <c r="C206" s="35" t="e">
        <f>MATCH(A206,[3]Quarters!K:K,0)</f>
        <v>#N/A</v>
      </c>
    </row>
    <row r="207" spans="1:3">
      <c r="A207" s="94" t="s">
        <v>159</v>
      </c>
      <c r="C207" s="35" t="e">
        <f>MATCH(A207,[3]Quarters!K:K,0)</f>
        <v>#N/A</v>
      </c>
    </row>
    <row r="208" spans="1:3">
      <c r="A208" s="94" t="s">
        <v>164</v>
      </c>
      <c r="C208" s="35" t="e">
        <f>MATCH(A208,[3]Quarters!K:K,0)</f>
        <v>#N/A</v>
      </c>
    </row>
    <row r="209" spans="1:3">
      <c r="A209" s="94" t="s">
        <v>154</v>
      </c>
      <c r="C209" s="35" t="e">
        <f>MATCH(A209,[3]Quarters!K:K,0)</f>
        <v>#N/A</v>
      </c>
    </row>
    <row r="210" spans="1:3">
      <c r="A210" s="94" t="s">
        <v>159</v>
      </c>
      <c r="C210" s="35" t="e">
        <f>MATCH(A210,[3]Quarters!K:K,0)</f>
        <v>#N/A</v>
      </c>
    </row>
    <row r="211" spans="1:3">
      <c r="A211" s="94" t="s">
        <v>164</v>
      </c>
      <c r="C211" s="35" t="e">
        <f>MATCH(A211,[3]Quarters!K:K,0)</f>
        <v>#N/A</v>
      </c>
    </row>
    <row r="212" spans="1:3">
      <c r="A212" s="94" t="s">
        <v>742</v>
      </c>
      <c r="C212" s="35" t="e">
        <f>MATCH(A212,[3]Quarters!K:K,0)</f>
        <v>#N/A</v>
      </c>
    </row>
    <row r="213" spans="1:3">
      <c r="A213" s="94" t="s">
        <v>169</v>
      </c>
      <c r="C213" s="35" t="e">
        <f>MATCH(A213,[3]Quarters!K:K,0)</f>
        <v>#N/A</v>
      </c>
    </row>
    <row r="214" spans="1:3">
      <c r="A214" s="94" t="s">
        <v>174</v>
      </c>
      <c r="C214" s="35" t="e">
        <f>MATCH(A214,[3]Quarters!K:K,0)</f>
        <v>#N/A</v>
      </c>
    </row>
    <row r="215" spans="1:3">
      <c r="A215" s="94" t="s">
        <v>742</v>
      </c>
      <c r="C215" s="35" t="e">
        <f>MATCH(A215,[3]Quarters!K:K,0)</f>
        <v>#N/A</v>
      </c>
    </row>
    <row r="216" spans="1:3">
      <c r="A216" s="94" t="s">
        <v>169</v>
      </c>
      <c r="C216" s="35" t="e">
        <f>MATCH(A216,[3]Quarters!K:K,0)</f>
        <v>#N/A</v>
      </c>
    </row>
    <row r="217" spans="1:3">
      <c r="A217" s="94" t="s">
        <v>174</v>
      </c>
      <c r="C217" s="35" t="e">
        <f>MATCH(A217,[3]Quarters!K:K,0)</f>
        <v>#N/A</v>
      </c>
    </row>
    <row r="218" spans="1:3">
      <c r="A218" s="94" t="s">
        <v>758</v>
      </c>
      <c r="C218" s="35" t="e">
        <f>MATCH(A218,[3]Quarters!K:K,0)</f>
        <v>#N/A</v>
      </c>
    </row>
    <row r="219" spans="1:3">
      <c r="A219" s="94" t="s">
        <v>253</v>
      </c>
      <c r="C219" s="35" t="e">
        <f>MATCH(A219,[3]Quarters!K:K,0)</f>
        <v>#N/A</v>
      </c>
    </row>
    <row r="220" spans="1:3">
      <c r="A220" s="94" t="s">
        <v>178</v>
      </c>
      <c r="C220" s="35" t="e">
        <f>MATCH(A220,[3]Quarters!K:K,0)</f>
        <v>#N/A</v>
      </c>
    </row>
    <row r="221" spans="1:3">
      <c r="A221" s="94" t="s">
        <v>758</v>
      </c>
      <c r="C221" s="35" t="e">
        <f>MATCH(A221,[3]Quarters!K:K,0)</f>
        <v>#N/A</v>
      </c>
    </row>
    <row r="222" spans="1:3">
      <c r="A222" s="94" t="s">
        <v>253</v>
      </c>
      <c r="C222" s="35" t="e">
        <f>MATCH(A222,[3]Quarters!K:K,0)</f>
        <v>#N/A</v>
      </c>
    </row>
    <row r="223" spans="1:3">
      <c r="A223" s="94" t="s">
        <v>178</v>
      </c>
      <c r="C223" s="35" t="e">
        <f>MATCH(A223,[3]Quarters!K:K,0)</f>
        <v>#N/A</v>
      </c>
    </row>
    <row r="224" spans="1:3">
      <c r="A224" s="94" t="s">
        <v>182</v>
      </c>
      <c r="C224" s="35">
        <f>MATCH(A224,[3]Quarters!K:K,0)</f>
        <v>86</v>
      </c>
    </row>
    <row r="225" spans="1:3">
      <c r="A225" s="94" t="s">
        <v>185</v>
      </c>
      <c r="C225" s="35" t="e">
        <f>MATCH(A225,[3]Quarters!K:K,0)</f>
        <v>#N/A</v>
      </c>
    </row>
    <row r="226" spans="1:3">
      <c r="A226" s="94" t="s">
        <v>190</v>
      </c>
      <c r="C226" s="35" t="e">
        <f>MATCH(A226,[3]Quarters!K:K,0)</f>
        <v>#N/A</v>
      </c>
    </row>
    <row r="227" spans="1:3">
      <c r="A227" s="94" t="s">
        <v>182</v>
      </c>
      <c r="C227" s="35">
        <f>MATCH(A227,[3]Quarters!K:K,0)</f>
        <v>86</v>
      </c>
    </row>
    <row r="228" spans="1:3">
      <c r="A228" s="94" t="s">
        <v>185</v>
      </c>
      <c r="C228" s="35" t="e">
        <f>MATCH(A228,[3]Quarters!K:K,0)</f>
        <v>#N/A</v>
      </c>
    </row>
    <row r="229" spans="1:3">
      <c r="A229" s="94" t="s">
        <v>190</v>
      </c>
      <c r="C229" s="35" t="e">
        <f>MATCH(A229,[3]Quarters!K:K,0)</f>
        <v>#N/A</v>
      </c>
    </row>
    <row r="230" spans="1:3">
      <c r="A230" s="94" t="s">
        <v>193</v>
      </c>
      <c r="C230" s="35" t="e">
        <f>MATCH(A230,[3]Quarters!K:K,0)</f>
        <v>#N/A</v>
      </c>
    </row>
    <row r="231" spans="1:3">
      <c r="A231" s="94" t="s">
        <v>196</v>
      </c>
      <c r="C231" s="35" t="e">
        <f>MATCH(A231,[3]Quarters!K:K,0)</f>
        <v>#N/A</v>
      </c>
    </row>
    <row r="232" spans="1:3">
      <c r="A232" s="94" t="s">
        <v>199</v>
      </c>
      <c r="C232" s="35" t="e">
        <f>MATCH(A232,[3]Quarters!K:K,0)</f>
        <v>#N/A</v>
      </c>
    </row>
    <row r="233" spans="1:3">
      <c r="A233" s="94" t="s">
        <v>193</v>
      </c>
      <c r="C233" s="35" t="e">
        <f>MATCH(A233,[3]Quarters!K:K,0)</f>
        <v>#N/A</v>
      </c>
    </row>
    <row r="234" spans="1:3">
      <c r="A234" s="94" t="s">
        <v>196</v>
      </c>
      <c r="C234" s="35" t="e">
        <f>MATCH(A234,[3]Quarters!K:K,0)</f>
        <v>#N/A</v>
      </c>
    </row>
    <row r="235" spans="1:3">
      <c r="A235" s="94" t="s">
        <v>199</v>
      </c>
      <c r="C235" s="35" t="e">
        <f>MATCH(A235,[3]Quarters!K:K,0)</f>
        <v>#N/A</v>
      </c>
    </row>
    <row r="236" spans="1:3">
      <c r="A236" s="94" t="s">
        <v>202</v>
      </c>
      <c r="C236" s="35" t="e">
        <f>MATCH(A236,[3]Quarters!K:K,0)</f>
        <v>#N/A</v>
      </c>
    </row>
    <row r="237" spans="1:3">
      <c r="A237" s="94" t="s">
        <v>206</v>
      </c>
      <c r="C237" s="35" t="e">
        <f>MATCH(A237,[3]Quarters!K:K,0)</f>
        <v>#N/A</v>
      </c>
    </row>
    <row r="238" spans="1:3">
      <c r="A238" s="94" t="s">
        <v>210</v>
      </c>
      <c r="C238" s="35" t="e">
        <f>MATCH(A238,[3]Quarters!K:K,0)</f>
        <v>#N/A</v>
      </c>
    </row>
    <row r="239" spans="1:3">
      <c r="A239" s="94" t="s">
        <v>202</v>
      </c>
      <c r="C239" s="35" t="e">
        <f>MATCH(A239,[3]Quarters!K:K,0)</f>
        <v>#N/A</v>
      </c>
    </row>
    <row r="240" spans="1:3">
      <c r="A240" s="94" t="s">
        <v>206</v>
      </c>
      <c r="C240" s="35" t="e">
        <f>MATCH(A240,[3]Quarters!K:K,0)</f>
        <v>#N/A</v>
      </c>
    </row>
    <row r="241" spans="1:3">
      <c r="A241" s="94" t="s">
        <v>210</v>
      </c>
      <c r="C241" s="35" t="e">
        <f>MATCH(A241,[3]Quarters!K:K,0)</f>
        <v>#N/A</v>
      </c>
    </row>
    <row r="242" spans="1:3">
      <c r="A242" s="94" t="s">
        <v>214</v>
      </c>
      <c r="C242" s="35">
        <f>MATCH(A242,[3]Quarters!K:K,0)</f>
        <v>90</v>
      </c>
    </row>
    <row r="243" spans="1:3">
      <c r="A243" s="94" t="s">
        <v>217</v>
      </c>
      <c r="C243" s="35" t="e">
        <f>MATCH(A243,[3]Quarters!K:K,0)</f>
        <v>#N/A</v>
      </c>
    </row>
    <row r="244" spans="1:3">
      <c r="A244" s="94" t="s">
        <v>40</v>
      </c>
      <c r="C244" s="35" t="e">
        <f>MATCH(A244,[3]Quarters!K:K,0)</f>
        <v>#N/A</v>
      </c>
    </row>
    <row r="245" spans="1:3">
      <c r="A245" s="94" t="s">
        <v>214</v>
      </c>
      <c r="C245" s="35">
        <f>MATCH(A245,[3]Quarters!K:K,0)</f>
        <v>90</v>
      </c>
    </row>
    <row r="246" spans="1:3">
      <c r="A246" s="94" t="s">
        <v>217</v>
      </c>
      <c r="C246" s="35" t="e">
        <f>MATCH(A246,[3]Quarters!K:K,0)</f>
        <v>#N/A</v>
      </c>
    </row>
    <row r="247" spans="1:3">
      <c r="A247" s="94" t="s">
        <v>40</v>
      </c>
      <c r="C247" s="35" t="e">
        <f>MATCH(A247,[3]Quarters!K:K,0)</f>
        <v>#N/A</v>
      </c>
    </row>
    <row r="248" spans="1:3">
      <c r="A248" s="94" t="s">
        <v>222</v>
      </c>
      <c r="C248" s="35" t="e">
        <f>MATCH(A248,[3]Quarters!K:K,0)</f>
        <v>#N/A</v>
      </c>
    </row>
    <row r="249" spans="1:3">
      <c r="A249" s="94" t="s">
        <v>226</v>
      </c>
      <c r="C249" s="35" t="e">
        <f>MATCH(A249,[3]Quarters!K:K,0)</f>
        <v>#N/A</v>
      </c>
    </row>
    <row r="250" spans="1:3">
      <c r="A250" s="94" t="s">
        <v>231</v>
      </c>
      <c r="C250" s="35" t="e">
        <f>MATCH(A250,[3]Quarters!K:K,0)</f>
        <v>#N/A</v>
      </c>
    </row>
    <row r="251" spans="1:3">
      <c r="A251" s="94" t="s">
        <v>222</v>
      </c>
      <c r="C251" s="35" t="e">
        <f>MATCH(A251,[3]Quarters!K:K,0)</f>
        <v>#N/A</v>
      </c>
    </row>
    <row r="252" spans="1:3">
      <c r="A252" s="94" t="s">
        <v>226</v>
      </c>
      <c r="C252" s="35" t="e">
        <f>MATCH(A252,[3]Quarters!K:K,0)</f>
        <v>#N/A</v>
      </c>
    </row>
    <row r="253" spans="1:3">
      <c r="A253" s="94" t="s">
        <v>231</v>
      </c>
      <c r="C253" s="35" t="e">
        <f>MATCH(A253,[3]Quarters!K:K,0)</f>
        <v>#N/A</v>
      </c>
    </row>
    <row r="254" spans="1:3">
      <c r="A254" s="94" t="s">
        <v>88</v>
      </c>
      <c r="C254" s="35">
        <f>MATCH(A254,[3]Quarters!K:K,0)</f>
        <v>91</v>
      </c>
    </row>
    <row r="255" spans="1:3">
      <c r="A255" s="94" t="s">
        <v>90</v>
      </c>
      <c r="C255" s="35" t="e">
        <f>MATCH(A255,[3]Quarters!K:K,0)</f>
        <v>#N/A</v>
      </c>
    </row>
    <row r="256" spans="1:3">
      <c r="A256" s="94" t="s">
        <v>95</v>
      </c>
      <c r="C256" s="35" t="e">
        <f>MATCH(A256,[3]Quarters!K:K,0)</f>
        <v>#N/A</v>
      </c>
    </row>
    <row r="257" spans="1:3">
      <c r="A257" s="94" t="s">
        <v>88</v>
      </c>
      <c r="C257" s="35">
        <f>MATCH(A257,[3]Quarters!K:K,0)</f>
        <v>91</v>
      </c>
    </row>
    <row r="258" spans="1:3">
      <c r="A258" s="94" t="s">
        <v>90</v>
      </c>
      <c r="C258" s="35" t="e">
        <f>MATCH(A258,[3]Quarters!K:K,0)</f>
        <v>#N/A</v>
      </c>
    </row>
    <row r="259" spans="1:3">
      <c r="A259" s="94" t="s">
        <v>95</v>
      </c>
      <c r="C259" s="35" t="e">
        <f>MATCH(A259,[3]Quarters!K:K,0)</f>
        <v>#N/A</v>
      </c>
    </row>
    <row r="260" spans="1:3">
      <c r="A260" s="94" t="s">
        <v>768</v>
      </c>
      <c r="C260" s="35">
        <f>MATCH(A260,[3]Quarters!K:K,0)</f>
        <v>92</v>
      </c>
    </row>
    <row r="261" spans="1:3">
      <c r="A261" s="94" t="s">
        <v>100</v>
      </c>
      <c r="C261" s="35" t="e">
        <f>MATCH(A261,[3]Quarters!K:K,0)</f>
        <v>#N/A</v>
      </c>
    </row>
    <row r="262" spans="1:3">
      <c r="A262" s="94" t="s">
        <v>103</v>
      </c>
      <c r="C262" s="35" t="e">
        <f>MATCH(A262,[3]Quarters!K:K,0)</f>
        <v>#N/A</v>
      </c>
    </row>
    <row r="263" spans="1:3">
      <c r="A263" s="94" t="s">
        <v>768</v>
      </c>
      <c r="C263" s="35">
        <f>MATCH(A263,[3]Quarters!K:K,0)</f>
        <v>92</v>
      </c>
    </row>
    <row r="264" spans="1:3">
      <c r="A264" s="94" t="s">
        <v>100</v>
      </c>
      <c r="C264" s="35" t="e">
        <f>MATCH(A264,[3]Quarters!K:K,0)</f>
        <v>#N/A</v>
      </c>
    </row>
    <row r="265" spans="1:3">
      <c r="A265" s="94" t="s">
        <v>103</v>
      </c>
      <c r="C265" s="35" t="e">
        <f>MATCH(A265,[3]Quarters!K:K,0)</f>
        <v>#N/A</v>
      </c>
    </row>
    <row r="266" spans="1:3">
      <c r="A266" s="94" t="s">
        <v>775</v>
      </c>
      <c r="C266" s="35">
        <f>MATCH(A266,[3]Quarters!K:K,0)</f>
        <v>95</v>
      </c>
    </row>
    <row r="267" spans="1:3">
      <c r="A267" s="94" t="s">
        <v>106</v>
      </c>
      <c r="C267" s="35">
        <f>MATCH(A267,[3]Quarters!K:K,0)</f>
        <v>94</v>
      </c>
    </row>
    <row r="268" spans="1:3">
      <c r="A268" s="94" t="s">
        <v>109</v>
      </c>
      <c r="C268" s="35" t="e">
        <f>MATCH(A268,[3]Quarters!K:K,0)</f>
        <v>#N/A</v>
      </c>
    </row>
    <row r="269" spans="1:3">
      <c r="A269" s="94" t="s">
        <v>775</v>
      </c>
      <c r="C269" s="35">
        <f>MATCH(A269,[3]Quarters!K:K,0)</f>
        <v>95</v>
      </c>
    </row>
    <row r="270" spans="1:3">
      <c r="A270" s="94" t="s">
        <v>106</v>
      </c>
      <c r="C270" s="35">
        <f>MATCH(A270,[3]Quarters!K:K,0)</f>
        <v>94</v>
      </c>
    </row>
    <row r="271" spans="1:3">
      <c r="A271" s="94" t="s">
        <v>109</v>
      </c>
      <c r="C271" s="35" t="e">
        <f>MATCH(A271,[3]Quarters!K:K,0)</f>
        <v>#N/A</v>
      </c>
    </row>
    <row r="272" spans="1:3">
      <c r="A272" s="94" t="s">
        <v>781</v>
      </c>
      <c r="C272" s="35">
        <f>MATCH(A272,[3]Quarters!K:K,0)</f>
        <v>97</v>
      </c>
    </row>
    <row r="273" spans="1:3">
      <c r="A273" s="94" t="s">
        <v>112</v>
      </c>
      <c r="C273" s="35" t="e">
        <f>MATCH(A273,[3]Quarters!K:K,0)</f>
        <v>#N/A</v>
      </c>
    </row>
    <row r="274" spans="1:3">
      <c r="A274" s="94" t="s">
        <v>116</v>
      </c>
      <c r="C274" s="35" t="e">
        <f>MATCH(A274,[3]Quarters!K:K,0)</f>
        <v>#N/A</v>
      </c>
    </row>
    <row r="275" spans="1:3">
      <c r="A275" s="94" t="s">
        <v>781</v>
      </c>
      <c r="C275" s="35">
        <f>MATCH(A275,[3]Quarters!K:K,0)</f>
        <v>97</v>
      </c>
    </row>
    <row r="276" spans="1:3">
      <c r="A276" s="94" t="s">
        <v>112</v>
      </c>
      <c r="C276" s="35" t="e">
        <f>MATCH(A276,[3]Quarters!K:K,0)</f>
        <v>#N/A</v>
      </c>
    </row>
    <row r="277" spans="1:3">
      <c r="A277" s="94" t="s">
        <v>116</v>
      </c>
      <c r="C277" s="35" t="e">
        <f>MATCH(A277,[3]Quarters!K:K,0)</f>
        <v>#N/A</v>
      </c>
    </row>
    <row r="278" spans="1:3">
      <c r="A278" s="94" t="s">
        <v>785</v>
      </c>
      <c r="C278" s="35">
        <f>MATCH(A278,[3]Quarters!K:K,0)</f>
        <v>101</v>
      </c>
    </row>
    <row r="279" spans="1:3">
      <c r="A279" s="94" t="s">
        <v>271</v>
      </c>
      <c r="C279" s="35">
        <f>MATCH(A279,[3]Quarters!K:K,0)</f>
        <v>106</v>
      </c>
    </row>
    <row r="280" spans="1:3">
      <c r="A280" s="94" t="s">
        <v>121</v>
      </c>
      <c r="C280" s="35" t="e">
        <f>MATCH(A280,[3]Quarters!K:K,0)</f>
        <v>#N/A</v>
      </c>
    </row>
    <row r="281" spans="1:3">
      <c r="A281" s="94" t="s">
        <v>785</v>
      </c>
      <c r="C281" s="35">
        <f>MATCH(A281,[3]Quarters!K:K,0)</f>
        <v>101</v>
      </c>
    </row>
    <row r="282" spans="1:3">
      <c r="A282" s="94" t="s">
        <v>271</v>
      </c>
      <c r="C282" s="35">
        <f>MATCH(A282,[3]Quarters!K:K,0)</f>
        <v>106</v>
      </c>
    </row>
    <row r="283" spans="1:3">
      <c r="A283" s="94" t="s">
        <v>121</v>
      </c>
      <c r="C283" s="35" t="e">
        <f>MATCH(A283,[3]Quarters!K:K,0)</f>
        <v>#N/A</v>
      </c>
    </row>
    <row r="284" spans="1:3">
      <c r="A284" s="94" t="s">
        <v>791</v>
      </c>
      <c r="C284" s="35">
        <f>MATCH(A284,[3]Quarters!K:K,0)</f>
        <v>109</v>
      </c>
    </row>
    <row r="285" spans="1:3">
      <c r="A285" s="94" t="s">
        <v>125</v>
      </c>
      <c r="C285" s="35" t="e">
        <f>MATCH(A285,[3]Quarters!K:K,0)</f>
        <v>#N/A</v>
      </c>
    </row>
    <row r="286" spans="1:3">
      <c r="A286" s="94" t="s">
        <v>129</v>
      </c>
      <c r="C286" s="35" t="e">
        <f>MATCH(A286,[3]Quarters!K:K,0)</f>
        <v>#N/A</v>
      </c>
    </row>
    <row r="287" spans="1:3">
      <c r="A287" s="94" t="s">
        <v>791</v>
      </c>
      <c r="C287" s="35">
        <f>MATCH(A287,[3]Quarters!K:K,0)</f>
        <v>109</v>
      </c>
    </row>
    <row r="288" spans="1:3">
      <c r="A288" s="94" t="s">
        <v>125</v>
      </c>
      <c r="C288" s="35" t="e">
        <f>MATCH(A288,[3]Quarters!K:K,0)</f>
        <v>#N/A</v>
      </c>
    </row>
    <row r="289" spans="1:3">
      <c r="A289" s="94" t="s">
        <v>129</v>
      </c>
      <c r="C289" s="35" t="e">
        <f>MATCH(A289,[3]Quarters!K:K,0)</f>
        <v>#N/A</v>
      </c>
    </row>
    <row r="290" spans="1:3">
      <c r="A290" s="94" t="s">
        <v>799</v>
      </c>
      <c r="C290" s="35">
        <f>MATCH(A290,[3]Quarters!K:K,0)</f>
        <v>117</v>
      </c>
    </row>
    <row r="291" spans="1:3">
      <c r="A291" s="94" t="s">
        <v>133</v>
      </c>
      <c r="C291" s="35" t="e">
        <f>MATCH(A291,[3]Quarters!K:K,0)</f>
        <v>#N/A</v>
      </c>
    </row>
    <row r="292" spans="1:3">
      <c r="A292" s="94" t="s">
        <v>137</v>
      </c>
      <c r="C292" s="35" t="e">
        <f>MATCH(A292,[3]Quarters!K:K,0)</f>
        <v>#N/A</v>
      </c>
    </row>
    <row r="293" spans="1:3">
      <c r="A293" s="94" t="s">
        <v>799</v>
      </c>
      <c r="C293" s="35">
        <f>MATCH(A293,[3]Quarters!K:K,0)</f>
        <v>117</v>
      </c>
    </row>
    <row r="294" spans="1:3">
      <c r="A294" s="94" t="s">
        <v>133</v>
      </c>
      <c r="C294" s="35" t="e">
        <f>MATCH(A294,[3]Quarters!K:K,0)</f>
        <v>#N/A</v>
      </c>
    </row>
    <row r="295" spans="1:3">
      <c r="A295" s="94" t="s">
        <v>137</v>
      </c>
      <c r="C295" s="35" t="e">
        <f>MATCH(A295,[3]Quarters!K:K,0)</f>
        <v>#N/A</v>
      </c>
    </row>
    <row r="296" spans="1:3">
      <c r="A296" s="94" t="s">
        <v>804</v>
      </c>
      <c r="C296" s="35">
        <f>MATCH(A296,[3]Quarters!K:K,0)</f>
        <v>126</v>
      </c>
    </row>
    <row r="297" spans="1:3">
      <c r="A297" s="94" t="s">
        <v>141</v>
      </c>
      <c r="C297" s="35" t="e">
        <f>MATCH(A297,[3]Quarters!K:K,0)</f>
        <v>#N/A</v>
      </c>
    </row>
    <row r="298" spans="1:3">
      <c r="A298" s="94" t="s">
        <v>145</v>
      </c>
      <c r="C298" s="35" t="e">
        <f>MATCH(A298,[3]Quarters!K:K,0)</f>
        <v>#N/A</v>
      </c>
    </row>
    <row r="299" spans="1:3">
      <c r="A299" s="94" t="s">
        <v>804</v>
      </c>
      <c r="C299" s="35">
        <f>MATCH(A299,[3]Quarters!K:K,0)</f>
        <v>126</v>
      </c>
    </row>
    <row r="300" spans="1:3">
      <c r="A300" s="94" t="s">
        <v>141</v>
      </c>
      <c r="C300" s="35" t="e">
        <f>MATCH(A300,[3]Quarters!K:K,0)</f>
        <v>#N/A</v>
      </c>
    </row>
    <row r="301" spans="1:3">
      <c r="A301" s="94" t="s">
        <v>145</v>
      </c>
      <c r="C301" s="35" t="e">
        <f>MATCH(A301,[3]Quarters!K:K,0)</f>
        <v>#N/A</v>
      </c>
    </row>
    <row r="302" spans="1:3">
      <c r="A302" s="94" t="s">
        <v>810</v>
      </c>
      <c r="C302" s="35">
        <f>MATCH(A302,[3]Quarters!K:K,0)</f>
        <v>135</v>
      </c>
    </row>
    <row r="303" spans="1:3">
      <c r="A303" s="94" t="s">
        <v>150</v>
      </c>
      <c r="C303" s="35">
        <f>MATCH(A303,[3]Quarters!K:K,0)</f>
        <v>138</v>
      </c>
    </row>
    <row r="304" spans="1:3">
      <c r="A304" s="94" t="s">
        <v>155</v>
      </c>
      <c r="C304" s="35" t="e">
        <f>MATCH(A304,[3]Quarters!K:K,0)</f>
        <v>#N/A</v>
      </c>
    </row>
    <row r="305" spans="1:3">
      <c r="A305" s="94" t="s">
        <v>810</v>
      </c>
      <c r="C305" s="35">
        <f>MATCH(A305,[3]Quarters!K:K,0)</f>
        <v>135</v>
      </c>
    </row>
    <row r="306" spans="1:3">
      <c r="A306" s="94" t="s">
        <v>150</v>
      </c>
      <c r="C306" s="35">
        <f>MATCH(A306,[3]Quarters!K:K,0)</f>
        <v>138</v>
      </c>
    </row>
    <row r="307" spans="1:3">
      <c r="A307" s="94" t="s">
        <v>155</v>
      </c>
      <c r="C307" s="35" t="e">
        <f>MATCH(A307,[3]Quarters!K:K,0)</f>
        <v>#N/A</v>
      </c>
    </row>
    <row r="308" spans="1:3">
      <c r="A308" s="94" t="s">
        <v>815</v>
      </c>
      <c r="C308" s="35" t="e">
        <f>MATCH(A308,[3]Quarters!K:K,0)</f>
        <v>#N/A</v>
      </c>
    </row>
    <row r="309" spans="1:3">
      <c r="A309" s="94" t="s">
        <v>160</v>
      </c>
      <c r="C309" s="35" t="e">
        <f>MATCH(A309,[3]Quarters!K:K,0)</f>
        <v>#N/A</v>
      </c>
    </row>
    <row r="310" spans="1:3">
      <c r="A310" s="94" t="s">
        <v>165</v>
      </c>
      <c r="C310" s="35" t="e">
        <f>MATCH(A310,[3]Quarters!K:K,0)</f>
        <v>#N/A</v>
      </c>
    </row>
    <row r="311" spans="1:3">
      <c r="A311" s="94" t="s">
        <v>815</v>
      </c>
      <c r="C311" s="35" t="e">
        <f>MATCH(A311,[3]Quarters!K:K,0)</f>
        <v>#N/A</v>
      </c>
    </row>
    <row r="312" spans="1:3">
      <c r="A312" s="94" t="s">
        <v>160</v>
      </c>
      <c r="C312" s="35" t="e">
        <f>MATCH(A312,[3]Quarters!K:K,0)</f>
        <v>#N/A</v>
      </c>
    </row>
    <row r="313" spans="1:3">
      <c r="A313" s="94" t="s">
        <v>165</v>
      </c>
      <c r="C313" s="35" t="e">
        <f>MATCH(A313,[3]Quarters!K:K,0)</f>
        <v>#N/A</v>
      </c>
    </row>
    <row r="314" spans="1:3">
      <c r="A314" s="94" t="s">
        <v>819</v>
      </c>
      <c r="C314" s="35">
        <f>MATCH(A314,[3]Quarters!K:K,0)</f>
        <v>140</v>
      </c>
    </row>
    <row r="315" spans="1:3">
      <c r="A315" s="94" t="s">
        <v>170</v>
      </c>
      <c r="C315" s="35" t="e">
        <f>MATCH(A315,[3]Quarters!K:K,0)</f>
        <v>#N/A</v>
      </c>
    </row>
    <row r="316" spans="1:3">
      <c r="A316" s="94" t="s">
        <v>175</v>
      </c>
      <c r="C316" s="35" t="e">
        <f>MATCH(A316,[3]Quarters!K:K,0)</f>
        <v>#N/A</v>
      </c>
    </row>
    <row r="317" spans="1:3">
      <c r="A317" s="94" t="s">
        <v>819</v>
      </c>
      <c r="C317" s="35">
        <f>MATCH(A317,[3]Quarters!K:K,0)</f>
        <v>140</v>
      </c>
    </row>
    <row r="318" spans="1:3">
      <c r="A318" s="94" t="s">
        <v>170</v>
      </c>
      <c r="C318" s="35" t="e">
        <f>MATCH(A318,[3]Quarters!K:K,0)</f>
        <v>#N/A</v>
      </c>
    </row>
    <row r="319" spans="1:3">
      <c r="A319" s="94" t="s">
        <v>175</v>
      </c>
      <c r="C319" s="35" t="e">
        <f>MATCH(A319,[3]Quarters!K:K,0)</f>
        <v>#N/A</v>
      </c>
    </row>
    <row r="320" spans="1:3">
      <c r="A320" s="94" t="s">
        <v>179</v>
      </c>
      <c r="C320" s="35">
        <f>MATCH(A320,[3]Quarters!K:K,0)</f>
        <v>143</v>
      </c>
    </row>
    <row r="321" spans="1:3">
      <c r="A321" s="94" t="s">
        <v>183</v>
      </c>
      <c r="C321" s="35" t="e">
        <f>MATCH(A321,[3]Quarters!K:K,0)</f>
        <v>#N/A</v>
      </c>
    </row>
    <row r="322" spans="1:3">
      <c r="A322" s="94" t="s">
        <v>186</v>
      </c>
      <c r="C322" s="35" t="e">
        <f>MATCH(A322,[3]Quarters!K:K,0)</f>
        <v>#N/A</v>
      </c>
    </row>
    <row r="323" spans="1:3">
      <c r="A323" s="94" t="s">
        <v>179</v>
      </c>
      <c r="C323" s="35">
        <f>MATCH(A323,[3]Quarters!K:K,0)</f>
        <v>143</v>
      </c>
    </row>
    <row r="324" spans="1:3">
      <c r="A324" s="94" t="s">
        <v>183</v>
      </c>
      <c r="C324" s="35" t="e">
        <f>MATCH(A324,[3]Quarters!K:K,0)</f>
        <v>#N/A</v>
      </c>
    </row>
    <row r="325" spans="1:3">
      <c r="A325" s="94" t="s">
        <v>186</v>
      </c>
      <c r="C325" s="35" t="e">
        <f>MATCH(A325,[3]Quarters!K:K,0)</f>
        <v>#N/A</v>
      </c>
    </row>
    <row r="326" spans="1:3">
      <c r="A326" s="94" t="s">
        <v>200</v>
      </c>
      <c r="C326" s="35">
        <f>MATCH(A326,[3]Quarters!K:K,0)</f>
        <v>144</v>
      </c>
    </row>
    <row r="327" spans="1:3">
      <c r="A327" s="94" t="s">
        <v>203</v>
      </c>
      <c r="C327" s="35" t="e">
        <f>MATCH(A327,[3]Quarters!K:K,0)</f>
        <v>#N/A</v>
      </c>
    </row>
    <row r="328" spans="1:3">
      <c r="A328" s="94" t="s">
        <v>207</v>
      </c>
      <c r="C328" s="35" t="e">
        <f>MATCH(A328,[3]Quarters!K:K,0)</f>
        <v>#N/A</v>
      </c>
    </row>
    <row r="329" spans="1:3">
      <c r="A329" s="94" t="s">
        <v>200</v>
      </c>
      <c r="C329" s="35">
        <f>MATCH(A329,[3]Quarters!K:K,0)</f>
        <v>144</v>
      </c>
    </row>
    <row r="330" spans="1:3">
      <c r="A330" s="94" t="s">
        <v>203</v>
      </c>
      <c r="C330" s="35" t="e">
        <f>MATCH(A330,[3]Quarters!K:K,0)</f>
        <v>#N/A</v>
      </c>
    </row>
    <row r="331" spans="1:3">
      <c r="A331" s="94" t="s">
        <v>207</v>
      </c>
      <c r="C331" s="35" t="e">
        <f>MATCH(A331,[3]Quarters!K:K,0)</f>
        <v>#N/A</v>
      </c>
    </row>
    <row r="332" spans="1:3">
      <c r="A332" s="94" t="s">
        <v>1176</v>
      </c>
      <c r="C332" s="35" t="e">
        <f>MATCH(A332,[3]Quarters!K:K,0)</f>
        <v>#N/A</v>
      </c>
    </row>
    <row r="333" spans="1:3">
      <c r="A333" s="94" t="s">
        <v>43</v>
      </c>
      <c r="C333" s="35" t="e">
        <f>MATCH(A333,[3]Quarters!K:K,0)</f>
        <v>#N/A</v>
      </c>
    </row>
    <row r="334" spans="1:3">
      <c r="A334" s="94" t="s">
        <v>1177</v>
      </c>
      <c r="C334" s="35" t="e">
        <f>MATCH(A334,[3]Quarters!K:K,0)</f>
        <v>#N/A</v>
      </c>
    </row>
    <row r="335" spans="1:3">
      <c r="A335" s="94" t="s">
        <v>1176</v>
      </c>
      <c r="C335" s="35" t="e">
        <f>MATCH(A335,[3]Quarters!K:K,0)</f>
        <v>#N/A</v>
      </c>
    </row>
    <row r="336" spans="1:3">
      <c r="A336" s="94" t="s">
        <v>43</v>
      </c>
      <c r="C336" s="35" t="e">
        <f>MATCH(A336,[3]Quarters!K:K,0)</f>
        <v>#N/A</v>
      </c>
    </row>
    <row r="337" spans="1:4">
      <c r="A337" s="94" t="s">
        <v>1177</v>
      </c>
      <c r="C337" s="35" t="e">
        <f>MATCH(A337,[3]Quarters!K:K,0)</f>
        <v>#N/A</v>
      </c>
    </row>
    <row r="346" spans="1:4">
      <c r="C346" s="35">
        <f>COUNTIF(C1:C337,"&lt;&gt;#n/a")</f>
        <v>64</v>
      </c>
    </row>
    <row r="347" spans="1:4">
      <c r="C347" s="35">
        <f>COUNTIF(C1:C337,"=#n/a")</f>
        <v>273</v>
      </c>
      <c r="D347" s="38" t="s">
        <v>4248</v>
      </c>
    </row>
  </sheetData>
  <sheetProtection selectLockedCells="1" selectUnlockedCells="1"/>
  <pageMargins left="0.75" right="0.75" top="1" bottom="1" header="0.51181102362204722" footer="0.51181102362204722"/>
  <pageSetup firstPageNumber="0" orientation="portrait" horizontalDpi="300" verticalDpi="300"/>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3D7C-4962-48B1-91EE-470EB5007773}">
  <sheetPr codeName="Sheet10">
    <tabColor rgb="FFF0F4BE"/>
  </sheetPr>
  <dimension ref="A1:D124"/>
  <sheetViews>
    <sheetView workbookViewId="0"/>
  </sheetViews>
  <sheetFormatPr defaultColWidth="8.85546875" defaultRowHeight="12.75"/>
  <cols>
    <col min="1" max="1" width="13.42578125" style="126" customWidth="1"/>
    <col min="2" max="2" width="8.85546875" style="105"/>
    <col min="3" max="3" width="11.42578125" style="143" customWidth="1"/>
    <col min="4" max="16384" width="8.85546875" style="105"/>
  </cols>
  <sheetData>
    <row r="1" spans="1:3">
      <c r="A1" s="126" t="s">
        <v>1154</v>
      </c>
      <c r="B1" s="105" t="s">
        <v>9</v>
      </c>
      <c r="C1" s="143" t="s">
        <v>1584</v>
      </c>
    </row>
    <row r="2" spans="1:3">
      <c r="A2" s="126">
        <v>1964</v>
      </c>
      <c r="B2" s="144"/>
      <c r="C2" s="143">
        <f>MATCH(A2,[4]Halves!$O$3:$O$185,0)</f>
        <v>42</v>
      </c>
    </row>
    <row r="3" spans="1:3">
      <c r="A3" s="126" t="s">
        <v>554</v>
      </c>
      <c r="B3" s="144"/>
      <c r="C3" s="143" t="e">
        <f>MATCH(A3,[4]Halves!$O$3:$O$185,0)</f>
        <v>#N/A</v>
      </c>
    </row>
    <row r="4" spans="1:3">
      <c r="A4" s="126">
        <v>1965</v>
      </c>
      <c r="B4" s="144"/>
      <c r="C4" s="143">
        <f>MATCH(A4,[4]Halves!$O$3:$O$185,0)</f>
        <v>46</v>
      </c>
    </row>
    <row r="5" spans="1:3">
      <c r="A5" s="126">
        <v>1966</v>
      </c>
      <c r="B5" s="144"/>
      <c r="C5" s="143">
        <f>MATCH(A5,[4]Halves!$O$3:$O$185,0)</f>
        <v>49</v>
      </c>
    </row>
    <row r="6" spans="1:3">
      <c r="A6" s="126">
        <v>1967</v>
      </c>
      <c r="B6" s="144"/>
      <c r="C6" s="143">
        <f>MATCH(A6,[4]Halves!$O$3:$O$185,0)</f>
        <v>52</v>
      </c>
    </row>
    <row r="7" spans="1:3">
      <c r="A7" s="126" t="s">
        <v>93</v>
      </c>
      <c r="B7" s="144"/>
      <c r="C7" s="143">
        <f>MATCH(A7,[4]Halves!$O$3:$O$185,0)</f>
        <v>60</v>
      </c>
    </row>
    <row r="8" spans="1:3">
      <c r="A8" s="126" t="s">
        <v>575</v>
      </c>
      <c r="B8" s="144"/>
      <c r="C8" s="143">
        <f>MATCH(A8,[4]Halves!$O$3:$O$185,0)</f>
        <v>61</v>
      </c>
    </row>
    <row r="9" spans="1:3">
      <c r="A9" s="126" t="s">
        <v>583</v>
      </c>
      <c r="B9" s="144"/>
      <c r="C9" s="143" t="e">
        <f>MATCH(A9,[4]Halves!$O$3:$O$185,0)</f>
        <v>#N/A</v>
      </c>
    </row>
    <row r="10" spans="1:3">
      <c r="A10" s="126">
        <v>1971</v>
      </c>
      <c r="B10" s="144"/>
      <c r="C10" s="143">
        <f>MATCH(A10,[4]Halves!$O$3:$O$185,0)</f>
        <v>71</v>
      </c>
    </row>
    <row r="11" spans="1:3">
      <c r="A11" s="126" t="s">
        <v>255</v>
      </c>
      <c r="B11" s="144"/>
      <c r="C11" s="143">
        <f>MATCH(A11,[4]Halves!$O$3:$O$185,0)</f>
        <v>75</v>
      </c>
    </row>
    <row r="12" spans="1:3">
      <c r="A12" s="126">
        <v>1972</v>
      </c>
      <c r="B12" s="144"/>
      <c r="C12" s="143">
        <f>MATCH(A12,[4]Halves!$O$3:$O$185,0)</f>
        <v>89</v>
      </c>
    </row>
    <row r="13" spans="1:3">
      <c r="A13" s="126" t="s">
        <v>258</v>
      </c>
      <c r="B13" s="144"/>
      <c r="C13" s="143" t="e">
        <f>MATCH(A13,[4]Halves!$O$3:$O$185,0)</f>
        <v>#N/A</v>
      </c>
    </row>
    <row r="14" spans="1:3">
      <c r="A14" s="126">
        <v>1973</v>
      </c>
      <c r="B14" s="144"/>
      <c r="C14" s="143">
        <f>MATCH(A14,[4]Halves!$O$3:$O$185,0)</f>
        <v>90</v>
      </c>
    </row>
    <row r="15" spans="1:3">
      <c r="A15" s="126" t="s">
        <v>123</v>
      </c>
      <c r="B15" s="144"/>
      <c r="C15" s="143" t="e">
        <f>MATCH(A15,[4]Halves!$O$3:$O$185,0)</f>
        <v>#N/A</v>
      </c>
    </row>
    <row r="16" spans="1:3">
      <c r="A16" s="126">
        <v>1974</v>
      </c>
      <c r="B16" s="144"/>
      <c r="C16" s="143">
        <f>MATCH(A16,[4]Halves!$O$3:$O$185,0)</f>
        <v>102</v>
      </c>
    </row>
    <row r="17" spans="1:3">
      <c r="A17" s="126" t="s">
        <v>262</v>
      </c>
      <c r="B17" s="144"/>
      <c r="C17" s="143">
        <f>MATCH(A17,[4]Halves!$O$3:$O$185,0)</f>
        <v>113</v>
      </c>
    </row>
    <row r="18" spans="1:3">
      <c r="A18" s="126">
        <v>1976</v>
      </c>
      <c r="B18" s="144"/>
      <c r="C18" s="143">
        <f>MATCH(A18,[4]Halves!$O$3:$O$185,0)</f>
        <v>116</v>
      </c>
    </row>
    <row r="19" spans="1:3">
      <c r="A19" s="126" t="s">
        <v>272</v>
      </c>
      <c r="B19" s="144"/>
      <c r="C19" s="143" t="e">
        <f>MATCH(A19,[4]Halves!$O$3:$O$185,0)</f>
        <v>#N/A</v>
      </c>
    </row>
    <row r="20" spans="1:3">
      <c r="A20" s="126" t="s">
        <v>143</v>
      </c>
      <c r="B20" s="144" t="s">
        <v>1585</v>
      </c>
      <c r="C20" s="143" t="e">
        <f>MATCH(A20,[4]Halves!$O$3:$O$185,0)</f>
        <v>#N/A</v>
      </c>
    </row>
    <row r="21" spans="1:3">
      <c r="A21" s="126">
        <v>1977</v>
      </c>
      <c r="B21" s="144"/>
      <c r="C21" s="143">
        <f>MATCH(A21,[4]Halves!$O$3:$O$185,0)</f>
        <v>117</v>
      </c>
    </row>
    <row r="22" spans="1:3">
      <c r="A22" s="126" t="s">
        <v>148</v>
      </c>
      <c r="B22" s="144"/>
      <c r="C22" s="143" t="e">
        <f>MATCH(A22,[4]Halves!$O$3:$O$185,0)</f>
        <v>#N/A</v>
      </c>
    </row>
    <row r="23" spans="1:3">
      <c r="A23" s="126">
        <v>1978</v>
      </c>
      <c r="B23" s="144"/>
      <c r="C23" s="143">
        <f>MATCH(A23,[4]Halves!$O$3:$O$185,0)</f>
        <v>118</v>
      </c>
    </row>
    <row r="24" spans="1:3">
      <c r="A24" s="126" t="s">
        <v>158</v>
      </c>
      <c r="B24" s="144"/>
      <c r="C24" s="143" t="e">
        <f>MATCH(A24,[4]Halves!$O$3:$O$185,0)</f>
        <v>#N/A</v>
      </c>
    </row>
    <row r="25" spans="1:3">
      <c r="A25" s="126">
        <v>1979</v>
      </c>
      <c r="B25" s="144"/>
      <c r="C25" s="143">
        <f>MATCH(A25,[4]Halves!$O$3:$O$185,0)</f>
        <v>119</v>
      </c>
    </row>
    <row r="26" spans="1:3">
      <c r="A26" s="126" t="s">
        <v>168</v>
      </c>
      <c r="B26" s="144"/>
      <c r="C26" s="143" t="e">
        <f>MATCH(A26,[4]Halves!$O$3:$O$185,0)</f>
        <v>#N/A</v>
      </c>
    </row>
    <row r="27" spans="1:3">
      <c r="A27" s="126">
        <v>1980</v>
      </c>
      <c r="B27" s="144"/>
      <c r="C27" s="143">
        <f>MATCH(A27,[4]Halves!$O$3:$O$185,0)</f>
        <v>120</v>
      </c>
    </row>
    <row r="28" spans="1:3">
      <c r="A28" s="126" t="s">
        <v>177</v>
      </c>
      <c r="B28" s="144"/>
      <c r="C28" s="143" t="e">
        <f>MATCH(A28,[4]Halves!$O$3:$O$185,0)</f>
        <v>#N/A</v>
      </c>
    </row>
    <row r="29" spans="1:3">
      <c r="A29" s="126">
        <v>1981</v>
      </c>
      <c r="B29" s="144"/>
      <c r="C29" s="143">
        <f>MATCH(A29,[4]Halves!$O$3:$O$185,0)</f>
        <v>121</v>
      </c>
    </row>
    <row r="30" spans="1:3">
      <c r="A30" s="126" t="s">
        <v>243</v>
      </c>
      <c r="B30" s="144"/>
      <c r="C30" s="143" t="e">
        <f>MATCH(A30,[4]Halves!$O$3:$O$185,0)</f>
        <v>#N/A</v>
      </c>
    </row>
    <row r="31" spans="1:3">
      <c r="A31" s="126">
        <v>1982</v>
      </c>
      <c r="B31" s="144"/>
      <c r="C31" s="143">
        <f>MATCH(A31,[4]Halves!$O$3:$O$185,0)</f>
        <v>122</v>
      </c>
    </row>
    <row r="32" spans="1:3">
      <c r="A32" s="126" t="s">
        <v>247</v>
      </c>
      <c r="B32" s="144"/>
      <c r="C32" s="143" t="e">
        <f>MATCH(A32,[4]Halves!$O$3:$O$185,0)</f>
        <v>#N/A</v>
      </c>
    </row>
    <row r="33" spans="1:3">
      <c r="A33" s="126">
        <v>1983</v>
      </c>
      <c r="B33" s="144"/>
      <c r="C33" s="143">
        <f>MATCH(A33,[4]Halves!$O$3:$O$185,0)</f>
        <v>123</v>
      </c>
    </row>
    <row r="34" spans="1:3">
      <c r="A34" s="126" t="s">
        <v>249</v>
      </c>
      <c r="B34" s="144"/>
      <c r="C34" s="143">
        <f>MATCH(A34,[4]Halves!$O$3:$O$185,0)</f>
        <v>165</v>
      </c>
    </row>
    <row r="35" spans="1:3">
      <c r="A35" s="126">
        <v>1984</v>
      </c>
      <c r="B35" s="144"/>
      <c r="C35" s="143">
        <f>MATCH(A35,[4]Halves!$O$3:$O$185,0)</f>
        <v>124</v>
      </c>
    </row>
    <row r="36" spans="1:3">
      <c r="A36" s="126" t="s">
        <v>251</v>
      </c>
      <c r="B36" s="144"/>
      <c r="C36" s="143" t="e">
        <f>MATCH(A36,[4]Halves!$O$3:$O$185,0)</f>
        <v>#N/A</v>
      </c>
    </row>
    <row r="37" spans="1:3">
      <c r="A37" s="126">
        <v>1985</v>
      </c>
      <c r="B37" s="144"/>
      <c r="C37" s="143">
        <f>MATCH(A37,[4]Halves!$O$3:$O$185,0)</f>
        <v>125</v>
      </c>
    </row>
    <row r="38" spans="1:3">
      <c r="A38" s="126" t="s">
        <v>201</v>
      </c>
      <c r="B38" s="144"/>
      <c r="C38" s="143">
        <f>MATCH(A38,[4]Halves!$O$3:$O$185,0)</f>
        <v>169</v>
      </c>
    </row>
    <row r="39" spans="1:3">
      <c r="A39" s="126">
        <v>1986</v>
      </c>
      <c r="B39" s="144"/>
      <c r="C39" s="143">
        <f>MATCH(A39,[4]Halves!$O$3:$O$185,0)</f>
        <v>126</v>
      </c>
    </row>
    <row r="40" spans="1:3">
      <c r="A40" s="126" t="s">
        <v>209</v>
      </c>
      <c r="B40" s="144"/>
      <c r="C40" s="143" t="e">
        <f>MATCH(A40,[4]Halves!$O$3:$O$185,0)</f>
        <v>#N/A</v>
      </c>
    </row>
    <row r="41" spans="1:3">
      <c r="A41" s="126">
        <v>1987</v>
      </c>
      <c r="B41" s="144"/>
      <c r="C41" s="143">
        <f>MATCH(A41,[4]Halves!$O$3:$O$185,0)</f>
        <v>127</v>
      </c>
    </row>
    <row r="42" spans="1:3">
      <c r="A42" s="126" t="s">
        <v>675</v>
      </c>
      <c r="B42" s="144"/>
      <c r="C42" s="143" t="e">
        <f>MATCH(A42,[4]Halves!$O$3:$O$185,0)</f>
        <v>#N/A</v>
      </c>
    </row>
    <row r="43" spans="1:3">
      <c r="A43" s="126">
        <v>1988</v>
      </c>
      <c r="B43" s="144"/>
      <c r="C43" s="143">
        <f>MATCH(A43,[4]Halves!$O$3:$O$185,0)</f>
        <v>128</v>
      </c>
    </row>
    <row r="44" spans="1:3">
      <c r="A44" s="126" t="s">
        <v>678</v>
      </c>
      <c r="B44" s="144"/>
      <c r="C44" s="143" t="e">
        <f>MATCH(A44,[4]Halves!$O$3:$O$185,0)</f>
        <v>#N/A</v>
      </c>
    </row>
    <row r="45" spans="1:3">
      <c r="A45" s="126">
        <v>1989</v>
      </c>
      <c r="B45" s="144"/>
      <c r="C45" s="143">
        <f>MATCH(A45,[4]Halves!$O$3:$O$185,0)</f>
        <v>129</v>
      </c>
    </row>
    <row r="46" spans="1:3">
      <c r="A46" s="126" t="s">
        <v>261</v>
      </c>
      <c r="B46" s="144"/>
      <c r="C46" s="143">
        <f>MATCH(A46,[4]Halves!$O$3:$O$185,0)</f>
        <v>174</v>
      </c>
    </row>
    <row r="47" spans="1:3">
      <c r="A47" s="126">
        <v>1990</v>
      </c>
      <c r="B47" s="144"/>
      <c r="C47" s="143">
        <f>MATCH(A47,[4]Halves!$O$3:$O$185,0)</f>
        <v>130</v>
      </c>
    </row>
    <row r="48" spans="1:3">
      <c r="A48" s="126" t="s">
        <v>265</v>
      </c>
      <c r="B48" s="144"/>
      <c r="C48" s="143" t="e">
        <f>MATCH(A48,[4]Halves!$O$3:$O$185,0)</f>
        <v>#N/A</v>
      </c>
    </row>
    <row r="49" spans="1:3">
      <c r="A49" s="126">
        <v>1991</v>
      </c>
      <c r="B49" s="144"/>
      <c r="C49" s="143">
        <f>MATCH(A49,[4]Halves!$O$3:$O$185,0)</f>
        <v>131</v>
      </c>
    </row>
    <row r="50" spans="1:3">
      <c r="A50" s="126" t="s">
        <v>268</v>
      </c>
      <c r="B50" s="144"/>
      <c r="C50" s="143">
        <f>MATCH(A50,[4]Halves!$O$3:$O$185,0)</f>
        <v>178</v>
      </c>
    </row>
    <row r="51" spans="1:3">
      <c r="A51" s="126">
        <v>1992</v>
      </c>
      <c r="B51" s="144"/>
      <c r="C51" s="143">
        <f>MATCH(A51,[4]Halves!$O$3:$O$185,0)</f>
        <v>132</v>
      </c>
    </row>
    <row r="52" spans="1:3">
      <c r="A52" s="126" t="s">
        <v>274</v>
      </c>
      <c r="B52" s="144"/>
      <c r="C52" s="143" t="e">
        <f>MATCH(A52,[4]Halves!$O$3:$O$185,0)</f>
        <v>#N/A</v>
      </c>
    </row>
    <row r="53" spans="1:3">
      <c r="A53" s="126">
        <v>1993</v>
      </c>
      <c r="B53" s="144"/>
      <c r="C53" s="143">
        <f>MATCH(A53,[4]Halves!$O$3:$O$185,0)</f>
        <v>133</v>
      </c>
    </row>
    <row r="54" spans="1:3">
      <c r="A54" s="126" t="s">
        <v>277</v>
      </c>
      <c r="B54" s="144"/>
      <c r="C54" s="143">
        <f>MATCH(A54,[4]Halves!$O$3:$O$185,0)</f>
        <v>183</v>
      </c>
    </row>
    <row r="55" spans="1:3">
      <c r="A55" s="126">
        <v>1994</v>
      </c>
      <c r="B55" s="144"/>
      <c r="C55" s="143">
        <f>MATCH(A55,[4]Halves!$O$3:$O$185,0)</f>
        <v>134</v>
      </c>
    </row>
    <row r="56" spans="1:3">
      <c r="A56" s="126" t="s">
        <v>108</v>
      </c>
      <c r="B56" s="144"/>
      <c r="C56" s="143" t="e">
        <f>MATCH(A56,[4]Halves!$O$3:$O$185,0)</f>
        <v>#N/A</v>
      </c>
    </row>
    <row r="57" spans="1:3">
      <c r="A57" s="126">
        <v>1995</v>
      </c>
      <c r="B57" s="144"/>
      <c r="C57" s="143">
        <f>MATCH(A57,[4]Halves!$O$3:$O$185,0)</f>
        <v>135</v>
      </c>
    </row>
    <row r="58" spans="1:3">
      <c r="A58" s="126" t="s">
        <v>281</v>
      </c>
      <c r="B58" s="144"/>
      <c r="C58" s="143" t="e">
        <f>MATCH(A58,[4]Halves!$O$3:$O$185,0)</f>
        <v>#N/A</v>
      </c>
    </row>
    <row r="59" spans="1:3">
      <c r="A59" s="126">
        <v>1996</v>
      </c>
      <c r="B59" s="144"/>
      <c r="C59" s="143">
        <f>MATCH(A59,[4]Halves!$O$3:$O$185,0)</f>
        <v>136</v>
      </c>
    </row>
    <row r="60" spans="1:3">
      <c r="A60" s="126" t="s">
        <v>115</v>
      </c>
      <c r="B60" s="144"/>
      <c r="C60" s="143" t="e">
        <f>MATCH(A60,[4]Halves!$O$3:$O$185,0)</f>
        <v>#N/A</v>
      </c>
    </row>
    <row r="61" spans="1:3">
      <c r="A61" s="126">
        <v>1997</v>
      </c>
      <c r="B61" s="144"/>
      <c r="C61" s="143">
        <f>MATCH(A61,[4]Halves!$O$3:$O$185,0)</f>
        <v>137</v>
      </c>
    </row>
    <row r="62" spans="1:3">
      <c r="A62" s="126" t="s">
        <v>719</v>
      </c>
      <c r="B62" s="144"/>
      <c r="C62" s="143" t="e">
        <f>MATCH(A62,[4]Halves!$O$3:$O$185,0)</f>
        <v>#N/A</v>
      </c>
    </row>
    <row r="63" spans="1:3">
      <c r="A63" s="126">
        <v>1998</v>
      </c>
      <c r="B63" s="144"/>
      <c r="C63" s="143">
        <f>MATCH(A63,[4]Halves!$O$3:$O$185,0)</f>
        <v>138</v>
      </c>
    </row>
    <row r="64" spans="1:3">
      <c r="A64" s="126" t="s">
        <v>725</v>
      </c>
      <c r="B64" s="144"/>
      <c r="C64" s="143" t="e">
        <f>MATCH(A64,[4]Halves!$O$3:$O$185,0)</f>
        <v>#N/A</v>
      </c>
    </row>
    <row r="65" spans="1:3">
      <c r="A65" s="126">
        <v>1999</v>
      </c>
      <c r="B65" s="144"/>
      <c r="C65" s="143">
        <f>MATCH(A65,[4]Halves!$O$3:$O$185,0)</f>
        <v>139</v>
      </c>
    </row>
    <row r="66" spans="1:3">
      <c r="A66" s="126" t="s">
        <v>128</v>
      </c>
      <c r="B66" s="144"/>
      <c r="C66" s="143" t="e">
        <f>MATCH(A66,[4]Halves!$O$3:$O$185,0)</f>
        <v>#N/A</v>
      </c>
    </row>
    <row r="67" spans="1:3">
      <c r="A67" s="126">
        <v>2000</v>
      </c>
      <c r="B67" s="144"/>
      <c r="C67" s="143">
        <f>MATCH(A67,[4]Halves!$O$3:$O$185,0)</f>
        <v>140</v>
      </c>
    </row>
    <row r="68" spans="1:3">
      <c r="A68" s="126" t="s">
        <v>731</v>
      </c>
      <c r="B68" s="144"/>
      <c r="C68" s="143" t="e">
        <f>MATCH(A68,[4]Halves!$O$3:$O$185,0)</f>
        <v>#N/A</v>
      </c>
    </row>
    <row r="69" spans="1:3">
      <c r="A69" s="126">
        <v>2001</v>
      </c>
      <c r="B69" s="144"/>
      <c r="C69" s="143">
        <f>MATCH(A69,[4]Halves!$O$3:$O$185,0)</f>
        <v>141</v>
      </c>
    </row>
    <row r="70" spans="1:3">
      <c r="A70" s="126" t="s">
        <v>736</v>
      </c>
      <c r="B70" s="144"/>
      <c r="C70" s="143" t="e">
        <f>MATCH(A70,[4]Halves!$O$3:$O$185,0)</f>
        <v>#N/A</v>
      </c>
    </row>
    <row r="71" spans="1:3">
      <c r="A71" s="126">
        <v>2002</v>
      </c>
      <c r="B71" s="144"/>
      <c r="C71" s="143">
        <f>MATCH(A71,[4]Halves!$O$3:$O$185,0)</f>
        <v>142</v>
      </c>
    </row>
    <row r="72" spans="1:3">
      <c r="A72" s="126" t="s">
        <v>144</v>
      </c>
      <c r="B72" s="144"/>
      <c r="C72" s="143" t="e">
        <f>MATCH(A72,[4]Halves!$O$3:$O$185,0)</f>
        <v>#N/A</v>
      </c>
    </row>
    <row r="73" spans="1:3">
      <c r="A73" s="126">
        <v>2003</v>
      </c>
      <c r="B73" s="144"/>
      <c r="C73" s="143" t="e">
        <f>MATCH(A73,[4]Halves!$O$3:$O$185,0)</f>
        <v>#N/A</v>
      </c>
    </row>
    <row r="74" spans="1:3">
      <c r="A74" s="126" t="s">
        <v>159</v>
      </c>
      <c r="B74" s="144"/>
      <c r="C74" s="143" t="e">
        <f>MATCH(A74,[4]Halves!$O$3:$O$185,0)</f>
        <v>#N/A</v>
      </c>
    </row>
    <row r="75" spans="1:3">
      <c r="A75" s="126">
        <v>2004</v>
      </c>
      <c r="B75" s="144"/>
      <c r="C75" s="143" t="e">
        <f>MATCH(A75,[4]Halves!$O$3:$O$185,0)</f>
        <v>#N/A</v>
      </c>
    </row>
    <row r="76" spans="1:3">
      <c r="A76" s="126" t="s">
        <v>169</v>
      </c>
      <c r="B76" s="144"/>
      <c r="C76" s="143" t="e">
        <f>MATCH(A76,[4]Halves!$O$3:$O$185,0)</f>
        <v>#N/A</v>
      </c>
    </row>
    <row r="77" spans="1:3">
      <c r="A77" s="126">
        <v>2005</v>
      </c>
      <c r="B77" s="144"/>
      <c r="C77" s="143" t="e">
        <f>MATCH(A77,[4]Halves!$O$3:$O$185,0)</f>
        <v>#N/A</v>
      </c>
    </row>
    <row r="78" spans="1:3">
      <c r="A78" s="126" t="s">
        <v>253</v>
      </c>
      <c r="B78" s="144"/>
      <c r="C78" s="143" t="e">
        <f>MATCH(A78,[4]Halves!$O$3:$O$185,0)</f>
        <v>#N/A</v>
      </c>
    </row>
    <row r="79" spans="1:3">
      <c r="A79" s="126">
        <v>2006</v>
      </c>
      <c r="B79" s="144"/>
      <c r="C79" s="143" t="e">
        <f>MATCH(A79,[4]Halves!$O$3:$O$185,0)</f>
        <v>#N/A</v>
      </c>
    </row>
    <row r="80" spans="1:3">
      <c r="A80" s="126" t="s">
        <v>185</v>
      </c>
      <c r="B80" s="144"/>
      <c r="C80" s="143" t="e">
        <f>MATCH(A80,[4]Halves!$O$3:$O$185,0)</f>
        <v>#N/A</v>
      </c>
    </row>
    <row r="81" spans="1:3">
      <c r="A81" s="126">
        <v>2007</v>
      </c>
      <c r="B81" s="144"/>
      <c r="C81" s="143" t="e">
        <f>MATCH(A81,[4]Halves!$O$3:$O$185,0)</f>
        <v>#N/A</v>
      </c>
    </row>
    <row r="82" spans="1:3">
      <c r="A82" s="126" t="s">
        <v>196</v>
      </c>
      <c r="B82" s="144"/>
      <c r="C82" s="143" t="e">
        <f>MATCH(A82,[4]Halves!$O$3:$O$185,0)</f>
        <v>#N/A</v>
      </c>
    </row>
    <row r="83" spans="1:3">
      <c r="A83" s="126">
        <v>2008</v>
      </c>
      <c r="B83" s="144"/>
      <c r="C83" s="143" t="e">
        <f>MATCH(A83,[4]Halves!$O$3:$O$185,0)</f>
        <v>#N/A</v>
      </c>
    </row>
    <row r="84" spans="1:3">
      <c r="A84" s="126" t="s">
        <v>206</v>
      </c>
      <c r="B84" s="144"/>
      <c r="C84" s="143" t="e">
        <f>MATCH(A84,[4]Halves!$O$3:$O$185,0)</f>
        <v>#N/A</v>
      </c>
    </row>
    <row r="85" spans="1:3">
      <c r="A85" s="126">
        <v>2009</v>
      </c>
      <c r="B85" s="144"/>
      <c r="C85" s="143" t="e">
        <f>MATCH(A85,[4]Halves!$O$3:$O$185,0)</f>
        <v>#N/A</v>
      </c>
    </row>
    <row r="86" spans="1:3">
      <c r="A86" s="126" t="s">
        <v>217</v>
      </c>
      <c r="B86" s="144"/>
      <c r="C86" s="143" t="e">
        <f>MATCH(A86,[4]Halves!$O$3:$O$185,0)</f>
        <v>#N/A</v>
      </c>
    </row>
    <row r="87" spans="1:3">
      <c r="A87" s="126">
        <v>2010</v>
      </c>
      <c r="B87" s="144"/>
      <c r="C87" s="143" t="e">
        <f>MATCH(A87,[4]Halves!$O$3:$O$185,0)</f>
        <v>#N/A</v>
      </c>
    </row>
    <row r="88" spans="1:3">
      <c r="A88" s="126" t="s">
        <v>226</v>
      </c>
      <c r="B88" s="144"/>
      <c r="C88" s="143" t="e">
        <f>MATCH(A88,[4]Halves!$O$3:$O$185,0)</f>
        <v>#N/A</v>
      </c>
    </row>
    <row r="89" spans="1:3">
      <c r="A89" s="126" t="s">
        <v>88</v>
      </c>
      <c r="B89" s="144"/>
      <c r="C89" s="143" t="e">
        <f>MATCH(A89,[4]Halves!$O$3:$O$185,0)</f>
        <v>#N/A</v>
      </c>
    </row>
    <row r="90" spans="1:3">
      <c r="A90" s="126" t="s">
        <v>90</v>
      </c>
      <c r="B90" s="144"/>
      <c r="C90" s="143" t="e">
        <f>MATCH(A90,[4]Halves!$O$3:$O$185,0)</f>
        <v>#N/A</v>
      </c>
    </row>
    <row r="91" spans="1:3">
      <c r="A91" s="126" t="s">
        <v>768</v>
      </c>
      <c r="B91" s="144"/>
      <c r="C91" s="143" t="e">
        <f>MATCH(A91,[4]Halves!$O$3:$O$185,0)</f>
        <v>#N/A</v>
      </c>
    </row>
    <row r="92" spans="1:3">
      <c r="A92" s="126" t="s">
        <v>100</v>
      </c>
      <c r="B92" s="144"/>
      <c r="C92" s="143" t="e">
        <f>MATCH(A92,[4]Halves!$O$3:$O$185,0)</f>
        <v>#N/A</v>
      </c>
    </row>
    <row r="93" spans="1:3">
      <c r="A93" s="126" t="s">
        <v>775</v>
      </c>
      <c r="B93" s="144"/>
      <c r="C93" s="143" t="e">
        <f>MATCH(A93,[4]Halves!$O$3:$O$185,0)</f>
        <v>#N/A</v>
      </c>
    </row>
    <row r="94" spans="1:3">
      <c r="A94" s="126" t="s">
        <v>106</v>
      </c>
      <c r="B94" s="144"/>
      <c r="C94" s="143" t="e">
        <f>MATCH(A94,[4]Halves!$O$3:$O$185,0)</f>
        <v>#N/A</v>
      </c>
    </row>
    <row r="95" spans="1:3">
      <c r="A95" s="126" t="s">
        <v>781</v>
      </c>
      <c r="B95" s="144"/>
      <c r="C95" s="143" t="e">
        <f>MATCH(A95,[4]Halves!$O$3:$O$185,0)</f>
        <v>#N/A</v>
      </c>
    </row>
    <row r="96" spans="1:3">
      <c r="A96" s="126" t="s">
        <v>112</v>
      </c>
      <c r="B96" s="144"/>
      <c r="C96" s="143" t="e">
        <f>MATCH(A96,[4]Halves!$O$3:$O$185,0)</f>
        <v>#N/A</v>
      </c>
    </row>
    <row r="97" spans="1:3">
      <c r="A97" s="126" t="s">
        <v>785</v>
      </c>
      <c r="B97" s="144"/>
      <c r="C97" s="143" t="e">
        <f>MATCH(A97,[4]Halves!$O$3:$O$185,0)</f>
        <v>#N/A</v>
      </c>
    </row>
    <row r="98" spans="1:3">
      <c r="A98" s="126" t="s">
        <v>271</v>
      </c>
      <c r="B98" s="144"/>
      <c r="C98" s="143" t="e">
        <f>MATCH(A98,[4]Halves!$O$3:$O$185,0)</f>
        <v>#N/A</v>
      </c>
    </row>
    <row r="99" spans="1:3">
      <c r="A99" s="126" t="s">
        <v>791</v>
      </c>
      <c r="C99" s="143" t="e">
        <f>MATCH(A99,[4]Halves!$O$3:$O$185,0)</f>
        <v>#N/A</v>
      </c>
    </row>
    <row r="100" spans="1:3">
      <c r="A100" s="126" t="s">
        <v>125</v>
      </c>
      <c r="C100" s="143" t="e">
        <f>MATCH(A100,[4]Halves!$O$3:$O$185,0)</f>
        <v>#N/A</v>
      </c>
    </row>
    <row r="101" spans="1:3">
      <c r="A101" s="126" t="s">
        <v>799</v>
      </c>
      <c r="C101" s="143" t="e">
        <f>MATCH(A101,[4]Halves!$O$3:$O$185,0)</f>
        <v>#N/A</v>
      </c>
    </row>
    <row r="102" spans="1:3">
      <c r="A102" s="126" t="s">
        <v>133</v>
      </c>
      <c r="C102" s="143" t="e">
        <f>MATCH(A102,[4]Halves!$O$3:$O$185,0)</f>
        <v>#N/A</v>
      </c>
    </row>
    <row r="103" spans="1:3">
      <c r="A103" s="126" t="s">
        <v>804</v>
      </c>
      <c r="C103" s="143" t="e">
        <f>MATCH(A103,[4]Halves!$O$3:$O$185,0)</f>
        <v>#N/A</v>
      </c>
    </row>
    <row r="104" spans="1:3">
      <c r="A104" s="126" t="s">
        <v>141</v>
      </c>
      <c r="C104" s="143" t="e">
        <f>MATCH(A104,[4]Halves!$O$3:$O$185,0)</f>
        <v>#N/A</v>
      </c>
    </row>
    <row r="105" spans="1:3">
      <c r="A105" s="126" t="s">
        <v>810</v>
      </c>
      <c r="C105" s="143" t="e">
        <f>MATCH(A105,[4]Halves!$O$3:$O$185,0)</f>
        <v>#N/A</v>
      </c>
    </row>
    <row r="106" spans="1:3">
      <c r="A106" s="126" t="s">
        <v>150</v>
      </c>
      <c r="C106" s="143" t="e">
        <f>MATCH(A106,[4]Halves!$O$3:$O$185,0)</f>
        <v>#N/A</v>
      </c>
    </row>
    <row r="107" spans="1:3">
      <c r="A107" s="126" t="s">
        <v>815</v>
      </c>
      <c r="C107" s="143" t="e">
        <f>MATCH(A107,[4]Halves!$O$3:$O$185,0)</f>
        <v>#N/A</v>
      </c>
    </row>
    <row r="108" spans="1:3">
      <c r="A108" s="126" t="s">
        <v>160</v>
      </c>
      <c r="C108" s="143" t="e">
        <f>MATCH(A108,[4]Halves!$O$3:$O$185,0)</f>
        <v>#N/A</v>
      </c>
    </row>
    <row r="109" spans="1:3">
      <c r="A109" s="126" t="s">
        <v>819</v>
      </c>
      <c r="C109" s="143" t="e">
        <f>MATCH(A109,[4]Halves!$O$3:$O$185,0)</f>
        <v>#N/A</v>
      </c>
    </row>
    <row r="110" spans="1:3">
      <c r="A110" s="126" t="s">
        <v>170</v>
      </c>
      <c r="C110" s="143" t="e">
        <f>MATCH(A110,[4]Halves!$O$3:$O$185,0)</f>
        <v>#N/A</v>
      </c>
    </row>
    <row r="111" spans="1:3">
      <c r="A111" s="126" t="s">
        <v>179</v>
      </c>
      <c r="C111" s="143" t="e">
        <f>MATCH(A111,[4]Halves!$O$3:$O$185,0)</f>
        <v>#N/A</v>
      </c>
    </row>
    <row r="112" spans="1:3">
      <c r="A112" s="126" t="s">
        <v>183</v>
      </c>
      <c r="C112" s="143" t="e">
        <f>MATCH(A112,[4]Halves!$O$3:$O$185,0)</f>
        <v>#N/A</v>
      </c>
    </row>
    <row r="113" spans="1:4">
      <c r="A113" s="126" t="s">
        <v>200</v>
      </c>
      <c r="C113" s="143" t="e">
        <f>MATCH(A113,[4]Halves!$O$3:$O$185,0)</f>
        <v>#N/A</v>
      </c>
    </row>
    <row r="114" spans="1:4">
      <c r="A114" s="126" t="s">
        <v>203</v>
      </c>
      <c r="C114" s="143" t="e">
        <f>MATCH(A114,[4]Halves!$O$3:$O$185,0)</f>
        <v>#N/A</v>
      </c>
    </row>
    <row r="115" spans="1:4">
      <c r="A115" s="126" t="s">
        <v>1176</v>
      </c>
      <c r="C115" s="143" t="e">
        <f>MATCH(A115,[4]Halves!$O$3:$O$185,0)</f>
        <v>#N/A</v>
      </c>
    </row>
    <row r="116" spans="1:4">
      <c r="A116" s="126" t="s">
        <v>43</v>
      </c>
      <c r="C116" s="143" t="e">
        <f>MATCH(A116,[4]Halves!$O$3:$O$185,0)</f>
        <v>#N/A</v>
      </c>
    </row>
    <row r="117" spans="1:4">
      <c r="A117" s="126" t="s">
        <v>1178</v>
      </c>
      <c r="C117" s="143" t="e">
        <f>MATCH(A117,[4]Halves!$O$3:$O$185,0)</f>
        <v>#N/A</v>
      </c>
    </row>
    <row r="118" spans="1:4">
      <c r="A118" s="126" t="s">
        <v>1179</v>
      </c>
      <c r="C118" s="143" t="e">
        <f>MATCH(A118,[4]Halves!$O$3:$O$185,0)</f>
        <v>#N/A</v>
      </c>
    </row>
    <row r="119" spans="1:4">
      <c r="A119" s="126" t="s">
        <v>1586</v>
      </c>
      <c r="C119" s="143" t="e">
        <f>MATCH(A119,[4]Halves!$O$3:$O$185,0)</f>
        <v>#N/A</v>
      </c>
    </row>
    <row r="120" spans="1:4">
      <c r="A120" s="126" t="s">
        <v>1587</v>
      </c>
      <c r="C120" s="143" t="e">
        <f>MATCH(A120,[4]Halves!$O$3:$O$185,0)</f>
        <v>#N/A</v>
      </c>
    </row>
    <row r="123" spans="1:4">
      <c r="C123" s="143">
        <f>COUNTIF(C1:C120,"&lt;&gt;#n/a")</f>
        <v>45</v>
      </c>
    </row>
    <row r="124" spans="1:4">
      <c r="C124" s="143">
        <f>COUNTIF(C1:C120,"=#n/a")</f>
        <v>75</v>
      </c>
      <c r="D124" s="105" t="s">
        <v>4249</v>
      </c>
    </row>
  </sheetData>
  <sheetProtection selectLockedCells="1" selectUnlockedCells="1"/>
  <pageMargins left="0.70000000000000007" right="0.70000000000000007" top="0.75" bottom="0.75" header="0.51181102362204722" footer="0.5118110236220472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FC6B0-F9CF-493B-95DC-1DB526A56C43}">
  <sheetPr codeName="Sheet11">
    <tabColor rgb="FFF0F4BE"/>
  </sheetPr>
  <dimension ref="B1:S31"/>
  <sheetViews>
    <sheetView workbookViewId="0"/>
  </sheetViews>
  <sheetFormatPr defaultColWidth="8.85546875" defaultRowHeight="12.75"/>
  <cols>
    <col min="1" max="1" width="9.7109375" style="105" customWidth="1"/>
    <col min="2" max="2" width="26.85546875" style="105" customWidth="1"/>
    <col min="3" max="3" width="13" style="105" customWidth="1"/>
    <col min="4" max="4" width="3.85546875" style="105" customWidth="1"/>
    <col min="5" max="5" width="28" style="105" customWidth="1"/>
    <col min="6" max="13" width="8.85546875" style="105"/>
    <col min="14" max="14" width="3.42578125" style="105" customWidth="1"/>
    <col min="15" max="15" width="5" style="105" customWidth="1"/>
    <col min="16" max="16" width="8.85546875" style="105"/>
    <col min="17" max="17" width="26.85546875" style="105" customWidth="1"/>
    <col min="18" max="16384" width="8.85546875" style="105"/>
  </cols>
  <sheetData>
    <row r="1" spans="2:19" ht="15">
      <c r="B1" s="174" t="s">
        <v>1859</v>
      </c>
      <c r="C1" s="175"/>
      <c r="D1" s="176"/>
      <c r="E1" s="176"/>
      <c r="F1" s="176"/>
      <c r="G1" s="176"/>
      <c r="H1" s="176"/>
      <c r="I1" s="176"/>
      <c r="J1" s="176"/>
      <c r="K1" s="176"/>
      <c r="L1" s="176"/>
      <c r="M1" s="176"/>
      <c r="N1" s="177"/>
      <c r="P1" s="103" t="s">
        <v>1860</v>
      </c>
      <c r="Q1" s="103"/>
      <c r="S1" s="105" t="s">
        <v>1861</v>
      </c>
    </row>
    <row r="2" spans="2:19">
      <c r="B2" s="178" t="s">
        <v>1862</v>
      </c>
      <c r="C2" s="103" t="s">
        <v>1863</v>
      </c>
      <c r="N2" s="179"/>
      <c r="P2" s="103" t="s">
        <v>1864</v>
      </c>
      <c r="Q2" s="103" t="s">
        <v>1865</v>
      </c>
      <c r="S2" s="105" t="s">
        <v>1866</v>
      </c>
    </row>
    <row r="3" spans="2:19">
      <c r="B3" s="178" t="s">
        <v>1867</v>
      </c>
      <c r="C3" s="103" t="s">
        <v>1868</v>
      </c>
      <c r="N3" s="179"/>
      <c r="P3" s="103" t="s">
        <v>1869</v>
      </c>
      <c r="Q3" s="103" t="s">
        <v>1870</v>
      </c>
      <c r="S3" s="105" t="s">
        <v>1390</v>
      </c>
    </row>
    <row r="4" spans="2:19">
      <c r="B4" s="178" t="s">
        <v>1871</v>
      </c>
      <c r="C4" s="103" t="s">
        <v>1872</v>
      </c>
      <c r="N4" s="179"/>
      <c r="P4" s="103" t="s">
        <v>1873</v>
      </c>
      <c r="Q4" s="103" t="s">
        <v>1874</v>
      </c>
    </row>
    <row r="5" spans="2:19">
      <c r="B5" s="178" t="s">
        <v>1875</v>
      </c>
      <c r="C5" s="103" t="s">
        <v>1876</v>
      </c>
      <c r="N5" s="179"/>
      <c r="P5" s="103" t="s">
        <v>1877</v>
      </c>
      <c r="Q5" s="103" t="s">
        <v>1878</v>
      </c>
    </row>
    <row r="6" spans="2:19">
      <c r="B6" s="178" t="s">
        <v>1879</v>
      </c>
      <c r="C6" s="103" t="s">
        <v>1880</v>
      </c>
      <c r="N6" s="179"/>
      <c r="P6" s="103" t="s">
        <v>1881</v>
      </c>
      <c r="Q6" s="103" t="s">
        <v>1882</v>
      </c>
    </row>
    <row r="7" spans="2:19">
      <c r="B7" s="178" t="s">
        <v>1883</v>
      </c>
      <c r="C7" s="103" t="s">
        <v>1884</v>
      </c>
      <c r="N7" s="179"/>
      <c r="P7" s="103" t="s">
        <v>1885</v>
      </c>
      <c r="Q7" s="103" t="s">
        <v>1886</v>
      </c>
    </row>
    <row r="8" spans="2:19">
      <c r="B8" s="178" t="s">
        <v>1887</v>
      </c>
      <c r="C8" s="103" t="s">
        <v>1888</v>
      </c>
      <c r="N8" s="179"/>
      <c r="P8" s="103" t="s">
        <v>1889</v>
      </c>
      <c r="Q8" s="103" t="s">
        <v>1890</v>
      </c>
    </row>
    <row r="9" spans="2:19">
      <c r="B9" s="178" t="s">
        <v>1891</v>
      </c>
      <c r="C9" s="103" t="s">
        <v>1892</v>
      </c>
      <c r="N9" s="179"/>
      <c r="P9" s="103" t="s">
        <v>1893</v>
      </c>
      <c r="Q9" s="103" t="s">
        <v>1894</v>
      </c>
    </row>
    <row r="10" spans="2:19">
      <c r="B10" s="178" t="s">
        <v>1895</v>
      </c>
      <c r="C10" s="103" t="s">
        <v>1896</v>
      </c>
      <c r="N10" s="179"/>
      <c r="P10" s="103" t="s">
        <v>1897</v>
      </c>
      <c r="Q10" s="103" t="s">
        <v>1898</v>
      </c>
    </row>
    <row r="11" spans="2:19">
      <c r="B11" s="180"/>
    </row>
    <row r="12" spans="2:19" ht="15">
      <c r="B12" s="174" t="s">
        <v>1899</v>
      </c>
      <c r="N12" s="179"/>
    </row>
    <row r="13" spans="2:19">
      <c r="B13" s="178" t="s">
        <v>1875</v>
      </c>
      <c r="C13" s="103" t="s">
        <v>1900</v>
      </c>
      <c r="N13" s="179"/>
    </row>
    <row r="14" spans="2:19">
      <c r="B14" s="178" t="s">
        <v>1879</v>
      </c>
      <c r="C14" s="103" t="s">
        <v>1901</v>
      </c>
      <c r="N14" s="179"/>
    </row>
    <row r="15" spans="2:19">
      <c r="B15" s="178" t="s">
        <v>1891</v>
      </c>
      <c r="C15" s="103" t="s">
        <v>1902</v>
      </c>
      <c r="N15" s="179"/>
    </row>
    <row r="16" spans="2:19">
      <c r="B16" s="178" t="s">
        <v>1903</v>
      </c>
      <c r="C16" s="103" t="s">
        <v>1904</v>
      </c>
      <c r="N16" s="179"/>
    </row>
    <row r="17" spans="2:14">
      <c r="B17" s="178" t="s">
        <v>1895</v>
      </c>
      <c r="C17" s="103" t="s">
        <v>1905</v>
      </c>
      <c r="N17" s="179"/>
    </row>
    <row r="18" spans="2:14">
      <c r="B18" s="180"/>
    </row>
    <row r="19" spans="2:14">
      <c r="B19" s="180"/>
    </row>
    <row r="20" spans="2:14" ht="15">
      <c r="B20" s="174" t="s">
        <v>1906</v>
      </c>
      <c r="N20" s="179"/>
    </row>
    <row r="21" spans="2:14" ht="31.5" customHeight="1">
      <c r="B21" s="181" t="s">
        <v>1907</v>
      </c>
      <c r="C21" s="559" t="s">
        <v>1908</v>
      </c>
      <c r="D21" s="559"/>
      <c r="E21" s="559"/>
      <c r="F21" s="559"/>
      <c r="G21" s="559"/>
      <c r="H21" s="559"/>
      <c r="I21" s="559"/>
      <c r="J21" s="559"/>
      <c r="K21" s="559"/>
      <c r="L21" s="559"/>
      <c r="M21" s="559"/>
      <c r="N21" s="559"/>
    </row>
    <row r="22" spans="2:14" ht="42.75" customHeight="1">
      <c r="B22" s="181" t="s">
        <v>1909</v>
      </c>
      <c r="C22" s="560" t="s">
        <v>1910</v>
      </c>
      <c r="D22" s="560"/>
      <c r="E22" s="560"/>
      <c r="F22" s="560"/>
      <c r="G22" s="560"/>
      <c r="H22" s="560"/>
      <c r="I22" s="560"/>
      <c r="J22" s="560"/>
      <c r="K22" s="560"/>
      <c r="L22" s="560"/>
      <c r="M22" s="560"/>
      <c r="N22" s="179"/>
    </row>
    <row r="23" spans="2:14" ht="30" customHeight="1">
      <c r="B23" s="181" t="s">
        <v>1911</v>
      </c>
      <c r="C23" s="560" t="s">
        <v>1912</v>
      </c>
      <c r="D23" s="560"/>
      <c r="E23" s="560"/>
      <c r="F23" s="560"/>
      <c r="G23" s="560"/>
      <c r="H23" s="560"/>
      <c r="I23" s="560"/>
      <c r="J23" s="560"/>
      <c r="K23" s="560"/>
      <c r="L23" s="560"/>
      <c r="M23" s="560"/>
      <c r="N23" s="179"/>
    </row>
    <row r="24" spans="2:14" ht="40.5" customHeight="1">
      <c r="B24" s="181" t="s">
        <v>1913</v>
      </c>
      <c r="C24" s="560" t="s">
        <v>1914</v>
      </c>
      <c r="D24" s="560"/>
      <c r="E24" s="560"/>
      <c r="F24" s="560"/>
      <c r="G24" s="560"/>
      <c r="H24" s="560"/>
      <c r="I24" s="560"/>
      <c r="J24" s="560"/>
      <c r="K24" s="560"/>
      <c r="L24" s="560"/>
      <c r="M24" s="560"/>
      <c r="N24" s="179"/>
    </row>
    <row r="25" spans="2:14">
      <c r="B25" s="181" t="s">
        <v>1915</v>
      </c>
      <c r="C25" s="182" t="s">
        <v>1916</v>
      </c>
      <c r="N25" s="179"/>
    </row>
    <row r="26" spans="2:14" ht="38.25" customHeight="1">
      <c r="B26" s="181" t="s">
        <v>1917</v>
      </c>
      <c r="C26" s="560" t="s">
        <v>1918</v>
      </c>
      <c r="D26" s="560"/>
      <c r="E26" s="560"/>
      <c r="F26" s="560"/>
      <c r="G26" s="560"/>
      <c r="H26" s="560"/>
      <c r="I26" s="560"/>
      <c r="J26" s="560"/>
      <c r="K26" s="560"/>
      <c r="L26" s="560"/>
      <c r="M26" s="560"/>
      <c r="N26" s="179"/>
    </row>
    <row r="27" spans="2:14" ht="13.5" thickBot="1">
      <c r="B27" s="183"/>
      <c r="C27" s="184"/>
      <c r="D27" s="184"/>
      <c r="E27" s="184"/>
      <c r="F27" s="184"/>
      <c r="G27" s="184"/>
      <c r="H27" s="184"/>
      <c r="I27" s="184"/>
      <c r="J27" s="184"/>
      <c r="K27" s="184"/>
      <c r="L27" s="184"/>
    </row>
    <row r="29" spans="2:14">
      <c r="B29" s="105" t="s">
        <v>1150</v>
      </c>
      <c r="C29" s="128">
        <f>SUM([4]Halves!F:F)</f>
        <v>0</v>
      </c>
    </row>
    <row r="30" spans="2:14">
      <c r="B30" s="105" t="s">
        <v>1151</v>
      </c>
      <c r="C30" s="128">
        <f>SUM([4]Halves!G:G)</f>
        <v>730.93999999999994</v>
      </c>
    </row>
    <row r="31" spans="2:14">
      <c r="B31" s="105" t="s">
        <v>1152</v>
      </c>
      <c r="C31" s="105">
        <f>COUNT([4]Halves!A:A)</f>
        <v>184</v>
      </c>
    </row>
  </sheetData>
  <sheetProtection selectLockedCells="1" selectUnlockedCells="1"/>
  <mergeCells count="5">
    <mergeCell ref="C21:N21"/>
    <mergeCell ref="C22:M22"/>
    <mergeCell ref="C23:M23"/>
    <mergeCell ref="C24:M24"/>
    <mergeCell ref="C26:M26"/>
  </mergeCells>
  <pageMargins left="0.70000000000000007" right="0.70000000000000007" top="0.75" bottom="0.75" header="0.51181102362204722" footer="0.5118110236220472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7C69D-DA1F-4E4E-8B88-86235EFAD28C}">
  <sheetPr codeName="Sheet12"/>
  <dimension ref="A1:K75"/>
  <sheetViews>
    <sheetView workbookViewId="0"/>
  </sheetViews>
  <sheetFormatPr defaultColWidth="11.42578125" defaultRowHeight="12.75" customHeight="1"/>
  <cols>
    <col min="1" max="1" width="9" style="46" customWidth="1"/>
    <col min="2" max="3" width="9" style="34" customWidth="1"/>
    <col min="4" max="4" width="18.5703125" style="34" customWidth="1"/>
    <col min="5" max="5" width="33.85546875" style="34" customWidth="1"/>
    <col min="6" max="6" width="15" style="34" customWidth="1"/>
    <col min="7" max="7" width="12.5703125" style="34" customWidth="1"/>
    <col min="8" max="8" width="12.5703125" style="150" customWidth="1"/>
    <col min="9" max="9" width="9" style="35" customWidth="1"/>
    <col min="10" max="65" width="9" style="34" customWidth="1"/>
    <col min="66" max="16384" width="11.42578125" style="34"/>
  </cols>
  <sheetData>
    <row r="1" spans="1:11" ht="12.75" customHeight="1">
      <c r="A1" s="145" t="s">
        <v>0</v>
      </c>
      <c r="B1" s="37" t="s">
        <v>1</v>
      </c>
      <c r="C1" s="37" t="s">
        <v>1960</v>
      </c>
      <c r="D1" s="37" t="s">
        <v>2</v>
      </c>
      <c r="E1" s="37" t="s">
        <v>286</v>
      </c>
      <c r="F1" s="37" t="s">
        <v>5</v>
      </c>
      <c r="G1" s="37" t="str">
        <f>"Paid = "&amp;DOLLAR(SUM(G15:G2021))</f>
        <v>Paid = $0.00</v>
      </c>
      <c r="H1" s="163" t="str">
        <f>"Book "&amp;DOLLAR(SUM(H15:H2021))</f>
        <v>Book $0.00</v>
      </c>
      <c r="I1" s="37" t="str">
        <f>"Qty = "&amp;SUM(I15:I2021)</f>
        <v>Qty = 0</v>
      </c>
      <c r="J1" s="56" t="str">
        <f>"BOOK VALUE LOOKUP = "&amp;DOLLAR(SUM(J3:J2021))</f>
        <v>BOOK VALUE LOOKUP = $0.00</v>
      </c>
      <c r="K1" s="56"/>
    </row>
    <row r="15" spans="1:11" ht="12.75" customHeight="1">
      <c r="G15" s="149"/>
    </row>
    <row r="16" spans="1:11" ht="12.75" customHeight="1">
      <c r="G16" s="149"/>
    </row>
    <row r="17" spans="7:7" ht="12.75" customHeight="1">
      <c r="G17" s="149"/>
    </row>
    <row r="18" spans="7:7" ht="12.75" customHeight="1">
      <c r="G18" s="149"/>
    </row>
    <row r="19" spans="7:7" ht="12.75" customHeight="1">
      <c r="G19" s="149"/>
    </row>
    <row r="20" spans="7:7" ht="12.75" customHeight="1">
      <c r="G20" s="149"/>
    </row>
    <row r="21" spans="7:7" ht="12.75" customHeight="1">
      <c r="G21" s="149"/>
    </row>
    <row r="22" spans="7:7" ht="12.75" customHeight="1">
      <c r="G22" s="149"/>
    </row>
    <row r="23" spans="7:7" ht="12.75" customHeight="1">
      <c r="G23" s="149"/>
    </row>
    <row r="24" spans="7:7" ht="12.75" customHeight="1">
      <c r="G24" s="149"/>
    </row>
    <row r="25" spans="7:7" ht="12.75" customHeight="1">
      <c r="G25" s="149"/>
    </row>
    <row r="26" spans="7:7" ht="12.75" customHeight="1">
      <c r="G26" s="149"/>
    </row>
    <row r="27" spans="7:7" ht="12.75" customHeight="1">
      <c r="G27" s="149"/>
    </row>
    <row r="28" spans="7:7" ht="12.75" customHeight="1">
      <c r="G28" s="149"/>
    </row>
    <row r="29" spans="7:7" ht="12.75" customHeight="1">
      <c r="G29" s="149"/>
    </row>
    <row r="30" spans="7:7" ht="12.75" customHeight="1">
      <c r="G30" s="149"/>
    </row>
    <row r="31" spans="7:7" ht="12.75" customHeight="1">
      <c r="G31" s="149"/>
    </row>
    <row r="32" spans="7:7" ht="12.75" customHeight="1">
      <c r="G32" s="149"/>
    </row>
    <row r="33" spans="7:7" ht="12.75" customHeight="1">
      <c r="G33" s="149"/>
    </row>
    <row r="34" spans="7:7" ht="12.75" customHeight="1">
      <c r="G34" s="149"/>
    </row>
    <row r="35" spans="7:7" ht="12.75" customHeight="1">
      <c r="G35" s="149"/>
    </row>
    <row r="36" spans="7:7" ht="12.75" customHeight="1">
      <c r="G36" s="149"/>
    </row>
    <row r="37" spans="7:7" ht="12.75" customHeight="1">
      <c r="G37" s="149"/>
    </row>
    <row r="38" spans="7:7" ht="12.75" customHeight="1">
      <c r="G38" s="149"/>
    </row>
    <row r="39" spans="7:7" ht="12.75" customHeight="1">
      <c r="G39" s="149"/>
    </row>
    <row r="40" spans="7:7" ht="12.75" customHeight="1">
      <c r="G40" s="149"/>
    </row>
    <row r="41" spans="7:7" ht="12.75" customHeight="1">
      <c r="G41" s="149"/>
    </row>
    <row r="42" spans="7:7" ht="12.75" customHeight="1">
      <c r="G42" s="149"/>
    </row>
    <row r="43" spans="7:7" ht="12.75" customHeight="1">
      <c r="G43" s="149"/>
    </row>
    <row r="44" spans="7:7" ht="12.75" customHeight="1">
      <c r="G44" s="149"/>
    </row>
    <row r="45" spans="7:7" ht="12.75" customHeight="1">
      <c r="G45" s="149"/>
    </row>
    <row r="46" spans="7:7" ht="12.75" customHeight="1">
      <c r="G46" s="149"/>
    </row>
    <row r="47" spans="7:7" ht="12.75" customHeight="1">
      <c r="G47" s="149"/>
    </row>
    <row r="48" spans="7:7" ht="12.75" customHeight="1">
      <c r="G48" s="149"/>
    </row>
    <row r="49" spans="7:7" ht="12.75" customHeight="1">
      <c r="G49" s="149"/>
    </row>
    <row r="50" spans="7:7" ht="12.75" customHeight="1">
      <c r="G50" s="149"/>
    </row>
    <row r="51" spans="7:7" ht="12.75" customHeight="1">
      <c r="G51" s="149"/>
    </row>
    <row r="52" spans="7:7" ht="12.75" customHeight="1">
      <c r="G52" s="149"/>
    </row>
    <row r="53" spans="7:7" ht="12.75" customHeight="1">
      <c r="G53" s="149"/>
    </row>
    <row r="54" spans="7:7" ht="12.75" customHeight="1">
      <c r="G54" s="149"/>
    </row>
    <row r="55" spans="7:7" ht="12.75" customHeight="1">
      <c r="G55" s="149"/>
    </row>
    <row r="56" spans="7:7" ht="12.75" customHeight="1">
      <c r="G56" s="149"/>
    </row>
    <row r="57" spans="7:7" ht="12.75" customHeight="1">
      <c r="G57" s="149"/>
    </row>
    <row r="58" spans="7:7" ht="12.75" customHeight="1">
      <c r="G58" s="149"/>
    </row>
    <row r="59" spans="7:7" ht="12.75" customHeight="1">
      <c r="G59" s="149"/>
    </row>
    <row r="60" spans="7:7" ht="12.75" customHeight="1">
      <c r="G60" s="149"/>
    </row>
    <row r="61" spans="7:7" ht="12.75" customHeight="1">
      <c r="G61" s="149"/>
    </row>
    <row r="62" spans="7:7" ht="12.75" customHeight="1">
      <c r="G62" s="149"/>
    </row>
    <row r="63" spans="7:7" ht="12.75" customHeight="1">
      <c r="G63" s="149"/>
    </row>
    <row r="64" spans="7:7" ht="12.75" customHeight="1">
      <c r="G64" s="149"/>
    </row>
    <row r="65" spans="7:7" ht="12.75" customHeight="1">
      <c r="G65" s="149"/>
    </row>
    <row r="66" spans="7:7" ht="12.75" customHeight="1">
      <c r="G66" s="149"/>
    </row>
    <row r="67" spans="7:7" ht="12.75" customHeight="1">
      <c r="G67" s="149"/>
    </row>
    <row r="68" spans="7:7" ht="12.75" customHeight="1">
      <c r="G68" s="149"/>
    </row>
    <row r="69" spans="7:7" ht="12.75" customHeight="1">
      <c r="G69" s="149"/>
    </row>
    <row r="70" spans="7:7" ht="12.75" customHeight="1">
      <c r="G70" s="149"/>
    </row>
    <row r="71" spans="7:7" ht="12.75" customHeight="1">
      <c r="G71" s="149"/>
    </row>
    <row r="72" spans="7:7" ht="12.75" customHeight="1">
      <c r="G72" s="149"/>
    </row>
    <row r="73" spans="7:7" ht="12.75" customHeight="1">
      <c r="G73" s="149"/>
    </row>
    <row r="74" spans="7:7" ht="12.75" customHeight="1">
      <c r="G74" s="149"/>
    </row>
    <row r="75" spans="7:7" ht="12.75" customHeight="1">
      <c r="G75" s="149"/>
    </row>
  </sheetData>
  <sheetProtection selectLockedCells="1" selectUnlockedCells="1"/>
  <pageMargins left="0.75" right="0.75" top="1" bottom="1" header="0.51181102362204722" footer="0.51181102362204722"/>
  <pageSetup firstPageNumber="0" orientation="portrait" horizontalDpi="300" verticalDpi="300"/>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7AF45-EBA1-4507-8D64-6868734372FF}">
  <sheetPr codeName="Sheet13"/>
  <dimension ref="A1:M51"/>
  <sheetViews>
    <sheetView workbookViewId="0">
      <selection sqref="A1:G1"/>
    </sheetView>
  </sheetViews>
  <sheetFormatPr defaultColWidth="11.42578125" defaultRowHeight="12.75" customHeight="1"/>
  <cols>
    <col min="1" max="3" width="9" style="166" customWidth="1"/>
    <col min="4" max="4" width="9" style="34" customWidth="1"/>
    <col min="5" max="5" width="13" style="34" customWidth="1"/>
    <col min="6" max="10" width="9" style="34" customWidth="1"/>
    <col min="11" max="11" width="33" style="34" bestFit="1" customWidth="1"/>
    <col min="12" max="12" width="9.7109375" style="34" bestFit="1" customWidth="1"/>
    <col min="13" max="64" width="9" style="34" customWidth="1"/>
    <col min="65" max="16384" width="11.42578125" style="34"/>
  </cols>
  <sheetData>
    <row r="1" spans="1:13" ht="14.65" customHeight="1">
      <c r="A1" s="561" t="s">
        <v>1765</v>
      </c>
      <c r="B1" s="561"/>
      <c r="C1" s="561"/>
      <c r="D1" s="561"/>
      <c r="E1" s="561"/>
      <c r="F1" s="561"/>
      <c r="G1" s="561"/>
      <c r="K1" s="135" t="s">
        <v>1829</v>
      </c>
      <c r="L1" s="135"/>
    </row>
    <row r="2" spans="1:13" ht="14.65" customHeight="1">
      <c r="A2" s="164" t="s">
        <v>0</v>
      </c>
      <c r="B2" s="164" t="s">
        <v>1766</v>
      </c>
      <c r="C2" s="164" t="s">
        <v>1767</v>
      </c>
      <c r="D2" s="37" t="s">
        <v>1768</v>
      </c>
      <c r="K2" s="135" t="s">
        <v>1830</v>
      </c>
      <c r="L2" s="135" t="s">
        <v>1831</v>
      </c>
    </row>
    <row r="3" spans="1:13" ht="14.65" customHeight="1">
      <c r="A3" s="165" t="s">
        <v>1769</v>
      </c>
      <c r="C3" s="165" t="s">
        <v>1770</v>
      </c>
      <c r="E3" s="56" t="s">
        <v>1771</v>
      </c>
      <c r="F3" s="56" t="s">
        <v>1772</v>
      </c>
      <c r="K3" s="135" t="s">
        <v>1832</v>
      </c>
      <c r="L3" s="135" t="s">
        <v>1833</v>
      </c>
    </row>
    <row r="4" spans="1:13" ht="12.75" customHeight="1">
      <c r="A4" s="165" t="s">
        <v>1773</v>
      </c>
      <c r="C4" s="165">
        <v>1900</v>
      </c>
      <c r="K4" s="135" t="s">
        <v>1834</v>
      </c>
      <c r="L4" s="135" t="s">
        <v>1835</v>
      </c>
    </row>
    <row r="5" spans="1:13" ht="14.65" customHeight="1">
      <c r="A5" s="165" t="s">
        <v>1774</v>
      </c>
      <c r="C5" s="165" t="s">
        <v>1775</v>
      </c>
      <c r="E5" s="55">
        <v>1973</v>
      </c>
      <c r="F5" s="55" t="s">
        <v>1776</v>
      </c>
      <c r="K5" s="135" t="s">
        <v>1836</v>
      </c>
      <c r="L5" s="135" t="s">
        <v>1837</v>
      </c>
    </row>
    <row r="6" spans="1:13" ht="14.65" customHeight="1">
      <c r="A6" s="165" t="s">
        <v>1777</v>
      </c>
      <c r="C6" s="165" t="s">
        <v>1778</v>
      </c>
      <c r="E6" s="55">
        <v>1974</v>
      </c>
      <c r="F6" s="55" t="s">
        <v>1776</v>
      </c>
      <c r="K6" s="135" t="s">
        <v>1838</v>
      </c>
      <c r="L6" s="135" t="s">
        <v>1839</v>
      </c>
    </row>
    <row r="7" spans="1:13" ht="14.65" customHeight="1">
      <c r="A7" s="165" t="s">
        <v>1779</v>
      </c>
      <c r="C7" s="165">
        <v>1901</v>
      </c>
      <c r="E7" s="55">
        <v>1977</v>
      </c>
      <c r="F7" s="55" t="s">
        <v>1776</v>
      </c>
      <c r="K7" s="135" t="s">
        <v>1840</v>
      </c>
      <c r="L7" s="135" t="s">
        <v>1841</v>
      </c>
    </row>
    <row r="8" spans="1:13" ht="14.65" customHeight="1">
      <c r="A8" s="165">
        <v>1886</v>
      </c>
      <c r="C8" s="165" t="s">
        <v>1780</v>
      </c>
      <c r="E8" s="55">
        <v>1978</v>
      </c>
      <c r="F8" s="55" t="s">
        <v>1776</v>
      </c>
    </row>
    <row r="9" spans="1:13" ht="14.65" customHeight="1">
      <c r="A9" s="165" t="s">
        <v>1781</v>
      </c>
      <c r="C9" s="165" t="s">
        <v>1782</v>
      </c>
      <c r="E9" s="55">
        <v>1981</v>
      </c>
      <c r="F9" s="55" t="s">
        <v>1783</v>
      </c>
      <c r="K9" s="136" t="s">
        <v>1842</v>
      </c>
      <c r="L9" t="s">
        <v>6</v>
      </c>
      <c r="M9" t="s">
        <v>7</v>
      </c>
    </row>
    <row r="10" spans="1:13" ht="12.75" customHeight="1">
      <c r="A10" s="165" t="s">
        <v>1784</v>
      </c>
      <c r="C10" s="165">
        <v>1902</v>
      </c>
      <c r="K10" s="136">
        <f>SUM('SILVER DOLLARS'!H:H)</f>
        <v>913.45000000000016</v>
      </c>
      <c r="L10" s="172">
        <f>SUM('SILVER DOLLARS'!F:F)</f>
        <v>0</v>
      </c>
      <c r="M10" s="172">
        <f>SUM('SILVER DOLLARS'!G:G)</f>
        <v>377.18</v>
      </c>
    </row>
    <row r="11" spans="1:13" ht="12.75" customHeight="1">
      <c r="A11" s="165">
        <v>1887</v>
      </c>
      <c r="C11" s="165" t="s">
        <v>1785</v>
      </c>
      <c r="K11" s="136">
        <f>SUM([5]Dollar_Bills!S11:S2009)</f>
        <v>0</v>
      </c>
      <c r="L11" s="151">
        <f>SUM([5]Dollar_Bills!Q11:Q2009)</f>
        <v>0</v>
      </c>
      <c r="M11" s="172">
        <f>SUM([5]Dollar_Bills!R11:R2009)</f>
        <v>0</v>
      </c>
    </row>
    <row r="12" spans="1:13" ht="12.75" customHeight="1">
      <c r="A12" s="165" t="s">
        <v>1786</v>
      </c>
      <c r="C12" s="165" t="s">
        <v>1787</v>
      </c>
      <c r="K12" s="136">
        <f>SUM([5]Dollar_Year_Sets!R10:R2010)</f>
        <v>0</v>
      </c>
      <c r="L12">
        <f>SUM([5]Dollar_Year_Sets!P10:P2010)</f>
        <v>0</v>
      </c>
      <c r="M12" s="172">
        <f>SUM([5]Dollar_Year_Sets!Q10:Q2010)</f>
        <v>0</v>
      </c>
    </row>
    <row r="13" spans="1:13" ht="12.75" customHeight="1">
      <c r="A13" s="165" t="s">
        <v>1788</v>
      </c>
      <c r="C13" s="165">
        <v>1903</v>
      </c>
      <c r="K13" s="136"/>
      <c r="L13"/>
      <c r="M13"/>
    </row>
    <row r="14" spans="1:13" ht="12.75" customHeight="1">
      <c r="A14" s="165">
        <v>1888</v>
      </c>
      <c r="C14" s="165" t="s">
        <v>1789</v>
      </c>
      <c r="K14" s="136"/>
      <c r="L14"/>
      <c r="M14"/>
    </row>
    <row r="15" spans="1:13" ht="12.75" customHeight="1">
      <c r="A15" s="165" t="s">
        <v>1790</v>
      </c>
      <c r="C15" s="165" t="s">
        <v>1791</v>
      </c>
      <c r="K15" s="136"/>
      <c r="L15"/>
      <c r="M15"/>
    </row>
    <row r="16" spans="1:13" ht="12.75" customHeight="1">
      <c r="A16" s="165" t="s">
        <v>1792</v>
      </c>
      <c r="C16" s="165">
        <v>1904</v>
      </c>
      <c r="K16" s="136"/>
      <c r="L16"/>
      <c r="M16"/>
    </row>
    <row r="17" spans="1:13" ht="12.75" customHeight="1">
      <c r="A17" s="165">
        <v>1889</v>
      </c>
      <c r="C17" s="165" t="s">
        <v>1793</v>
      </c>
      <c r="K17" s="136"/>
      <c r="L17"/>
      <c r="M17"/>
    </row>
    <row r="18" spans="1:13" ht="12.75" customHeight="1">
      <c r="A18" s="165" t="s">
        <v>1794</v>
      </c>
      <c r="C18" s="165" t="s">
        <v>1795</v>
      </c>
      <c r="K18" s="136">
        <f>SUM(K10:K17)</f>
        <v>913.45000000000016</v>
      </c>
      <c r="L18" s="172">
        <f>SUM(L10:L17)</f>
        <v>0</v>
      </c>
      <c r="M18" s="172">
        <f>SUM(M10:M17)</f>
        <v>377.18</v>
      </c>
    </row>
    <row r="19" spans="1:13" ht="12.75" customHeight="1">
      <c r="A19" s="165" t="s">
        <v>1796</v>
      </c>
      <c r="C19" s="165" t="s">
        <v>118</v>
      </c>
    </row>
    <row r="20" spans="1:13" ht="12.75" customHeight="1">
      <c r="A20" s="165" t="s">
        <v>1797</v>
      </c>
      <c r="C20" s="165" t="s">
        <v>1798</v>
      </c>
    </row>
    <row r="21" spans="1:13" ht="12.75" customHeight="1">
      <c r="A21" s="165">
        <v>1890</v>
      </c>
      <c r="C21" s="165" t="s">
        <v>1799</v>
      </c>
      <c r="K21" s="173" t="s">
        <v>1843</v>
      </c>
      <c r="L21"/>
      <c r="M21" s="3"/>
    </row>
    <row r="22" spans="1:13" ht="12.75" customHeight="1">
      <c r="A22" s="165" t="s">
        <v>1800</v>
      </c>
      <c r="C22" s="165" t="s">
        <v>1801</v>
      </c>
      <c r="K22" s="173" t="s">
        <v>1844</v>
      </c>
      <c r="L22"/>
      <c r="M22" s="3"/>
    </row>
    <row r="23" spans="1:13" ht="12.75" customHeight="1">
      <c r="A23" s="165" t="s">
        <v>1802</v>
      </c>
      <c r="C23" s="165" t="s">
        <v>1165</v>
      </c>
      <c r="K23" s="173" t="s">
        <v>1845</v>
      </c>
      <c r="L23"/>
      <c r="M23" s="3"/>
    </row>
    <row r="24" spans="1:13" ht="12.75" customHeight="1">
      <c r="A24" s="165" t="s">
        <v>1803</v>
      </c>
      <c r="C24" s="165" t="s">
        <v>138</v>
      </c>
      <c r="K24" s="173" t="s">
        <v>1846</v>
      </c>
      <c r="L24"/>
      <c r="M24" s="3"/>
    </row>
    <row r="25" spans="1:13" ht="12.75" customHeight="1">
      <c r="A25" s="165" t="s">
        <v>1804</v>
      </c>
      <c r="C25" s="165">
        <v>1925</v>
      </c>
      <c r="K25" s="173" t="s">
        <v>1847</v>
      </c>
      <c r="L25"/>
      <c r="M25" s="3"/>
    </row>
    <row r="26" spans="1:13" ht="12.75" customHeight="1">
      <c r="A26" s="165" t="s">
        <v>1805</v>
      </c>
      <c r="C26" s="165" t="s">
        <v>151</v>
      </c>
      <c r="K26" s="173" t="s">
        <v>1848</v>
      </c>
      <c r="L26"/>
      <c r="M26" s="3"/>
    </row>
    <row r="27" spans="1:13" ht="12.75" customHeight="1">
      <c r="A27" s="165" t="s">
        <v>1806</v>
      </c>
      <c r="C27" s="165" t="s">
        <v>156</v>
      </c>
      <c r="K27" s="173" t="s">
        <v>1849</v>
      </c>
      <c r="L27"/>
      <c r="M27" s="3"/>
    </row>
    <row r="28" spans="1:13" ht="12.75" customHeight="1">
      <c r="A28" s="165">
        <v>1892</v>
      </c>
      <c r="C28" s="165" t="s">
        <v>161</v>
      </c>
      <c r="K28" s="173" t="s">
        <v>1850</v>
      </c>
      <c r="L28"/>
      <c r="M28" s="3"/>
    </row>
    <row r="29" spans="1:13" ht="12.75" customHeight="1">
      <c r="A29" s="165" t="s">
        <v>1807</v>
      </c>
      <c r="C29" s="165">
        <v>1927</v>
      </c>
      <c r="K29" s="173" t="s">
        <v>1851</v>
      </c>
      <c r="L29"/>
      <c r="M29" s="3"/>
    </row>
    <row r="30" spans="1:13" ht="12.75" customHeight="1">
      <c r="A30" s="165" t="s">
        <v>1808</v>
      </c>
      <c r="C30" s="165" t="s">
        <v>166</v>
      </c>
      <c r="K30" s="173" t="s">
        <v>1852</v>
      </c>
      <c r="L30"/>
      <c r="M30" s="3"/>
    </row>
    <row r="31" spans="1:13" ht="12.75" customHeight="1">
      <c r="A31" s="165" t="s">
        <v>1809</v>
      </c>
      <c r="C31" s="165" t="s">
        <v>171</v>
      </c>
      <c r="K31" s="173" t="s">
        <v>1853</v>
      </c>
      <c r="L31"/>
      <c r="M31" s="3"/>
    </row>
    <row r="32" spans="1:13" ht="12.75" customHeight="1">
      <c r="A32" s="165">
        <v>1893</v>
      </c>
      <c r="C32" s="165">
        <v>1928</v>
      </c>
      <c r="K32" s="173" t="s">
        <v>1854</v>
      </c>
      <c r="L32"/>
      <c r="M32" s="3"/>
    </row>
    <row r="33" spans="1:13" ht="12.75" customHeight="1">
      <c r="A33" s="165" t="s">
        <v>1810</v>
      </c>
      <c r="C33" s="165" t="s">
        <v>180</v>
      </c>
      <c r="K33" s="173" t="s">
        <v>1855</v>
      </c>
      <c r="L33"/>
      <c r="M33" s="3"/>
    </row>
    <row r="34" spans="1:13" ht="12.75" customHeight="1">
      <c r="A34" s="165" t="s">
        <v>1811</v>
      </c>
      <c r="C34" s="165">
        <v>1934</v>
      </c>
      <c r="K34" s="173" t="s">
        <v>1856</v>
      </c>
      <c r="L34"/>
      <c r="M34" s="3"/>
    </row>
    <row r="35" spans="1:13" ht="12.75" customHeight="1">
      <c r="A35" s="165" t="s">
        <v>1812</v>
      </c>
      <c r="C35" s="165" t="s">
        <v>204</v>
      </c>
      <c r="K35" s="173" t="s">
        <v>1857</v>
      </c>
      <c r="L35"/>
      <c r="M35" s="3"/>
    </row>
    <row r="36" spans="1:13" ht="12.75" customHeight="1">
      <c r="A36" s="165">
        <v>1894</v>
      </c>
      <c r="C36" s="165" t="s">
        <v>1813</v>
      </c>
      <c r="K36" s="173" t="s">
        <v>1858</v>
      </c>
      <c r="L36"/>
      <c r="M36" s="3"/>
    </row>
    <row r="37" spans="1:13" ht="12.75" customHeight="1">
      <c r="A37" s="165" t="s">
        <v>1814</v>
      </c>
      <c r="C37" s="165">
        <v>1935</v>
      </c>
    </row>
    <row r="38" spans="1:13" ht="12.75" customHeight="1">
      <c r="A38" s="165" t="s">
        <v>1815</v>
      </c>
      <c r="C38" s="165" t="s">
        <v>211</v>
      </c>
    </row>
    <row r="39" spans="1:13" ht="12.75" customHeight="1">
      <c r="A39" s="165" t="s">
        <v>1816</v>
      </c>
    </row>
    <row r="40" spans="1:13" ht="12.75" customHeight="1">
      <c r="A40" s="165" t="s">
        <v>1817</v>
      </c>
    </row>
    <row r="41" spans="1:13" ht="12.75" customHeight="1">
      <c r="A41" s="165">
        <v>1896</v>
      </c>
    </row>
    <row r="42" spans="1:13" ht="12.75" customHeight="1">
      <c r="A42" s="165" t="s">
        <v>1818</v>
      </c>
    </row>
    <row r="43" spans="1:13" ht="12.75" customHeight="1">
      <c r="A43" s="165" t="s">
        <v>1819</v>
      </c>
    </row>
    <row r="44" spans="1:13" ht="12.75" customHeight="1">
      <c r="A44" s="165">
        <v>1897</v>
      </c>
    </row>
    <row r="45" spans="1:13" ht="12.75" customHeight="1">
      <c r="A45" s="165" t="s">
        <v>1820</v>
      </c>
    </row>
    <row r="46" spans="1:13" ht="12.75" customHeight="1">
      <c r="A46" s="165" t="s">
        <v>1821</v>
      </c>
    </row>
    <row r="47" spans="1:13" ht="12.75" customHeight="1">
      <c r="A47" s="165">
        <v>1898</v>
      </c>
    </row>
    <row r="48" spans="1:13" ht="12.75" customHeight="1">
      <c r="A48" s="165" t="s">
        <v>1822</v>
      </c>
    </row>
    <row r="49" spans="1:1" ht="12.75" customHeight="1">
      <c r="A49" s="165" t="s">
        <v>1823</v>
      </c>
    </row>
    <row r="50" spans="1:1" ht="12.75" customHeight="1">
      <c r="A50" s="165">
        <v>1899</v>
      </c>
    </row>
    <row r="51" spans="1:1" ht="12.75" customHeight="1">
      <c r="A51" s="165" t="s">
        <v>1824</v>
      </c>
    </row>
  </sheetData>
  <sheetProtection selectLockedCells="1" selectUnlockedCells="1"/>
  <mergeCells count="1">
    <mergeCell ref="A1:G1"/>
  </mergeCells>
  <printOptions gridLines="1"/>
  <pageMargins left="0.70000000000000007" right="0.70000000000000007" top="0.75" bottom="0.75" header="0.3" footer="0.51181102362204722"/>
  <pageSetup firstPageNumber="0" orientation="portrait" horizontalDpi="300" verticalDpi="300"/>
  <headerFooter alignWithMargins="0">
    <oddHeader>&amp;CSilver Dollars Want List&amp;R&amp;D</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F232F-5D3F-4373-B4D4-13EE1099D292}">
  <sheetPr codeName="Sheet14">
    <tabColor theme="5" tint="0.79998168889431442"/>
  </sheetPr>
  <dimension ref="A1:AJ384"/>
  <sheetViews>
    <sheetView workbookViewId="0"/>
  </sheetViews>
  <sheetFormatPr defaultColWidth="11.42578125" defaultRowHeight="14.65" customHeight="1"/>
  <cols>
    <col min="1" max="1" width="7.28515625" style="46" customWidth="1"/>
    <col min="2" max="2" width="7" style="35" customWidth="1"/>
    <col min="3" max="3" width="10" style="34" bestFit="1" customWidth="1"/>
    <col min="4" max="4" width="41.140625" style="34" customWidth="1"/>
    <col min="5" max="5" width="21.5703125" style="34" customWidth="1"/>
    <col min="6" max="6" width="12.85546875" style="59" customWidth="1"/>
    <col min="7" max="7" width="16" style="59" customWidth="1"/>
    <col min="8" max="8" width="9" style="35" customWidth="1"/>
    <col min="9" max="9" width="12.7109375" style="60" customWidth="1"/>
    <col min="10" max="10" width="30.5703125" style="34" customWidth="1"/>
    <col min="11" max="11" width="26.42578125" style="34" customWidth="1"/>
    <col min="12" max="12" width="6.7109375" style="34" customWidth="1"/>
    <col min="13" max="13" width="10.85546875" style="35" customWidth="1"/>
    <col min="14" max="14" width="5.5703125" style="34" customWidth="1"/>
    <col min="15" max="15" width="5.140625" style="34" customWidth="1"/>
    <col min="16" max="16" width="12.28515625" style="34" customWidth="1"/>
    <col min="17" max="17" width="12.7109375" style="34" customWidth="1"/>
    <col min="18" max="18" width="8.140625" style="34" customWidth="1"/>
    <col min="19" max="19" width="21" style="34" customWidth="1"/>
    <col min="20" max="20" width="11.42578125" style="34"/>
    <col min="21" max="66" width="9.140625" style="34" customWidth="1"/>
    <col min="67" max="16384" width="11.42578125" style="34"/>
  </cols>
  <sheetData>
    <row r="1" spans="1:36" ht="14.65" customHeight="1">
      <c r="A1" s="31" t="s">
        <v>0</v>
      </c>
      <c r="B1" s="31" t="s">
        <v>1</v>
      </c>
      <c r="C1" s="31" t="s">
        <v>1960</v>
      </c>
      <c r="D1" s="31" t="s">
        <v>2</v>
      </c>
      <c r="E1" s="31" t="s">
        <v>286</v>
      </c>
      <c r="F1" s="31" t="s">
        <v>5</v>
      </c>
      <c r="G1" s="32" t="s">
        <v>287</v>
      </c>
      <c r="H1" s="32" t="s">
        <v>7</v>
      </c>
      <c r="I1" s="32" t="s">
        <v>8</v>
      </c>
      <c r="J1" s="32" t="s">
        <v>1957</v>
      </c>
      <c r="K1" s="33" t="s">
        <v>1959</v>
      </c>
      <c r="L1" s="33" t="s">
        <v>1958</v>
      </c>
      <c r="M1" s="31" t="s">
        <v>289</v>
      </c>
      <c r="N1" s="31" t="s">
        <v>290</v>
      </c>
      <c r="P1" s="35"/>
      <c r="S1" s="36" t="str">
        <f>"Paid = "&amp;DOLLAR(SUM(G2:G3001))</f>
        <v>Paid = $121.10</v>
      </c>
      <c r="T1" s="36" t="str">
        <f>"Book = "&amp;DOLLAR(SUM(G2:G3001))</f>
        <v>Book = $121.10</v>
      </c>
      <c r="U1" s="37" t="str">
        <f>"Qty = "&amp;SUM(H1:H3001)</f>
        <v>Qty = 242.69</v>
      </c>
      <c r="X1" s="35">
        <f>SUM(H2:H530)</f>
        <v>242.68999999999954</v>
      </c>
      <c r="Y1" s="35"/>
      <c r="AB1" s="38" t="s">
        <v>291</v>
      </c>
      <c r="AC1" s="39">
        <v>1998</v>
      </c>
      <c r="AD1" s="39"/>
      <c r="AE1" s="34" t="s">
        <v>292</v>
      </c>
      <c r="AF1" s="34" t="e">
        <f>"A"&amp;AB3</f>
        <v>#N/A</v>
      </c>
      <c r="AG1" s="34">
        <f>SUM(H2:H1033)</f>
        <v>242.68999999999954</v>
      </c>
    </row>
    <row r="2" spans="1:36" ht="14.65" customHeight="1">
      <c r="A2" s="40">
        <v>1869</v>
      </c>
      <c r="B2" s="41"/>
      <c r="C2" s="41" t="s">
        <v>1962</v>
      </c>
      <c r="D2" s="42" t="s">
        <v>293</v>
      </c>
      <c r="E2" s="42" t="s">
        <v>294</v>
      </c>
      <c r="F2" s="42" t="s">
        <v>19</v>
      </c>
      <c r="G2" s="43">
        <v>0.05</v>
      </c>
      <c r="H2" s="43">
        <v>18</v>
      </c>
      <c r="I2" s="41">
        <v>1</v>
      </c>
      <c r="J2" s="41"/>
      <c r="K2" s="44" t="s">
        <v>295</v>
      </c>
      <c r="L2" s="44"/>
      <c r="M2" s="45" t="s">
        <v>296</v>
      </c>
      <c r="N2" s="45" t="s">
        <v>297</v>
      </c>
      <c r="P2" s="35" t="str">
        <f>IF(Nickels!B3&lt;&gt;" ",Nickels!A2&amp;" "&amp;Nickels!B2,Nickels!A2)</f>
        <v xml:space="preserve">1869 </v>
      </c>
      <c r="S2" s="36" t="str">
        <f>"Book = "&amp;DOLLAR(SUM(F2:F3001))</f>
        <v>Book = $0.00</v>
      </c>
      <c r="V2" s="34" t="e">
        <f>MATCH(Nickels!$A2,[6]NickelMintage!A:A,0)</f>
        <v>#N/A</v>
      </c>
      <c r="X2" s="46">
        <f t="shared" ref="X2:X33" si="0">IF(LEN(B2)&lt;1,A2,A2&amp;" "&amp;B2)</f>
        <v>1869</v>
      </c>
      <c r="Y2" s="35">
        <f>MATCH(X2,[6]WantList!$O$2:$O$2000,0)</f>
        <v>1</v>
      </c>
      <c r="Z2" s="34" t="e">
        <f>MATCH(X2,[6]WantListWorkFile!$A$2:$A$244,0)</f>
        <v>#N/A</v>
      </c>
      <c r="AB2" s="47" t="str">
        <f>AB1&amp;AC1&amp;AE1&amp;AC2</f>
        <v>JEF1998NIC-</v>
      </c>
      <c r="AC2" s="47"/>
      <c r="AD2" s="48"/>
      <c r="AJ2" s="34" t="s">
        <v>298</v>
      </c>
    </row>
    <row r="3" spans="1:36" ht="14.85" customHeight="1">
      <c r="A3" s="49">
        <v>1883</v>
      </c>
      <c r="B3" s="50"/>
      <c r="C3" s="41" t="s">
        <v>1962</v>
      </c>
      <c r="D3" s="51" t="s">
        <v>299</v>
      </c>
      <c r="E3" s="51" t="s">
        <v>300</v>
      </c>
      <c r="F3" s="51" t="s">
        <v>19</v>
      </c>
      <c r="G3" s="52">
        <v>3</v>
      </c>
      <c r="H3" s="52">
        <v>5</v>
      </c>
      <c r="I3" s="50">
        <v>1</v>
      </c>
      <c r="J3" s="50"/>
      <c r="K3" s="53"/>
      <c r="L3" s="53"/>
      <c r="M3" s="54" t="s">
        <v>301</v>
      </c>
      <c r="N3" s="54" t="s">
        <v>302</v>
      </c>
      <c r="P3" s="35" t="str">
        <f>IF(Nickels!B4&lt;&gt;" ",Nickels!A3&amp;" "&amp;Nickels!B3,Nickels!A3)</f>
        <v xml:space="preserve">1883 </v>
      </c>
      <c r="S3" s="55" t="str">
        <f>"Qty = "&amp;SUM(H2:H2127)</f>
        <v>Qty = 242.69</v>
      </c>
      <c r="T3" s="56" t="str">
        <f>"COUNT = " &amp; COUNT(F:F)</f>
        <v>COUNT = 0</v>
      </c>
      <c r="V3" s="34">
        <f>MATCH(Nickels!$A3,[6]NickelMintage!A:A,0)</f>
        <v>2</v>
      </c>
      <c r="X3" s="46">
        <f t="shared" si="0"/>
        <v>1883</v>
      </c>
      <c r="Y3" s="35">
        <f>MATCH(X3,[6]WantList!$O$2:$O$2000,0)</f>
        <v>2</v>
      </c>
      <c r="Z3" s="34" t="e">
        <f>MATCH(X3,[6]WantListWorkFile!$A$2:$A$244,0)</f>
        <v>#N/A</v>
      </c>
      <c r="AB3" s="34" t="e">
        <f>MATCH($AB$2&amp;AC3,$C$1:C619,0)</f>
        <v>#N/A</v>
      </c>
      <c r="AC3" s="34" t="s">
        <v>303</v>
      </c>
      <c r="AD3" s="35" t="e">
        <f t="shared" ref="AD3:AD28" si="1">INDEX($A$1:$E$1071,AB3,2)</f>
        <v>#N/A</v>
      </c>
      <c r="AE3" s="34" t="e">
        <f t="shared" ref="AE3:AE28" si="2">INDEX($A$1:$E$1071,AB3,4)</f>
        <v>#N/A</v>
      </c>
      <c r="AF3" s="34" t="e">
        <f t="shared" ref="AF3:AF28" si="3">INDEX($A$1:$E$1071,AB3,5)</f>
        <v>#N/A</v>
      </c>
      <c r="AJ3" s="34" t="s">
        <v>304</v>
      </c>
    </row>
    <row r="4" spans="1:36" ht="14.65" customHeight="1">
      <c r="A4" s="40">
        <v>1889</v>
      </c>
      <c r="B4" s="41"/>
      <c r="C4" s="41" t="s">
        <v>1962</v>
      </c>
      <c r="D4" s="42" t="s">
        <v>305</v>
      </c>
      <c r="E4" s="42" t="s">
        <v>300</v>
      </c>
      <c r="F4" s="42" t="s">
        <v>306</v>
      </c>
      <c r="G4" s="43">
        <v>0.05</v>
      </c>
      <c r="H4" s="43">
        <v>2</v>
      </c>
      <c r="I4" s="41">
        <v>1</v>
      </c>
      <c r="J4" s="41"/>
      <c r="K4" s="44"/>
      <c r="L4" s="44"/>
      <c r="M4" s="45" t="s">
        <v>307</v>
      </c>
      <c r="N4" s="45" t="s">
        <v>308</v>
      </c>
      <c r="P4" s="35" t="str">
        <f>IF(Nickels!B5&lt;&gt;" ",Nickels!A4&amp;" "&amp;Nickels!B4,Nickels!A4)</f>
        <v xml:space="preserve">1889 </v>
      </c>
      <c r="V4" s="34">
        <f>MATCH(Nickels!$A4,[6]NickelMintage!A:A,0)</f>
        <v>9</v>
      </c>
      <c r="X4" s="46">
        <f t="shared" si="0"/>
        <v>1889</v>
      </c>
      <c r="Y4" s="35">
        <f>MATCH(X4,[6]WantList!$O$2:$O$2000,0)</f>
        <v>3</v>
      </c>
      <c r="Z4" s="34" t="e">
        <f>MATCH(X4,[6]WantListWorkFile!$A$2:$A$244,0)</f>
        <v>#N/A</v>
      </c>
      <c r="AB4" s="34" t="e">
        <f>MATCH($AB$2&amp;AC4,$C$1:C620,0)</f>
        <v>#N/A</v>
      </c>
      <c r="AC4" s="34" t="s">
        <v>309</v>
      </c>
      <c r="AD4" s="35" t="e">
        <f t="shared" si="1"/>
        <v>#N/A</v>
      </c>
      <c r="AE4" s="34" t="e">
        <f t="shared" si="2"/>
        <v>#N/A</v>
      </c>
      <c r="AF4" s="34" t="e">
        <f t="shared" si="3"/>
        <v>#N/A</v>
      </c>
      <c r="AJ4" s="34" t="s">
        <v>310</v>
      </c>
    </row>
    <row r="5" spans="1:36" ht="14.65" customHeight="1">
      <c r="A5" s="49">
        <v>1890</v>
      </c>
      <c r="B5" s="50"/>
      <c r="C5" s="41" t="s">
        <v>1962</v>
      </c>
      <c r="D5" s="51" t="s">
        <v>311</v>
      </c>
      <c r="E5" s="51" t="s">
        <v>300</v>
      </c>
      <c r="F5" s="51" t="s">
        <v>306</v>
      </c>
      <c r="G5" s="52">
        <v>0.05</v>
      </c>
      <c r="H5" s="52">
        <v>2</v>
      </c>
      <c r="I5" s="50">
        <v>1</v>
      </c>
      <c r="J5" s="50"/>
      <c r="K5" s="53"/>
      <c r="L5" s="53"/>
      <c r="M5" s="54" t="s">
        <v>312</v>
      </c>
      <c r="N5" s="54" t="s">
        <v>312</v>
      </c>
      <c r="P5" s="35" t="str">
        <f>IF(Nickels!B6&lt;&gt;" ",Nickels!A5&amp;" "&amp;Nickels!B5,Nickels!A5)</f>
        <v xml:space="preserve">1890 </v>
      </c>
      <c r="V5" s="34">
        <f>MATCH(Nickels!$A5,[6]NickelMintage!A:A,0)</f>
        <v>10</v>
      </c>
      <c r="X5" s="46">
        <f t="shared" si="0"/>
        <v>1890</v>
      </c>
      <c r="Y5" s="35">
        <f>MATCH(X5,[6]WantList!$O$2:$O$2000,0)</f>
        <v>4</v>
      </c>
      <c r="Z5" s="34" t="e">
        <f>MATCH(X5,[6]WantListWorkFile!$A$2:$A$244,0)</f>
        <v>#N/A</v>
      </c>
      <c r="AB5" s="34" t="e">
        <f>MATCH($AB$2&amp;AC5,$C$1:C621,0)</f>
        <v>#N/A</v>
      </c>
      <c r="AC5" s="34" t="s">
        <v>313</v>
      </c>
      <c r="AD5" s="35" t="e">
        <f t="shared" si="1"/>
        <v>#N/A</v>
      </c>
      <c r="AE5" s="34" t="e">
        <f t="shared" si="2"/>
        <v>#N/A</v>
      </c>
      <c r="AF5" s="34" t="e">
        <f t="shared" si="3"/>
        <v>#N/A</v>
      </c>
      <c r="AJ5" s="34" t="s">
        <v>314</v>
      </c>
    </row>
    <row r="6" spans="1:36" ht="14.65" customHeight="1">
      <c r="A6" s="40">
        <v>1893</v>
      </c>
      <c r="B6" s="41"/>
      <c r="C6" s="41" t="s">
        <v>1962</v>
      </c>
      <c r="D6" s="42" t="s">
        <v>315</v>
      </c>
      <c r="E6" s="42" t="s">
        <v>300</v>
      </c>
      <c r="F6" s="42" t="s">
        <v>316</v>
      </c>
      <c r="G6" s="43">
        <v>4</v>
      </c>
      <c r="H6" s="43">
        <v>4</v>
      </c>
      <c r="I6" s="41">
        <v>1</v>
      </c>
      <c r="J6" s="41"/>
      <c r="K6" s="44"/>
      <c r="L6" s="44"/>
      <c r="M6" s="45"/>
      <c r="N6" s="45"/>
      <c r="P6" s="35" t="str">
        <f>IF(Nickels!B7&lt;&gt;" ",Nickels!A6&amp;" "&amp;Nickels!B6,Nickels!A6)</f>
        <v xml:space="preserve">1893 </v>
      </c>
      <c r="V6" s="34">
        <f>MATCH(Nickels!$A6,[6]NickelMintage!A:A,0)</f>
        <v>13</v>
      </c>
      <c r="X6" s="46">
        <f t="shared" si="0"/>
        <v>1893</v>
      </c>
      <c r="Y6" s="35">
        <f>MATCH(X6,[6]WantList!$O$2:$O$2000,0)</f>
        <v>5</v>
      </c>
      <c r="Z6" s="34" t="e">
        <f>MATCH(X6,[6]WantListWorkFile!$A$2:$A$244,0)</f>
        <v>#N/A</v>
      </c>
      <c r="AB6" s="34" t="e">
        <f>MATCH($AB$2&amp;AC6,$C$1:C622,0)</f>
        <v>#N/A</v>
      </c>
      <c r="AC6" s="34" t="s">
        <v>317</v>
      </c>
      <c r="AD6" s="35" t="e">
        <f t="shared" si="1"/>
        <v>#N/A</v>
      </c>
      <c r="AE6" s="34" t="e">
        <f t="shared" si="2"/>
        <v>#N/A</v>
      </c>
      <c r="AF6" s="34" t="e">
        <f t="shared" si="3"/>
        <v>#N/A</v>
      </c>
      <c r="AJ6" s="34" t="s">
        <v>318</v>
      </c>
    </row>
    <row r="7" spans="1:36" ht="14.65" customHeight="1">
      <c r="A7" s="49">
        <v>1896</v>
      </c>
      <c r="B7" s="50"/>
      <c r="C7" s="41" t="s">
        <v>1962</v>
      </c>
      <c r="D7" s="51" t="s">
        <v>319</v>
      </c>
      <c r="E7" s="51" t="s">
        <v>300</v>
      </c>
      <c r="F7" s="51" t="s">
        <v>306</v>
      </c>
      <c r="G7" s="52">
        <v>0.05</v>
      </c>
      <c r="H7" s="52">
        <v>2</v>
      </c>
      <c r="I7" s="50">
        <v>1</v>
      </c>
      <c r="J7" s="50"/>
      <c r="K7" s="53"/>
      <c r="L7" s="53"/>
      <c r="M7" s="54" t="s">
        <v>320</v>
      </c>
      <c r="N7" s="54" t="s">
        <v>321</v>
      </c>
      <c r="P7" s="35" t="str">
        <f>IF(Nickels!B8&lt;&gt;" ",Nickels!A7&amp;" "&amp;Nickels!B7,Nickels!A7)</f>
        <v xml:space="preserve">1896 </v>
      </c>
      <c r="V7" s="34">
        <f>MATCH(Nickels!$A7,[6]NickelMintage!A:A,0)</f>
        <v>16</v>
      </c>
      <c r="X7" s="46">
        <f t="shared" si="0"/>
        <v>1896</v>
      </c>
      <c r="Y7" s="35">
        <f>MATCH(X7,[6]WantList!$O$2:$O$2000,0)</f>
        <v>6</v>
      </c>
      <c r="Z7" s="34" t="e">
        <f>MATCH(X7,[6]WantListWorkFile!$A$2:$A$244,0)</f>
        <v>#N/A</v>
      </c>
      <c r="AB7" s="34" t="e">
        <f>MATCH($AB$2&amp;AC7,$C$1:C623,0)</f>
        <v>#N/A</v>
      </c>
      <c r="AC7" s="34" t="s">
        <v>322</v>
      </c>
      <c r="AD7" s="35" t="e">
        <f t="shared" si="1"/>
        <v>#N/A</v>
      </c>
      <c r="AE7" s="34" t="e">
        <f t="shared" si="2"/>
        <v>#N/A</v>
      </c>
      <c r="AF7" s="34" t="e">
        <f t="shared" si="3"/>
        <v>#N/A</v>
      </c>
      <c r="AJ7" s="34" t="s">
        <v>323</v>
      </c>
    </row>
    <row r="8" spans="1:36" ht="14.65" customHeight="1">
      <c r="A8" s="40">
        <v>1897</v>
      </c>
      <c r="B8" s="41"/>
      <c r="C8" s="41" t="s">
        <v>1962</v>
      </c>
      <c r="D8" s="42" t="s">
        <v>324</v>
      </c>
      <c r="E8" s="42" t="s">
        <v>300</v>
      </c>
      <c r="F8" s="42" t="s">
        <v>316</v>
      </c>
      <c r="G8" s="43">
        <v>2</v>
      </c>
      <c r="H8" s="43">
        <v>2</v>
      </c>
      <c r="I8" s="41">
        <v>1</v>
      </c>
      <c r="J8" s="41"/>
      <c r="K8" s="44"/>
      <c r="L8" s="44"/>
      <c r="M8" s="45"/>
      <c r="N8" s="45"/>
      <c r="P8" s="35" t="str">
        <f>IF(Nickels!B9&lt;&gt;" ",Nickels!A8&amp;" "&amp;Nickels!B8,Nickels!A8)</f>
        <v xml:space="preserve">1897 </v>
      </c>
      <c r="V8" s="34">
        <f>MATCH(Nickels!$A8,[6]NickelMintage!A:A,0)</f>
        <v>17</v>
      </c>
      <c r="X8" s="46">
        <f t="shared" si="0"/>
        <v>1897</v>
      </c>
      <c r="Y8" s="35">
        <f>MATCH(X8,[6]WantList!$O$2:$O$2000,0)</f>
        <v>7</v>
      </c>
      <c r="Z8" s="34" t="e">
        <f>MATCH(X8,[6]WantListWorkFile!$A$2:$A$244,0)</f>
        <v>#N/A</v>
      </c>
      <c r="AB8" s="34" t="e">
        <f>MATCH($AB$2&amp;AC8,$C$1:C624,0)</f>
        <v>#N/A</v>
      </c>
      <c r="AC8" s="34" t="s">
        <v>325</v>
      </c>
      <c r="AD8" s="35" t="e">
        <f t="shared" si="1"/>
        <v>#N/A</v>
      </c>
      <c r="AE8" s="34" t="e">
        <f t="shared" si="2"/>
        <v>#N/A</v>
      </c>
      <c r="AF8" s="34" t="e">
        <f t="shared" si="3"/>
        <v>#N/A</v>
      </c>
      <c r="AJ8" s="34" t="s">
        <v>326</v>
      </c>
    </row>
    <row r="9" spans="1:36" ht="14.65" customHeight="1">
      <c r="A9" s="49">
        <v>1901</v>
      </c>
      <c r="B9" s="50"/>
      <c r="C9" s="41" t="s">
        <v>1962</v>
      </c>
      <c r="D9" s="51" t="s">
        <v>327</v>
      </c>
      <c r="E9" s="51" t="s">
        <v>300</v>
      </c>
      <c r="F9" s="51" t="s">
        <v>10</v>
      </c>
      <c r="G9" s="52">
        <v>0.5</v>
      </c>
      <c r="H9" s="52">
        <v>0.5</v>
      </c>
      <c r="I9" s="50">
        <v>1</v>
      </c>
      <c r="J9" s="50"/>
      <c r="K9" s="53"/>
      <c r="L9" s="53"/>
      <c r="M9" s="54"/>
      <c r="N9" s="54"/>
      <c r="P9" s="35" t="str">
        <f>IF(Nickels!B10&lt;&gt;" ",Nickels!A9&amp;" "&amp;Nickels!B9,Nickels!A9)</f>
        <v xml:space="preserve">1901 </v>
      </c>
      <c r="V9" s="34">
        <f>MATCH(Nickels!$A9,[6]NickelMintage!A:A,0)</f>
        <v>21</v>
      </c>
      <c r="X9" s="46">
        <f t="shared" si="0"/>
        <v>1901</v>
      </c>
      <c r="Y9" s="35">
        <f>MATCH(X9,[6]WantList!$O$2:$O$2000,0)</f>
        <v>8</v>
      </c>
      <c r="Z9" s="34" t="e">
        <f>MATCH(X9,[6]WantListWorkFile!$A$2:$A$244,0)</f>
        <v>#N/A</v>
      </c>
      <c r="AB9" s="34" t="e">
        <f>MATCH($AB$2&amp;AC9,$C$1:C625,0)</f>
        <v>#N/A</v>
      </c>
      <c r="AC9" s="34" t="s">
        <v>328</v>
      </c>
      <c r="AD9" s="35" t="e">
        <f t="shared" si="1"/>
        <v>#N/A</v>
      </c>
      <c r="AE9" s="34" t="e">
        <f t="shared" si="2"/>
        <v>#N/A</v>
      </c>
      <c r="AF9" s="34" t="e">
        <f t="shared" si="3"/>
        <v>#N/A</v>
      </c>
      <c r="AJ9" s="34" t="s">
        <v>329</v>
      </c>
    </row>
    <row r="10" spans="1:36" ht="14.65" customHeight="1">
      <c r="A10" s="40">
        <v>1902</v>
      </c>
      <c r="B10" s="41"/>
      <c r="C10" s="41" t="s">
        <v>1962</v>
      </c>
      <c r="D10" s="42" t="s">
        <v>330</v>
      </c>
      <c r="E10" s="42" t="s">
        <v>300</v>
      </c>
      <c r="F10" s="42" t="s">
        <v>331</v>
      </c>
      <c r="G10" s="43">
        <v>1</v>
      </c>
      <c r="H10" s="43">
        <v>1</v>
      </c>
      <c r="I10" s="41">
        <v>1</v>
      </c>
      <c r="J10" s="41"/>
      <c r="K10" s="44"/>
      <c r="L10" s="44"/>
      <c r="M10" s="45" t="s">
        <v>332</v>
      </c>
      <c r="N10" s="45" t="s">
        <v>333</v>
      </c>
      <c r="P10" s="35" t="str">
        <f>IF(Nickels!B11&lt;&gt;" ",Nickels!A10&amp;" "&amp;Nickels!B10,Nickels!A10)</f>
        <v xml:space="preserve">1902 </v>
      </c>
      <c r="V10" s="34">
        <f>MATCH(Nickels!$A10,[6]NickelMintage!A:A,0)</f>
        <v>22</v>
      </c>
      <c r="X10" s="46">
        <f t="shared" si="0"/>
        <v>1902</v>
      </c>
      <c r="Y10" s="35">
        <f>MATCH(X10,[6]WantList!$O$2:$O$2000,0)</f>
        <v>9</v>
      </c>
      <c r="Z10" s="34" t="e">
        <f>MATCH(X10,[6]WantListWorkFile!$A$2:$A$244,0)</f>
        <v>#N/A</v>
      </c>
      <c r="AB10" s="34" t="e">
        <f>MATCH($AB$2&amp;AC10,$C$1:C626,0)</f>
        <v>#N/A</v>
      </c>
      <c r="AC10" s="34" t="s">
        <v>334</v>
      </c>
      <c r="AD10" s="35" t="e">
        <f t="shared" si="1"/>
        <v>#N/A</v>
      </c>
      <c r="AE10" s="34" t="e">
        <f t="shared" si="2"/>
        <v>#N/A</v>
      </c>
      <c r="AF10" s="34" t="e">
        <f t="shared" si="3"/>
        <v>#N/A</v>
      </c>
      <c r="AJ10" s="34" t="s">
        <v>335</v>
      </c>
    </row>
    <row r="11" spans="1:36" ht="14.65" customHeight="1">
      <c r="A11" s="49">
        <v>1902</v>
      </c>
      <c r="B11" s="50"/>
      <c r="C11" s="41" t="s">
        <v>1962</v>
      </c>
      <c r="D11" s="51" t="s">
        <v>336</v>
      </c>
      <c r="E11" s="51" t="s">
        <v>300</v>
      </c>
      <c r="F11" s="51" t="s">
        <v>331</v>
      </c>
      <c r="G11" s="52">
        <v>1</v>
      </c>
      <c r="H11" s="52">
        <v>1</v>
      </c>
      <c r="I11" s="50">
        <v>1</v>
      </c>
      <c r="J11" s="50"/>
      <c r="K11" s="53"/>
      <c r="L11" s="53"/>
      <c r="M11" s="54" t="s">
        <v>337</v>
      </c>
      <c r="N11" s="54" t="s">
        <v>338</v>
      </c>
      <c r="P11" s="35" t="str">
        <f>IF(Nickels!B12&lt;&gt;" ",Nickels!A11&amp;" "&amp;Nickels!B11,Nickels!A11)</f>
        <v xml:space="preserve">1902 </v>
      </c>
      <c r="V11" s="34">
        <f>MATCH(Nickels!$A11,[6]NickelMintage!A:A,0)</f>
        <v>22</v>
      </c>
      <c r="X11" s="46">
        <f t="shared" si="0"/>
        <v>1902</v>
      </c>
      <c r="Y11" s="35">
        <f>MATCH(X11,[6]WantList!$O$2:$O$2000,0)</f>
        <v>9</v>
      </c>
      <c r="Z11" s="34" t="e">
        <f>MATCH(X11,[6]WantListWorkFile!$A$2:$A$244,0)</f>
        <v>#N/A</v>
      </c>
      <c r="AB11" s="34" t="e">
        <f>MATCH($AB$2&amp;AC11,$C$1:C627,0)</f>
        <v>#N/A</v>
      </c>
      <c r="AC11" s="34" t="s">
        <v>339</v>
      </c>
      <c r="AD11" s="35" t="e">
        <f t="shared" si="1"/>
        <v>#N/A</v>
      </c>
      <c r="AE11" s="34" t="e">
        <f t="shared" si="2"/>
        <v>#N/A</v>
      </c>
      <c r="AF11" s="34" t="e">
        <f t="shared" si="3"/>
        <v>#N/A</v>
      </c>
      <c r="AJ11" s="34" t="s">
        <v>335</v>
      </c>
    </row>
    <row r="12" spans="1:36" ht="14.65" customHeight="1">
      <c r="A12" s="40">
        <v>1903</v>
      </c>
      <c r="B12" s="41"/>
      <c r="C12" s="41" t="s">
        <v>1962</v>
      </c>
      <c r="D12" s="42" t="s">
        <v>340</v>
      </c>
      <c r="E12" s="42" t="s">
        <v>300</v>
      </c>
      <c r="F12" s="42" t="s">
        <v>10</v>
      </c>
      <c r="G12" s="43">
        <v>2.5</v>
      </c>
      <c r="H12" s="43">
        <v>3</v>
      </c>
      <c r="I12" s="41">
        <v>1</v>
      </c>
      <c r="J12" s="41"/>
      <c r="K12" s="44"/>
      <c r="L12" s="44"/>
      <c r="M12" s="45" t="s">
        <v>341</v>
      </c>
      <c r="N12" s="45" t="s">
        <v>342</v>
      </c>
      <c r="P12" s="35" t="str">
        <f>IF(Nickels!B13&lt;&gt;" ",Nickels!A12&amp;" "&amp;Nickels!B12,Nickels!A12)</f>
        <v xml:space="preserve">1903 </v>
      </c>
      <c r="V12" s="34">
        <f>MATCH(Nickels!$A12,[6]NickelMintage!A:A,0)</f>
        <v>23</v>
      </c>
      <c r="X12" s="46">
        <f t="shared" si="0"/>
        <v>1903</v>
      </c>
      <c r="Y12" s="35">
        <f>MATCH(X12,[6]WantList!$O$2:$O$2000,0)</f>
        <v>11</v>
      </c>
      <c r="Z12" s="34" t="e">
        <f>MATCH(X12,[6]WantListWorkFile!$A$2:$A$244,0)</f>
        <v>#N/A</v>
      </c>
      <c r="AB12" s="34" t="e">
        <f>MATCH($AB$2&amp;AC12,$C$1:C628,0)</f>
        <v>#N/A</v>
      </c>
      <c r="AC12" s="34" t="s">
        <v>343</v>
      </c>
      <c r="AD12" s="35" t="e">
        <f t="shared" si="1"/>
        <v>#N/A</v>
      </c>
      <c r="AE12" s="34" t="e">
        <f t="shared" si="2"/>
        <v>#N/A</v>
      </c>
      <c r="AF12" s="34" t="e">
        <f t="shared" si="3"/>
        <v>#N/A</v>
      </c>
      <c r="AJ12" s="34" t="s">
        <v>344</v>
      </c>
    </row>
    <row r="13" spans="1:36" ht="14.65" customHeight="1">
      <c r="A13" s="49">
        <v>1903</v>
      </c>
      <c r="B13" s="50"/>
      <c r="C13" s="41" t="s">
        <v>1962</v>
      </c>
      <c r="D13" s="51" t="s">
        <v>345</v>
      </c>
      <c r="E13" s="51" t="s">
        <v>300</v>
      </c>
      <c r="F13" s="51" t="s">
        <v>306</v>
      </c>
      <c r="G13" s="52">
        <v>0.05</v>
      </c>
      <c r="H13" s="52">
        <v>0.75</v>
      </c>
      <c r="I13" s="50">
        <v>1</v>
      </c>
      <c r="J13" s="50"/>
      <c r="K13" s="53"/>
      <c r="L13" s="53"/>
      <c r="M13" s="54" t="s">
        <v>337</v>
      </c>
      <c r="N13" s="54" t="s">
        <v>346</v>
      </c>
      <c r="P13" s="35" t="str">
        <f>IF(Nickels!B14&lt;&gt;" ",Nickels!A13&amp;" "&amp;Nickels!B13,Nickels!A13)</f>
        <v xml:space="preserve">1903 </v>
      </c>
      <c r="V13" s="34">
        <f>MATCH(Nickels!$A13,[6]NickelMintage!A:A,0)</f>
        <v>23</v>
      </c>
      <c r="X13" s="46">
        <f t="shared" si="0"/>
        <v>1903</v>
      </c>
      <c r="Y13" s="35">
        <f>MATCH(X13,[6]WantList!$O$2:$O$2000,0)</f>
        <v>11</v>
      </c>
      <c r="Z13" s="34" t="e">
        <f>MATCH(X13,[6]WantListWorkFile!$A$2:$A$244,0)</f>
        <v>#N/A</v>
      </c>
      <c r="AB13" s="34" t="e">
        <f>MATCH($AB$2&amp;AC13,$C$1:C629,0)</f>
        <v>#N/A</v>
      </c>
      <c r="AC13" s="34" t="s">
        <v>347</v>
      </c>
      <c r="AD13" s="35" t="e">
        <f t="shared" si="1"/>
        <v>#N/A</v>
      </c>
      <c r="AE13" s="34" t="e">
        <f t="shared" si="2"/>
        <v>#N/A</v>
      </c>
      <c r="AF13" s="34" t="e">
        <f t="shared" si="3"/>
        <v>#N/A</v>
      </c>
      <c r="AJ13" s="34" t="s">
        <v>344</v>
      </c>
    </row>
    <row r="14" spans="1:36" ht="14.65" customHeight="1">
      <c r="A14" s="40">
        <v>1904</v>
      </c>
      <c r="B14" s="41"/>
      <c r="C14" s="41" t="s">
        <v>1962</v>
      </c>
      <c r="D14" s="42" t="s">
        <v>348</v>
      </c>
      <c r="E14" s="42" t="s">
        <v>300</v>
      </c>
      <c r="F14" s="42" t="s">
        <v>331</v>
      </c>
      <c r="G14" s="43">
        <v>0.75</v>
      </c>
      <c r="H14" s="43">
        <v>1</v>
      </c>
      <c r="I14" s="41">
        <v>1</v>
      </c>
      <c r="J14" s="41"/>
      <c r="K14" s="44"/>
      <c r="L14" s="44"/>
      <c r="M14" s="45" t="s">
        <v>349</v>
      </c>
      <c r="N14" s="45" t="s">
        <v>350</v>
      </c>
      <c r="P14" s="35" t="str">
        <f>IF(Nickels!B15&lt;&gt;" ",Nickels!A14&amp;" "&amp;Nickels!B14,Nickels!A14)</f>
        <v xml:space="preserve">1904 </v>
      </c>
      <c r="V14" s="34">
        <f>MATCH(Nickels!$A14,[6]NickelMintage!A:A,0)</f>
        <v>24</v>
      </c>
      <c r="X14" s="46">
        <f t="shared" si="0"/>
        <v>1904</v>
      </c>
      <c r="Y14" s="35">
        <f>MATCH(X14,[6]WantList!$O$2:$O$2000,0)</f>
        <v>13</v>
      </c>
      <c r="Z14" s="34" t="e">
        <f>MATCH(X14,[6]WantListWorkFile!$A$2:$A$244,0)</f>
        <v>#N/A</v>
      </c>
      <c r="AB14" s="34" t="e">
        <f>MATCH($AB$2&amp;AC14,$C$1:C630,0)</f>
        <v>#N/A</v>
      </c>
      <c r="AC14" s="34" t="s">
        <v>351</v>
      </c>
      <c r="AD14" s="35" t="e">
        <f t="shared" si="1"/>
        <v>#N/A</v>
      </c>
      <c r="AE14" s="34" t="e">
        <f t="shared" si="2"/>
        <v>#N/A</v>
      </c>
      <c r="AF14" s="34" t="e">
        <f t="shared" si="3"/>
        <v>#N/A</v>
      </c>
      <c r="AJ14" s="34" t="s">
        <v>352</v>
      </c>
    </row>
    <row r="15" spans="1:36" ht="14.65" customHeight="1">
      <c r="A15" s="40">
        <v>1905</v>
      </c>
      <c r="B15" s="41"/>
      <c r="C15" s="41" t="s">
        <v>1962</v>
      </c>
      <c r="D15" s="42" t="s">
        <v>353</v>
      </c>
      <c r="E15" s="42" t="s">
        <v>300</v>
      </c>
      <c r="F15" s="42"/>
      <c r="G15" s="43">
        <v>0.05</v>
      </c>
      <c r="H15" s="43">
        <v>0.05</v>
      </c>
      <c r="I15" s="41">
        <v>1</v>
      </c>
      <c r="J15" s="41"/>
      <c r="K15" s="44"/>
      <c r="L15" s="44"/>
      <c r="M15" s="42"/>
      <c r="N15" s="42"/>
      <c r="P15" s="35" t="str">
        <f>IF(Nickels!B16&lt;&gt;" ",Nickels!A15&amp;" "&amp;Nickels!B15,Nickels!A15)</f>
        <v xml:space="preserve">1905 </v>
      </c>
      <c r="V15" s="34">
        <f>MATCH(Nickels!$A15,[6]NickelMintage!A:A,0)</f>
        <v>25</v>
      </c>
      <c r="X15" s="46">
        <f t="shared" si="0"/>
        <v>1905</v>
      </c>
      <c r="Y15" s="35">
        <f>MATCH(X15,[6]WantList!$O$2:$O$2000,0)</f>
        <v>14</v>
      </c>
      <c r="Z15" s="34" t="e">
        <f>MATCH(X15,[6]WantListWorkFile!$A$2:$A$244,0)</f>
        <v>#N/A</v>
      </c>
      <c r="AB15" s="34" t="e">
        <f>MATCH($AB$2&amp;AC15,$C$1:C631,0)</f>
        <v>#N/A</v>
      </c>
      <c r="AC15" s="34" t="s">
        <v>354</v>
      </c>
      <c r="AD15" s="35" t="e">
        <f t="shared" si="1"/>
        <v>#N/A</v>
      </c>
      <c r="AE15" s="34" t="e">
        <f t="shared" si="2"/>
        <v>#N/A</v>
      </c>
      <c r="AF15" s="34" t="e">
        <f t="shared" si="3"/>
        <v>#N/A</v>
      </c>
      <c r="AJ15" s="34" t="s">
        <v>355</v>
      </c>
    </row>
    <row r="16" spans="1:36" ht="14.65" customHeight="1">
      <c r="A16" s="49">
        <v>1905</v>
      </c>
      <c r="B16" s="50"/>
      <c r="C16" s="41" t="s">
        <v>1962</v>
      </c>
      <c r="D16" s="51" t="s">
        <v>356</v>
      </c>
      <c r="E16" s="51" t="s">
        <v>300</v>
      </c>
      <c r="F16" s="51" t="s">
        <v>331</v>
      </c>
      <c r="G16" s="52">
        <v>0.05</v>
      </c>
      <c r="H16" s="52">
        <v>0.05</v>
      </c>
      <c r="I16" s="50">
        <v>1</v>
      </c>
      <c r="J16" s="50"/>
      <c r="K16" s="53"/>
      <c r="L16" s="53"/>
      <c r="M16" s="54" t="s">
        <v>357</v>
      </c>
      <c r="N16" s="54" t="s">
        <v>358</v>
      </c>
      <c r="P16" s="35" t="str">
        <f>IF(Nickels!B17&lt;&gt;" ",Nickels!A16&amp;" "&amp;Nickels!B16,Nickels!A16)</f>
        <v xml:space="preserve">1905 </v>
      </c>
      <c r="V16" s="34">
        <f>MATCH(Nickels!$A16,[6]NickelMintage!A:A,0)</f>
        <v>25</v>
      </c>
      <c r="X16" s="46">
        <f t="shared" si="0"/>
        <v>1905</v>
      </c>
      <c r="Y16" s="35">
        <f>MATCH(X16,[6]WantList!$O$2:$O$2000,0)</f>
        <v>14</v>
      </c>
      <c r="Z16" s="34" t="e">
        <f>MATCH(X16,[6]WantListWorkFile!$A$2:$A$244,0)</f>
        <v>#N/A</v>
      </c>
      <c r="AB16" s="34" t="e">
        <f>MATCH($AB$2&amp;AC16,$C$1:C632,0)</f>
        <v>#N/A</v>
      </c>
      <c r="AC16" s="34" t="s">
        <v>359</v>
      </c>
      <c r="AD16" s="35" t="e">
        <f t="shared" si="1"/>
        <v>#N/A</v>
      </c>
      <c r="AE16" s="34" t="e">
        <f t="shared" si="2"/>
        <v>#N/A</v>
      </c>
      <c r="AF16" s="34" t="e">
        <f t="shared" si="3"/>
        <v>#N/A</v>
      </c>
      <c r="AJ16" s="34" t="s">
        <v>355</v>
      </c>
    </row>
    <row r="17" spans="1:36" ht="14.65" customHeight="1">
      <c r="A17" s="49">
        <v>1906</v>
      </c>
      <c r="B17" s="50"/>
      <c r="C17" s="41" t="s">
        <v>1962</v>
      </c>
      <c r="D17" s="51" t="s">
        <v>360</v>
      </c>
      <c r="E17" s="51" t="s">
        <v>300</v>
      </c>
      <c r="F17" s="51" t="s">
        <v>331</v>
      </c>
      <c r="G17" s="52">
        <v>0.75</v>
      </c>
      <c r="H17" s="52">
        <v>1</v>
      </c>
      <c r="I17" s="50">
        <v>1</v>
      </c>
      <c r="J17" s="50"/>
      <c r="K17" s="53"/>
      <c r="L17" s="53"/>
      <c r="M17" s="54" t="s">
        <v>361</v>
      </c>
      <c r="N17" s="54" t="s">
        <v>362</v>
      </c>
      <c r="P17" s="35" t="str">
        <f>IF(Nickels!B18&lt;&gt;" ",Nickels!A17&amp;" "&amp;Nickels!B17,Nickels!A17)</f>
        <v xml:space="preserve">1906 </v>
      </c>
      <c r="V17" s="34">
        <f>MATCH(Nickels!$A17,[6]NickelMintage!A:A,0)</f>
        <v>26</v>
      </c>
      <c r="X17" s="46">
        <f t="shared" si="0"/>
        <v>1906</v>
      </c>
      <c r="Y17" s="35">
        <f>MATCH(X17,[6]WantList!$O$2:$O$2000,0)</f>
        <v>16</v>
      </c>
      <c r="Z17" s="34" t="e">
        <f>MATCH(X17,[6]WantListWorkFile!$A$2:$A$244,0)</f>
        <v>#N/A</v>
      </c>
      <c r="AB17" s="34" t="e">
        <f>MATCH($AB$2&amp;AC17,$C$1:C633,0)</f>
        <v>#N/A</v>
      </c>
      <c r="AC17" s="34" t="s">
        <v>363</v>
      </c>
      <c r="AD17" s="35" t="e">
        <f t="shared" si="1"/>
        <v>#N/A</v>
      </c>
      <c r="AE17" s="34" t="e">
        <f t="shared" si="2"/>
        <v>#N/A</v>
      </c>
      <c r="AF17" s="34" t="e">
        <f t="shared" si="3"/>
        <v>#N/A</v>
      </c>
      <c r="AJ17" s="34" t="s">
        <v>364</v>
      </c>
    </row>
    <row r="18" spans="1:36" ht="14.65" customHeight="1">
      <c r="A18" s="40">
        <v>1907</v>
      </c>
      <c r="B18" s="41"/>
      <c r="C18" s="41" t="s">
        <v>1962</v>
      </c>
      <c r="D18" s="42" t="s">
        <v>365</v>
      </c>
      <c r="E18" s="42" t="s">
        <v>300</v>
      </c>
      <c r="F18" s="42" t="s">
        <v>10</v>
      </c>
      <c r="G18" s="43">
        <v>3</v>
      </c>
      <c r="H18" s="43">
        <v>3</v>
      </c>
      <c r="I18" s="41">
        <v>1</v>
      </c>
      <c r="J18" s="41"/>
      <c r="K18" s="44"/>
      <c r="L18" s="44"/>
      <c r="M18" s="45" t="s">
        <v>366</v>
      </c>
      <c r="N18" s="45" t="s">
        <v>367</v>
      </c>
      <c r="P18" s="35" t="str">
        <f>IF(Nickels!B19&lt;&gt;" ",Nickels!A18&amp;" "&amp;Nickels!B18,Nickels!A18)</f>
        <v xml:space="preserve">1907 </v>
      </c>
      <c r="V18" s="34">
        <f>MATCH(Nickels!$A18,[6]NickelMintage!A:A,0)</f>
        <v>27</v>
      </c>
      <c r="X18" s="46">
        <f t="shared" si="0"/>
        <v>1907</v>
      </c>
      <c r="Y18" s="35">
        <f>MATCH(X18,[6]WantList!$O$2:$O$2000,0)</f>
        <v>17</v>
      </c>
      <c r="Z18" s="34" t="e">
        <f>MATCH(X18,[6]WantListWorkFile!$A$2:$A$244,0)</f>
        <v>#N/A</v>
      </c>
      <c r="AB18" s="34" t="e">
        <f>MATCH($AB$2&amp;AC18,$C$1:C634,0)</f>
        <v>#N/A</v>
      </c>
      <c r="AC18" s="34" t="s">
        <v>368</v>
      </c>
      <c r="AD18" s="35" t="e">
        <f t="shared" si="1"/>
        <v>#N/A</v>
      </c>
      <c r="AE18" s="34" t="e">
        <f t="shared" si="2"/>
        <v>#N/A</v>
      </c>
      <c r="AF18" s="34" t="e">
        <f t="shared" si="3"/>
        <v>#N/A</v>
      </c>
      <c r="AJ18" s="34" t="s">
        <v>369</v>
      </c>
    </row>
    <row r="19" spans="1:36" ht="14.65" customHeight="1">
      <c r="A19" s="49">
        <v>1907</v>
      </c>
      <c r="B19" s="50"/>
      <c r="C19" s="41" t="s">
        <v>1962</v>
      </c>
      <c r="D19" s="51" t="s">
        <v>370</v>
      </c>
      <c r="E19" s="51" t="s">
        <v>300</v>
      </c>
      <c r="F19" s="51" t="s">
        <v>306</v>
      </c>
      <c r="G19" s="52">
        <v>0.75</v>
      </c>
      <c r="H19" s="52">
        <v>1</v>
      </c>
      <c r="I19" s="50">
        <v>1</v>
      </c>
      <c r="J19" s="50"/>
      <c r="K19" s="53"/>
      <c r="L19" s="53"/>
      <c r="M19" s="51"/>
      <c r="N19" s="51"/>
      <c r="P19" s="35" t="str">
        <f>IF(Nickels!B20&lt;&gt;" ",Nickels!A19&amp;" "&amp;Nickels!B19,Nickels!A19)</f>
        <v xml:space="preserve">1907 </v>
      </c>
      <c r="V19" s="34">
        <f>MATCH(Nickels!$A19,[6]NickelMintage!A:A,0)</f>
        <v>27</v>
      </c>
      <c r="X19" s="46">
        <f t="shared" si="0"/>
        <v>1907</v>
      </c>
      <c r="Y19" s="35">
        <f>MATCH(X19,[6]WantList!$O$2:$O$2000,0)</f>
        <v>17</v>
      </c>
      <c r="Z19" s="34" t="e">
        <f>MATCH(X19,[6]WantListWorkFile!$A$2:$A$244,0)</f>
        <v>#N/A</v>
      </c>
      <c r="AB19" s="34" t="e">
        <f>MATCH($AB$2&amp;AC19,$C$1:C635,0)</f>
        <v>#N/A</v>
      </c>
      <c r="AC19" s="34" t="s">
        <v>371</v>
      </c>
      <c r="AD19" s="35" t="e">
        <f t="shared" si="1"/>
        <v>#N/A</v>
      </c>
      <c r="AE19" s="34" t="e">
        <f t="shared" si="2"/>
        <v>#N/A</v>
      </c>
      <c r="AF19" s="34" t="e">
        <f t="shared" si="3"/>
        <v>#N/A</v>
      </c>
      <c r="AJ19" s="34" t="s">
        <v>369</v>
      </c>
    </row>
    <row r="20" spans="1:36" ht="14.65" customHeight="1">
      <c r="A20" s="49">
        <v>1908</v>
      </c>
      <c r="B20" s="50"/>
      <c r="C20" s="41" t="s">
        <v>1962</v>
      </c>
      <c r="D20" s="51" t="s">
        <v>372</v>
      </c>
      <c r="E20" s="51" t="s">
        <v>300</v>
      </c>
      <c r="F20" s="51" t="s">
        <v>331</v>
      </c>
      <c r="G20" s="52">
        <v>0.3</v>
      </c>
      <c r="H20" s="52">
        <v>1</v>
      </c>
      <c r="I20" s="50">
        <v>1</v>
      </c>
      <c r="J20" s="50"/>
      <c r="K20" s="53"/>
      <c r="L20" s="53"/>
      <c r="M20" s="51"/>
      <c r="N20" s="51"/>
      <c r="P20" s="35" t="str">
        <f>IF(Nickels!B21&lt;&gt;" ",Nickels!A20&amp;" "&amp;Nickels!B20,Nickels!A20)</f>
        <v xml:space="preserve">1908 </v>
      </c>
      <c r="V20" s="34">
        <f>MATCH(Nickels!$A20,[6]NickelMintage!A:A,0)</f>
        <v>28</v>
      </c>
      <c r="X20" s="46">
        <f t="shared" si="0"/>
        <v>1908</v>
      </c>
      <c r="Y20" s="35">
        <f>MATCH(X20,[6]WantList!$O$2:$O$2000,0)</f>
        <v>19</v>
      </c>
      <c r="Z20" s="34" t="e">
        <f>MATCH(X20,[6]WantListWorkFile!$A$2:$A$244,0)</f>
        <v>#N/A</v>
      </c>
      <c r="AB20" s="34" t="e">
        <f>MATCH($AB$2&amp;AC20,$C$1:C636,0)</f>
        <v>#N/A</v>
      </c>
      <c r="AC20" s="34" t="s">
        <v>373</v>
      </c>
      <c r="AD20" s="35" t="e">
        <f t="shared" si="1"/>
        <v>#N/A</v>
      </c>
      <c r="AE20" s="34" t="e">
        <f t="shared" si="2"/>
        <v>#N/A</v>
      </c>
      <c r="AF20" s="34" t="e">
        <f t="shared" si="3"/>
        <v>#N/A</v>
      </c>
      <c r="AJ20" s="34" t="s">
        <v>374</v>
      </c>
    </row>
    <row r="21" spans="1:36" ht="14.65" customHeight="1">
      <c r="A21" s="40">
        <v>1908</v>
      </c>
      <c r="B21" s="41"/>
      <c r="C21" s="41" t="s">
        <v>1962</v>
      </c>
      <c r="D21" s="42" t="s">
        <v>375</v>
      </c>
      <c r="E21" s="42" t="s">
        <v>300</v>
      </c>
      <c r="F21" s="42" t="s">
        <v>331</v>
      </c>
      <c r="G21" s="43">
        <v>0.75</v>
      </c>
      <c r="H21" s="43">
        <v>1</v>
      </c>
      <c r="I21" s="41">
        <v>1</v>
      </c>
      <c r="J21" s="41"/>
      <c r="K21" s="44"/>
      <c r="L21" s="44"/>
      <c r="M21" s="42"/>
      <c r="N21" s="42"/>
      <c r="P21" s="35" t="str">
        <f>IF(Nickels!B22&lt;&gt;" ",Nickels!A21&amp;" "&amp;Nickels!B21,Nickels!A21)</f>
        <v xml:space="preserve">1908 </v>
      </c>
      <c r="V21" s="34">
        <f>MATCH(Nickels!$A21,[6]NickelMintage!A:A,0)</f>
        <v>28</v>
      </c>
      <c r="X21" s="46">
        <f t="shared" si="0"/>
        <v>1908</v>
      </c>
      <c r="Y21" s="35">
        <f>MATCH(X21,[6]WantList!$O$2:$O$2000,0)</f>
        <v>19</v>
      </c>
      <c r="Z21" s="34" t="e">
        <f>MATCH(X21,[6]WantListWorkFile!$A$2:$A$244,0)</f>
        <v>#N/A</v>
      </c>
      <c r="AB21" s="34" t="e">
        <f>MATCH($AB$2&amp;AC21,$C$1:C637,0)</f>
        <v>#N/A</v>
      </c>
      <c r="AC21" s="34" t="s">
        <v>376</v>
      </c>
      <c r="AD21" s="35" t="e">
        <f t="shared" si="1"/>
        <v>#N/A</v>
      </c>
      <c r="AE21" s="34" t="e">
        <f t="shared" si="2"/>
        <v>#N/A</v>
      </c>
      <c r="AF21" s="34" t="e">
        <f t="shared" si="3"/>
        <v>#N/A</v>
      </c>
      <c r="AJ21" s="34" t="s">
        <v>374</v>
      </c>
    </row>
    <row r="22" spans="1:36" ht="14.65" customHeight="1">
      <c r="A22" s="49">
        <v>1909</v>
      </c>
      <c r="B22" s="50"/>
      <c r="C22" s="41" t="s">
        <v>1962</v>
      </c>
      <c r="D22" s="51" t="s">
        <v>377</v>
      </c>
      <c r="E22" s="51" t="s">
        <v>300</v>
      </c>
      <c r="F22" s="51" t="s">
        <v>306</v>
      </c>
      <c r="G22" s="52">
        <v>0.05</v>
      </c>
      <c r="H22" s="52">
        <v>0.75</v>
      </c>
      <c r="I22" s="50">
        <v>1</v>
      </c>
      <c r="J22" s="50"/>
      <c r="K22" s="53"/>
      <c r="L22" s="53"/>
      <c r="M22" s="51"/>
      <c r="N22" s="51"/>
      <c r="P22" s="35" t="str">
        <f>IF(Nickels!B23&lt;&gt;" ",Nickels!A22&amp;" "&amp;Nickels!B22,Nickels!A22)</f>
        <v xml:space="preserve">1909 </v>
      </c>
      <c r="V22" s="34">
        <f>MATCH(Nickels!$A22,[6]NickelMintage!A:A,0)</f>
        <v>29</v>
      </c>
      <c r="X22" s="46">
        <f t="shared" si="0"/>
        <v>1909</v>
      </c>
      <c r="Y22" s="35">
        <f>MATCH(X22,[6]WantList!$O$2:$O$2000,0)</f>
        <v>21</v>
      </c>
      <c r="Z22" s="34" t="e">
        <f>MATCH(X22,[6]WantListWorkFile!$A$2:$A$244,0)</f>
        <v>#N/A</v>
      </c>
      <c r="AB22" s="34" t="e">
        <f>MATCH($AB$2&amp;AC22,$C$1:C638,0)</f>
        <v>#N/A</v>
      </c>
      <c r="AC22" s="34" t="s">
        <v>378</v>
      </c>
      <c r="AD22" s="35" t="e">
        <f t="shared" si="1"/>
        <v>#N/A</v>
      </c>
      <c r="AE22" s="34" t="e">
        <f t="shared" si="2"/>
        <v>#N/A</v>
      </c>
      <c r="AF22" s="34" t="e">
        <f t="shared" si="3"/>
        <v>#N/A</v>
      </c>
      <c r="AJ22" s="34" t="s">
        <v>379</v>
      </c>
    </row>
    <row r="23" spans="1:36" ht="14.65" customHeight="1">
      <c r="A23" s="40">
        <v>1909</v>
      </c>
      <c r="B23" s="41"/>
      <c r="C23" s="41" t="s">
        <v>1962</v>
      </c>
      <c r="D23" s="42" t="s">
        <v>380</v>
      </c>
      <c r="E23" s="42" t="s">
        <v>300</v>
      </c>
      <c r="F23" s="42" t="s">
        <v>306</v>
      </c>
      <c r="G23" s="43">
        <v>0.05</v>
      </c>
      <c r="H23" s="43">
        <v>0.75</v>
      </c>
      <c r="I23" s="41">
        <v>1</v>
      </c>
      <c r="J23" s="41"/>
      <c r="K23" s="44"/>
      <c r="L23" s="44"/>
      <c r="M23" s="42"/>
      <c r="N23" s="42"/>
      <c r="P23" s="35" t="str">
        <f>IF(Nickels!B24&lt;&gt;" ",Nickels!A23&amp;" "&amp;Nickels!B23,Nickels!A23)</f>
        <v xml:space="preserve">1909 </v>
      </c>
      <c r="V23" s="34">
        <f>MATCH(Nickels!$A23,[6]NickelMintage!A:A,0)</f>
        <v>29</v>
      </c>
      <c r="X23" s="46">
        <f t="shared" si="0"/>
        <v>1909</v>
      </c>
      <c r="Y23" s="35">
        <f>MATCH(X23,[6]WantList!$O$2:$O$2000,0)</f>
        <v>21</v>
      </c>
      <c r="Z23" s="34" t="e">
        <f>MATCH(X23,[6]WantListWorkFile!$A$2:$A$244,0)</f>
        <v>#N/A</v>
      </c>
      <c r="AB23" s="34" t="e">
        <f>MATCH($AB$2&amp;AC23,$C$1:C639,0)</f>
        <v>#N/A</v>
      </c>
      <c r="AC23" s="34" t="s">
        <v>23</v>
      </c>
      <c r="AD23" s="35" t="e">
        <f t="shared" si="1"/>
        <v>#N/A</v>
      </c>
      <c r="AE23" s="34" t="e">
        <f t="shared" si="2"/>
        <v>#N/A</v>
      </c>
      <c r="AF23" s="34" t="e">
        <f t="shared" si="3"/>
        <v>#N/A</v>
      </c>
      <c r="AJ23" s="34" t="s">
        <v>379</v>
      </c>
    </row>
    <row r="24" spans="1:36" ht="14.65" customHeight="1">
      <c r="A24" s="40">
        <v>1910</v>
      </c>
      <c r="B24" s="41"/>
      <c r="C24" s="41" t="s">
        <v>1962</v>
      </c>
      <c r="D24" s="42" t="s">
        <v>381</v>
      </c>
      <c r="E24" s="42" t="s">
        <v>300</v>
      </c>
      <c r="F24" s="42" t="s">
        <v>331</v>
      </c>
      <c r="G24" s="43">
        <v>0.75</v>
      </c>
      <c r="H24" s="43">
        <v>1</v>
      </c>
      <c r="I24" s="41">
        <v>1</v>
      </c>
      <c r="J24" s="41"/>
      <c r="K24" s="44"/>
      <c r="L24" s="44"/>
      <c r="M24" s="42"/>
      <c r="N24" s="42"/>
      <c r="P24" s="35" t="str">
        <f>IF(Nickels!B25&lt;&gt;" ",Nickels!A24&amp;" "&amp;Nickels!B24,Nickels!A24)</f>
        <v xml:space="preserve">1910 </v>
      </c>
      <c r="V24" s="34">
        <f>MATCH(Nickels!$A24,[6]NickelMintage!A:A,0)</f>
        <v>30</v>
      </c>
      <c r="X24" s="46">
        <f t="shared" si="0"/>
        <v>1910</v>
      </c>
      <c r="Y24" s="35">
        <f>MATCH(X24,[6]WantList!$O$2:$O$2000,0)</f>
        <v>23</v>
      </c>
      <c r="Z24" s="34" t="e">
        <f>MATCH(X24,[6]WantListWorkFile!$A$2:$A$244,0)</f>
        <v>#N/A</v>
      </c>
      <c r="AB24" s="34" t="e">
        <f>MATCH($AB$2&amp;AC24,$C$1:C640,0)</f>
        <v>#N/A</v>
      </c>
      <c r="AC24" s="34" t="s">
        <v>382</v>
      </c>
      <c r="AD24" s="35" t="e">
        <f t="shared" si="1"/>
        <v>#N/A</v>
      </c>
      <c r="AE24" s="34" t="e">
        <f t="shared" si="2"/>
        <v>#N/A</v>
      </c>
      <c r="AF24" s="34" t="e">
        <f t="shared" si="3"/>
        <v>#N/A</v>
      </c>
      <c r="AJ24" s="34" t="s">
        <v>383</v>
      </c>
    </row>
    <row r="25" spans="1:36" ht="14.65" customHeight="1">
      <c r="A25" s="49">
        <v>1910</v>
      </c>
      <c r="B25" s="50"/>
      <c r="C25" s="41" t="s">
        <v>1962</v>
      </c>
      <c r="D25" s="51" t="s">
        <v>384</v>
      </c>
      <c r="E25" s="51" t="s">
        <v>300</v>
      </c>
      <c r="F25" s="51" t="s">
        <v>331</v>
      </c>
      <c r="G25" s="52">
        <v>0.75</v>
      </c>
      <c r="H25" s="52">
        <v>1</v>
      </c>
      <c r="I25" s="50">
        <v>1</v>
      </c>
      <c r="J25" s="50"/>
      <c r="K25" s="53"/>
      <c r="L25" s="53"/>
      <c r="M25" s="51"/>
      <c r="N25" s="51"/>
      <c r="P25" s="35" t="str">
        <f>IF(Nickels!B26&lt;&gt;" ",Nickels!A25&amp;" "&amp;Nickels!B25,Nickels!A25)</f>
        <v xml:space="preserve">1910 </v>
      </c>
      <c r="V25" s="34">
        <f>MATCH(Nickels!$A25,[6]NickelMintage!A:A,0)</f>
        <v>30</v>
      </c>
      <c r="X25" s="46">
        <f t="shared" si="0"/>
        <v>1910</v>
      </c>
      <c r="Y25" s="35">
        <f>MATCH(X25,[6]WantList!$O$2:$O$2000,0)</f>
        <v>23</v>
      </c>
      <c r="Z25" s="34" t="e">
        <f>MATCH(X25,[6]WantListWorkFile!$A$2:$A$244,0)</f>
        <v>#N/A</v>
      </c>
      <c r="AB25" s="34" t="e">
        <f>MATCH($AB$2&amp;AC25,$C$1:C641,0)</f>
        <v>#N/A</v>
      </c>
      <c r="AC25" s="34" t="s">
        <v>385</v>
      </c>
      <c r="AD25" s="35" t="e">
        <f t="shared" si="1"/>
        <v>#N/A</v>
      </c>
      <c r="AE25" s="34" t="e">
        <f t="shared" si="2"/>
        <v>#N/A</v>
      </c>
      <c r="AF25" s="34" t="e">
        <f t="shared" si="3"/>
        <v>#N/A</v>
      </c>
      <c r="AJ25" s="34" t="s">
        <v>383</v>
      </c>
    </row>
    <row r="26" spans="1:36" ht="14.65" customHeight="1">
      <c r="A26" s="40">
        <v>1910</v>
      </c>
      <c r="B26" s="41"/>
      <c r="C26" s="41" t="s">
        <v>1962</v>
      </c>
      <c r="D26" s="42" t="s">
        <v>386</v>
      </c>
      <c r="E26" s="42" t="s">
        <v>300</v>
      </c>
      <c r="F26" s="42" t="s">
        <v>306</v>
      </c>
      <c r="G26" s="43">
        <v>0.05</v>
      </c>
      <c r="H26" s="43">
        <v>0.75</v>
      </c>
      <c r="I26" s="41">
        <v>1</v>
      </c>
      <c r="J26" s="41"/>
      <c r="K26" s="44"/>
      <c r="L26" s="44"/>
      <c r="M26" s="42"/>
      <c r="N26" s="42"/>
      <c r="P26" s="35" t="str">
        <f>IF(Nickels!B27&lt;&gt;" ",Nickels!A26&amp;" "&amp;Nickels!B26,Nickels!A26)</f>
        <v xml:space="preserve">1910 </v>
      </c>
      <c r="V26" s="34">
        <f>MATCH(Nickels!$A26,[6]NickelMintage!A:A,0)</f>
        <v>30</v>
      </c>
      <c r="X26" s="46">
        <f t="shared" si="0"/>
        <v>1910</v>
      </c>
      <c r="Y26" s="35">
        <f>MATCH(X26,[6]WantList!$O$2:$O$2000,0)</f>
        <v>23</v>
      </c>
      <c r="Z26" s="34" t="e">
        <f>MATCH(X26,[6]WantListWorkFile!$A$2:$A$244,0)</f>
        <v>#N/A</v>
      </c>
      <c r="AB26" s="34" t="e">
        <f>MATCH($AB$2&amp;AC26,$C$1:C642,0)</f>
        <v>#N/A</v>
      </c>
      <c r="AC26" s="34" t="s">
        <v>387</v>
      </c>
      <c r="AD26" s="35" t="e">
        <f t="shared" si="1"/>
        <v>#N/A</v>
      </c>
      <c r="AE26" s="34" t="e">
        <f t="shared" si="2"/>
        <v>#N/A</v>
      </c>
      <c r="AF26" s="34" t="e">
        <f t="shared" si="3"/>
        <v>#N/A</v>
      </c>
      <c r="AJ26" s="34" t="s">
        <v>383</v>
      </c>
    </row>
    <row r="27" spans="1:36" ht="14.65" customHeight="1">
      <c r="A27" s="49">
        <v>1911</v>
      </c>
      <c r="B27" s="50"/>
      <c r="C27" s="41" t="s">
        <v>1962</v>
      </c>
      <c r="D27" s="51" t="s">
        <v>388</v>
      </c>
      <c r="E27" s="51" t="s">
        <v>300</v>
      </c>
      <c r="F27" s="51" t="s">
        <v>306</v>
      </c>
      <c r="G27" s="52">
        <v>0.05</v>
      </c>
      <c r="H27" s="52">
        <v>0.75</v>
      </c>
      <c r="I27" s="50">
        <v>1</v>
      </c>
      <c r="J27" s="50"/>
      <c r="K27" s="53"/>
      <c r="L27" s="53"/>
      <c r="M27" s="51"/>
      <c r="N27" s="51"/>
      <c r="P27" s="35" t="str">
        <f>IF(Nickels!B28&lt;&gt;" ",Nickels!A27&amp;" "&amp;Nickels!B27,Nickels!A27)</f>
        <v xml:space="preserve">1911 </v>
      </c>
      <c r="V27" s="34">
        <f>MATCH(Nickels!$A27,[6]NickelMintage!A:A,0)</f>
        <v>31</v>
      </c>
      <c r="X27" s="46">
        <f t="shared" si="0"/>
        <v>1911</v>
      </c>
      <c r="Y27" s="35">
        <f>MATCH(X27,[6]WantList!$O$2:$O$2000,0)</f>
        <v>26</v>
      </c>
      <c r="Z27" s="34" t="e">
        <f>MATCH(X27,[6]WantListWorkFile!$A$2:$A$244,0)</f>
        <v>#N/A</v>
      </c>
      <c r="AB27" s="34" t="e">
        <f>MATCH($AB$2&amp;AC27,$C$1:C643,0)</f>
        <v>#N/A</v>
      </c>
      <c r="AC27" s="34" t="s">
        <v>389</v>
      </c>
      <c r="AD27" s="35" t="e">
        <f t="shared" si="1"/>
        <v>#N/A</v>
      </c>
      <c r="AE27" s="34" t="e">
        <f t="shared" si="2"/>
        <v>#N/A</v>
      </c>
      <c r="AF27" s="34" t="e">
        <f t="shared" si="3"/>
        <v>#N/A</v>
      </c>
      <c r="AJ27" s="34" t="s">
        <v>390</v>
      </c>
    </row>
    <row r="28" spans="1:36" ht="14.65" customHeight="1">
      <c r="A28" s="40">
        <v>1912</v>
      </c>
      <c r="B28" s="41"/>
      <c r="C28" s="41" t="s">
        <v>1962</v>
      </c>
      <c r="D28" s="42" t="s">
        <v>391</v>
      </c>
      <c r="E28" s="42" t="s">
        <v>300</v>
      </c>
      <c r="F28" s="42" t="s">
        <v>10</v>
      </c>
      <c r="G28" s="43">
        <v>2</v>
      </c>
      <c r="H28" s="43">
        <v>3</v>
      </c>
      <c r="I28" s="41">
        <v>1</v>
      </c>
      <c r="J28" s="41"/>
      <c r="K28" s="44"/>
      <c r="L28" s="44"/>
      <c r="M28" s="42"/>
      <c r="N28" s="42"/>
      <c r="P28" s="35" t="str">
        <f>IF(Nickels!B29&lt;&gt;" ",Nickels!A28&amp;" "&amp;Nickels!B28,Nickels!A28)</f>
        <v xml:space="preserve">1912 </v>
      </c>
      <c r="V28" s="34">
        <f>MATCH(Nickels!$A28,[6]NickelMintage!A:A,0)</f>
        <v>32</v>
      </c>
      <c r="X28" s="46">
        <f t="shared" si="0"/>
        <v>1912</v>
      </c>
      <c r="Y28" s="35">
        <f>MATCH(X28,[6]WantList!$O$2:$O$2000,0)</f>
        <v>27</v>
      </c>
      <c r="Z28" s="34" t="e">
        <f>MATCH(X28,[6]WantListWorkFile!$A$2:$A$244,0)</f>
        <v>#N/A</v>
      </c>
      <c r="AB28" s="34" t="e">
        <f>MATCH($AB$2&amp;AC28,$C$1:C644,0)</f>
        <v>#N/A</v>
      </c>
      <c r="AC28" s="34" t="s">
        <v>392</v>
      </c>
      <c r="AD28" s="35" t="e">
        <f t="shared" si="1"/>
        <v>#N/A</v>
      </c>
      <c r="AE28" s="34" t="e">
        <f t="shared" si="2"/>
        <v>#N/A</v>
      </c>
      <c r="AF28" s="34" t="e">
        <f t="shared" si="3"/>
        <v>#N/A</v>
      </c>
      <c r="AJ28" s="34" t="s">
        <v>393</v>
      </c>
    </row>
    <row r="29" spans="1:36" ht="14.65" customHeight="1">
      <c r="A29" s="49">
        <v>1912</v>
      </c>
      <c r="B29" s="50"/>
      <c r="C29" s="41" t="s">
        <v>1962</v>
      </c>
      <c r="D29" s="51" t="s">
        <v>394</v>
      </c>
      <c r="E29" s="51" t="s">
        <v>300</v>
      </c>
      <c r="F29" s="51" t="s">
        <v>306</v>
      </c>
      <c r="G29" s="52">
        <v>0.05</v>
      </c>
      <c r="H29" s="52">
        <v>0.75</v>
      </c>
      <c r="I29" s="50">
        <v>1</v>
      </c>
      <c r="J29" s="50"/>
      <c r="K29" s="53"/>
      <c r="L29" s="53"/>
      <c r="M29" s="51"/>
      <c r="N29" s="51"/>
      <c r="P29" s="35" t="str">
        <f>IF(Nickels!B30&lt;&gt;" ",Nickels!A29&amp;" "&amp;Nickels!B29,Nickels!A29)</f>
        <v xml:space="preserve">1912 </v>
      </c>
      <c r="V29" s="34">
        <f>MATCH(Nickels!$A29,[6]NickelMintage!A:A,0)</f>
        <v>32</v>
      </c>
      <c r="X29" s="46">
        <f t="shared" si="0"/>
        <v>1912</v>
      </c>
      <c r="Y29" s="35">
        <f>MATCH(X29,[6]WantList!$O$2:$O$2000,0)</f>
        <v>27</v>
      </c>
      <c r="Z29" s="34" t="e">
        <f>MATCH(X29,[6]WantListWorkFile!$A$2:$A$244,0)</f>
        <v>#N/A</v>
      </c>
      <c r="AB29" s="34" t="e">
        <f>MATCH($AB$2&amp;AC29,$C$1:C645,0)</f>
        <v>#N/A</v>
      </c>
      <c r="AJ29" s="34" t="s">
        <v>393</v>
      </c>
    </row>
    <row r="30" spans="1:36" ht="14.65" customHeight="1">
      <c r="A30" s="40">
        <v>1912</v>
      </c>
      <c r="B30" s="41"/>
      <c r="C30" s="41" t="s">
        <v>1962</v>
      </c>
      <c r="D30" s="42" t="s">
        <v>395</v>
      </c>
      <c r="E30" s="42" t="s">
        <v>300</v>
      </c>
      <c r="F30" s="42" t="s">
        <v>316</v>
      </c>
      <c r="G30" s="43">
        <v>1</v>
      </c>
      <c r="H30" s="43">
        <v>1</v>
      </c>
      <c r="I30" s="41">
        <v>1</v>
      </c>
      <c r="J30" s="41"/>
      <c r="K30" s="44"/>
      <c r="L30" s="44"/>
      <c r="M30" s="42"/>
      <c r="N30" s="42"/>
      <c r="P30" s="35" t="str">
        <f>IF(Nickels!B31&lt;&gt;" ",Nickels!A30&amp;" "&amp;Nickels!B30,Nickels!A30)</f>
        <v xml:space="preserve">1912 </v>
      </c>
      <c r="V30" s="34">
        <f>MATCH(Nickels!$A30,[6]NickelMintage!A:A,0)</f>
        <v>32</v>
      </c>
      <c r="X30" s="46">
        <f t="shared" si="0"/>
        <v>1912</v>
      </c>
      <c r="Y30" s="35">
        <f>MATCH(X30,[6]WantList!$O$2:$O$2000,0)</f>
        <v>27</v>
      </c>
      <c r="Z30" s="34" t="e">
        <f>MATCH(X30,[6]WantListWorkFile!$A$2:$A$244,0)</f>
        <v>#N/A</v>
      </c>
      <c r="AB30" s="34" t="e">
        <f>MATCH($AB$2&amp;AC30,$C$1:C646,0)</f>
        <v>#N/A</v>
      </c>
      <c r="AJ30" s="34" t="s">
        <v>393</v>
      </c>
    </row>
    <row r="31" spans="1:36" ht="14.65" customHeight="1">
      <c r="A31" s="49">
        <v>1913</v>
      </c>
      <c r="B31" s="50"/>
      <c r="C31" s="41" t="s">
        <v>1962</v>
      </c>
      <c r="D31" s="51" t="s">
        <v>396</v>
      </c>
      <c r="E31" s="51" t="s">
        <v>397</v>
      </c>
      <c r="F31" s="51" t="s">
        <v>306</v>
      </c>
      <c r="G31" s="52">
        <v>0.05</v>
      </c>
      <c r="H31" s="52">
        <v>0.05</v>
      </c>
      <c r="I31" s="50">
        <v>1</v>
      </c>
      <c r="J31" s="50"/>
      <c r="K31" s="53"/>
      <c r="L31" s="53"/>
      <c r="M31" s="51"/>
      <c r="N31" s="51"/>
      <c r="P31" s="35" t="str">
        <f>IF(Nickels!B32&lt;&gt;" ",Nickels!A31&amp;" "&amp;Nickels!B31,Nickels!A31)</f>
        <v xml:space="preserve">1913 </v>
      </c>
      <c r="V31" s="34">
        <f>MATCH(Nickels!$A31,[6]NickelMintage!A:A,0)</f>
        <v>35</v>
      </c>
      <c r="X31" s="46">
        <f t="shared" si="0"/>
        <v>1913</v>
      </c>
      <c r="Y31" s="35">
        <f>MATCH(X31,[6]WantList!$O$2:$O$2000,0)</f>
        <v>30</v>
      </c>
      <c r="Z31" s="34">
        <f>MATCH(X31,[6]WantListWorkFile!$A$2:$A$244,0)</f>
        <v>1</v>
      </c>
      <c r="AJ31" s="34" t="s">
        <v>398</v>
      </c>
    </row>
    <row r="32" spans="1:36" ht="14.65" customHeight="1">
      <c r="A32" s="40">
        <v>1916</v>
      </c>
      <c r="B32" s="41"/>
      <c r="C32" s="41" t="s">
        <v>1962</v>
      </c>
      <c r="D32" s="42" t="s">
        <v>399</v>
      </c>
      <c r="E32" s="42" t="s">
        <v>397</v>
      </c>
      <c r="F32" s="42" t="s">
        <v>331</v>
      </c>
      <c r="G32" s="43">
        <v>0.05</v>
      </c>
      <c r="H32" s="43">
        <v>1</v>
      </c>
      <c r="I32" s="41">
        <v>1</v>
      </c>
      <c r="J32" s="41"/>
      <c r="K32" s="44"/>
      <c r="L32" s="44"/>
      <c r="M32" s="42"/>
      <c r="N32" s="42"/>
      <c r="P32" s="35" t="str">
        <f>IF(Nickels!B33&lt;&gt;" ",Nickels!A32&amp;" "&amp;Nickels!B32,Nickels!A32)</f>
        <v xml:space="preserve">1916 </v>
      </c>
      <c r="V32" s="34">
        <f>MATCH(Nickels!$A32,[6]NickelMintage!A:A,0)</f>
        <v>47</v>
      </c>
      <c r="X32" s="46">
        <f t="shared" si="0"/>
        <v>1916</v>
      </c>
      <c r="Y32" s="35">
        <f>MATCH(X32,[6]WantList!$O$2:$O$2000,0)</f>
        <v>31</v>
      </c>
      <c r="Z32" s="34">
        <f>MATCH(X32,[6]WantListWorkFile!$A$2:$A$244,0)</f>
        <v>13</v>
      </c>
      <c r="AJ32" s="34" t="s">
        <v>400</v>
      </c>
    </row>
    <row r="33" spans="1:36" ht="14.65" customHeight="1">
      <c r="A33" s="49">
        <v>1917</v>
      </c>
      <c r="B33" s="50"/>
      <c r="C33" s="41" t="s">
        <v>1962</v>
      </c>
      <c r="D33" s="51" t="s">
        <v>401</v>
      </c>
      <c r="E33" s="51" t="s">
        <v>397</v>
      </c>
      <c r="F33" s="51" t="s">
        <v>331</v>
      </c>
      <c r="G33" s="52">
        <v>0.05</v>
      </c>
      <c r="H33" s="52">
        <v>1.25</v>
      </c>
      <c r="I33" s="50">
        <v>1</v>
      </c>
      <c r="J33" s="50"/>
      <c r="K33" s="53"/>
      <c r="L33" s="53"/>
      <c r="M33" s="51"/>
      <c r="N33" s="51"/>
      <c r="P33" s="35" t="str">
        <f>IF(Nickels!B34&lt;&gt;" ",Nickels!A33&amp;" "&amp;Nickels!B33,Nickels!A33)</f>
        <v xml:space="preserve">1917 </v>
      </c>
      <c r="V33" s="34">
        <f>MATCH(Nickels!$A33,[6]NickelMintage!A:A,0)</f>
        <v>50</v>
      </c>
      <c r="X33" s="46">
        <f t="shared" si="0"/>
        <v>1917</v>
      </c>
      <c r="Y33" s="35">
        <f>MATCH(X33,[6]WantList!$O$2:$O$2000,0)</f>
        <v>32</v>
      </c>
      <c r="Z33" s="34">
        <f>MATCH(X33,[6]WantListWorkFile!$A$2:$A$244,0)</f>
        <v>16</v>
      </c>
      <c r="AJ33" s="34" t="s">
        <v>402</v>
      </c>
    </row>
    <row r="34" spans="1:36" ht="14.65" customHeight="1">
      <c r="A34" s="40">
        <v>1920</v>
      </c>
      <c r="B34" s="41"/>
      <c r="C34" s="41" t="s">
        <v>1962</v>
      </c>
      <c r="D34" s="42" t="s">
        <v>403</v>
      </c>
      <c r="E34" s="42" t="s">
        <v>397</v>
      </c>
      <c r="F34" s="42" t="s">
        <v>331</v>
      </c>
      <c r="G34" s="43">
        <v>1.25</v>
      </c>
      <c r="H34" s="43">
        <v>2.25</v>
      </c>
      <c r="I34" s="41">
        <v>1</v>
      </c>
      <c r="J34" s="41"/>
      <c r="K34" s="44"/>
      <c r="L34" s="44"/>
      <c r="M34" s="42"/>
      <c r="N34" s="42"/>
      <c r="P34" s="35" t="str">
        <f>IF(Nickels!B35&lt;&gt;" ",Nickels!A34&amp;" "&amp;Nickels!B34,Nickels!A34)</f>
        <v xml:space="preserve">1920 </v>
      </c>
      <c r="V34" s="34">
        <f>MATCH(Nickels!$A34,[6]NickelMintage!A:A,0)</f>
        <v>59</v>
      </c>
      <c r="X34" s="46"/>
      <c r="Y34" s="35"/>
    </row>
    <row r="35" spans="1:36" ht="14.65" customHeight="1">
      <c r="A35" s="49">
        <v>1921</v>
      </c>
      <c r="B35" s="50"/>
      <c r="C35" s="41" t="s">
        <v>1962</v>
      </c>
      <c r="D35" s="51" t="s">
        <v>404</v>
      </c>
      <c r="E35" s="51" t="s">
        <v>397</v>
      </c>
      <c r="F35" s="51" t="s">
        <v>306</v>
      </c>
      <c r="G35" s="52">
        <v>0.05</v>
      </c>
      <c r="H35" s="52">
        <v>0.85</v>
      </c>
      <c r="I35" s="50">
        <v>1</v>
      </c>
      <c r="J35" s="50"/>
      <c r="K35" s="53"/>
      <c r="L35" s="53"/>
      <c r="M35" s="51"/>
      <c r="N35" s="51"/>
      <c r="P35" s="35" t="str">
        <f>IF(Nickels!B36&lt;&gt;" ",Nickels!A35&amp;" "&amp;Nickels!B35,Nickels!A35)</f>
        <v xml:space="preserve">1921 </v>
      </c>
      <c r="V35" s="34">
        <f>MATCH(Nickels!$A35,[6]NickelMintage!A:A,0)</f>
        <v>62</v>
      </c>
      <c r="X35" s="46">
        <f>IF(LEN(B35)&lt;1,A35,A35&amp;" "&amp;B35)</f>
        <v>1921</v>
      </c>
      <c r="Y35" s="35">
        <f>MATCH(X35,[6]WantList!$O$2:$O$2000,0)</f>
        <v>33</v>
      </c>
      <c r="Z35" s="34">
        <f>MATCH(X35,[6]WantListWorkFile!$A$2:$A$244,0)</f>
        <v>28</v>
      </c>
      <c r="AJ35" s="34" t="s">
        <v>405</v>
      </c>
    </row>
    <row r="36" spans="1:36" ht="14.65" customHeight="1">
      <c r="A36" s="40">
        <v>1923</v>
      </c>
      <c r="B36" s="41"/>
      <c r="C36" s="41" t="s">
        <v>1962</v>
      </c>
      <c r="D36" s="42" t="s">
        <v>406</v>
      </c>
      <c r="E36" s="42" t="s">
        <v>397</v>
      </c>
      <c r="F36" s="42" t="s">
        <v>407</v>
      </c>
      <c r="G36" s="43">
        <v>1.5</v>
      </c>
      <c r="H36" s="43">
        <v>1.5</v>
      </c>
      <c r="I36" s="41">
        <v>1</v>
      </c>
      <c r="J36" s="41"/>
      <c r="K36" s="44"/>
      <c r="L36" s="44"/>
      <c r="M36" s="42"/>
      <c r="N36" s="42"/>
      <c r="P36" s="35" t="str">
        <f>IF(Nickels!B37&lt;&gt;" ",Nickels!A36&amp;" "&amp;Nickels!B36,Nickels!A36)</f>
        <v xml:space="preserve">1923 </v>
      </c>
      <c r="V36" s="34">
        <f>MATCH(Nickels!$A36,[6]NickelMintage!A:A,0)</f>
        <v>64</v>
      </c>
      <c r="X36" s="46">
        <f>IF(LEN(B36)&lt;1,A36,A36&amp;" "&amp;B36)</f>
        <v>1923</v>
      </c>
      <c r="Y36" s="35">
        <f>MATCH(X36,[6]WantList!$O$2:$O$2000,0)</f>
        <v>34</v>
      </c>
      <c r="Z36" s="34">
        <f>MATCH(X36,[6]WantListWorkFile!$A$2:$A$244,0)</f>
        <v>30</v>
      </c>
      <c r="AJ36" s="34" t="s">
        <v>408</v>
      </c>
    </row>
    <row r="37" spans="1:36" ht="14.65" customHeight="1">
      <c r="A37" s="49">
        <v>1924</v>
      </c>
      <c r="B37" s="50"/>
      <c r="C37" s="41" t="s">
        <v>1962</v>
      </c>
      <c r="D37" s="51" t="s">
        <v>409</v>
      </c>
      <c r="E37" s="51" t="s">
        <v>397</v>
      </c>
      <c r="F37" s="51" t="s">
        <v>316</v>
      </c>
      <c r="G37" s="52">
        <v>1.5</v>
      </c>
      <c r="H37" s="52">
        <v>1.5</v>
      </c>
      <c r="I37" s="50">
        <v>1</v>
      </c>
      <c r="J37" s="50"/>
      <c r="K37" s="53"/>
      <c r="L37" s="53"/>
      <c r="M37" s="51"/>
      <c r="N37" s="51"/>
      <c r="P37" s="35" t="str">
        <f>IF(Nickels!B38&lt;&gt;" ",Nickels!A37&amp;" "&amp;Nickels!B37,Nickels!A37)</f>
        <v xml:space="preserve">1924 </v>
      </c>
      <c r="V37" s="34">
        <f>MATCH(Nickels!$A37,[6]NickelMintage!A:A,0)</f>
        <v>66</v>
      </c>
      <c r="X37" s="46">
        <f>IF(LEN(B37)&lt;1,A37,A37&amp;" "&amp;B37)</f>
        <v>1924</v>
      </c>
      <c r="Y37" s="35">
        <f>MATCH(X37,[6]WantList!$O$2:$O$2000,0)</f>
        <v>35</v>
      </c>
      <c r="Z37" s="34">
        <f>MATCH(X37,[6]WantListWorkFile!$A$2:$A$244,0)</f>
        <v>32</v>
      </c>
      <c r="AJ37" s="34" t="s">
        <v>410</v>
      </c>
    </row>
    <row r="38" spans="1:36" ht="14.65" customHeight="1">
      <c r="A38" s="40">
        <v>1925</v>
      </c>
      <c r="B38" s="41"/>
      <c r="C38" s="41" t="s">
        <v>1962</v>
      </c>
      <c r="D38" s="42" t="s">
        <v>411</v>
      </c>
      <c r="E38" s="42" t="s">
        <v>397</v>
      </c>
      <c r="F38" s="42" t="s">
        <v>412</v>
      </c>
      <c r="G38" s="43">
        <v>1.5</v>
      </c>
      <c r="H38" s="43">
        <v>4</v>
      </c>
      <c r="I38" s="41">
        <v>1</v>
      </c>
      <c r="J38" s="41"/>
      <c r="K38" s="44"/>
      <c r="L38" s="44"/>
      <c r="M38" s="42"/>
      <c r="N38" s="42"/>
      <c r="P38" s="35" t="str">
        <f>IF(Nickels!B39&lt;&gt;" ",Nickels!A38&amp;" "&amp;Nickels!B38,Nickels!A38)</f>
        <v xml:space="preserve">1925 </v>
      </c>
      <c r="V38" s="34" t="e">
        <f>MATCH(Nickels!$A38,[6]NickelMintage!A:A,0)</f>
        <v>#N/A</v>
      </c>
      <c r="X38" s="46"/>
      <c r="Y38" s="35"/>
    </row>
    <row r="39" spans="1:36" ht="14.65" customHeight="1">
      <c r="A39" s="49">
        <v>1926</v>
      </c>
      <c r="B39" s="50"/>
      <c r="C39" s="41" t="s">
        <v>1962</v>
      </c>
      <c r="D39" s="51" t="s">
        <v>413</v>
      </c>
      <c r="E39" s="51" t="s">
        <v>397</v>
      </c>
      <c r="F39" s="51" t="s">
        <v>306</v>
      </c>
      <c r="G39" s="52">
        <v>0.05</v>
      </c>
      <c r="H39" s="52">
        <v>0.4</v>
      </c>
      <c r="I39" s="50">
        <v>1</v>
      </c>
      <c r="J39" s="50"/>
      <c r="K39" s="53"/>
      <c r="L39" s="53"/>
      <c r="M39" s="51"/>
      <c r="N39" s="51"/>
      <c r="P39" s="35" t="str">
        <f>IF(Nickels!B40&lt;&gt;" ",Nickels!A39&amp;" "&amp;Nickels!B39,Nickels!A39)</f>
        <v xml:space="preserve">1926 </v>
      </c>
      <c r="V39" s="34">
        <f>MATCH(Nickels!$A39,[6]NickelMintage!A:A,0)</f>
        <v>72</v>
      </c>
      <c r="X39" s="46">
        <f>IF(LEN(B39)&lt;1,A39,A39&amp;" "&amp;B39)</f>
        <v>1926</v>
      </c>
      <c r="Y39" s="35">
        <f>MATCH(X39,[6]WantList!$O$2:$O$2000,0)</f>
        <v>36</v>
      </c>
      <c r="Z39" s="34">
        <f>MATCH(X39,[6]WantListWorkFile!$A$2:$A$244,0)</f>
        <v>38</v>
      </c>
      <c r="AJ39" s="34" t="s">
        <v>414</v>
      </c>
    </row>
    <row r="40" spans="1:36" ht="14.65" customHeight="1">
      <c r="A40" s="40">
        <v>1926</v>
      </c>
      <c r="B40" s="41"/>
      <c r="C40" s="41" t="s">
        <v>1962</v>
      </c>
      <c r="D40" s="42" t="s">
        <v>415</v>
      </c>
      <c r="E40" s="42" t="s">
        <v>397</v>
      </c>
      <c r="F40" s="42" t="s">
        <v>306</v>
      </c>
      <c r="G40" s="43">
        <v>1</v>
      </c>
      <c r="H40" s="43">
        <v>1.46</v>
      </c>
      <c r="I40" s="41">
        <v>1</v>
      </c>
      <c r="J40" s="41"/>
      <c r="K40" s="44"/>
      <c r="L40" s="44"/>
      <c r="M40" s="42"/>
      <c r="N40" s="42"/>
      <c r="P40" s="35" t="str">
        <f>IF(Nickels!B41&lt;&gt;" ",Nickels!A40&amp;" "&amp;Nickels!B40,Nickels!A40)</f>
        <v xml:space="preserve">1926 </v>
      </c>
      <c r="V40" s="34">
        <f>MATCH(Nickels!$A40,[6]NickelMintage!A:A,0)</f>
        <v>72</v>
      </c>
      <c r="X40" s="46"/>
      <c r="Y40" s="35"/>
    </row>
    <row r="41" spans="1:36" ht="14.65" customHeight="1">
      <c r="A41" s="49">
        <v>1927</v>
      </c>
      <c r="B41" s="50"/>
      <c r="C41" s="41" t="s">
        <v>1962</v>
      </c>
      <c r="D41" s="51" t="s">
        <v>416</v>
      </c>
      <c r="E41" s="51" t="s">
        <v>397</v>
      </c>
      <c r="F41" s="51" t="s">
        <v>306</v>
      </c>
      <c r="G41" s="52">
        <v>0.05</v>
      </c>
      <c r="H41" s="52">
        <v>0.4</v>
      </c>
      <c r="I41" s="50">
        <v>1</v>
      </c>
      <c r="J41" s="50"/>
      <c r="K41" s="53"/>
      <c r="L41" s="53"/>
      <c r="M41" s="51"/>
      <c r="N41" s="51"/>
      <c r="P41" s="35" t="str">
        <f>IF(Nickels!B42&lt;&gt;" ",Nickels!A41&amp;" "&amp;Nickels!B41,Nickels!A41)</f>
        <v xml:space="preserve">1927 </v>
      </c>
      <c r="V41" s="34">
        <f>MATCH(Nickels!$A41,[6]NickelMintage!A:A,0)</f>
        <v>75</v>
      </c>
      <c r="X41" s="46">
        <f>IF(LEN(B41)&lt;1,A41,A41&amp;" "&amp;B41)</f>
        <v>1927</v>
      </c>
      <c r="Y41" s="35">
        <f>MATCH(X41,[6]WantList!$O$2:$O$2000,0)</f>
        <v>37</v>
      </c>
      <c r="Z41" s="34">
        <f>MATCH(X41,[6]WantListWorkFile!$A$2:$A$244,0)</f>
        <v>41</v>
      </c>
      <c r="AJ41" s="34" t="s">
        <v>417</v>
      </c>
    </row>
    <row r="42" spans="1:36" ht="14.65" customHeight="1">
      <c r="A42" s="40">
        <v>1927</v>
      </c>
      <c r="B42" s="41"/>
      <c r="C42" s="41" t="s">
        <v>1962</v>
      </c>
      <c r="D42" s="42" t="s">
        <v>418</v>
      </c>
      <c r="E42" s="42" t="s">
        <v>397</v>
      </c>
      <c r="F42" s="42" t="s">
        <v>306</v>
      </c>
      <c r="G42" s="43">
        <v>0.75</v>
      </c>
      <c r="H42" s="43">
        <v>1.46</v>
      </c>
      <c r="I42" s="41">
        <v>1</v>
      </c>
      <c r="J42" s="41"/>
      <c r="K42" s="44"/>
      <c r="L42" s="44"/>
      <c r="M42" s="42"/>
      <c r="N42" s="42"/>
      <c r="P42" s="35" t="str">
        <f>IF(Nickels!B43&lt;&gt;" ",Nickels!A42&amp;" "&amp;Nickels!B42,Nickels!A42)</f>
        <v xml:space="preserve">1927 </v>
      </c>
      <c r="V42" s="34">
        <f>MATCH(Nickels!$A42,[6]NickelMintage!A:A,0)</f>
        <v>75</v>
      </c>
      <c r="X42" s="46"/>
      <c r="Y42" s="35"/>
    </row>
    <row r="43" spans="1:36" ht="14.65" customHeight="1">
      <c r="A43" s="49">
        <v>1928</v>
      </c>
      <c r="B43" s="50"/>
      <c r="C43" s="41" t="s">
        <v>1962</v>
      </c>
      <c r="D43" s="51" t="s">
        <v>419</v>
      </c>
      <c r="E43" s="51" t="s">
        <v>397</v>
      </c>
      <c r="F43" s="51" t="s">
        <v>306</v>
      </c>
      <c r="G43" s="52">
        <v>0.05</v>
      </c>
      <c r="H43" s="52">
        <v>0.4</v>
      </c>
      <c r="I43" s="50">
        <v>1</v>
      </c>
      <c r="J43" s="50"/>
      <c r="K43" s="53"/>
      <c r="L43" s="53"/>
      <c r="M43" s="51"/>
      <c r="N43" s="51"/>
      <c r="P43" s="35" t="str">
        <f>IF(Nickels!B44&lt;&gt;" ",Nickels!A43&amp;" "&amp;Nickels!B43,Nickels!A43)</f>
        <v xml:space="preserve">1928 </v>
      </c>
      <c r="V43" s="34">
        <f>MATCH(Nickels!$A43,[6]NickelMintage!A:A,0)</f>
        <v>78</v>
      </c>
      <c r="X43" s="46">
        <f>IF(LEN(B43)&lt;1,A43,A43&amp;" "&amp;B43)</f>
        <v>1928</v>
      </c>
      <c r="Y43" s="35">
        <f>MATCH(X43,[6]WantList!$O$2:$O$2000,0)</f>
        <v>38</v>
      </c>
      <c r="Z43" s="34">
        <f>MATCH(X43,[6]WantListWorkFile!$A$2:$A$244,0)</f>
        <v>44</v>
      </c>
      <c r="AJ43" s="34" t="s">
        <v>420</v>
      </c>
    </row>
    <row r="44" spans="1:36" ht="14.65" customHeight="1">
      <c r="A44" s="49">
        <v>1928</v>
      </c>
      <c r="B44" s="50" t="s">
        <v>12</v>
      </c>
      <c r="C44" s="41" t="s">
        <v>1962</v>
      </c>
      <c r="D44" s="51" t="s">
        <v>421</v>
      </c>
      <c r="E44" s="51" t="s">
        <v>397</v>
      </c>
      <c r="F44" s="51" t="s">
        <v>316</v>
      </c>
      <c r="G44" s="52">
        <v>1</v>
      </c>
      <c r="H44" s="52">
        <v>3</v>
      </c>
      <c r="I44" s="50">
        <v>1</v>
      </c>
      <c r="J44" s="50"/>
      <c r="K44" s="53"/>
      <c r="L44" s="53"/>
      <c r="M44" s="51"/>
      <c r="N44" s="51"/>
      <c r="P44" s="35" t="str">
        <f>IF(Nickels!B45&lt;&gt;" ",Nickels!A44&amp;" "&amp;Nickels!B44,Nickels!A44)</f>
        <v>1928 S</v>
      </c>
      <c r="V44" s="34">
        <f>MATCH(Nickels!$A44,[6]NickelMintage!A:A,0)</f>
        <v>78</v>
      </c>
      <c r="X44" s="46"/>
      <c r="Y44" s="35"/>
    </row>
    <row r="45" spans="1:36" ht="14.65" customHeight="1">
      <c r="A45" s="40">
        <v>1928</v>
      </c>
      <c r="B45" s="41"/>
      <c r="C45" s="41" t="s">
        <v>1962</v>
      </c>
      <c r="D45" s="42" t="s">
        <v>422</v>
      </c>
      <c r="E45" s="42" t="s">
        <v>397</v>
      </c>
      <c r="F45" s="42" t="s">
        <v>316</v>
      </c>
      <c r="G45" s="43">
        <v>1</v>
      </c>
      <c r="H45" s="43">
        <v>1.46</v>
      </c>
      <c r="I45" s="41">
        <v>1</v>
      </c>
      <c r="J45" s="41"/>
      <c r="K45" s="44"/>
      <c r="L45" s="44"/>
      <c r="M45" s="42"/>
      <c r="N45" s="42"/>
      <c r="P45" s="35" t="str">
        <f>IF(Nickels!B46&lt;&gt;" ",Nickels!A45&amp;" "&amp;Nickels!B45,Nickels!A45)</f>
        <v xml:space="preserve">1928 </v>
      </c>
      <c r="V45" s="34">
        <f>MATCH(Nickels!$A45,[6]NickelMintage!A:A,0)</f>
        <v>78</v>
      </c>
      <c r="X45" s="46"/>
      <c r="Y45" s="35"/>
    </row>
    <row r="46" spans="1:36" ht="14.65" customHeight="1">
      <c r="A46" s="40">
        <v>1928</v>
      </c>
      <c r="B46" s="41" t="s">
        <v>13</v>
      </c>
      <c r="C46" s="41" t="s">
        <v>1962</v>
      </c>
      <c r="D46" s="42" t="s">
        <v>423</v>
      </c>
      <c r="E46" s="42" t="s">
        <v>397</v>
      </c>
      <c r="F46" s="42" t="s">
        <v>306</v>
      </c>
      <c r="G46" s="43">
        <v>1</v>
      </c>
      <c r="H46" s="43">
        <v>3</v>
      </c>
      <c r="I46" s="41">
        <v>1</v>
      </c>
      <c r="J46" s="41"/>
      <c r="K46" s="44"/>
      <c r="L46" s="44"/>
      <c r="M46" s="42"/>
      <c r="N46" s="42"/>
      <c r="P46" s="35" t="str">
        <f>IF(Nickels!B47&lt;&gt;" ",Nickels!A46&amp;" "&amp;Nickels!B46,Nickels!A46)</f>
        <v>1928 D</v>
      </c>
      <c r="V46" s="34">
        <f>MATCH(Nickels!$A46,[6]NickelMintage!A:A,0)</f>
        <v>78</v>
      </c>
      <c r="X46" s="46"/>
      <c r="Y46" s="35"/>
    </row>
    <row r="47" spans="1:36" ht="14.65" customHeight="1">
      <c r="A47" s="49">
        <v>1929</v>
      </c>
      <c r="B47" s="50" t="s">
        <v>12</v>
      </c>
      <c r="C47" s="41" t="s">
        <v>1962</v>
      </c>
      <c r="D47" s="51" t="s">
        <v>424</v>
      </c>
      <c r="E47" s="51" t="s">
        <v>397</v>
      </c>
      <c r="F47" s="51" t="s">
        <v>316</v>
      </c>
      <c r="G47" s="52">
        <v>1.5</v>
      </c>
      <c r="H47" s="52">
        <v>1.5</v>
      </c>
      <c r="I47" s="50">
        <v>1</v>
      </c>
      <c r="J47" s="50"/>
      <c r="K47" s="53"/>
      <c r="L47" s="53"/>
      <c r="M47" s="51"/>
      <c r="N47" s="51"/>
      <c r="P47" s="35" t="str">
        <f>IF(Nickels!B48&lt;&gt;" ",Nickels!A47&amp;" "&amp;Nickels!B47,Nickels!A47)</f>
        <v>1929 S</v>
      </c>
      <c r="V47" s="34">
        <f>MATCH(Nickels!$A47,[6]NickelMintage!A:A,0)</f>
        <v>81</v>
      </c>
      <c r="X47" s="46" t="str">
        <f t="shared" ref="X47:X110" si="4">IF(LEN(B47)&lt;1,A47,A47&amp;" "&amp;B47)</f>
        <v>1929 S</v>
      </c>
      <c r="Y47" s="35" t="e">
        <f>MATCH(X47,[6]WantList!$O$2:$O$2000,0)</f>
        <v>#N/A</v>
      </c>
      <c r="Z47" s="34">
        <f>MATCH(X47,[6]WantListWorkFile!$A$2:$A$244,0)</f>
        <v>49</v>
      </c>
      <c r="AJ47" s="34" t="s">
        <v>191</v>
      </c>
    </row>
    <row r="48" spans="1:36" ht="14.65" customHeight="1">
      <c r="A48" s="40">
        <v>1929</v>
      </c>
      <c r="B48" s="41"/>
      <c r="C48" s="41" t="s">
        <v>1962</v>
      </c>
      <c r="D48" s="42" t="s">
        <v>425</v>
      </c>
      <c r="E48" s="42" t="s">
        <v>397</v>
      </c>
      <c r="F48" s="42" t="s">
        <v>316</v>
      </c>
      <c r="G48" s="43">
        <v>1.5</v>
      </c>
      <c r="H48" s="43">
        <v>1.5</v>
      </c>
      <c r="I48" s="41">
        <v>1</v>
      </c>
      <c r="J48" s="41"/>
      <c r="K48" s="44"/>
      <c r="L48" s="44"/>
      <c r="M48" s="42"/>
      <c r="N48" s="42"/>
      <c r="P48" s="35" t="str">
        <f>IF(Nickels!B49&lt;&gt;" ",Nickels!A48&amp;" "&amp;Nickels!B48,Nickels!A48)</f>
        <v xml:space="preserve">1929 </v>
      </c>
      <c r="V48" s="34">
        <f>MATCH(Nickels!$A48,[6]NickelMintage!A:A,0)</f>
        <v>81</v>
      </c>
      <c r="X48" s="46">
        <f t="shared" si="4"/>
        <v>1929</v>
      </c>
      <c r="Y48" s="35">
        <f>MATCH(X48,[6]WantList!$O$2:$O$2000,0)</f>
        <v>40</v>
      </c>
      <c r="Z48" s="34">
        <f>MATCH(X48,[6]WantListWorkFile!$A$2:$A$244,0)</f>
        <v>47</v>
      </c>
      <c r="AJ48" s="34" t="s">
        <v>426</v>
      </c>
    </row>
    <row r="49" spans="1:36" ht="14.65" customHeight="1">
      <c r="A49" s="49">
        <v>1930</v>
      </c>
      <c r="B49" s="50"/>
      <c r="C49" s="41" t="s">
        <v>1962</v>
      </c>
      <c r="D49" s="51" t="s">
        <v>427</v>
      </c>
      <c r="E49" s="51" t="s">
        <v>397</v>
      </c>
      <c r="F49" s="51" t="s">
        <v>306</v>
      </c>
      <c r="G49" s="52">
        <v>0.05</v>
      </c>
      <c r="H49" s="52">
        <v>0.3</v>
      </c>
      <c r="I49" s="50">
        <v>1</v>
      </c>
      <c r="J49" s="50"/>
      <c r="K49" s="53"/>
      <c r="L49" s="53"/>
      <c r="M49" s="51"/>
      <c r="N49" s="51"/>
      <c r="P49" s="35" t="str">
        <f>IF(Nickels!B50&lt;&gt;" ",Nickels!A49&amp;" "&amp;Nickels!B49,Nickels!A49)</f>
        <v xml:space="preserve">1930 </v>
      </c>
      <c r="V49" s="34">
        <f>MATCH(Nickels!$A49,[6]NickelMintage!A:A,0)</f>
        <v>84</v>
      </c>
      <c r="X49" s="46">
        <f t="shared" si="4"/>
        <v>1930</v>
      </c>
      <c r="Y49" s="35">
        <f>MATCH(X49,[6]WantList!$O$2:$O$2000,0)</f>
        <v>41</v>
      </c>
      <c r="Z49" s="34">
        <f>MATCH(X49,[6]WantListWorkFile!$A$2:$A$244,0)</f>
        <v>50</v>
      </c>
      <c r="AJ49" s="34" t="s">
        <v>428</v>
      </c>
    </row>
    <row r="50" spans="1:36" ht="14.65" customHeight="1">
      <c r="A50" s="40">
        <v>1931</v>
      </c>
      <c r="B50" s="41" t="s">
        <v>12</v>
      </c>
      <c r="C50" s="41" t="s">
        <v>1962</v>
      </c>
      <c r="D50" s="42" t="s">
        <v>429</v>
      </c>
      <c r="E50" s="42" t="s">
        <v>397</v>
      </c>
      <c r="F50" s="42" t="s">
        <v>316</v>
      </c>
      <c r="G50" s="43">
        <v>11</v>
      </c>
      <c r="H50" s="43">
        <v>11</v>
      </c>
      <c r="I50" s="41">
        <v>1</v>
      </c>
      <c r="J50" s="41"/>
      <c r="K50" s="44"/>
      <c r="L50" s="44"/>
      <c r="M50" s="42"/>
      <c r="N50" s="42"/>
      <c r="P50" s="35" t="str">
        <f>IF(Nickels!B51&lt;&gt;" ",Nickels!A50&amp;" "&amp;Nickels!B50,Nickels!A50)</f>
        <v>1931 S</v>
      </c>
      <c r="V50" s="34" t="e">
        <f>MATCH(Nickels!$A50,[6]NickelMintage!A:A,0)</f>
        <v>#N/A</v>
      </c>
      <c r="X50" s="46" t="str">
        <f t="shared" si="4"/>
        <v>1931 S</v>
      </c>
      <c r="Y50" s="35" t="e">
        <f>MATCH(X50,[6]WantList!$O$2:$O$2000,0)</f>
        <v>#N/A</v>
      </c>
      <c r="Z50" s="34">
        <f>MATCH(X50,[6]WantListWorkFile!$A$2:$A$244,0)</f>
        <v>52</v>
      </c>
      <c r="AJ50" s="34" t="s">
        <v>39</v>
      </c>
    </row>
    <row r="51" spans="1:36" ht="14.65" customHeight="1">
      <c r="A51" s="49">
        <v>1934</v>
      </c>
      <c r="B51" s="50"/>
      <c r="C51" s="41" t="s">
        <v>1962</v>
      </c>
      <c r="D51" s="51" t="s">
        <v>430</v>
      </c>
      <c r="E51" s="51" t="s">
        <v>397</v>
      </c>
      <c r="F51" s="51" t="s">
        <v>306</v>
      </c>
      <c r="G51" s="52">
        <v>0.05</v>
      </c>
      <c r="H51" s="52">
        <v>0.3</v>
      </c>
      <c r="I51" s="50">
        <v>1</v>
      </c>
      <c r="J51" s="50"/>
      <c r="K51" s="53"/>
      <c r="L51" s="53"/>
      <c r="M51" s="51"/>
      <c r="N51" s="51"/>
      <c r="P51" s="35" t="str">
        <f>IF(Nickels!B52&lt;&gt;" ",Nickels!A51&amp;" "&amp;Nickels!B51,Nickels!A51)</f>
        <v xml:space="preserve">1934 </v>
      </c>
      <c r="V51" s="34">
        <f>MATCH(Nickels!$A51,[6]NickelMintage!A:A,0)</f>
        <v>87</v>
      </c>
      <c r="X51" s="46">
        <f t="shared" si="4"/>
        <v>1934</v>
      </c>
      <c r="Y51" s="35">
        <f>MATCH(X51,[6]WantList!$O$2:$O$2000,0)</f>
        <v>43</v>
      </c>
      <c r="Z51" s="34">
        <f>MATCH(X51,[6]WantListWorkFile!$A$2:$A$244,0)</f>
        <v>53</v>
      </c>
      <c r="AJ51" s="34" t="s">
        <v>431</v>
      </c>
    </row>
    <row r="52" spans="1:36" ht="14.65" customHeight="1">
      <c r="A52" s="40">
        <v>1934</v>
      </c>
      <c r="B52" s="41"/>
      <c r="C52" s="41" t="s">
        <v>1962</v>
      </c>
      <c r="D52" s="42" t="s">
        <v>432</v>
      </c>
      <c r="E52" s="42" t="s">
        <v>397</v>
      </c>
      <c r="F52" s="42" t="s">
        <v>331</v>
      </c>
      <c r="G52" s="43">
        <v>0.05</v>
      </c>
      <c r="H52" s="43">
        <v>0.45</v>
      </c>
      <c r="I52" s="41">
        <v>1</v>
      </c>
      <c r="J52" s="41"/>
      <c r="K52" s="44"/>
      <c r="L52" s="44"/>
      <c r="M52" s="42"/>
      <c r="N52" s="42"/>
      <c r="P52" s="35" t="str">
        <f>IF(Nickels!B53&lt;&gt;" ",Nickels!A52&amp;" "&amp;Nickels!B52,Nickels!A52)</f>
        <v xml:space="preserve">1934 </v>
      </c>
      <c r="V52" s="34">
        <f>MATCH(Nickels!$A52,[6]NickelMintage!A:A,0)</f>
        <v>87</v>
      </c>
      <c r="X52" s="46">
        <f t="shared" si="4"/>
        <v>1934</v>
      </c>
      <c r="Y52" s="35">
        <f>MATCH(X52,[6]WantList!$O$2:$O$2000,0)</f>
        <v>43</v>
      </c>
      <c r="Z52" s="34">
        <f>MATCH(X52,[6]WantListWorkFile!$A$2:$A$244,0)</f>
        <v>53</v>
      </c>
      <c r="AJ52" s="34" t="s">
        <v>431</v>
      </c>
    </row>
    <row r="53" spans="1:36" ht="14.65" customHeight="1">
      <c r="A53" s="49">
        <v>1934</v>
      </c>
      <c r="B53" s="50" t="s">
        <v>13</v>
      </c>
      <c r="C53" s="41" t="s">
        <v>1962</v>
      </c>
      <c r="D53" s="51" t="s">
        <v>433</v>
      </c>
      <c r="E53" s="51" t="s">
        <v>397</v>
      </c>
      <c r="F53" s="51" t="s">
        <v>407</v>
      </c>
      <c r="G53" s="52">
        <v>3</v>
      </c>
      <c r="H53" s="52">
        <v>3</v>
      </c>
      <c r="I53" s="50">
        <v>1</v>
      </c>
      <c r="J53" s="50"/>
      <c r="K53" s="53"/>
      <c r="L53" s="53"/>
      <c r="M53" s="51"/>
      <c r="N53" s="51"/>
      <c r="P53" s="35" t="str">
        <f>IF(Nickels!B54&lt;&gt;" ",Nickels!A53&amp;" "&amp;Nickels!B53,Nickels!A53)</f>
        <v>1934 D</v>
      </c>
      <c r="V53" s="34">
        <f>MATCH(Nickels!$A53,[6]NickelMintage!A:A,0)</f>
        <v>87</v>
      </c>
      <c r="X53" s="46" t="str">
        <f t="shared" si="4"/>
        <v>1934 D</v>
      </c>
      <c r="Y53" s="35" t="e">
        <f>MATCH(X53,[6]WantList!$O$2:$O$2000,0)</f>
        <v>#N/A</v>
      </c>
      <c r="Z53" s="34">
        <f>MATCH(X53,[6]WantListWorkFile!$A$2:$A$244,0)</f>
        <v>54</v>
      </c>
      <c r="AJ53" s="34" t="s">
        <v>204</v>
      </c>
    </row>
    <row r="54" spans="1:36" ht="14.65" customHeight="1">
      <c r="A54" s="40">
        <v>1935</v>
      </c>
      <c r="B54" s="41"/>
      <c r="C54" s="41" t="s">
        <v>1962</v>
      </c>
      <c r="D54" s="42" t="s">
        <v>434</v>
      </c>
      <c r="E54" s="42" t="s">
        <v>397</v>
      </c>
      <c r="F54" s="42" t="s">
        <v>316</v>
      </c>
      <c r="G54" s="43">
        <v>0.05</v>
      </c>
      <c r="H54" s="43">
        <v>0.75</v>
      </c>
      <c r="I54" s="41">
        <v>1</v>
      </c>
      <c r="J54" s="41"/>
      <c r="K54" s="44"/>
      <c r="L54" s="44"/>
      <c r="M54" s="42"/>
      <c r="N54" s="42"/>
      <c r="P54" s="35" t="str">
        <f>IF(Nickels!B55&lt;&gt;" ",Nickels!A54&amp;" "&amp;Nickels!B54,Nickels!A54)</f>
        <v xml:space="preserve">1935 </v>
      </c>
      <c r="V54" s="34">
        <f>MATCH(Nickels!$A54,[6]NickelMintage!A:A,0)</f>
        <v>89</v>
      </c>
      <c r="X54" s="46">
        <f t="shared" si="4"/>
        <v>1935</v>
      </c>
      <c r="Y54" s="35">
        <f>MATCH(X54,[6]WantList!$O$2:$O$2000,0)</f>
        <v>46</v>
      </c>
      <c r="Z54" s="34">
        <f>MATCH(X54,[6]WantListWorkFile!$A$2:$A$244,0)</f>
        <v>55</v>
      </c>
      <c r="AJ54" s="34" t="s">
        <v>435</v>
      </c>
    </row>
    <row r="55" spans="1:36" ht="14.65" customHeight="1">
      <c r="A55" s="49">
        <v>1935</v>
      </c>
      <c r="B55" s="50"/>
      <c r="C55" s="41" t="s">
        <v>1962</v>
      </c>
      <c r="D55" s="51" t="s">
        <v>436</v>
      </c>
      <c r="E55" s="51" t="s">
        <v>397</v>
      </c>
      <c r="F55" s="51"/>
      <c r="G55" s="52">
        <v>0.05</v>
      </c>
      <c r="H55" s="52">
        <v>0.05</v>
      </c>
      <c r="I55" s="50">
        <v>1</v>
      </c>
      <c r="J55" s="50"/>
      <c r="K55" s="53"/>
      <c r="L55" s="53"/>
      <c r="M55" s="51"/>
      <c r="N55" s="51"/>
      <c r="P55" s="35" t="str">
        <f>IF(Nickels!B56&lt;&gt;" ",Nickels!A55&amp;" "&amp;Nickels!B55,Nickels!A55)</f>
        <v xml:space="preserve">1935 </v>
      </c>
      <c r="V55" s="34">
        <f>MATCH(Nickels!$A55,[6]NickelMintage!A:A,0)</f>
        <v>89</v>
      </c>
      <c r="X55" s="46">
        <f t="shared" si="4"/>
        <v>1935</v>
      </c>
      <c r="Y55" s="35">
        <f>MATCH(X55,[6]WantList!$O$2:$O$2000,0)</f>
        <v>46</v>
      </c>
      <c r="Z55" s="34">
        <f>MATCH(X55,[6]WantListWorkFile!$A$2:$A$244,0)</f>
        <v>55</v>
      </c>
      <c r="AJ55" s="34" t="s">
        <v>435</v>
      </c>
    </row>
    <row r="56" spans="1:36" ht="14.65" customHeight="1">
      <c r="A56" s="40">
        <v>1935</v>
      </c>
      <c r="B56" s="41" t="s">
        <v>12</v>
      </c>
      <c r="C56" s="41" t="s">
        <v>1962</v>
      </c>
      <c r="D56" s="42" t="s">
        <v>437</v>
      </c>
      <c r="E56" s="42" t="s">
        <v>397</v>
      </c>
      <c r="F56" s="42" t="s">
        <v>316</v>
      </c>
      <c r="G56" s="43">
        <v>1</v>
      </c>
      <c r="H56" s="43">
        <v>1</v>
      </c>
      <c r="I56" s="41">
        <v>1</v>
      </c>
      <c r="J56" s="41"/>
      <c r="K56" s="44"/>
      <c r="L56" s="44"/>
      <c r="M56" s="42"/>
      <c r="N56" s="42"/>
      <c r="P56" s="35" t="str">
        <f>IF(Nickels!B57&lt;&gt;" ",Nickels!A56&amp;" "&amp;Nickels!B56,Nickels!A56)</f>
        <v>1935 S</v>
      </c>
      <c r="V56" s="34">
        <f>MATCH(Nickels!$A56,[6]NickelMintage!A:A,0)</f>
        <v>89</v>
      </c>
      <c r="X56" s="46" t="str">
        <f t="shared" si="4"/>
        <v>1935 S</v>
      </c>
      <c r="Y56" s="35" t="e">
        <f>MATCH(X56,[6]WantList!$O$2:$O$2000,0)</f>
        <v>#N/A</v>
      </c>
      <c r="Z56" s="34">
        <f>MATCH(X56,[6]WantListWorkFile!$A$2:$A$244,0)</f>
        <v>57</v>
      </c>
      <c r="AJ56" s="34" t="s">
        <v>211</v>
      </c>
    </row>
    <row r="57" spans="1:36" ht="14.65" customHeight="1">
      <c r="A57" s="49">
        <v>1935</v>
      </c>
      <c r="B57" s="50" t="s">
        <v>13</v>
      </c>
      <c r="C57" s="41" t="s">
        <v>1962</v>
      </c>
      <c r="D57" s="51" t="s">
        <v>438</v>
      </c>
      <c r="E57" s="51" t="s">
        <v>397</v>
      </c>
      <c r="F57" s="51" t="s">
        <v>316</v>
      </c>
      <c r="G57" s="52">
        <v>5</v>
      </c>
      <c r="H57" s="52">
        <v>5</v>
      </c>
      <c r="I57" s="50">
        <v>1</v>
      </c>
      <c r="J57" s="50"/>
      <c r="K57" s="53"/>
      <c r="L57" s="53"/>
      <c r="M57" s="51"/>
      <c r="N57" s="51"/>
      <c r="P57" s="35" t="str">
        <f>IF(Nickels!B58&lt;&gt;" ",Nickels!A57&amp;" "&amp;Nickels!B57,Nickels!A57)</f>
        <v>1935 D</v>
      </c>
      <c r="V57" s="34">
        <f>MATCH(Nickels!$A57,[6]NickelMintage!A:A,0)</f>
        <v>89</v>
      </c>
      <c r="X57" s="46" t="str">
        <f t="shared" si="4"/>
        <v>1935 D</v>
      </c>
      <c r="Y57" s="35" t="e">
        <f>MATCH(X57,[6]WantList!$O$2:$O$2000,0)</f>
        <v>#N/A</v>
      </c>
      <c r="Z57" s="34">
        <f>MATCH(X57,[6]WantListWorkFile!$A$2:$A$244,0)</f>
        <v>56</v>
      </c>
      <c r="AJ57" s="34" t="s">
        <v>208</v>
      </c>
    </row>
    <row r="58" spans="1:36" ht="14.65" customHeight="1">
      <c r="A58" s="40">
        <v>1936</v>
      </c>
      <c r="B58" s="41"/>
      <c r="C58" s="41" t="s">
        <v>1962</v>
      </c>
      <c r="D58" s="42" t="s">
        <v>439</v>
      </c>
      <c r="E58" s="42" t="s">
        <v>397</v>
      </c>
      <c r="F58" s="42" t="s">
        <v>306</v>
      </c>
      <c r="G58" s="43">
        <v>0.05</v>
      </c>
      <c r="H58" s="43">
        <v>0.3</v>
      </c>
      <c r="I58" s="41">
        <v>1</v>
      </c>
      <c r="J58" s="41"/>
      <c r="K58" s="44"/>
      <c r="L58" s="44"/>
      <c r="M58" s="42"/>
      <c r="N58" s="42"/>
      <c r="P58" s="35" t="str">
        <f>IF(Nickels!B59&lt;&gt;" ",Nickels!A58&amp;" "&amp;Nickels!B58,Nickels!A58)</f>
        <v xml:space="preserve">1936 </v>
      </c>
      <c r="V58" s="34">
        <f>MATCH(Nickels!$A58,[6]NickelMintage!A:A,0)</f>
        <v>92</v>
      </c>
      <c r="X58" s="46">
        <f t="shared" si="4"/>
        <v>1936</v>
      </c>
      <c r="Y58" s="35">
        <f>MATCH(X58,[6]WantList!$O$2:$O$2000,0)</f>
        <v>50</v>
      </c>
      <c r="Z58" s="34">
        <f>MATCH(X58,[6]WantListWorkFile!$A$2:$A$244,0)</f>
        <v>58</v>
      </c>
      <c r="AJ58" s="34" t="s">
        <v>440</v>
      </c>
    </row>
    <row r="59" spans="1:36" ht="14.65" customHeight="1">
      <c r="A59" s="49">
        <v>1936</v>
      </c>
      <c r="B59" s="50"/>
      <c r="C59" s="41" t="s">
        <v>1962</v>
      </c>
      <c r="D59" s="51" t="s">
        <v>441</v>
      </c>
      <c r="E59" s="51" t="s">
        <v>397</v>
      </c>
      <c r="F59" s="51" t="s">
        <v>306</v>
      </c>
      <c r="G59" s="52">
        <v>0.05</v>
      </c>
      <c r="H59" s="52">
        <v>0.3</v>
      </c>
      <c r="I59" s="50">
        <v>1</v>
      </c>
      <c r="J59" s="50"/>
      <c r="K59" s="53"/>
      <c r="L59" s="53"/>
      <c r="M59" s="51"/>
      <c r="N59" s="51"/>
      <c r="P59" s="35" t="str">
        <f>IF(Nickels!B60&lt;&gt;" ",Nickels!A59&amp;" "&amp;Nickels!B59,Nickels!A59)</f>
        <v xml:space="preserve">1936 </v>
      </c>
      <c r="V59" s="34">
        <f>MATCH(Nickels!$A59,[6]NickelMintage!A:A,0)</f>
        <v>92</v>
      </c>
      <c r="X59" s="46">
        <f t="shared" si="4"/>
        <v>1936</v>
      </c>
      <c r="Y59" s="35">
        <f>MATCH(X59,[6]WantList!$O$2:$O$2000,0)</f>
        <v>50</v>
      </c>
      <c r="Z59" s="34">
        <f>MATCH(X59,[6]WantListWorkFile!$A$2:$A$244,0)</f>
        <v>58</v>
      </c>
      <c r="AJ59" s="34" t="s">
        <v>440</v>
      </c>
    </row>
    <row r="60" spans="1:36" ht="14.65" customHeight="1">
      <c r="A60" s="40">
        <v>1936</v>
      </c>
      <c r="B60" s="41"/>
      <c r="C60" s="41" t="s">
        <v>1962</v>
      </c>
      <c r="D60" s="42" t="s">
        <v>442</v>
      </c>
      <c r="E60" s="42" t="s">
        <v>397</v>
      </c>
      <c r="F60" s="42" t="s">
        <v>316</v>
      </c>
      <c r="G60" s="43">
        <v>0.05</v>
      </c>
      <c r="H60" s="43">
        <v>0.75</v>
      </c>
      <c r="I60" s="41">
        <v>1</v>
      </c>
      <c r="J60" s="41"/>
      <c r="K60" s="44"/>
      <c r="L60" s="44"/>
      <c r="M60" s="42"/>
      <c r="N60" s="42"/>
      <c r="P60" s="35" t="str">
        <f>IF(Nickels!B61&lt;&gt;" ",Nickels!A60&amp;" "&amp;Nickels!B60,Nickels!A60)</f>
        <v xml:space="preserve">1936 </v>
      </c>
      <c r="V60" s="34">
        <f>MATCH(Nickels!$A60,[6]NickelMintage!A:A,0)</f>
        <v>92</v>
      </c>
      <c r="X60" s="46">
        <f t="shared" si="4"/>
        <v>1936</v>
      </c>
      <c r="Y60" s="35">
        <f>MATCH(X60,[6]WantList!$O$2:$O$2000,0)</f>
        <v>50</v>
      </c>
      <c r="Z60" s="34">
        <f>MATCH(X60,[6]WantListWorkFile!$A$2:$A$244,0)</f>
        <v>58</v>
      </c>
      <c r="AJ60" s="34" t="s">
        <v>440</v>
      </c>
    </row>
    <row r="61" spans="1:36" ht="14.65" customHeight="1">
      <c r="A61" s="49">
        <v>1936</v>
      </c>
      <c r="B61" s="50"/>
      <c r="C61" s="41" t="s">
        <v>1962</v>
      </c>
      <c r="D61" s="51" t="s">
        <v>443</v>
      </c>
      <c r="E61" s="51" t="s">
        <v>397</v>
      </c>
      <c r="F61" s="51" t="s">
        <v>306</v>
      </c>
      <c r="G61" s="52">
        <v>0.05</v>
      </c>
      <c r="H61" s="52">
        <v>0.3</v>
      </c>
      <c r="I61" s="50">
        <v>1</v>
      </c>
      <c r="J61" s="50"/>
      <c r="K61" s="53"/>
      <c r="L61" s="53"/>
      <c r="M61" s="51"/>
      <c r="N61" s="51"/>
      <c r="P61" s="35" t="str">
        <f>IF(Nickels!B62&lt;&gt;" ",Nickels!A61&amp;" "&amp;Nickels!B61,Nickels!A61)</f>
        <v xml:space="preserve">1936 </v>
      </c>
      <c r="V61" s="34">
        <f>MATCH(Nickels!$A61,[6]NickelMintage!A:A,0)</f>
        <v>92</v>
      </c>
      <c r="X61" s="46">
        <f t="shared" si="4"/>
        <v>1936</v>
      </c>
      <c r="Y61" s="35">
        <f>MATCH(X61,[6]WantList!$O$2:$O$2000,0)</f>
        <v>50</v>
      </c>
      <c r="Z61" s="34">
        <f>MATCH(X61,[6]WantListWorkFile!$A$2:$A$244,0)</f>
        <v>58</v>
      </c>
      <c r="AJ61" s="34" t="s">
        <v>440</v>
      </c>
    </row>
    <row r="62" spans="1:36" ht="14.65" customHeight="1">
      <c r="A62" s="40">
        <v>1936</v>
      </c>
      <c r="B62" s="41"/>
      <c r="C62" s="41" t="s">
        <v>1962</v>
      </c>
      <c r="D62" s="42" t="s">
        <v>444</v>
      </c>
      <c r="E62" s="42" t="s">
        <v>397</v>
      </c>
      <c r="F62" s="42" t="s">
        <v>10</v>
      </c>
      <c r="G62" s="43">
        <v>0.05</v>
      </c>
      <c r="H62" s="43">
        <v>0.4</v>
      </c>
      <c r="I62" s="41">
        <v>1</v>
      </c>
      <c r="J62" s="41"/>
      <c r="K62" s="44"/>
      <c r="L62" s="44"/>
      <c r="M62" s="42"/>
      <c r="N62" s="42"/>
      <c r="P62" s="35" t="str">
        <f>IF(Nickels!B63&lt;&gt;" ",Nickels!A62&amp;" "&amp;Nickels!B62,Nickels!A62)</f>
        <v xml:space="preserve">1936 </v>
      </c>
      <c r="V62" s="34">
        <f>MATCH(Nickels!$A62,[6]NickelMintage!A:A,0)</f>
        <v>92</v>
      </c>
      <c r="X62" s="46">
        <f t="shared" si="4"/>
        <v>1936</v>
      </c>
      <c r="Y62" s="35">
        <f>MATCH(X62,[6]WantList!$O$2:$O$2000,0)</f>
        <v>50</v>
      </c>
      <c r="Z62" s="34">
        <f>MATCH(X62,[6]WantListWorkFile!$A$2:$A$244,0)</f>
        <v>58</v>
      </c>
      <c r="AJ62" s="34" t="s">
        <v>440</v>
      </c>
    </row>
    <row r="63" spans="1:36" ht="14.65" customHeight="1">
      <c r="A63" s="49">
        <v>1936</v>
      </c>
      <c r="B63" s="50"/>
      <c r="C63" s="41" t="s">
        <v>1962</v>
      </c>
      <c r="D63" s="51" t="s">
        <v>445</v>
      </c>
      <c r="E63" s="51" t="s">
        <v>397</v>
      </c>
      <c r="F63" s="51" t="s">
        <v>331</v>
      </c>
      <c r="G63" s="52">
        <v>0.05</v>
      </c>
      <c r="H63" s="52">
        <v>0.35</v>
      </c>
      <c r="I63" s="50">
        <v>1</v>
      </c>
      <c r="J63" s="50"/>
      <c r="K63" s="53"/>
      <c r="L63" s="53"/>
      <c r="M63" s="51"/>
      <c r="N63" s="51"/>
      <c r="P63" s="35" t="str">
        <f>IF(Nickels!B64&lt;&gt;" ",Nickels!A63&amp;" "&amp;Nickels!B63,Nickels!A63)</f>
        <v xml:space="preserve">1936 </v>
      </c>
      <c r="V63" s="34">
        <f>MATCH(Nickels!$A63,[6]NickelMintage!A:A,0)</f>
        <v>92</v>
      </c>
      <c r="X63" s="46">
        <f t="shared" si="4"/>
        <v>1936</v>
      </c>
      <c r="Y63" s="35">
        <f>MATCH(X63,[6]WantList!$O$2:$O$2000,0)</f>
        <v>50</v>
      </c>
      <c r="Z63" s="34">
        <f>MATCH(X63,[6]WantListWorkFile!$A$2:$A$244,0)</f>
        <v>58</v>
      </c>
      <c r="AJ63" s="34" t="s">
        <v>440</v>
      </c>
    </row>
    <row r="64" spans="1:36" ht="14.65" customHeight="1">
      <c r="A64" s="40">
        <v>1936</v>
      </c>
      <c r="B64" s="41"/>
      <c r="C64" s="41" t="s">
        <v>1962</v>
      </c>
      <c r="D64" s="42" t="s">
        <v>446</v>
      </c>
      <c r="E64" s="42" t="s">
        <v>397</v>
      </c>
      <c r="F64" s="42"/>
      <c r="G64" s="43">
        <v>0</v>
      </c>
      <c r="H64" s="43">
        <v>0</v>
      </c>
      <c r="I64" s="41">
        <v>1</v>
      </c>
      <c r="J64" s="41"/>
      <c r="K64" s="44"/>
      <c r="L64" s="44"/>
      <c r="M64" s="42"/>
      <c r="N64" s="42"/>
      <c r="P64" s="35" t="str">
        <f>IF(Nickels!B65&lt;&gt;" ",Nickels!A64&amp;" "&amp;Nickels!B64,Nickels!A64)</f>
        <v xml:space="preserve">1936 </v>
      </c>
      <c r="V64" s="34">
        <f>MATCH(Nickels!$A64,[6]NickelMintage!A:A,0)</f>
        <v>92</v>
      </c>
      <c r="X64" s="46">
        <f t="shared" si="4"/>
        <v>1936</v>
      </c>
      <c r="Y64" s="35">
        <f>MATCH(X64,[6]WantList!$O$2:$O$2000,0)</f>
        <v>50</v>
      </c>
      <c r="Z64" s="34">
        <f>MATCH(X64,[6]WantListWorkFile!$A$2:$A$244,0)</f>
        <v>58</v>
      </c>
      <c r="AJ64" s="34" t="s">
        <v>440</v>
      </c>
    </row>
    <row r="65" spans="1:36" ht="14.65" customHeight="1">
      <c r="A65" s="49">
        <v>1937</v>
      </c>
      <c r="B65" s="50"/>
      <c r="C65" s="41" t="s">
        <v>1962</v>
      </c>
      <c r="D65" s="51" t="s">
        <v>447</v>
      </c>
      <c r="E65" s="51" t="s">
        <v>397</v>
      </c>
      <c r="F65" s="51" t="s">
        <v>331</v>
      </c>
      <c r="G65" s="52">
        <v>0.05</v>
      </c>
      <c r="H65" s="52">
        <v>0.35</v>
      </c>
      <c r="I65" s="50">
        <v>1</v>
      </c>
      <c r="J65" s="50"/>
      <c r="K65" s="53"/>
      <c r="L65" s="53"/>
      <c r="M65" s="51"/>
      <c r="N65" s="51"/>
      <c r="P65" s="35" t="str">
        <f>IF(Nickels!B66&lt;&gt;" ",Nickels!A65&amp;" "&amp;Nickels!B65,Nickels!A65)</f>
        <v xml:space="preserve">1937 </v>
      </c>
      <c r="V65" s="34">
        <f>MATCH(Nickels!$A65,[6]NickelMintage!A:A,0)</f>
        <v>95</v>
      </c>
      <c r="X65" s="46">
        <f t="shared" si="4"/>
        <v>1937</v>
      </c>
      <c r="Y65" s="35">
        <f>MATCH(X65,[6]WantList!$O$2:$O$2000,0)</f>
        <v>57</v>
      </c>
      <c r="Z65" s="34">
        <f>MATCH(X65,[6]WantListWorkFile!$A$2:$A$244,0)</f>
        <v>61</v>
      </c>
      <c r="AJ65" s="34" t="s">
        <v>448</v>
      </c>
    </row>
    <row r="66" spans="1:36" ht="14.65" customHeight="1">
      <c r="A66" s="40">
        <v>1937</v>
      </c>
      <c r="B66" s="41"/>
      <c r="C66" s="41" t="s">
        <v>1962</v>
      </c>
      <c r="D66" s="42" t="s">
        <v>449</v>
      </c>
      <c r="E66" s="42" t="s">
        <v>397</v>
      </c>
      <c r="F66" s="42" t="s">
        <v>331</v>
      </c>
      <c r="G66" s="43">
        <v>0.05</v>
      </c>
      <c r="H66" s="43">
        <v>0.35</v>
      </c>
      <c r="I66" s="41">
        <v>1</v>
      </c>
      <c r="J66" s="41"/>
      <c r="K66" s="44"/>
      <c r="L66" s="44"/>
      <c r="M66" s="42"/>
      <c r="N66" s="42"/>
      <c r="P66" s="35" t="str">
        <f>IF(Nickels!B67&lt;&gt;" ",Nickels!A66&amp;" "&amp;Nickels!B66,Nickels!A66)</f>
        <v xml:space="preserve">1937 </v>
      </c>
      <c r="V66" s="34">
        <f>MATCH(Nickels!$A66,[6]NickelMintage!A:A,0)</f>
        <v>95</v>
      </c>
      <c r="X66" s="46">
        <f t="shared" si="4"/>
        <v>1937</v>
      </c>
      <c r="Y66" s="35">
        <f>MATCH(X66,[6]WantList!$O$2:$O$2000,0)</f>
        <v>57</v>
      </c>
      <c r="Z66" s="34">
        <f>MATCH(X66,[6]WantListWorkFile!$A$2:$A$244,0)</f>
        <v>61</v>
      </c>
      <c r="AJ66" s="34" t="s">
        <v>448</v>
      </c>
    </row>
    <row r="67" spans="1:36" ht="14.65" customHeight="1">
      <c r="A67" s="49">
        <v>1937</v>
      </c>
      <c r="B67" s="50" t="s">
        <v>13</v>
      </c>
      <c r="C67" s="41" t="s">
        <v>1962</v>
      </c>
      <c r="D67" s="51" t="s">
        <v>450</v>
      </c>
      <c r="E67" s="51" t="s">
        <v>397</v>
      </c>
      <c r="F67" s="51" t="s">
        <v>316</v>
      </c>
      <c r="G67" s="52">
        <v>0.05</v>
      </c>
      <c r="H67" s="52">
        <v>0.5</v>
      </c>
      <c r="I67" s="50">
        <v>1</v>
      </c>
      <c r="J67" s="50"/>
      <c r="K67" s="53"/>
      <c r="L67" s="53"/>
      <c r="M67" s="51"/>
      <c r="N67" s="51"/>
      <c r="P67" s="35" t="str">
        <f>IF(Nickels!B68&lt;&gt;" ",Nickels!A67&amp;" "&amp;Nickels!B67,Nickels!A67)</f>
        <v>1937 D</v>
      </c>
      <c r="V67" s="34">
        <f>MATCH(Nickels!$A67,[6]NickelMintage!A:A,0)</f>
        <v>95</v>
      </c>
      <c r="X67" s="46" t="str">
        <f t="shared" si="4"/>
        <v>1937 D</v>
      </c>
      <c r="Y67" s="35" t="e">
        <f>MATCH(X67,[6]WantList!$O$2:$O$2000,0)</f>
        <v>#N/A</v>
      </c>
      <c r="Z67" s="34">
        <f>MATCH(X67,[6]WantListWorkFile!$A$2:$A$244,0)</f>
        <v>62</v>
      </c>
      <c r="AJ67" s="34" t="s">
        <v>451</v>
      </c>
    </row>
    <row r="68" spans="1:36" ht="14.65" customHeight="1">
      <c r="A68" s="40">
        <v>1938</v>
      </c>
      <c r="B68" s="41" t="s">
        <v>13</v>
      </c>
      <c r="C68" s="41" t="s">
        <v>1962</v>
      </c>
      <c r="D68" s="42" t="s">
        <v>452</v>
      </c>
      <c r="E68" s="42" t="s">
        <v>397</v>
      </c>
      <c r="F68" s="42" t="s">
        <v>407</v>
      </c>
      <c r="G68" s="43">
        <v>3</v>
      </c>
      <c r="H68" s="43">
        <v>3</v>
      </c>
      <c r="I68" s="41">
        <v>1</v>
      </c>
      <c r="J68" s="41"/>
      <c r="K68" s="44"/>
      <c r="L68" s="44"/>
      <c r="M68" s="42"/>
      <c r="N68" s="42"/>
      <c r="P68" s="35" t="str">
        <f>IF(Nickels!B69&lt;&gt;" ",Nickels!A68&amp;" "&amp;Nickels!B68,Nickels!A68)</f>
        <v>1938 D</v>
      </c>
      <c r="V68" s="34">
        <f>MATCH(Nickels!$A68,[6]NickelMintage!A:A,0)</f>
        <v>99</v>
      </c>
      <c r="X68" s="46" t="str">
        <f t="shared" si="4"/>
        <v>1938 D</v>
      </c>
      <c r="Y68" s="35" t="e">
        <f>MATCH(X68,[6]WantList!$O$2:$O$2000,0)</f>
        <v>#N/A</v>
      </c>
      <c r="Z68" s="34">
        <f>MATCH(X68,[6]WantListWorkFile!$A$2:$A$244,0)</f>
        <v>65</v>
      </c>
      <c r="AJ68" s="34" t="s">
        <v>224</v>
      </c>
    </row>
    <row r="69" spans="1:36" ht="14.65" customHeight="1">
      <c r="A69" s="49">
        <v>1939</v>
      </c>
      <c r="B69" s="50"/>
      <c r="C69" s="41" t="s">
        <v>1962</v>
      </c>
      <c r="D69" s="51" t="s">
        <v>453</v>
      </c>
      <c r="E69" s="51" t="s">
        <v>454</v>
      </c>
      <c r="F69" s="51" t="s">
        <v>316</v>
      </c>
      <c r="G69" s="52">
        <v>0.05</v>
      </c>
      <c r="H69" s="52">
        <v>0.35</v>
      </c>
      <c r="I69" s="50">
        <v>1</v>
      </c>
      <c r="J69" s="50"/>
      <c r="K69" s="53"/>
      <c r="L69" s="53"/>
      <c r="M69" s="51"/>
      <c r="N69" s="51"/>
      <c r="P69" s="35" t="str">
        <f>IF(Nickels!B70&lt;&gt;" ",Nickels!A69&amp;" "&amp;Nickels!B69,Nickels!A69)</f>
        <v xml:space="preserve">1939 </v>
      </c>
      <c r="V69" s="34">
        <f>MATCH(Nickels!$A69,[6]NickelMintage!A:A,0)</f>
        <v>102</v>
      </c>
      <c r="X69" s="46">
        <f t="shared" si="4"/>
        <v>1939</v>
      </c>
      <c r="Y69" s="35">
        <f>MATCH(X69,[6]WantList!$O$2:$O$2000,0)</f>
        <v>61</v>
      </c>
      <c r="Z69" s="34">
        <f>MATCH(X69,[6]WantListWorkFile!$A$2:$A$244,0)</f>
        <v>67</v>
      </c>
      <c r="AJ69" s="34" t="s">
        <v>455</v>
      </c>
    </row>
    <row r="70" spans="1:36" ht="14.65" customHeight="1">
      <c r="A70" s="40">
        <v>1939</v>
      </c>
      <c r="B70" s="41"/>
      <c r="C70" s="41" t="s">
        <v>1962</v>
      </c>
      <c r="D70" s="42" t="s">
        <v>456</v>
      </c>
      <c r="E70" s="42" t="s">
        <v>454</v>
      </c>
      <c r="F70" s="42" t="s">
        <v>10</v>
      </c>
      <c r="G70" s="43">
        <v>0.05</v>
      </c>
      <c r="H70" s="43">
        <v>0.25</v>
      </c>
      <c r="I70" s="41">
        <v>1</v>
      </c>
      <c r="J70" s="41"/>
      <c r="K70" s="44"/>
      <c r="L70" s="44"/>
      <c r="M70" s="42"/>
      <c r="N70" s="42"/>
      <c r="P70" s="35" t="str">
        <f>IF(Nickels!B71&lt;&gt;" ",Nickels!A70&amp;" "&amp;Nickels!B70,Nickels!A70)</f>
        <v xml:space="preserve">1939 </v>
      </c>
      <c r="V70" s="34">
        <f>MATCH(Nickels!$A70,[6]NickelMintage!A:A,0)</f>
        <v>102</v>
      </c>
      <c r="X70" s="46">
        <f t="shared" si="4"/>
        <v>1939</v>
      </c>
      <c r="Y70" s="35">
        <f>MATCH(X70,[6]WantList!$O$2:$O$2000,0)</f>
        <v>61</v>
      </c>
      <c r="Z70" s="34">
        <f>MATCH(X70,[6]WantListWorkFile!$A$2:$A$244,0)</f>
        <v>67</v>
      </c>
      <c r="AJ70" s="34" t="s">
        <v>455</v>
      </c>
    </row>
    <row r="71" spans="1:36" ht="14.65" customHeight="1">
      <c r="A71" s="49">
        <v>1940</v>
      </c>
      <c r="B71" s="50"/>
      <c r="C71" s="41" t="s">
        <v>1962</v>
      </c>
      <c r="D71" s="51" t="s">
        <v>457</v>
      </c>
      <c r="E71" s="51" t="s">
        <v>454</v>
      </c>
      <c r="F71" s="51" t="s">
        <v>10</v>
      </c>
      <c r="G71" s="52">
        <v>0.05</v>
      </c>
      <c r="H71" s="52">
        <v>0</v>
      </c>
      <c r="I71" s="50">
        <v>1</v>
      </c>
      <c r="J71" s="50"/>
      <c r="K71" s="53"/>
      <c r="L71" s="53"/>
      <c r="M71" s="51"/>
      <c r="N71" s="51"/>
      <c r="P71" s="35" t="str">
        <f>IF(Nickels!B72&lt;&gt;" ",Nickels!A71&amp;" "&amp;Nickels!B71,Nickels!A71)</f>
        <v xml:space="preserve">1940 </v>
      </c>
      <c r="V71" s="34">
        <f>MATCH(Nickels!$A71,[6]NickelMintage!A:A,0)</f>
        <v>105</v>
      </c>
      <c r="X71" s="46">
        <f t="shared" si="4"/>
        <v>1940</v>
      </c>
      <c r="Y71" s="35">
        <f>MATCH(X71,[6]WantList!$O$2:$O$2000,0)</f>
        <v>63</v>
      </c>
      <c r="Z71" s="34">
        <f>MATCH(X71,[6]WantListWorkFile!$A$2:$A$244,0)</f>
        <v>70</v>
      </c>
      <c r="AJ71" s="34" t="s">
        <v>458</v>
      </c>
    </row>
    <row r="72" spans="1:36" ht="14.65" customHeight="1">
      <c r="A72" s="40">
        <v>1940</v>
      </c>
      <c r="B72" s="41"/>
      <c r="C72" s="41" t="s">
        <v>1962</v>
      </c>
      <c r="D72" s="42" t="s">
        <v>459</v>
      </c>
      <c r="E72" s="42" t="s">
        <v>454</v>
      </c>
      <c r="F72" s="42" t="s">
        <v>331</v>
      </c>
      <c r="G72" s="43">
        <v>0.05</v>
      </c>
      <c r="H72" s="43">
        <v>0</v>
      </c>
      <c r="I72" s="41">
        <v>1</v>
      </c>
      <c r="J72" s="41"/>
      <c r="K72" s="44"/>
      <c r="L72" s="44"/>
      <c r="M72" s="42"/>
      <c r="N72" s="42"/>
      <c r="P72" s="35" t="str">
        <f>IF(Nickels!B73&lt;&gt;" ",Nickels!A72&amp;" "&amp;Nickels!B72,Nickels!A72)</f>
        <v xml:space="preserve">1940 </v>
      </c>
      <c r="V72" s="34">
        <f>MATCH(Nickels!$A72,[6]NickelMintage!A:A,0)</f>
        <v>105</v>
      </c>
      <c r="X72" s="46">
        <f t="shared" si="4"/>
        <v>1940</v>
      </c>
      <c r="Y72" s="35">
        <f>MATCH(X72,[6]WantList!$O$2:$O$2000,0)</f>
        <v>63</v>
      </c>
      <c r="Z72" s="34">
        <f>MATCH(X72,[6]WantListWorkFile!$A$2:$A$244,0)</f>
        <v>70</v>
      </c>
      <c r="AJ72" s="34" t="s">
        <v>458</v>
      </c>
    </row>
    <row r="73" spans="1:36" ht="14.65" customHeight="1">
      <c r="A73" s="49">
        <v>1940</v>
      </c>
      <c r="B73" s="50"/>
      <c r="C73" s="41" t="s">
        <v>1962</v>
      </c>
      <c r="D73" s="51" t="s">
        <v>460</v>
      </c>
      <c r="E73" s="51" t="s">
        <v>454</v>
      </c>
      <c r="F73" s="51" t="s">
        <v>306</v>
      </c>
      <c r="G73" s="52">
        <v>0.05</v>
      </c>
      <c r="H73" s="52">
        <v>0</v>
      </c>
      <c r="I73" s="50">
        <v>1</v>
      </c>
      <c r="J73" s="50"/>
      <c r="K73" s="53"/>
      <c r="L73" s="53"/>
      <c r="M73" s="51"/>
      <c r="N73" s="51"/>
      <c r="P73" s="35" t="str">
        <f>IF(Nickels!B74&lt;&gt;" ",Nickels!A73&amp;" "&amp;Nickels!B73,Nickels!A73)</f>
        <v xml:space="preserve">1940 </v>
      </c>
      <c r="V73" s="34">
        <f>MATCH(Nickels!$A73,[6]NickelMintage!A:A,0)</f>
        <v>105</v>
      </c>
      <c r="X73" s="46">
        <f t="shared" si="4"/>
        <v>1940</v>
      </c>
      <c r="Y73" s="35">
        <f>MATCH(X73,[6]WantList!$O$2:$O$2000,0)</f>
        <v>63</v>
      </c>
      <c r="Z73" s="34">
        <f>MATCH(X73,[6]WantListWorkFile!$A$2:$A$244,0)</f>
        <v>70</v>
      </c>
      <c r="AJ73" s="34" t="s">
        <v>458</v>
      </c>
    </row>
    <row r="74" spans="1:36" ht="14.65" customHeight="1">
      <c r="A74" s="40">
        <v>1940</v>
      </c>
      <c r="B74" s="41"/>
      <c r="C74" s="41" t="s">
        <v>1962</v>
      </c>
      <c r="D74" s="42" t="s">
        <v>461</v>
      </c>
      <c r="E74" s="42" t="s">
        <v>454</v>
      </c>
      <c r="F74" s="42" t="s">
        <v>306</v>
      </c>
      <c r="G74" s="43">
        <v>0.05</v>
      </c>
      <c r="H74" s="43">
        <v>0</v>
      </c>
      <c r="I74" s="41">
        <v>1</v>
      </c>
      <c r="J74" s="41"/>
      <c r="K74" s="44"/>
      <c r="L74" s="44"/>
      <c r="M74" s="42"/>
      <c r="N74" s="42"/>
      <c r="P74" s="35" t="str">
        <f>IF(Nickels!B75&lt;&gt;" ",Nickels!A74&amp;" "&amp;Nickels!B74,Nickels!A74)</f>
        <v xml:space="preserve">1940 </v>
      </c>
      <c r="V74" s="34">
        <f>MATCH(Nickels!$A74,[6]NickelMintage!A:A,0)</f>
        <v>105</v>
      </c>
      <c r="X74" s="46">
        <f t="shared" si="4"/>
        <v>1940</v>
      </c>
      <c r="Y74" s="35">
        <f>MATCH(X74,[6]WantList!$O$2:$O$2000,0)</f>
        <v>63</v>
      </c>
      <c r="Z74" s="34">
        <f>MATCH(X74,[6]WantListWorkFile!$A$2:$A$244,0)</f>
        <v>70</v>
      </c>
      <c r="AJ74" s="34" t="s">
        <v>458</v>
      </c>
    </row>
    <row r="75" spans="1:36" ht="14.65" customHeight="1">
      <c r="A75" s="49">
        <v>1940</v>
      </c>
      <c r="B75" s="50"/>
      <c r="C75" s="41" t="s">
        <v>1962</v>
      </c>
      <c r="D75" s="51" t="s">
        <v>462</v>
      </c>
      <c r="E75" s="51" t="s">
        <v>454</v>
      </c>
      <c r="F75" s="51" t="s">
        <v>463</v>
      </c>
      <c r="G75" s="52">
        <v>0.05</v>
      </c>
      <c r="H75" s="52">
        <v>0</v>
      </c>
      <c r="I75" s="50">
        <v>1</v>
      </c>
      <c r="J75" s="50"/>
      <c r="K75" s="53"/>
      <c r="L75" s="53"/>
      <c r="M75" s="51"/>
      <c r="N75" s="51"/>
      <c r="P75" s="35" t="str">
        <f>IF(Nickels!B76&lt;&gt;" ",Nickels!A75&amp;" "&amp;Nickels!B75,Nickels!A75)</f>
        <v xml:space="preserve">1940 </v>
      </c>
      <c r="V75" s="34">
        <f>MATCH(Nickels!$A75,[6]NickelMintage!A:A,0)</f>
        <v>105</v>
      </c>
      <c r="X75" s="46">
        <f t="shared" si="4"/>
        <v>1940</v>
      </c>
      <c r="Y75" s="35">
        <f>MATCH(X75,[6]WantList!$O$2:$O$2000,0)</f>
        <v>63</v>
      </c>
      <c r="Z75" s="34">
        <f>MATCH(X75,[6]WantListWorkFile!$A$2:$A$244,0)</f>
        <v>70</v>
      </c>
      <c r="AJ75" s="34" t="s">
        <v>458</v>
      </c>
    </row>
    <row r="76" spans="1:36" ht="14.65" customHeight="1">
      <c r="A76" s="40">
        <v>1940</v>
      </c>
      <c r="B76" s="41"/>
      <c r="C76" s="41" t="s">
        <v>1962</v>
      </c>
      <c r="D76" s="42" t="s">
        <v>464</v>
      </c>
      <c r="E76" s="42" t="s">
        <v>454</v>
      </c>
      <c r="F76" s="42" t="s">
        <v>10</v>
      </c>
      <c r="G76" s="43">
        <v>0.05</v>
      </c>
      <c r="H76" s="43">
        <v>0</v>
      </c>
      <c r="I76" s="41">
        <v>1</v>
      </c>
      <c r="J76" s="41"/>
      <c r="K76" s="44"/>
      <c r="L76" s="44"/>
      <c r="M76" s="42"/>
      <c r="N76" s="42"/>
      <c r="P76" s="35" t="str">
        <f>IF(Nickels!B77&lt;&gt;" ",Nickels!A76&amp;" "&amp;Nickels!B76,Nickels!A76)</f>
        <v xml:space="preserve">1940 </v>
      </c>
      <c r="V76" s="34">
        <f>MATCH(Nickels!$A76,[6]NickelMintage!A:A,0)</f>
        <v>105</v>
      </c>
      <c r="X76" s="46">
        <f t="shared" si="4"/>
        <v>1940</v>
      </c>
      <c r="Y76" s="35">
        <f>MATCH(X76,[6]WantList!$O$2:$O$2000,0)</f>
        <v>63</v>
      </c>
      <c r="Z76" s="34">
        <f>MATCH(X76,[6]WantListWorkFile!$A$2:$A$244,0)</f>
        <v>70</v>
      </c>
      <c r="AJ76" s="34" t="s">
        <v>458</v>
      </c>
    </row>
    <row r="77" spans="1:36" ht="14.65" customHeight="1">
      <c r="A77" s="49">
        <v>1940</v>
      </c>
      <c r="B77" s="50" t="s">
        <v>13</v>
      </c>
      <c r="C77" s="41" t="s">
        <v>1962</v>
      </c>
      <c r="D77" s="51" t="s">
        <v>465</v>
      </c>
      <c r="E77" s="51" t="s">
        <v>454</v>
      </c>
      <c r="F77" s="51" t="s">
        <v>306</v>
      </c>
      <c r="G77" s="52">
        <v>0.05</v>
      </c>
      <c r="H77" s="52">
        <v>0</v>
      </c>
      <c r="I77" s="50">
        <v>1</v>
      </c>
      <c r="J77" s="50"/>
      <c r="K77" s="53"/>
      <c r="L77" s="53"/>
      <c r="M77" s="51"/>
      <c r="N77" s="51"/>
      <c r="P77" s="35" t="str">
        <f>IF(Nickels!B78&lt;&gt;" ",Nickels!A77&amp;" "&amp;Nickels!B77,Nickels!A77)</f>
        <v>1940 D</v>
      </c>
      <c r="V77" s="34">
        <f>MATCH(Nickels!$A77,[6]NickelMintage!A:A,0)</f>
        <v>105</v>
      </c>
      <c r="X77" s="46" t="str">
        <f t="shared" si="4"/>
        <v>1940 D</v>
      </c>
      <c r="Y77" s="35" t="e">
        <f>MATCH(X77,[6]WantList!$O$2:$O$2000,0)</f>
        <v>#N/A</v>
      </c>
      <c r="Z77" s="34">
        <f>MATCH(X77,[6]WantListWorkFile!$A$2:$A$244,0)</f>
        <v>71</v>
      </c>
      <c r="AJ77" s="34" t="s">
        <v>466</v>
      </c>
    </row>
    <row r="78" spans="1:36" ht="14.65" customHeight="1">
      <c r="A78" s="40">
        <v>1940</v>
      </c>
      <c r="B78" s="41"/>
      <c r="C78" s="41" t="s">
        <v>1962</v>
      </c>
      <c r="D78" s="42" t="s">
        <v>467</v>
      </c>
      <c r="E78" s="42" t="s">
        <v>454</v>
      </c>
      <c r="F78" s="42" t="s">
        <v>10</v>
      </c>
      <c r="G78" s="43">
        <v>0.05</v>
      </c>
      <c r="H78" s="43">
        <v>0.05</v>
      </c>
      <c r="I78" s="41">
        <v>1</v>
      </c>
      <c r="J78" s="41"/>
      <c r="K78" s="44"/>
      <c r="L78" s="44"/>
      <c r="M78" s="42"/>
      <c r="N78" s="42"/>
      <c r="P78" s="35" t="str">
        <f>IF(Nickels!B79&lt;&gt;" ",Nickels!A78&amp;" "&amp;Nickels!B78,Nickels!A78)</f>
        <v xml:space="preserve">1940 </v>
      </c>
      <c r="V78" s="34">
        <f>MATCH(Nickels!$A78,[6]NickelMintage!A:A,0)</f>
        <v>105</v>
      </c>
      <c r="X78" s="46">
        <f t="shared" si="4"/>
        <v>1940</v>
      </c>
      <c r="Y78" s="35">
        <f>MATCH(X78,[6]WantList!$O$2:$O$2000,0)</f>
        <v>63</v>
      </c>
      <c r="Z78" s="34">
        <f>MATCH(X78,[6]WantListWorkFile!$A$2:$A$244,0)</f>
        <v>70</v>
      </c>
      <c r="AJ78" s="34" t="s">
        <v>458</v>
      </c>
    </row>
    <row r="79" spans="1:36" ht="14.65" customHeight="1">
      <c r="A79" s="49">
        <v>1941</v>
      </c>
      <c r="B79" s="50"/>
      <c r="C79" s="41" t="s">
        <v>1962</v>
      </c>
      <c r="D79" s="51" t="s">
        <v>468</v>
      </c>
      <c r="E79" s="51" t="s">
        <v>454</v>
      </c>
      <c r="F79" s="51" t="s">
        <v>331</v>
      </c>
      <c r="G79" s="52">
        <v>0.05</v>
      </c>
      <c r="H79" s="52">
        <v>0</v>
      </c>
      <c r="I79" s="50">
        <v>1</v>
      </c>
      <c r="J79" s="50"/>
      <c r="K79" s="53"/>
      <c r="L79" s="53"/>
      <c r="M79" s="51"/>
      <c r="N79" s="51"/>
      <c r="P79" s="35" t="str">
        <f>IF(Nickels!B80&lt;&gt;" ",Nickels!A79&amp;" "&amp;Nickels!B79,Nickels!A79)</f>
        <v xml:space="preserve">1941 </v>
      </c>
      <c r="V79" s="34">
        <f>MATCH(Nickels!$A79,[6]NickelMintage!A:A,0)</f>
        <v>108</v>
      </c>
      <c r="X79" s="46">
        <f t="shared" si="4"/>
        <v>1941</v>
      </c>
      <c r="Y79" s="35">
        <f>MATCH(X79,[6]WantList!$O$2:$O$2000,0)</f>
        <v>71</v>
      </c>
      <c r="Z79" s="34">
        <f>MATCH(X79,[6]WantListWorkFile!$A$2:$A$244,0)</f>
        <v>73</v>
      </c>
      <c r="AJ79" s="34" t="s">
        <v>469</v>
      </c>
    </row>
    <row r="80" spans="1:36" ht="14.65" customHeight="1">
      <c r="A80" s="40">
        <v>1941</v>
      </c>
      <c r="B80" s="41"/>
      <c r="C80" s="41" t="s">
        <v>1962</v>
      </c>
      <c r="D80" s="42" t="s">
        <v>470</v>
      </c>
      <c r="E80" s="42" t="s">
        <v>454</v>
      </c>
      <c r="F80" s="42" t="s">
        <v>331</v>
      </c>
      <c r="G80" s="43">
        <v>0.05</v>
      </c>
      <c r="H80" s="43">
        <v>0</v>
      </c>
      <c r="I80" s="41">
        <v>1</v>
      </c>
      <c r="J80" s="41"/>
      <c r="K80" s="44"/>
      <c r="L80" s="44"/>
      <c r="M80" s="42"/>
      <c r="N80" s="42"/>
      <c r="P80" s="35" t="str">
        <f>IF(Nickels!B81&lt;&gt;" ",Nickels!A80&amp;" "&amp;Nickels!B80,Nickels!A80)</f>
        <v xml:space="preserve">1941 </v>
      </c>
      <c r="V80" s="34">
        <f>MATCH(Nickels!$A80,[6]NickelMintage!A:A,0)</f>
        <v>108</v>
      </c>
      <c r="X80" s="46">
        <f t="shared" si="4"/>
        <v>1941</v>
      </c>
      <c r="Y80" s="35">
        <f>MATCH(X80,[6]WantList!$O$2:$O$2000,0)</f>
        <v>71</v>
      </c>
      <c r="Z80" s="34">
        <f>MATCH(X80,[6]WantListWorkFile!$A$2:$A$244,0)</f>
        <v>73</v>
      </c>
      <c r="AJ80" s="34" t="s">
        <v>469</v>
      </c>
    </row>
    <row r="81" spans="1:36" ht="14.65" customHeight="1">
      <c r="A81" s="49">
        <v>1941</v>
      </c>
      <c r="B81" s="50"/>
      <c r="C81" s="41" t="s">
        <v>1962</v>
      </c>
      <c r="D81" s="51" t="s">
        <v>471</v>
      </c>
      <c r="E81" s="51" t="s">
        <v>454</v>
      </c>
      <c r="F81" s="51" t="s">
        <v>331</v>
      </c>
      <c r="G81" s="52">
        <v>0.05</v>
      </c>
      <c r="H81" s="52">
        <v>0</v>
      </c>
      <c r="I81" s="50">
        <v>1</v>
      </c>
      <c r="J81" s="50"/>
      <c r="K81" s="53"/>
      <c r="L81" s="53"/>
      <c r="M81" s="51"/>
      <c r="N81" s="51"/>
      <c r="P81" s="35" t="str">
        <f>IF(Nickels!B82&lt;&gt;" ",Nickels!A81&amp;" "&amp;Nickels!B81,Nickels!A81)</f>
        <v xml:space="preserve">1941 </v>
      </c>
      <c r="V81" s="34">
        <f>MATCH(Nickels!$A81,[6]NickelMintage!A:A,0)</f>
        <v>108</v>
      </c>
      <c r="X81" s="46">
        <f t="shared" si="4"/>
        <v>1941</v>
      </c>
      <c r="Y81" s="35">
        <f>MATCH(X81,[6]WantList!$O$2:$O$2000,0)</f>
        <v>71</v>
      </c>
      <c r="Z81" s="34">
        <f>MATCH(X81,[6]WantListWorkFile!$A$2:$A$244,0)</f>
        <v>73</v>
      </c>
      <c r="AJ81" s="34" t="s">
        <v>469</v>
      </c>
    </row>
    <row r="82" spans="1:36" ht="14.65" customHeight="1">
      <c r="A82" s="40">
        <v>1941</v>
      </c>
      <c r="B82" s="41"/>
      <c r="C82" s="41" t="s">
        <v>1962</v>
      </c>
      <c r="D82" s="42" t="s">
        <v>472</v>
      </c>
      <c r="E82" s="42" t="s">
        <v>454</v>
      </c>
      <c r="F82" s="42" t="s">
        <v>473</v>
      </c>
      <c r="G82" s="43">
        <v>0.05</v>
      </c>
      <c r="H82" s="43">
        <v>0</v>
      </c>
      <c r="I82" s="41">
        <v>1</v>
      </c>
      <c r="J82" s="41"/>
      <c r="K82" s="44"/>
      <c r="L82" s="44"/>
      <c r="M82" s="42"/>
      <c r="N82" s="42"/>
      <c r="P82" s="35" t="str">
        <f>IF(Nickels!B83&lt;&gt;" ",Nickels!A82&amp;" "&amp;Nickels!B82,Nickels!A82)</f>
        <v xml:space="preserve">1941 </v>
      </c>
      <c r="V82" s="34">
        <f>MATCH(Nickels!$A82,[6]NickelMintage!A:A,0)</f>
        <v>108</v>
      </c>
      <c r="X82" s="46">
        <f t="shared" si="4"/>
        <v>1941</v>
      </c>
      <c r="Y82" s="35">
        <f>MATCH(X82,[6]WantList!$O$2:$O$2000,0)</f>
        <v>71</v>
      </c>
      <c r="Z82" s="34">
        <f>MATCH(X82,[6]WantListWorkFile!$A$2:$A$244,0)</f>
        <v>73</v>
      </c>
      <c r="AJ82" s="34" t="s">
        <v>469</v>
      </c>
    </row>
    <row r="83" spans="1:36" ht="14.65" customHeight="1">
      <c r="A83" s="49">
        <v>1941</v>
      </c>
      <c r="B83" s="50" t="s">
        <v>13</v>
      </c>
      <c r="C83" s="41" t="s">
        <v>1962</v>
      </c>
      <c r="D83" s="51" t="s">
        <v>474</v>
      </c>
      <c r="E83" s="51" t="s">
        <v>454</v>
      </c>
      <c r="F83" s="51" t="s">
        <v>473</v>
      </c>
      <c r="G83" s="52">
        <v>0.05</v>
      </c>
      <c r="H83" s="52">
        <v>0</v>
      </c>
      <c r="I83" s="50">
        <v>1</v>
      </c>
      <c r="J83" s="50"/>
      <c r="K83" s="53"/>
      <c r="L83" s="53"/>
      <c r="M83" s="51"/>
      <c r="N83" s="51"/>
      <c r="P83" s="35" t="str">
        <f>IF(Nickels!B84&lt;&gt;" ",Nickels!A83&amp;" "&amp;Nickels!B83,Nickels!A83)</f>
        <v>1941 D</v>
      </c>
      <c r="V83" s="34">
        <f>MATCH(Nickels!$A83,[6]NickelMintage!A:A,0)</f>
        <v>108</v>
      </c>
      <c r="X83" s="46" t="str">
        <f t="shared" si="4"/>
        <v>1941 D</v>
      </c>
      <c r="Y83" s="35" t="e">
        <f>MATCH(X83,[6]WantList!$O$2:$O$2000,0)</f>
        <v>#N/A</v>
      </c>
      <c r="Z83" s="34">
        <f>MATCH(X83,[6]WantListWorkFile!$A$2:$A$244,0)</f>
        <v>74</v>
      </c>
      <c r="AJ83" s="34" t="s">
        <v>475</v>
      </c>
    </row>
    <row r="84" spans="1:36" ht="14.65" customHeight="1">
      <c r="A84" s="40">
        <v>1941</v>
      </c>
      <c r="B84" s="41"/>
      <c r="C84" s="41" t="s">
        <v>1962</v>
      </c>
      <c r="D84" s="42" t="s">
        <v>476</v>
      </c>
      <c r="E84" s="42" t="s">
        <v>454</v>
      </c>
      <c r="F84" s="42"/>
      <c r="G84" s="43">
        <v>0.05</v>
      </c>
      <c r="H84" s="43">
        <v>0.05</v>
      </c>
      <c r="I84" s="41">
        <v>1</v>
      </c>
      <c r="J84" s="41"/>
      <c r="K84" s="44"/>
      <c r="L84" s="44"/>
      <c r="M84" s="42"/>
      <c r="N84" s="42"/>
      <c r="P84" s="35" t="str">
        <f>IF(Nickels!B85&lt;&gt;" ",Nickels!A84&amp;" "&amp;Nickels!B84,Nickels!A84)</f>
        <v xml:space="preserve">1941 </v>
      </c>
      <c r="V84" s="34">
        <f>MATCH(Nickels!$A84,[6]NickelMintage!A:A,0)</f>
        <v>108</v>
      </c>
      <c r="X84" s="46">
        <f t="shared" si="4"/>
        <v>1941</v>
      </c>
      <c r="Y84" s="35">
        <f>MATCH(X84,[6]WantList!$O$2:$O$2000,0)</f>
        <v>71</v>
      </c>
      <c r="Z84" s="34">
        <f>MATCH(X84,[6]WantListWorkFile!$A$2:$A$244,0)</f>
        <v>73</v>
      </c>
      <c r="AJ84" s="34" t="s">
        <v>469</v>
      </c>
    </row>
    <row r="85" spans="1:36" ht="14.65" customHeight="1">
      <c r="A85" s="49">
        <v>1943</v>
      </c>
      <c r="B85" s="50" t="s">
        <v>25</v>
      </c>
      <c r="C85" s="41" t="s">
        <v>1962</v>
      </c>
      <c r="D85" s="51" t="s">
        <v>477</v>
      </c>
      <c r="E85" s="51" t="s">
        <v>454</v>
      </c>
      <c r="F85" s="51"/>
      <c r="G85" s="52">
        <v>0.05</v>
      </c>
      <c r="H85" s="52">
        <v>0.05</v>
      </c>
      <c r="I85" s="50">
        <v>1</v>
      </c>
      <c r="J85" s="50"/>
      <c r="K85" s="53"/>
      <c r="L85" s="53"/>
      <c r="M85" s="51"/>
      <c r="N85" s="51"/>
      <c r="P85" s="35" t="str">
        <f>IF(Nickels!B86&lt;&gt;" ",Nickels!A85&amp;" "&amp;Nickels!B85,Nickels!A85)</f>
        <v>1943 P</v>
      </c>
      <c r="V85" s="34" t="e">
        <f>MATCH(Nickels!$A85,[6]NickelMintage!A:A,0)</f>
        <v>#N/A</v>
      </c>
      <c r="X85" s="46" t="str">
        <f t="shared" si="4"/>
        <v>1943 P</v>
      </c>
      <c r="Y85" s="35" t="e">
        <f>MATCH(X85,[6]WantList!$O$2:$O$2000,0)</f>
        <v>#N/A</v>
      </c>
      <c r="Z85" s="34" t="e">
        <f>MATCH(X85,[6]WantListWorkFile!$A$2:$A$244,0)</f>
        <v>#N/A</v>
      </c>
      <c r="AJ85" s="34" t="s">
        <v>478</v>
      </c>
    </row>
    <row r="86" spans="1:36" ht="14.65" customHeight="1">
      <c r="A86" s="40">
        <v>1944</v>
      </c>
      <c r="B86" s="41" t="s">
        <v>25</v>
      </c>
      <c r="C86" s="41" t="s">
        <v>1962</v>
      </c>
      <c r="D86" s="42" t="s">
        <v>479</v>
      </c>
      <c r="E86" s="42" t="s">
        <v>454</v>
      </c>
      <c r="F86" s="42" t="s">
        <v>331</v>
      </c>
      <c r="G86" s="43">
        <v>0.05</v>
      </c>
      <c r="H86" s="43">
        <v>0</v>
      </c>
      <c r="I86" s="41">
        <v>1</v>
      </c>
      <c r="J86" s="41"/>
      <c r="K86" s="44"/>
      <c r="L86" s="44"/>
      <c r="M86" s="42"/>
      <c r="N86" s="42"/>
      <c r="P86" s="35" t="str">
        <f>IF(Nickels!B87&lt;&gt;" ",Nickels!A86&amp;" "&amp;Nickels!B86,Nickels!A86)</f>
        <v>1944 P</v>
      </c>
      <c r="V86" s="34" t="e">
        <f>MATCH(Nickels!$A86,[6]NickelMintage!A:A,0)</f>
        <v>#N/A</v>
      </c>
      <c r="X86" s="46" t="str">
        <f t="shared" si="4"/>
        <v>1944 P</v>
      </c>
      <c r="Y86" s="35" t="e">
        <f>MATCH(X86,[6]WantList!$O$2:$O$2000,0)</f>
        <v>#N/A</v>
      </c>
      <c r="Z86" s="34" t="e">
        <f>MATCH(X86,[6]WantListWorkFile!$A$2:$A$244,0)</f>
        <v>#N/A</v>
      </c>
      <c r="AJ86" s="34" t="s">
        <v>480</v>
      </c>
    </row>
    <row r="87" spans="1:36" ht="14.65" customHeight="1">
      <c r="A87" s="49">
        <v>1944</v>
      </c>
      <c r="B87" s="50"/>
      <c r="C87" s="41" t="s">
        <v>1962</v>
      </c>
      <c r="D87" s="51" t="s">
        <v>481</v>
      </c>
      <c r="E87" s="51" t="s">
        <v>454</v>
      </c>
      <c r="F87" s="51"/>
      <c r="G87" s="52">
        <v>0.05</v>
      </c>
      <c r="H87" s="52">
        <v>0.05</v>
      </c>
      <c r="I87" s="50">
        <v>1</v>
      </c>
      <c r="J87" s="50"/>
      <c r="K87" s="53"/>
      <c r="L87" s="53"/>
      <c r="M87" s="51"/>
      <c r="N87" s="51"/>
      <c r="P87" s="35" t="str">
        <f>IF(Nickels!B88&lt;&gt;" ",Nickels!A87&amp;" "&amp;Nickels!B87,Nickels!A87)</f>
        <v xml:space="preserve">1944 </v>
      </c>
      <c r="V87" s="34" t="e">
        <f>MATCH(Nickels!$A87,[6]NickelMintage!A:A,0)</f>
        <v>#N/A</v>
      </c>
      <c r="X87" s="46">
        <f t="shared" si="4"/>
        <v>1944</v>
      </c>
      <c r="Y87" s="35">
        <f>MATCH(X87,[6]WantList!$O$2:$O$2000,0)</f>
        <v>79</v>
      </c>
      <c r="Z87" s="34" t="e">
        <f>MATCH(X87,[6]WantListWorkFile!$A$2:$A$244,0)</f>
        <v>#N/A</v>
      </c>
      <c r="AJ87" s="34" t="s">
        <v>482</v>
      </c>
    </row>
    <row r="88" spans="1:36" ht="14.65" customHeight="1">
      <c r="A88" s="40">
        <v>1946</v>
      </c>
      <c r="B88" s="41"/>
      <c r="C88" s="41" t="s">
        <v>1962</v>
      </c>
      <c r="D88" s="42" t="s">
        <v>483</v>
      </c>
      <c r="E88" s="42" t="s">
        <v>454</v>
      </c>
      <c r="F88" s="42" t="s">
        <v>463</v>
      </c>
      <c r="G88" s="43">
        <v>0.05</v>
      </c>
      <c r="H88" s="43">
        <v>0</v>
      </c>
      <c r="I88" s="41">
        <v>1</v>
      </c>
      <c r="J88" s="41"/>
      <c r="K88" s="44"/>
      <c r="L88" s="44"/>
      <c r="M88" s="42"/>
      <c r="N88" s="42"/>
      <c r="P88" s="35" t="str">
        <f>IF(Nickels!B89&lt;&gt;" ",Nickels!A88&amp;" "&amp;Nickels!B88,Nickels!A88)</f>
        <v xml:space="preserve">1946 </v>
      </c>
      <c r="V88" s="34">
        <f>MATCH(Nickels!$A88,[6]NickelMintage!A:A,0)</f>
        <v>123</v>
      </c>
      <c r="X88" s="46">
        <f t="shared" si="4"/>
        <v>1946</v>
      </c>
      <c r="Y88" s="35">
        <f>MATCH(X88,[6]WantList!$O$2:$O$2000,0)</f>
        <v>80</v>
      </c>
      <c r="Z88" s="34">
        <f>MATCH(X88,[6]WantListWorkFile!$A$2:$A$244,0)</f>
        <v>89</v>
      </c>
      <c r="AJ88" s="34" t="s">
        <v>484</v>
      </c>
    </row>
    <row r="89" spans="1:36" ht="14.65" customHeight="1">
      <c r="A89" s="49">
        <v>1946</v>
      </c>
      <c r="B89" s="50"/>
      <c r="C89" s="41" t="s">
        <v>1962</v>
      </c>
      <c r="D89" s="51" t="s">
        <v>485</v>
      </c>
      <c r="E89" s="51" t="s">
        <v>454</v>
      </c>
      <c r="F89" s="51" t="s">
        <v>463</v>
      </c>
      <c r="G89" s="52">
        <v>0.05</v>
      </c>
      <c r="H89" s="52">
        <v>0</v>
      </c>
      <c r="I89" s="50">
        <v>1</v>
      </c>
      <c r="J89" s="50"/>
      <c r="K89" s="53"/>
      <c r="L89" s="53"/>
      <c r="M89" s="51"/>
      <c r="N89" s="51"/>
      <c r="P89" s="35" t="str">
        <f>IF(Nickels!B90&lt;&gt;" ",Nickels!A89&amp;" "&amp;Nickels!B89,Nickels!A89)</f>
        <v xml:space="preserve">1946 </v>
      </c>
      <c r="V89" s="34">
        <f>MATCH(Nickels!$A89,[6]NickelMintage!A:A,0)</f>
        <v>123</v>
      </c>
      <c r="X89" s="46">
        <f t="shared" si="4"/>
        <v>1946</v>
      </c>
      <c r="Y89" s="35">
        <f>MATCH(X89,[6]WantList!$O$2:$O$2000,0)</f>
        <v>80</v>
      </c>
      <c r="Z89" s="34">
        <f>MATCH(X89,[6]WantListWorkFile!$A$2:$A$244,0)</f>
        <v>89</v>
      </c>
      <c r="AJ89" s="34" t="s">
        <v>484</v>
      </c>
    </row>
    <row r="90" spans="1:36" ht="14.65" customHeight="1">
      <c r="A90" s="40">
        <v>1946</v>
      </c>
      <c r="B90" s="41"/>
      <c r="C90" s="41" t="s">
        <v>1962</v>
      </c>
      <c r="D90" s="42" t="s">
        <v>486</v>
      </c>
      <c r="E90" s="42" t="s">
        <v>454</v>
      </c>
      <c r="F90" s="42" t="s">
        <v>463</v>
      </c>
      <c r="G90" s="43">
        <v>0.05</v>
      </c>
      <c r="H90" s="43">
        <v>0</v>
      </c>
      <c r="I90" s="41">
        <v>1</v>
      </c>
      <c r="J90" s="41"/>
      <c r="K90" s="44"/>
      <c r="L90" s="44"/>
      <c r="M90" s="42"/>
      <c r="N90" s="42"/>
      <c r="P90" s="35" t="str">
        <f>IF(Nickels!B91&lt;&gt;" ",Nickels!A90&amp;" "&amp;Nickels!B90,Nickels!A90)</f>
        <v xml:space="preserve">1946 </v>
      </c>
      <c r="V90" s="34">
        <f>MATCH(Nickels!$A90,[6]NickelMintage!A:A,0)</f>
        <v>123</v>
      </c>
      <c r="X90" s="46">
        <f t="shared" si="4"/>
        <v>1946</v>
      </c>
      <c r="Y90" s="35">
        <f>MATCH(X90,[6]WantList!$O$2:$O$2000,0)</f>
        <v>80</v>
      </c>
      <c r="Z90" s="34">
        <f>MATCH(X90,[6]WantListWorkFile!$A$2:$A$244,0)</f>
        <v>89</v>
      </c>
      <c r="AJ90" s="34" t="s">
        <v>484</v>
      </c>
    </row>
    <row r="91" spans="1:36" ht="14.65" customHeight="1">
      <c r="A91" s="49">
        <v>1946</v>
      </c>
      <c r="B91" s="50"/>
      <c r="C91" s="41" t="s">
        <v>1962</v>
      </c>
      <c r="D91" s="51" t="s">
        <v>487</v>
      </c>
      <c r="E91" s="51" t="s">
        <v>454</v>
      </c>
      <c r="F91" s="51" t="s">
        <v>10</v>
      </c>
      <c r="G91" s="52">
        <v>0.05</v>
      </c>
      <c r="H91" s="52">
        <v>0</v>
      </c>
      <c r="I91" s="50">
        <v>1</v>
      </c>
      <c r="J91" s="50"/>
      <c r="K91" s="53"/>
      <c r="L91" s="53"/>
      <c r="M91" s="51"/>
      <c r="N91" s="51"/>
      <c r="P91" s="35" t="str">
        <f>IF(Nickels!B92&lt;&gt;" ",Nickels!A91&amp;" "&amp;Nickels!B91,Nickels!A91)</f>
        <v xml:space="preserve">1946 </v>
      </c>
      <c r="V91" s="34">
        <f>MATCH(Nickels!$A91,[6]NickelMintage!A:A,0)</f>
        <v>123</v>
      </c>
      <c r="X91" s="46">
        <f t="shared" si="4"/>
        <v>1946</v>
      </c>
      <c r="Y91" s="35">
        <f>MATCH(X91,[6]WantList!$O$2:$O$2000,0)</f>
        <v>80</v>
      </c>
      <c r="Z91" s="34">
        <f>MATCH(X91,[6]WantListWorkFile!$A$2:$A$244,0)</f>
        <v>89</v>
      </c>
      <c r="AJ91" s="34" t="s">
        <v>484</v>
      </c>
    </row>
    <row r="92" spans="1:36" ht="14.65" customHeight="1">
      <c r="A92" s="40">
        <v>1946</v>
      </c>
      <c r="B92" s="41"/>
      <c r="C92" s="41" t="s">
        <v>1962</v>
      </c>
      <c r="D92" s="42" t="s">
        <v>488</v>
      </c>
      <c r="E92" s="42" t="s">
        <v>454</v>
      </c>
      <c r="F92" s="42" t="s">
        <v>463</v>
      </c>
      <c r="G92" s="43">
        <v>0.05</v>
      </c>
      <c r="H92" s="43">
        <v>0</v>
      </c>
      <c r="I92" s="41">
        <v>1</v>
      </c>
      <c r="J92" s="41"/>
      <c r="K92" s="44"/>
      <c r="L92" s="44"/>
      <c r="M92" s="42"/>
      <c r="N92" s="42"/>
      <c r="P92" s="35" t="str">
        <f>IF(Nickels!B93&lt;&gt;" ",Nickels!A92&amp;" "&amp;Nickels!B92,Nickels!A92)</f>
        <v xml:space="preserve">1946 </v>
      </c>
      <c r="V92" s="34">
        <f>MATCH(Nickels!$A92,[6]NickelMintage!A:A,0)</f>
        <v>123</v>
      </c>
      <c r="X92" s="46">
        <f t="shared" si="4"/>
        <v>1946</v>
      </c>
      <c r="Y92" s="35">
        <f>MATCH(X92,[6]WantList!$O$2:$O$2000,0)</f>
        <v>80</v>
      </c>
      <c r="Z92" s="34">
        <f>MATCH(X92,[6]WantListWorkFile!$A$2:$A$244,0)</f>
        <v>89</v>
      </c>
      <c r="AJ92" s="34" t="s">
        <v>484</v>
      </c>
    </row>
    <row r="93" spans="1:36" ht="14.65" customHeight="1">
      <c r="A93" s="49">
        <v>1946</v>
      </c>
      <c r="B93" s="50"/>
      <c r="C93" s="41" t="s">
        <v>1962</v>
      </c>
      <c r="D93" s="51" t="s">
        <v>489</v>
      </c>
      <c r="E93" s="51" t="s">
        <v>454</v>
      </c>
      <c r="F93" s="51" t="s">
        <v>10</v>
      </c>
      <c r="G93" s="52">
        <v>0.05</v>
      </c>
      <c r="H93" s="52">
        <v>0</v>
      </c>
      <c r="I93" s="50">
        <v>1</v>
      </c>
      <c r="J93" s="50"/>
      <c r="K93" s="53"/>
      <c r="L93" s="53"/>
      <c r="M93" s="51"/>
      <c r="N93" s="51"/>
      <c r="P93" s="35" t="str">
        <f>IF(Nickels!B94&lt;&gt;" ",Nickels!A93&amp;" "&amp;Nickels!B93,Nickels!A93)</f>
        <v xml:space="preserve">1946 </v>
      </c>
      <c r="V93" s="34">
        <f>MATCH(Nickels!$A93,[6]NickelMintage!A:A,0)</f>
        <v>123</v>
      </c>
      <c r="X93" s="46">
        <f t="shared" si="4"/>
        <v>1946</v>
      </c>
      <c r="Y93" s="35">
        <f>MATCH(X93,[6]WantList!$O$2:$O$2000,0)</f>
        <v>80</v>
      </c>
      <c r="Z93" s="34">
        <f>MATCH(X93,[6]WantListWorkFile!$A$2:$A$244,0)</f>
        <v>89</v>
      </c>
      <c r="AJ93" s="34" t="s">
        <v>484</v>
      </c>
    </row>
    <row r="94" spans="1:36" ht="14.65" customHeight="1">
      <c r="A94" s="40">
        <v>1946</v>
      </c>
      <c r="B94" s="41"/>
      <c r="C94" s="41" t="s">
        <v>1962</v>
      </c>
      <c r="D94" s="42" t="s">
        <v>490</v>
      </c>
      <c r="E94" s="42" t="s">
        <v>454</v>
      </c>
      <c r="F94" s="42" t="s">
        <v>463</v>
      </c>
      <c r="G94" s="43">
        <v>0.05</v>
      </c>
      <c r="H94" s="43">
        <v>0</v>
      </c>
      <c r="I94" s="41">
        <v>1</v>
      </c>
      <c r="J94" s="41"/>
      <c r="K94" s="44"/>
      <c r="L94" s="44"/>
      <c r="M94" s="42"/>
      <c r="N94" s="42"/>
      <c r="P94" s="35" t="str">
        <f>IF(Nickels!B95&lt;&gt;" ",Nickels!A94&amp;" "&amp;Nickels!B94,Nickels!A94)</f>
        <v xml:space="preserve">1946 </v>
      </c>
      <c r="V94" s="34">
        <f>MATCH(Nickels!$A94,[6]NickelMintage!A:A,0)</f>
        <v>123</v>
      </c>
      <c r="X94" s="46">
        <f t="shared" si="4"/>
        <v>1946</v>
      </c>
      <c r="Y94" s="35">
        <f>MATCH(X94,[6]WantList!$O$2:$O$2000,0)</f>
        <v>80</v>
      </c>
      <c r="Z94" s="34">
        <f>MATCH(X94,[6]WantListWorkFile!$A$2:$A$244,0)</f>
        <v>89</v>
      </c>
      <c r="AJ94" s="34" t="s">
        <v>484</v>
      </c>
    </row>
    <row r="95" spans="1:36" ht="14.65" customHeight="1">
      <c r="A95" s="49">
        <v>1946</v>
      </c>
      <c r="B95" s="50"/>
      <c r="C95" s="41" t="s">
        <v>1962</v>
      </c>
      <c r="D95" s="51" t="s">
        <v>491</v>
      </c>
      <c r="E95" s="51" t="s">
        <v>454</v>
      </c>
      <c r="F95" s="51" t="s">
        <v>10</v>
      </c>
      <c r="G95" s="52">
        <v>0.05</v>
      </c>
      <c r="H95" s="52">
        <v>0</v>
      </c>
      <c r="I95" s="50">
        <v>1</v>
      </c>
      <c r="J95" s="50"/>
      <c r="K95" s="53"/>
      <c r="L95" s="53"/>
      <c r="M95" s="51"/>
      <c r="N95" s="51"/>
      <c r="P95" s="35" t="str">
        <f>IF(Nickels!B96&lt;&gt;" ",Nickels!A95&amp;" "&amp;Nickels!B95,Nickels!A95)</f>
        <v xml:space="preserve">1946 </v>
      </c>
      <c r="V95" s="34">
        <f>MATCH(Nickels!$A95,[6]NickelMintage!A:A,0)</f>
        <v>123</v>
      </c>
      <c r="X95" s="46">
        <f t="shared" si="4"/>
        <v>1946</v>
      </c>
      <c r="Y95" s="35">
        <f>MATCH(X95,[6]WantList!$O$2:$O$2000,0)</f>
        <v>80</v>
      </c>
      <c r="Z95" s="34">
        <f>MATCH(X95,[6]WantListWorkFile!$A$2:$A$244,0)</f>
        <v>89</v>
      </c>
      <c r="AJ95" s="34" t="s">
        <v>484</v>
      </c>
    </row>
    <row r="96" spans="1:36" ht="14.65" customHeight="1">
      <c r="A96" s="40">
        <v>1946</v>
      </c>
      <c r="B96" s="41"/>
      <c r="C96" s="41" t="s">
        <v>1962</v>
      </c>
      <c r="D96" s="42" t="s">
        <v>492</v>
      </c>
      <c r="E96" s="42" t="s">
        <v>454</v>
      </c>
      <c r="F96" s="42"/>
      <c r="G96" s="43">
        <v>0.05</v>
      </c>
      <c r="H96" s="43">
        <v>0</v>
      </c>
      <c r="I96" s="41">
        <v>1</v>
      </c>
      <c r="J96" s="41"/>
      <c r="K96" s="44"/>
      <c r="L96" s="44"/>
      <c r="M96" s="42"/>
      <c r="N96" s="42"/>
      <c r="P96" s="35" t="str">
        <f>IF(Nickels!B97&lt;&gt;" ",Nickels!A96&amp;" "&amp;Nickels!B96,Nickels!A96)</f>
        <v xml:space="preserve">1946 </v>
      </c>
      <c r="V96" s="34">
        <f>MATCH(Nickels!$A96,[6]NickelMintage!A:A,0)</f>
        <v>123</v>
      </c>
      <c r="X96" s="46">
        <f t="shared" si="4"/>
        <v>1946</v>
      </c>
      <c r="Y96" s="35">
        <f>MATCH(X96,[6]WantList!$O$2:$O$2000,0)</f>
        <v>80</v>
      </c>
      <c r="Z96" s="34">
        <f>MATCH(X96,[6]WantListWorkFile!$A$2:$A$244,0)</f>
        <v>89</v>
      </c>
      <c r="AJ96" s="34" t="s">
        <v>484</v>
      </c>
    </row>
    <row r="97" spans="1:36" ht="14.65" customHeight="1">
      <c r="A97" s="49">
        <v>1946</v>
      </c>
      <c r="B97" s="50"/>
      <c r="C97" s="41" t="s">
        <v>1962</v>
      </c>
      <c r="D97" s="51" t="s">
        <v>493</v>
      </c>
      <c r="E97" s="51" t="s">
        <v>454</v>
      </c>
      <c r="F97" s="51"/>
      <c r="G97" s="52">
        <v>0.05</v>
      </c>
      <c r="H97" s="52">
        <v>0.05</v>
      </c>
      <c r="I97" s="50">
        <v>1</v>
      </c>
      <c r="J97" s="50"/>
      <c r="K97" s="53"/>
      <c r="L97" s="53"/>
      <c r="M97" s="51"/>
      <c r="N97" s="51"/>
      <c r="P97" s="35" t="str">
        <f>IF(Nickels!B98&lt;&gt;" ",Nickels!A97&amp;" "&amp;Nickels!B97,Nickels!A97)</f>
        <v xml:space="preserve">1946 </v>
      </c>
      <c r="V97" s="34">
        <f>MATCH(Nickels!$A97,[6]NickelMintage!A:A,0)</f>
        <v>123</v>
      </c>
      <c r="X97" s="46">
        <f t="shared" si="4"/>
        <v>1946</v>
      </c>
      <c r="Y97" s="35">
        <f>MATCH(X97,[6]WantList!$O$2:$O$2000,0)</f>
        <v>80</v>
      </c>
      <c r="Z97" s="34">
        <f>MATCH(X97,[6]WantListWorkFile!$A$2:$A$244,0)</f>
        <v>89</v>
      </c>
      <c r="AJ97" s="34" t="s">
        <v>484</v>
      </c>
    </row>
    <row r="98" spans="1:36" ht="14.65" customHeight="1">
      <c r="A98" s="40">
        <v>1947</v>
      </c>
      <c r="B98" s="41"/>
      <c r="C98" s="41" t="s">
        <v>1962</v>
      </c>
      <c r="D98" s="42" t="s">
        <v>494</v>
      </c>
      <c r="E98" s="42" t="s">
        <v>454</v>
      </c>
      <c r="F98" s="42" t="s">
        <v>463</v>
      </c>
      <c r="G98" s="43">
        <v>0.05</v>
      </c>
      <c r="H98" s="43">
        <v>0</v>
      </c>
      <c r="I98" s="41">
        <v>1</v>
      </c>
      <c r="J98" s="41"/>
      <c r="K98" s="44"/>
      <c r="L98" s="44"/>
      <c r="M98" s="42"/>
      <c r="N98" s="42"/>
      <c r="P98" s="35" t="str">
        <f>IF(Nickels!B99&lt;&gt;" ",Nickels!A98&amp;" "&amp;Nickels!B98,Nickels!A98)</f>
        <v xml:space="preserve">1947 </v>
      </c>
      <c r="V98" s="34">
        <f>MATCH(Nickels!$A98,[6]NickelMintage!A:A,0)</f>
        <v>126</v>
      </c>
      <c r="X98" s="46">
        <f t="shared" si="4"/>
        <v>1947</v>
      </c>
      <c r="Y98" s="35">
        <f>MATCH(X98,[6]WantList!$O$2:$O$2000,0)</f>
        <v>90</v>
      </c>
      <c r="Z98" s="34">
        <f>MATCH(X98,[6]WantListWorkFile!$A$2:$A$244,0)</f>
        <v>92</v>
      </c>
      <c r="AJ98" s="34" t="s">
        <v>495</v>
      </c>
    </row>
    <row r="99" spans="1:36" ht="14.65" customHeight="1">
      <c r="A99" s="49">
        <v>1948</v>
      </c>
      <c r="B99" s="50"/>
      <c r="C99" s="41" t="s">
        <v>1962</v>
      </c>
      <c r="D99" s="51" t="s">
        <v>496</v>
      </c>
      <c r="E99" s="51" t="s">
        <v>454</v>
      </c>
      <c r="F99" s="51" t="s">
        <v>10</v>
      </c>
      <c r="G99" s="52">
        <v>0.05</v>
      </c>
      <c r="H99" s="52">
        <v>0</v>
      </c>
      <c r="I99" s="50">
        <v>1</v>
      </c>
      <c r="J99" s="50"/>
      <c r="K99" s="53"/>
      <c r="L99" s="53"/>
      <c r="M99" s="51"/>
      <c r="N99" s="51"/>
      <c r="P99" s="35" t="str">
        <f>IF(Nickels!B100&lt;&gt;" ",Nickels!A99&amp;" "&amp;Nickels!B99,Nickels!A99)</f>
        <v xml:space="preserve">1948 </v>
      </c>
      <c r="V99" s="34">
        <f>MATCH(Nickels!$A99,[6]NickelMintage!A:A,0)</f>
        <v>129</v>
      </c>
      <c r="X99" s="46">
        <f t="shared" si="4"/>
        <v>1948</v>
      </c>
      <c r="Y99" s="35">
        <f>MATCH(X99,[6]WantList!$O$2:$O$2000,0)</f>
        <v>91</v>
      </c>
      <c r="Z99" s="34">
        <f>MATCH(X99,[6]WantListWorkFile!$A$2:$A$244,0)</f>
        <v>95</v>
      </c>
      <c r="AJ99" s="34" t="s">
        <v>497</v>
      </c>
    </row>
    <row r="100" spans="1:36" ht="14.65" customHeight="1">
      <c r="A100" s="40">
        <v>1949</v>
      </c>
      <c r="B100" s="41"/>
      <c r="C100" s="41" t="s">
        <v>1962</v>
      </c>
      <c r="D100" s="42" t="s">
        <v>498</v>
      </c>
      <c r="E100" s="42" t="s">
        <v>454</v>
      </c>
      <c r="F100" s="42" t="s">
        <v>463</v>
      </c>
      <c r="G100" s="43">
        <v>0.05</v>
      </c>
      <c r="H100" s="43">
        <v>0</v>
      </c>
      <c r="I100" s="41">
        <v>1</v>
      </c>
      <c r="J100" s="41"/>
      <c r="K100" s="44"/>
      <c r="L100" s="44"/>
      <c r="M100" s="42"/>
      <c r="N100" s="42"/>
      <c r="P100" s="35" t="str">
        <f>IF(Nickels!B101&lt;&gt;" ",Nickels!A100&amp;" "&amp;Nickels!B100,Nickels!A100)</f>
        <v xml:space="preserve">1949 </v>
      </c>
      <c r="V100" s="34">
        <f>MATCH(Nickels!$A100,[6]NickelMintage!A:A,0)</f>
        <v>132</v>
      </c>
      <c r="X100" s="46">
        <f t="shared" si="4"/>
        <v>1949</v>
      </c>
      <c r="Y100" s="35">
        <f>MATCH(X100,[6]WantList!$O$2:$O$2000,0)</f>
        <v>92</v>
      </c>
      <c r="Z100" s="34">
        <f>MATCH(X100,[6]WantListWorkFile!$A$2:$A$244,0)</f>
        <v>98</v>
      </c>
      <c r="AJ100" s="34" t="s">
        <v>499</v>
      </c>
    </row>
    <row r="101" spans="1:36" ht="14.65" customHeight="1">
      <c r="A101" s="49">
        <v>1952</v>
      </c>
      <c r="B101" s="50"/>
      <c r="C101" s="41" t="s">
        <v>1962</v>
      </c>
      <c r="D101" s="51" t="s">
        <v>500</v>
      </c>
      <c r="E101" s="51" t="s">
        <v>454</v>
      </c>
      <c r="F101" s="51" t="s">
        <v>473</v>
      </c>
      <c r="G101" s="52">
        <v>0.05</v>
      </c>
      <c r="H101" s="52">
        <v>0</v>
      </c>
      <c r="I101" s="50">
        <v>1</v>
      </c>
      <c r="J101" s="50"/>
      <c r="K101" s="53"/>
      <c r="L101" s="53"/>
      <c r="M101" s="51"/>
      <c r="N101" s="51"/>
      <c r="P101" s="35" t="str">
        <f>IF(Nickels!B102&lt;&gt;" ",Nickels!A101&amp;" "&amp;Nickels!B101,Nickels!A101)</f>
        <v xml:space="preserve">1952 </v>
      </c>
      <c r="V101" s="34">
        <f>MATCH(Nickels!$A101,[6]NickelMintage!A:A,0)</f>
        <v>140</v>
      </c>
      <c r="X101" s="46">
        <f t="shared" si="4"/>
        <v>1952</v>
      </c>
      <c r="Y101" s="35">
        <f>MATCH(X101,[6]WantList!$O$2:$O$2000,0)</f>
        <v>93</v>
      </c>
      <c r="Z101" s="34">
        <f>MATCH(X101,[6]WantListWorkFile!$A$2:$A$244,0)</f>
        <v>106</v>
      </c>
      <c r="AJ101" s="34" t="s">
        <v>501</v>
      </c>
    </row>
    <row r="102" spans="1:36" ht="14.65" customHeight="1">
      <c r="A102" s="40">
        <v>1952</v>
      </c>
      <c r="B102" s="41"/>
      <c r="C102" s="41" t="s">
        <v>1962</v>
      </c>
      <c r="D102" s="42" t="s">
        <v>502</v>
      </c>
      <c r="E102" s="42" t="s">
        <v>454</v>
      </c>
      <c r="F102" s="42" t="s">
        <v>463</v>
      </c>
      <c r="G102" s="43">
        <v>0.05</v>
      </c>
      <c r="H102" s="43">
        <v>0</v>
      </c>
      <c r="I102" s="41">
        <v>1</v>
      </c>
      <c r="J102" s="41"/>
      <c r="K102" s="44"/>
      <c r="L102" s="44"/>
      <c r="M102" s="42"/>
      <c r="N102" s="42"/>
      <c r="P102" s="35" t="str">
        <f>IF(Nickels!B103&lt;&gt;" ",Nickels!A102&amp;" "&amp;Nickels!B102,Nickels!A102)</f>
        <v xml:space="preserve">1952 </v>
      </c>
      <c r="V102" s="34">
        <f>MATCH(Nickels!$A102,[6]NickelMintage!A:A,0)</f>
        <v>140</v>
      </c>
      <c r="X102" s="46">
        <f t="shared" si="4"/>
        <v>1952</v>
      </c>
      <c r="Y102" s="35">
        <f>MATCH(X102,[6]WantList!$O$2:$O$2000,0)</f>
        <v>93</v>
      </c>
      <c r="Z102" s="34">
        <f>MATCH(X102,[6]WantListWorkFile!$A$2:$A$244,0)</f>
        <v>106</v>
      </c>
      <c r="AJ102" s="34" t="s">
        <v>501</v>
      </c>
    </row>
    <row r="103" spans="1:36" ht="14.65" customHeight="1">
      <c r="A103" s="49">
        <v>1952</v>
      </c>
      <c r="B103" s="50"/>
      <c r="C103" s="41" t="s">
        <v>1962</v>
      </c>
      <c r="D103" s="51" t="s">
        <v>503</v>
      </c>
      <c r="E103" s="51" t="s">
        <v>454</v>
      </c>
      <c r="F103" s="51" t="s">
        <v>10</v>
      </c>
      <c r="G103" s="52">
        <v>0.05</v>
      </c>
      <c r="H103" s="52">
        <v>0</v>
      </c>
      <c r="I103" s="50">
        <v>1</v>
      </c>
      <c r="J103" s="50"/>
      <c r="K103" s="53"/>
      <c r="L103" s="53"/>
      <c r="M103" s="51"/>
      <c r="N103" s="51"/>
      <c r="P103" s="35" t="str">
        <f>IF(Nickels!B104&lt;&gt;" ",Nickels!A103&amp;" "&amp;Nickels!B103,Nickels!A103)</f>
        <v xml:space="preserve">1952 </v>
      </c>
      <c r="V103" s="34">
        <f>MATCH(Nickels!$A103,[6]NickelMintage!A:A,0)</f>
        <v>140</v>
      </c>
      <c r="X103" s="46">
        <f t="shared" si="4"/>
        <v>1952</v>
      </c>
      <c r="Y103" s="35">
        <f>MATCH(X103,[6]WantList!$O$2:$O$2000,0)</f>
        <v>93</v>
      </c>
      <c r="Z103" s="34">
        <f>MATCH(X103,[6]WantListWorkFile!$A$2:$A$244,0)</f>
        <v>106</v>
      </c>
      <c r="AJ103" s="34" t="s">
        <v>501</v>
      </c>
    </row>
    <row r="104" spans="1:36" ht="14.65" customHeight="1">
      <c r="A104" s="40">
        <v>1955</v>
      </c>
      <c r="B104" s="41"/>
      <c r="C104" s="41" t="s">
        <v>1962</v>
      </c>
      <c r="D104" s="42" t="s">
        <v>504</v>
      </c>
      <c r="E104" s="42" t="s">
        <v>454</v>
      </c>
      <c r="F104" s="42"/>
      <c r="G104" s="43">
        <v>0.05</v>
      </c>
      <c r="H104" s="43">
        <v>0.05</v>
      </c>
      <c r="I104" s="41">
        <v>1</v>
      </c>
      <c r="J104" s="41"/>
      <c r="K104" s="44"/>
      <c r="L104" s="44"/>
      <c r="M104" s="42"/>
      <c r="N104" s="42"/>
      <c r="P104" s="35" t="str">
        <f>IF(Nickels!B105&lt;&gt;" ",Nickels!A104&amp;" "&amp;Nickels!B104,Nickels!A104)</f>
        <v xml:space="preserve">1955 </v>
      </c>
      <c r="V104" s="34">
        <f>MATCH(Nickels!$A104,[6]NickelMintage!A:A,0)</f>
        <v>149</v>
      </c>
      <c r="X104" s="46">
        <f t="shared" si="4"/>
        <v>1955</v>
      </c>
      <c r="Y104" s="35">
        <f>MATCH(X104,[6]WantList!$O$2:$O$2000,0)</f>
        <v>96</v>
      </c>
      <c r="Z104" s="34">
        <f>MATCH(X104,[6]WantListWorkFile!$A$2:$A$244,0)</f>
        <v>115</v>
      </c>
      <c r="AJ104" s="34" t="s">
        <v>505</v>
      </c>
    </row>
    <row r="105" spans="1:36" ht="14.65" customHeight="1">
      <c r="A105" s="49">
        <v>1957</v>
      </c>
      <c r="B105" s="50"/>
      <c r="C105" s="41" t="s">
        <v>1962</v>
      </c>
      <c r="D105" s="51" t="s">
        <v>506</v>
      </c>
      <c r="E105" s="51" t="s">
        <v>454</v>
      </c>
      <c r="F105" s="51" t="s">
        <v>507</v>
      </c>
      <c r="G105" s="52">
        <v>0.05</v>
      </c>
      <c r="H105" s="52">
        <v>0.25</v>
      </c>
      <c r="I105" s="50">
        <v>1</v>
      </c>
      <c r="J105" s="50"/>
      <c r="K105" s="53"/>
      <c r="L105" s="53"/>
      <c r="M105" s="51"/>
      <c r="N105" s="51"/>
      <c r="P105" s="35" t="str">
        <f>IF(Nickels!B106&lt;&gt;" ",Nickels!A105&amp;" "&amp;Nickels!B105,Nickels!A105)</f>
        <v xml:space="preserve">1957 </v>
      </c>
      <c r="V105" s="34">
        <f>MATCH(Nickels!$A105,[6]NickelMintage!A:A,0)</f>
        <v>153</v>
      </c>
      <c r="X105" s="46">
        <f t="shared" si="4"/>
        <v>1957</v>
      </c>
      <c r="Y105" s="35">
        <f>MATCH(X105,[6]WantList!$O$2:$O$2000,0)</f>
        <v>97</v>
      </c>
      <c r="Z105" s="34">
        <f>MATCH(X105,[6]WantListWorkFile!$A$2:$A$244,0)</f>
        <v>119</v>
      </c>
      <c r="AJ105" s="34" t="s">
        <v>508</v>
      </c>
    </row>
    <row r="106" spans="1:36" ht="14.65" customHeight="1">
      <c r="A106" s="40">
        <v>1957</v>
      </c>
      <c r="B106" s="41" t="s">
        <v>13</v>
      </c>
      <c r="C106" s="41" t="s">
        <v>1962</v>
      </c>
      <c r="D106" s="42" t="s">
        <v>509</v>
      </c>
      <c r="E106" s="42" t="s">
        <v>454</v>
      </c>
      <c r="F106" s="42" t="s">
        <v>316</v>
      </c>
      <c r="G106" s="43">
        <v>0.05</v>
      </c>
      <c r="H106" s="43">
        <v>0.05</v>
      </c>
      <c r="I106" s="41">
        <v>1</v>
      </c>
      <c r="J106" s="41"/>
      <c r="K106" s="44"/>
      <c r="L106" s="44"/>
      <c r="M106" s="42"/>
      <c r="N106" s="42"/>
      <c r="P106" s="35" t="str">
        <f>IF(Nickels!B107&lt;&gt;" ",Nickels!A106&amp;" "&amp;Nickels!B106,Nickels!A106)</f>
        <v>1957 D</v>
      </c>
      <c r="V106" s="34">
        <f>MATCH(Nickels!$A106,[6]NickelMintage!A:A,0)</f>
        <v>153</v>
      </c>
      <c r="X106" s="46" t="str">
        <f t="shared" si="4"/>
        <v>1957 D</v>
      </c>
      <c r="Y106" s="35" t="e">
        <f>MATCH(X106,[6]WantList!$O$2:$O$2000,0)</f>
        <v>#N/A</v>
      </c>
      <c r="Z106" s="34">
        <f>MATCH(X106,[6]WantListWorkFile!$A$2:$A$244,0)</f>
        <v>120</v>
      </c>
      <c r="AJ106" s="34" t="s">
        <v>275</v>
      </c>
    </row>
    <row r="107" spans="1:36" ht="14.65" customHeight="1">
      <c r="A107" s="49">
        <v>1957</v>
      </c>
      <c r="B107" s="50" t="s">
        <v>13</v>
      </c>
      <c r="C107" s="41" t="s">
        <v>1962</v>
      </c>
      <c r="D107" s="51" t="s">
        <v>510</v>
      </c>
      <c r="E107" s="51" t="s">
        <v>454</v>
      </c>
      <c r="F107" s="51" t="s">
        <v>10</v>
      </c>
      <c r="G107" s="52">
        <v>0.05</v>
      </c>
      <c r="H107" s="52">
        <v>0.05</v>
      </c>
      <c r="I107" s="50">
        <v>1</v>
      </c>
      <c r="J107" s="50"/>
      <c r="K107" s="53"/>
      <c r="L107" s="53"/>
      <c r="M107" s="51"/>
      <c r="N107" s="51"/>
      <c r="P107" s="35" t="str">
        <f>IF(Nickels!B108&lt;&gt;" ",Nickels!A107&amp;" "&amp;Nickels!B107,Nickels!A107)</f>
        <v>1957 D</v>
      </c>
      <c r="V107" s="34">
        <f>MATCH(Nickels!$A107,[6]NickelMintage!A:A,0)</f>
        <v>153</v>
      </c>
      <c r="X107" s="46" t="str">
        <f t="shared" si="4"/>
        <v>1957 D</v>
      </c>
      <c r="Y107" s="35" t="e">
        <f>MATCH(X107,[6]WantList!$O$2:$O$2000,0)</f>
        <v>#N/A</v>
      </c>
      <c r="Z107" s="34">
        <f>MATCH(X107,[6]WantListWorkFile!$A$2:$A$244,0)</f>
        <v>120</v>
      </c>
      <c r="AJ107" s="34" t="s">
        <v>275</v>
      </c>
    </row>
    <row r="108" spans="1:36" ht="14.65" customHeight="1">
      <c r="A108" s="40">
        <v>1957</v>
      </c>
      <c r="B108" s="41" t="s">
        <v>13</v>
      </c>
      <c r="C108" s="41" t="s">
        <v>1962</v>
      </c>
      <c r="D108" s="42" t="s">
        <v>511</v>
      </c>
      <c r="E108" s="42" t="s">
        <v>454</v>
      </c>
      <c r="F108" s="42" t="s">
        <v>463</v>
      </c>
      <c r="G108" s="43">
        <v>0.05</v>
      </c>
      <c r="H108" s="43">
        <v>0.05</v>
      </c>
      <c r="I108" s="41">
        <v>1</v>
      </c>
      <c r="J108" s="41"/>
      <c r="K108" s="44"/>
      <c r="L108" s="44"/>
      <c r="M108" s="42"/>
      <c r="N108" s="42"/>
      <c r="P108" s="35" t="str">
        <f>IF(Nickels!B109&lt;&gt;" ",Nickels!A108&amp;" "&amp;Nickels!B108,Nickels!A108)</f>
        <v>1957 D</v>
      </c>
      <c r="V108" s="34">
        <f>MATCH(Nickels!$A108,[6]NickelMintage!A:A,0)</f>
        <v>153</v>
      </c>
      <c r="X108" s="46" t="str">
        <f t="shared" si="4"/>
        <v>1957 D</v>
      </c>
      <c r="Y108" s="35" t="e">
        <f>MATCH(X108,[6]WantList!$O$2:$O$2000,0)</f>
        <v>#N/A</v>
      </c>
      <c r="Z108" s="34">
        <f>MATCH(X108,[6]WantListWorkFile!$A$2:$A$244,0)</f>
        <v>120</v>
      </c>
      <c r="AJ108" s="34" t="s">
        <v>275</v>
      </c>
    </row>
    <row r="109" spans="1:36" ht="14.65" customHeight="1">
      <c r="A109" s="49">
        <v>1958</v>
      </c>
      <c r="B109" s="50" t="s">
        <v>13</v>
      </c>
      <c r="C109" s="41" t="s">
        <v>1962</v>
      </c>
      <c r="D109" s="51" t="s">
        <v>512</v>
      </c>
      <c r="E109" s="51" t="s">
        <v>454</v>
      </c>
      <c r="F109" s="51" t="s">
        <v>407</v>
      </c>
      <c r="G109" s="52">
        <v>0.05</v>
      </c>
      <c r="H109" s="52">
        <v>0.05</v>
      </c>
      <c r="I109" s="50">
        <v>1</v>
      </c>
      <c r="J109" s="50"/>
      <c r="K109" s="53"/>
      <c r="L109" s="53"/>
      <c r="M109" s="51"/>
      <c r="N109" s="51"/>
      <c r="P109" s="35" t="str">
        <f>IF(Nickels!B110&lt;&gt;" ",Nickels!A109&amp;" "&amp;Nickels!B109,Nickels!A109)</f>
        <v>1958 D</v>
      </c>
      <c r="V109" s="34">
        <f>MATCH(Nickels!$A109,[6]NickelMintage!A:A,0)</f>
        <v>155</v>
      </c>
      <c r="X109" s="46" t="str">
        <f t="shared" si="4"/>
        <v>1958 D</v>
      </c>
      <c r="Y109" s="35" t="e">
        <f>MATCH(X109,[6]WantList!$O$2:$O$2000,0)</f>
        <v>#N/A</v>
      </c>
      <c r="Z109" s="34">
        <f>MATCH(X109,[6]WantListWorkFile!$A$2:$A$244,0)</f>
        <v>122</v>
      </c>
      <c r="AJ109" s="34" t="s">
        <v>278</v>
      </c>
    </row>
    <row r="110" spans="1:36" ht="14.65" customHeight="1">
      <c r="A110" s="40">
        <v>1958</v>
      </c>
      <c r="B110" s="41" t="s">
        <v>13</v>
      </c>
      <c r="C110" s="41" t="s">
        <v>1962</v>
      </c>
      <c r="D110" s="42" t="s">
        <v>513</v>
      </c>
      <c r="E110" s="42" t="s">
        <v>454</v>
      </c>
      <c r="F110" s="42" t="s">
        <v>10</v>
      </c>
      <c r="G110" s="43">
        <v>0.05</v>
      </c>
      <c r="H110" s="43">
        <v>0.05</v>
      </c>
      <c r="I110" s="41">
        <v>1</v>
      </c>
      <c r="J110" s="41"/>
      <c r="K110" s="44"/>
      <c r="L110" s="44"/>
      <c r="M110" s="42"/>
      <c r="N110" s="42"/>
      <c r="P110" s="35" t="str">
        <f>IF(Nickels!B111&lt;&gt;" ",Nickels!A110&amp;" "&amp;Nickels!B110,Nickels!A110)</f>
        <v>1958 D</v>
      </c>
      <c r="V110" s="34">
        <f>MATCH(Nickels!$A110,[6]NickelMintage!A:A,0)</f>
        <v>155</v>
      </c>
      <c r="X110" s="46" t="str">
        <f t="shared" si="4"/>
        <v>1958 D</v>
      </c>
      <c r="Y110" s="35" t="e">
        <f>MATCH(X110,[6]WantList!$O$2:$O$2000,0)</f>
        <v>#N/A</v>
      </c>
      <c r="Z110" s="34">
        <f>MATCH(X110,[6]WantListWorkFile!$A$2:$A$244,0)</f>
        <v>122</v>
      </c>
      <c r="AJ110" s="34" t="s">
        <v>278</v>
      </c>
    </row>
    <row r="111" spans="1:36" ht="14.65" customHeight="1">
      <c r="A111" s="49">
        <v>1958</v>
      </c>
      <c r="B111" s="50" t="s">
        <v>13</v>
      </c>
      <c r="C111" s="41" t="s">
        <v>1962</v>
      </c>
      <c r="D111" s="51" t="s">
        <v>514</v>
      </c>
      <c r="E111" s="51" t="s">
        <v>454</v>
      </c>
      <c r="F111" s="51" t="s">
        <v>10</v>
      </c>
      <c r="G111" s="52">
        <v>0.05</v>
      </c>
      <c r="H111" s="52">
        <v>0.05</v>
      </c>
      <c r="I111" s="50">
        <v>1</v>
      </c>
      <c r="J111" s="50"/>
      <c r="K111" s="53"/>
      <c r="L111" s="53"/>
      <c r="M111" s="51"/>
      <c r="N111" s="51"/>
      <c r="P111" s="35" t="str">
        <f>IF(Nickels!B112&lt;&gt;" ",Nickels!A111&amp;" "&amp;Nickels!B111,Nickels!A111)</f>
        <v>1958 D</v>
      </c>
      <c r="V111" s="34">
        <f>MATCH(Nickels!$A111,[6]NickelMintage!A:A,0)</f>
        <v>155</v>
      </c>
      <c r="X111" s="46" t="str">
        <f t="shared" ref="X111:X174" si="5">IF(LEN(B111)&lt;1,A111,A111&amp;" "&amp;B111)</f>
        <v>1958 D</v>
      </c>
      <c r="Y111" s="35" t="e">
        <f>MATCH(X111,[6]WantList!$O$2:$O$2000,0)</f>
        <v>#N/A</v>
      </c>
      <c r="Z111" s="34">
        <f>MATCH(X111,[6]WantListWorkFile!$A$2:$A$244,0)</f>
        <v>122</v>
      </c>
      <c r="AJ111" s="34" t="s">
        <v>278</v>
      </c>
    </row>
    <row r="112" spans="1:36" ht="14.65" customHeight="1">
      <c r="A112" s="40">
        <v>1958</v>
      </c>
      <c r="B112" s="41" t="s">
        <v>13</v>
      </c>
      <c r="C112" s="41" t="s">
        <v>1962</v>
      </c>
      <c r="D112" s="42" t="s">
        <v>515</v>
      </c>
      <c r="E112" s="42" t="s">
        <v>454</v>
      </c>
      <c r="F112" s="42" t="s">
        <v>407</v>
      </c>
      <c r="G112" s="43">
        <v>0.05</v>
      </c>
      <c r="H112" s="43">
        <v>0.05</v>
      </c>
      <c r="I112" s="41">
        <v>1</v>
      </c>
      <c r="J112" s="41"/>
      <c r="K112" s="44"/>
      <c r="L112" s="44"/>
      <c r="M112" s="42"/>
      <c r="N112" s="42"/>
      <c r="P112" s="35" t="str">
        <f>IF(Nickels!B113&lt;&gt;" ",Nickels!A112&amp;" "&amp;Nickels!B112,Nickels!A112)</f>
        <v>1958 D</v>
      </c>
      <c r="V112" s="34">
        <f>MATCH(Nickels!$A112,[6]NickelMintage!A:A,0)</f>
        <v>155</v>
      </c>
      <c r="X112" s="46" t="str">
        <f t="shared" si="5"/>
        <v>1958 D</v>
      </c>
      <c r="Y112" s="35" t="e">
        <f>MATCH(X112,[6]WantList!$O$2:$O$2000,0)</f>
        <v>#N/A</v>
      </c>
      <c r="Z112" s="34">
        <f>MATCH(X112,[6]WantListWorkFile!$A$2:$A$244,0)</f>
        <v>122</v>
      </c>
      <c r="AJ112" s="34" t="s">
        <v>278</v>
      </c>
    </row>
    <row r="113" spans="1:36" ht="14.65" customHeight="1">
      <c r="A113" s="49">
        <v>1959</v>
      </c>
      <c r="B113" s="50" t="s">
        <v>13</v>
      </c>
      <c r="C113" s="41" t="s">
        <v>1962</v>
      </c>
      <c r="D113" s="51" t="s">
        <v>516</v>
      </c>
      <c r="E113" s="51" t="s">
        <v>454</v>
      </c>
      <c r="F113" s="51" t="s">
        <v>10</v>
      </c>
      <c r="G113" s="52">
        <v>0.05</v>
      </c>
      <c r="H113" s="52">
        <v>0.05</v>
      </c>
      <c r="I113" s="50">
        <v>1</v>
      </c>
      <c r="J113" s="50"/>
      <c r="K113" s="53"/>
      <c r="L113" s="53"/>
      <c r="M113" s="51"/>
      <c r="N113" s="51"/>
      <c r="P113" s="35" t="str">
        <f>IF(Nickels!B114&lt;&gt;" ",Nickels!A113&amp;" "&amp;Nickels!B113,Nickels!A113)</f>
        <v>1959 D</v>
      </c>
      <c r="V113" s="34">
        <f>MATCH(Nickels!$A113,[6]NickelMintage!A:A,0)</f>
        <v>157</v>
      </c>
      <c r="X113" s="46" t="str">
        <f t="shared" si="5"/>
        <v>1959 D</v>
      </c>
      <c r="Y113" s="35" t="e">
        <f>MATCH(X113,[6]WantList!$O$2:$O$2000,0)</f>
        <v>#N/A</v>
      </c>
      <c r="Z113" s="34">
        <f>MATCH(X113,[6]WantListWorkFile!$A$2:$A$244,0)</f>
        <v>124</v>
      </c>
      <c r="AJ113" s="34" t="s">
        <v>68</v>
      </c>
    </row>
    <row r="114" spans="1:36" ht="14.65" customHeight="1">
      <c r="A114" s="40">
        <v>1959</v>
      </c>
      <c r="B114" s="41" t="s">
        <v>13</v>
      </c>
      <c r="C114" s="41" t="s">
        <v>1962</v>
      </c>
      <c r="D114" s="42" t="s">
        <v>517</v>
      </c>
      <c r="E114" s="42" t="s">
        <v>454</v>
      </c>
      <c r="F114" s="42" t="s">
        <v>306</v>
      </c>
      <c r="G114" s="43">
        <v>0.05</v>
      </c>
      <c r="H114" s="43">
        <v>0.05</v>
      </c>
      <c r="I114" s="41">
        <v>1</v>
      </c>
      <c r="J114" s="41"/>
      <c r="K114" s="44"/>
      <c r="L114" s="44"/>
      <c r="M114" s="42"/>
      <c r="N114" s="42"/>
      <c r="P114" s="35" t="str">
        <f>IF(Nickels!B115&lt;&gt;" ",Nickels!A114&amp;" "&amp;Nickels!B114,Nickels!A114)</f>
        <v>1959 D</v>
      </c>
      <c r="V114" s="34">
        <f>MATCH(Nickels!$A114,[6]NickelMintage!A:A,0)</f>
        <v>157</v>
      </c>
      <c r="X114" s="46" t="str">
        <f t="shared" si="5"/>
        <v>1959 D</v>
      </c>
      <c r="Y114" s="35" t="e">
        <f>MATCH(X114,[6]WantList!$O$2:$O$2000,0)</f>
        <v>#N/A</v>
      </c>
      <c r="Z114" s="34">
        <f>MATCH(X114,[6]WantListWorkFile!$A$2:$A$244,0)</f>
        <v>124</v>
      </c>
      <c r="AJ114" s="34" t="s">
        <v>68</v>
      </c>
    </row>
    <row r="115" spans="1:36" ht="14.65" customHeight="1">
      <c r="A115" s="49">
        <v>1959</v>
      </c>
      <c r="B115" s="50" t="s">
        <v>13</v>
      </c>
      <c r="C115" s="41" t="s">
        <v>1962</v>
      </c>
      <c r="D115" s="51" t="s">
        <v>518</v>
      </c>
      <c r="E115" s="51" t="s">
        <v>454</v>
      </c>
      <c r="F115" s="51" t="s">
        <v>10</v>
      </c>
      <c r="G115" s="52">
        <v>0.05</v>
      </c>
      <c r="H115" s="52">
        <v>0.05</v>
      </c>
      <c r="I115" s="50">
        <v>1</v>
      </c>
      <c r="J115" s="50"/>
      <c r="K115" s="53"/>
      <c r="L115" s="53"/>
      <c r="M115" s="51"/>
      <c r="N115" s="51"/>
      <c r="P115" s="35" t="str">
        <f>IF(Nickels!B116&lt;&gt;" ",Nickels!A115&amp;" "&amp;Nickels!B115,Nickels!A115)</f>
        <v>1959 D</v>
      </c>
      <c r="V115" s="34">
        <f>MATCH(Nickels!$A115,[6]NickelMintage!A:A,0)</f>
        <v>157</v>
      </c>
      <c r="X115" s="46" t="str">
        <f t="shared" si="5"/>
        <v>1959 D</v>
      </c>
      <c r="Y115" s="35" t="e">
        <f>MATCH(X115,[6]WantList!$O$2:$O$2000,0)</f>
        <v>#N/A</v>
      </c>
      <c r="Z115" s="34">
        <f>MATCH(X115,[6]WantListWorkFile!$A$2:$A$244,0)</f>
        <v>124</v>
      </c>
      <c r="AJ115" s="34" t="s">
        <v>68</v>
      </c>
    </row>
    <row r="116" spans="1:36" ht="14.65" customHeight="1">
      <c r="A116" s="40">
        <v>1960</v>
      </c>
      <c r="B116" s="41" t="s">
        <v>13</v>
      </c>
      <c r="C116" s="41" t="s">
        <v>1962</v>
      </c>
      <c r="D116" s="42" t="s">
        <v>519</v>
      </c>
      <c r="E116" s="42" t="s">
        <v>454</v>
      </c>
      <c r="F116" s="42"/>
      <c r="G116" s="43">
        <v>0.05</v>
      </c>
      <c r="H116" s="43">
        <v>0.05</v>
      </c>
      <c r="I116" s="41">
        <v>1</v>
      </c>
      <c r="J116" s="41"/>
      <c r="K116" s="44"/>
      <c r="L116" s="44"/>
      <c r="M116" s="42"/>
      <c r="N116" s="42"/>
      <c r="P116" s="35" t="str">
        <f>IF(Nickels!B117&lt;&gt;" ",Nickels!A116&amp;" "&amp;Nickels!B116,Nickels!A116)</f>
        <v>1960 D</v>
      </c>
      <c r="V116" s="34">
        <f>MATCH(Nickels!$A116,[6]NickelMintage!A:A,0)</f>
        <v>159</v>
      </c>
      <c r="X116" s="46" t="str">
        <f t="shared" si="5"/>
        <v>1960 D</v>
      </c>
      <c r="Y116" s="35" t="e">
        <f>MATCH(X116,[6]WantList!$O$2:$O$2000,0)</f>
        <v>#N/A</v>
      </c>
      <c r="Z116" s="34">
        <f>MATCH(X116,[6]WantListWorkFile!$A$2:$A$244,0)</f>
        <v>126</v>
      </c>
      <c r="AJ116" s="34" t="s">
        <v>71</v>
      </c>
    </row>
    <row r="117" spans="1:36" ht="14.65" customHeight="1">
      <c r="A117" s="49">
        <v>1960</v>
      </c>
      <c r="B117" s="50" t="s">
        <v>13</v>
      </c>
      <c r="C117" s="41" t="s">
        <v>1962</v>
      </c>
      <c r="D117" s="51" t="s">
        <v>520</v>
      </c>
      <c r="E117" s="51" t="s">
        <v>454</v>
      </c>
      <c r="F117" s="51"/>
      <c r="G117" s="52">
        <v>0.05</v>
      </c>
      <c r="H117" s="52">
        <v>0.05</v>
      </c>
      <c r="I117" s="50">
        <v>1</v>
      </c>
      <c r="J117" s="50"/>
      <c r="K117" s="53"/>
      <c r="L117" s="53"/>
      <c r="M117" s="51"/>
      <c r="N117" s="51"/>
      <c r="P117" s="35" t="str">
        <f>IF(Nickels!B118&lt;&gt;" ",Nickels!A117&amp;" "&amp;Nickels!B117,Nickels!A117)</f>
        <v>1960 D</v>
      </c>
      <c r="V117" s="34">
        <f>MATCH(Nickels!$A117,[6]NickelMintage!A:A,0)</f>
        <v>159</v>
      </c>
      <c r="X117" s="46" t="str">
        <f t="shared" si="5"/>
        <v>1960 D</v>
      </c>
      <c r="Y117" s="35" t="e">
        <f>MATCH(X117,[6]WantList!$O$2:$O$2000,0)</f>
        <v>#N/A</v>
      </c>
      <c r="Z117" s="34">
        <f>MATCH(X117,[6]WantListWorkFile!$A$2:$A$244,0)</f>
        <v>126</v>
      </c>
      <c r="AJ117" s="34" t="s">
        <v>71</v>
      </c>
    </row>
    <row r="118" spans="1:36" ht="14.65" customHeight="1">
      <c r="A118" s="40">
        <v>1960</v>
      </c>
      <c r="B118" s="41" t="s">
        <v>13</v>
      </c>
      <c r="C118" s="41" t="s">
        <v>1962</v>
      </c>
      <c r="D118" s="42" t="s">
        <v>521</v>
      </c>
      <c r="E118" s="42" t="s">
        <v>454</v>
      </c>
      <c r="F118" s="42"/>
      <c r="G118" s="43">
        <v>0.05</v>
      </c>
      <c r="H118" s="43">
        <v>0.05</v>
      </c>
      <c r="I118" s="41">
        <v>1</v>
      </c>
      <c r="J118" s="41"/>
      <c r="K118" s="44"/>
      <c r="L118" s="44"/>
      <c r="M118" s="42"/>
      <c r="N118" s="42"/>
      <c r="P118" s="35" t="str">
        <f>IF(Nickels!B119&lt;&gt;" ",Nickels!A118&amp;" "&amp;Nickels!B118,Nickels!A118)</f>
        <v>1960 D</v>
      </c>
      <c r="V118" s="34">
        <f>MATCH(Nickels!$A118,[6]NickelMintage!A:A,0)</f>
        <v>159</v>
      </c>
      <c r="X118" s="46" t="str">
        <f t="shared" si="5"/>
        <v>1960 D</v>
      </c>
      <c r="Y118" s="35" t="e">
        <f>MATCH(X118,[6]WantList!$O$2:$O$2000,0)</f>
        <v>#N/A</v>
      </c>
      <c r="Z118" s="34">
        <f>MATCH(X118,[6]WantListWorkFile!$A$2:$A$244,0)</f>
        <v>126</v>
      </c>
      <c r="AJ118" s="34" t="s">
        <v>71</v>
      </c>
    </row>
    <row r="119" spans="1:36" ht="14.65" customHeight="1">
      <c r="A119" s="49">
        <v>1961</v>
      </c>
      <c r="B119" s="50"/>
      <c r="C119" s="41" t="s">
        <v>1962</v>
      </c>
      <c r="D119" s="51" t="s">
        <v>522</v>
      </c>
      <c r="E119" s="51" t="s">
        <v>454</v>
      </c>
      <c r="F119" s="51"/>
      <c r="G119" s="52">
        <v>0.05</v>
      </c>
      <c r="H119" s="52">
        <v>0.05</v>
      </c>
      <c r="I119" s="50">
        <v>1</v>
      </c>
      <c r="J119" s="50"/>
      <c r="K119" s="53"/>
      <c r="L119" s="53"/>
      <c r="M119" s="51"/>
      <c r="N119" s="51"/>
      <c r="P119" s="35" t="str">
        <f>IF(Nickels!B120&lt;&gt;" ",Nickels!A119&amp;" "&amp;Nickels!B119,Nickels!A119)</f>
        <v xml:space="preserve">1961 </v>
      </c>
      <c r="V119" s="34">
        <f>MATCH(Nickels!$A119,[6]NickelMintage!A:A,0)</f>
        <v>161</v>
      </c>
      <c r="X119" s="46">
        <f t="shared" si="5"/>
        <v>1961</v>
      </c>
      <c r="Y119" s="35">
        <f>MATCH(X119,[6]WantList!$O$2:$O$2000,0)</f>
        <v>111</v>
      </c>
      <c r="Z119" s="34">
        <f>MATCH(X119,[6]WantListWorkFile!$A$2:$A$244,0)</f>
        <v>127</v>
      </c>
      <c r="AJ119" s="34" t="s">
        <v>523</v>
      </c>
    </row>
    <row r="120" spans="1:36" ht="14.65" customHeight="1">
      <c r="A120" s="40">
        <v>1961</v>
      </c>
      <c r="B120" s="41" t="s">
        <v>13</v>
      </c>
      <c r="C120" s="41" t="s">
        <v>1962</v>
      </c>
      <c r="D120" s="42" t="s">
        <v>524</v>
      </c>
      <c r="E120" s="42" t="s">
        <v>454</v>
      </c>
      <c r="F120" s="42"/>
      <c r="G120" s="43">
        <v>0.05</v>
      </c>
      <c r="H120" s="43">
        <v>0.05</v>
      </c>
      <c r="I120" s="41">
        <v>1</v>
      </c>
      <c r="J120" s="41"/>
      <c r="K120" s="44"/>
      <c r="L120" s="44"/>
      <c r="M120" s="42"/>
      <c r="N120" s="42"/>
      <c r="P120" s="35" t="str">
        <f>IF(Nickels!B121&lt;&gt;" ",Nickels!A120&amp;" "&amp;Nickels!B120,Nickels!A120)</f>
        <v>1961 D</v>
      </c>
      <c r="V120" s="34">
        <f>MATCH(Nickels!$A120,[6]NickelMintage!A:A,0)</f>
        <v>161</v>
      </c>
      <c r="X120" s="46" t="str">
        <f t="shared" si="5"/>
        <v>1961 D</v>
      </c>
      <c r="Y120" s="35" t="e">
        <f>MATCH(X120,[6]WantList!$O$2:$O$2000,0)</f>
        <v>#N/A</v>
      </c>
      <c r="Z120" s="34">
        <f>MATCH(X120,[6]WantListWorkFile!$A$2:$A$244,0)</f>
        <v>128</v>
      </c>
      <c r="AJ120" s="34" t="s">
        <v>74</v>
      </c>
    </row>
    <row r="121" spans="1:36" ht="14.65" customHeight="1">
      <c r="A121" s="49">
        <v>1961</v>
      </c>
      <c r="B121" s="50" t="s">
        <v>13</v>
      </c>
      <c r="C121" s="41" t="s">
        <v>1962</v>
      </c>
      <c r="D121" s="51" t="s">
        <v>525</v>
      </c>
      <c r="E121" s="51" t="s">
        <v>454</v>
      </c>
      <c r="F121" s="51"/>
      <c r="G121" s="52">
        <v>0.05</v>
      </c>
      <c r="H121" s="52">
        <v>0.05</v>
      </c>
      <c r="I121" s="50">
        <v>1</v>
      </c>
      <c r="J121" s="50"/>
      <c r="K121" s="53"/>
      <c r="L121" s="53"/>
      <c r="M121" s="51"/>
      <c r="N121" s="51"/>
      <c r="P121" s="35" t="str">
        <f>IF(Nickels!B122&lt;&gt;" ",Nickels!A121&amp;" "&amp;Nickels!B121,Nickels!A121)</f>
        <v>1961 D</v>
      </c>
      <c r="V121" s="34">
        <f>MATCH(Nickels!$A121,[6]NickelMintage!A:A,0)</f>
        <v>161</v>
      </c>
      <c r="X121" s="46" t="str">
        <f t="shared" si="5"/>
        <v>1961 D</v>
      </c>
      <c r="Y121" s="35" t="e">
        <f>MATCH(X121,[6]WantList!$O$2:$O$2000,0)</f>
        <v>#N/A</v>
      </c>
      <c r="Z121" s="34">
        <f>MATCH(X121,[6]WantListWorkFile!$A$2:$A$244,0)</f>
        <v>128</v>
      </c>
      <c r="AJ121" s="34" t="s">
        <v>74</v>
      </c>
    </row>
    <row r="122" spans="1:36" ht="14.65" customHeight="1">
      <c r="A122" s="40">
        <v>1961</v>
      </c>
      <c r="B122" s="41" t="s">
        <v>13</v>
      </c>
      <c r="C122" s="41" t="s">
        <v>1962</v>
      </c>
      <c r="D122" s="42" t="s">
        <v>526</v>
      </c>
      <c r="E122" s="42" t="s">
        <v>454</v>
      </c>
      <c r="F122" s="42"/>
      <c r="G122" s="43">
        <v>0.05</v>
      </c>
      <c r="H122" s="43">
        <v>0.05</v>
      </c>
      <c r="I122" s="41">
        <v>1</v>
      </c>
      <c r="J122" s="41"/>
      <c r="K122" s="44"/>
      <c r="L122" s="44"/>
      <c r="M122" s="42"/>
      <c r="N122" s="42"/>
      <c r="P122" s="35" t="str">
        <f>IF(Nickels!B123&lt;&gt;" ",Nickels!A122&amp;" "&amp;Nickels!B122,Nickels!A122)</f>
        <v>1961 D</v>
      </c>
      <c r="V122" s="34">
        <f>MATCH(Nickels!$A122,[6]NickelMintage!A:A,0)</f>
        <v>161</v>
      </c>
      <c r="X122" s="46" t="str">
        <f t="shared" si="5"/>
        <v>1961 D</v>
      </c>
      <c r="Y122" s="35" t="e">
        <f>MATCH(X122,[6]WantList!$O$2:$O$2000,0)</f>
        <v>#N/A</v>
      </c>
      <c r="Z122" s="34">
        <f>MATCH(X122,[6]WantListWorkFile!$A$2:$A$244,0)</f>
        <v>128</v>
      </c>
      <c r="AJ122" s="34" t="s">
        <v>74</v>
      </c>
    </row>
    <row r="123" spans="1:36" ht="14.65" customHeight="1">
      <c r="A123" s="49">
        <v>1961</v>
      </c>
      <c r="B123" s="50" t="s">
        <v>13</v>
      </c>
      <c r="C123" s="41" t="s">
        <v>1962</v>
      </c>
      <c r="D123" s="51" t="s">
        <v>527</v>
      </c>
      <c r="E123" s="51" t="s">
        <v>454</v>
      </c>
      <c r="F123" s="51"/>
      <c r="G123" s="52">
        <v>0.05</v>
      </c>
      <c r="H123" s="52">
        <v>0.05</v>
      </c>
      <c r="I123" s="50">
        <v>1</v>
      </c>
      <c r="J123" s="50"/>
      <c r="K123" s="53"/>
      <c r="L123" s="53"/>
      <c r="M123" s="51"/>
      <c r="N123" s="51"/>
      <c r="P123" s="35" t="str">
        <f>IF(Nickels!B124&lt;&gt;" ",Nickels!A123&amp;" "&amp;Nickels!B123,Nickels!A123)</f>
        <v>1961 D</v>
      </c>
      <c r="V123" s="34">
        <f>MATCH(Nickels!$A123,[6]NickelMintage!A:A,0)</f>
        <v>161</v>
      </c>
      <c r="X123" s="46" t="str">
        <f t="shared" si="5"/>
        <v>1961 D</v>
      </c>
      <c r="Y123" s="35" t="e">
        <f>MATCH(X123,[6]WantList!$O$2:$O$2000,0)</f>
        <v>#N/A</v>
      </c>
      <c r="Z123" s="34">
        <f>MATCH(X123,[6]WantListWorkFile!$A$2:$A$244,0)</f>
        <v>128</v>
      </c>
      <c r="AJ123" s="34" t="s">
        <v>74</v>
      </c>
    </row>
    <row r="124" spans="1:36" ht="14.65" customHeight="1">
      <c r="A124" s="40">
        <v>1961</v>
      </c>
      <c r="B124" s="41" t="s">
        <v>13</v>
      </c>
      <c r="C124" s="41" t="s">
        <v>1962</v>
      </c>
      <c r="D124" s="42" t="s">
        <v>528</v>
      </c>
      <c r="E124" s="42" t="s">
        <v>454</v>
      </c>
      <c r="F124" s="42"/>
      <c r="G124" s="43">
        <v>0.05</v>
      </c>
      <c r="H124" s="43">
        <v>0.05</v>
      </c>
      <c r="I124" s="41">
        <v>1</v>
      </c>
      <c r="J124" s="41"/>
      <c r="K124" s="44"/>
      <c r="L124" s="44"/>
      <c r="M124" s="42"/>
      <c r="N124" s="42"/>
      <c r="P124" s="35" t="str">
        <f>IF(Nickels!B125&lt;&gt;" ",Nickels!A124&amp;" "&amp;Nickels!B124,Nickels!A124)</f>
        <v>1961 D</v>
      </c>
      <c r="V124" s="34">
        <f>MATCH(Nickels!$A124,[6]NickelMintage!A:A,0)</f>
        <v>161</v>
      </c>
      <c r="X124" s="46" t="str">
        <f t="shared" si="5"/>
        <v>1961 D</v>
      </c>
      <c r="Y124" s="35" t="e">
        <f>MATCH(X124,[6]WantList!$O$2:$O$2000,0)</f>
        <v>#N/A</v>
      </c>
      <c r="Z124" s="34">
        <f>MATCH(X124,[6]WantListWorkFile!$A$2:$A$244,0)</f>
        <v>128</v>
      </c>
      <c r="AJ124" s="34" t="s">
        <v>74</v>
      </c>
    </row>
    <row r="125" spans="1:36" ht="14.65" customHeight="1">
      <c r="A125" s="49">
        <v>1962</v>
      </c>
      <c r="B125" s="50"/>
      <c r="C125" s="41" t="s">
        <v>1962</v>
      </c>
      <c r="D125" s="51" t="s">
        <v>529</v>
      </c>
      <c r="E125" s="51" t="s">
        <v>454</v>
      </c>
      <c r="F125" s="51"/>
      <c r="G125" s="52">
        <v>0.05</v>
      </c>
      <c r="H125" s="52">
        <v>0.05</v>
      </c>
      <c r="I125" s="50">
        <v>1</v>
      </c>
      <c r="J125" s="50"/>
      <c r="K125" s="53"/>
      <c r="L125" s="53"/>
      <c r="M125" s="51"/>
      <c r="N125" s="51"/>
      <c r="P125" s="35" t="str">
        <f>IF(Nickels!B126&lt;&gt;" ",Nickels!A125&amp;" "&amp;Nickels!B125,Nickels!A125)</f>
        <v xml:space="preserve">1962 </v>
      </c>
      <c r="V125" s="34">
        <f>MATCH(Nickels!$A125,[6]NickelMintage!A:A,0)</f>
        <v>163</v>
      </c>
      <c r="X125" s="46">
        <f t="shared" si="5"/>
        <v>1962</v>
      </c>
      <c r="Y125" s="35">
        <f>MATCH(X125,[6]WantList!$O$2:$O$2000,0)</f>
        <v>117</v>
      </c>
      <c r="Z125" s="34">
        <f>MATCH(X125,[6]WantListWorkFile!$A$2:$A$244,0)</f>
        <v>129</v>
      </c>
      <c r="AJ125" s="34" t="s">
        <v>530</v>
      </c>
    </row>
    <row r="126" spans="1:36" ht="14.65" customHeight="1">
      <c r="A126" s="40">
        <v>1962</v>
      </c>
      <c r="B126" s="41"/>
      <c r="C126" s="41" t="s">
        <v>1962</v>
      </c>
      <c r="D126" s="42" t="s">
        <v>531</v>
      </c>
      <c r="E126" s="42" t="s">
        <v>454</v>
      </c>
      <c r="F126" s="42"/>
      <c r="G126" s="43">
        <v>0.05</v>
      </c>
      <c r="H126" s="43">
        <v>0.05</v>
      </c>
      <c r="I126" s="41">
        <v>1</v>
      </c>
      <c r="J126" s="41"/>
      <c r="K126" s="44"/>
      <c r="L126" s="44"/>
      <c r="M126" s="42"/>
      <c r="N126" s="42"/>
      <c r="P126" s="35" t="str">
        <f>IF(Nickels!B127&lt;&gt;" ",Nickels!A126&amp;" "&amp;Nickels!B126,Nickels!A126)</f>
        <v xml:space="preserve">1962 </v>
      </c>
      <c r="V126" s="34">
        <f>MATCH(Nickels!$A126,[6]NickelMintage!A:A,0)</f>
        <v>163</v>
      </c>
      <c r="X126" s="46">
        <f t="shared" si="5"/>
        <v>1962</v>
      </c>
      <c r="Y126" s="35">
        <f>MATCH(X126,[6]WantList!$O$2:$O$2000,0)</f>
        <v>117</v>
      </c>
      <c r="Z126" s="34">
        <f>MATCH(X126,[6]WantListWorkFile!$A$2:$A$244,0)</f>
        <v>129</v>
      </c>
      <c r="AJ126" s="34" t="s">
        <v>530</v>
      </c>
    </row>
    <row r="127" spans="1:36" ht="14.65" customHeight="1">
      <c r="A127" s="49">
        <v>1962</v>
      </c>
      <c r="B127" s="50" t="s">
        <v>13</v>
      </c>
      <c r="C127" s="41" t="s">
        <v>1962</v>
      </c>
      <c r="D127" s="51" t="s">
        <v>532</v>
      </c>
      <c r="E127" s="51" t="s">
        <v>454</v>
      </c>
      <c r="F127" s="51"/>
      <c r="G127" s="52">
        <v>0.05</v>
      </c>
      <c r="H127" s="52">
        <v>0.05</v>
      </c>
      <c r="I127" s="50">
        <v>1</v>
      </c>
      <c r="J127" s="50"/>
      <c r="K127" s="53"/>
      <c r="L127" s="53"/>
      <c r="M127" s="51"/>
      <c r="N127" s="51"/>
      <c r="P127" s="35" t="str">
        <f>IF(Nickels!B128&lt;&gt;" ",Nickels!A127&amp;" "&amp;Nickels!B127,Nickels!A127)</f>
        <v>1962 D</v>
      </c>
      <c r="V127" s="34">
        <f>MATCH(Nickels!$A127,[6]NickelMintage!A:A,0)</f>
        <v>163</v>
      </c>
      <c r="X127" s="46" t="str">
        <f t="shared" si="5"/>
        <v>1962 D</v>
      </c>
      <c r="Y127" s="35" t="e">
        <f>MATCH(X127,[6]WantList!$O$2:$O$2000,0)</f>
        <v>#N/A</v>
      </c>
      <c r="Z127" s="34">
        <f>MATCH(X127,[6]WantListWorkFile!$A$2:$A$244,0)</f>
        <v>130</v>
      </c>
      <c r="AJ127" s="34" t="s">
        <v>76</v>
      </c>
    </row>
    <row r="128" spans="1:36" ht="14.65" customHeight="1">
      <c r="A128" s="40">
        <v>1962</v>
      </c>
      <c r="B128" s="41" t="s">
        <v>13</v>
      </c>
      <c r="C128" s="41" t="s">
        <v>1962</v>
      </c>
      <c r="D128" s="42" t="s">
        <v>533</v>
      </c>
      <c r="E128" s="42" t="s">
        <v>454</v>
      </c>
      <c r="F128" s="42"/>
      <c r="G128" s="43">
        <v>0.05</v>
      </c>
      <c r="H128" s="43">
        <v>0.05</v>
      </c>
      <c r="I128" s="41">
        <v>1</v>
      </c>
      <c r="J128" s="41"/>
      <c r="K128" s="44"/>
      <c r="L128" s="44"/>
      <c r="M128" s="42"/>
      <c r="N128" s="42"/>
      <c r="P128" s="35" t="str">
        <f>IF(Nickels!B129&lt;&gt;" ",Nickels!A128&amp;" "&amp;Nickels!B128,Nickels!A128)</f>
        <v>1962 D</v>
      </c>
      <c r="V128" s="34">
        <f>MATCH(Nickels!$A128,[6]NickelMintage!A:A,0)</f>
        <v>163</v>
      </c>
      <c r="X128" s="46" t="str">
        <f t="shared" si="5"/>
        <v>1962 D</v>
      </c>
      <c r="Y128" s="35" t="e">
        <f>MATCH(X128,[6]WantList!$O$2:$O$2000,0)</f>
        <v>#N/A</v>
      </c>
      <c r="Z128" s="34">
        <f>MATCH(X128,[6]WantListWorkFile!$A$2:$A$244,0)</f>
        <v>130</v>
      </c>
      <c r="AJ128" s="34" t="s">
        <v>76</v>
      </c>
    </row>
    <row r="129" spans="1:36" ht="14.65" customHeight="1">
      <c r="A129" s="49">
        <v>1963</v>
      </c>
      <c r="B129" s="50"/>
      <c r="C129" s="41" t="s">
        <v>1962</v>
      </c>
      <c r="D129" s="51" t="s">
        <v>534</v>
      </c>
      <c r="E129" s="51" t="s">
        <v>454</v>
      </c>
      <c r="F129" s="51"/>
      <c r="G129" s="52">
        <v>0.05</v>
      </c>
      <c r="H129" s="52">
        <v>0.05</v>
      </c>
      <c r="I129" s="50">
        <v>1</v>
      </c>
      <c r="J129" s="50"/>
      <c r="K129" s="53"/>
      <c r="L129" s="53"/>
      <c r="M129" s="51"/>
      <c r="N129" s="51"/>
      <c r="P129" s="35" t="str">
        <f>IF(Nickels!B130&lt;&gt;" ",Nickels!A129&amp;" "&amp;Nickels!B129,Nickels!A129)</f>
        <v xml:space="preserve">1963 </v>
      </c>
      <c r="V129" s="34">
        <f>MATCH(Nickels!$A129,[6]NickelMintage!A:A,0)</f>
        <v>165</v>
      </c>
      <c r="X129" s="46">
        <f t="shared" si="5"/>
        <v>1963</v>
      </c>
      <c r="Y129" s="35">
        <f>MATCH(X129,[6]WantList!$O$2:$O$2000,0)</f>
        <v>121</v>
      </c>
      <c r="Z129" s="34">
        <f>MATCH(X129,[6]WantListWorkFile!$A$2:$A$244,0)</f>
        <v>131</v>
      </c>
      <c r="AJ129" s="34" t="s">
        <v>535</v>
      </c>
    </row>
    <row r="130" spans="1:36" ht="14.65" customHeight="1">
      <c r="A130" s="40">
        <v>1963</v>
      </c>
      <c r="B130" s="41"/>
      <c r="C130" s="41" t="s">
        <v>1962</v>
      </c>
      <c r="D130" s="42" t="s">
        <v>536</v>
      </c>
      <c r="E130" s="42" t="s">
        <v>454</v>
      </c>
      <c r="F130" s="42"/>
      <c r="G130" s="43">
        <v>0.05</v>
      </c>
      <c r="H130" s="43">
        <v>0.05</v>
      </c>
      <c r="I130" s="41">
        <v>1</v>
      </c>
      <c r="J130" s="41"/>
      <c r="K130" s="44"/>
      <c r="L130" s="44"/>
      <c r="M130" s="42"/>
      <c r="N130" s="42"/>
      <c r="P130" s="35" t="str">
        <f>IF(Nickels!B131&lt;&gt;" ",Nickels!A130&amp;" "&amp;Nickels!B130,Nickels!A130)</f>
        <v xml:space="preserve">1963 </v>
      </c>
      <c r="V130" s="34">
        <f>MATCH(Nickels!$A130,[6]NickelMintage!A:A,0)</f>
        <v>165</v>
      </c>
      <c r="X130" s="46">
        <f t="shared" si="5"/>
        <v>1963</v>
      </c>
      <c r="Y130" s="35">
        <f>MATCH(X130,[6]WantList!$O$2:$O$2000,0)</f>
        <v>121</v>
      </c>
      <c r="Z130" s="34">
        <f>MATCH(X130,[6]WantListWorkFile!$A$2:$A$244,0)</f>
        <v>131</v>
      </c>
      <c r="AJ130" s="34" t="s">
        <v>535</v>
      </c>
    </row>
    <row r="131" spans="1:36" ht="14.65" customHeight="1">
      <c r="A131" s="49">
        <v>1963</v>
      </c>
      <c r="B131" s="50"/>
      <c r="C131" s="41" t="s">
        <v>1962</v>
      </c>
      <c r="D131" s="51" t="s">
        <v>537</v>
      </c>
      <c r="E131" s="51" t="s">
        <v>454</v>
      </c>
      <c r="F131" s="51"/>
      <c r="G131" s="52">
        <v>0.05</v>
      </c>
      <c r="H131" s="52">
        <v>0.05</v>
      </c>
      <c r="I131" s="50">
        <v>1</v>
      </c>
      <c r="J131" s="50"/>
      <c r="K131" s="53"/>
      <c r="L131" s="53"/>
      <c r="M131" s="51"/>
      <c r="N131" s="51"/>
      <c r="P131" s="35" t="str">
        <f>IF(Nickels!B132&lt;&gt;" ",Nickels!A131&amp;" "&amp;Nickels!B131,Nickels!A131)</f>
        <v xml:space="preserve">1963 </v>
      </c>
      <c r="V131" s="34">
        <f>MATCH(Nickels!$A131,[6]NickelMintage!A:A,0)</f>
        <v>165</v>
      </c>
      <c r="X131" s="46">
        <f t="shared" si="5"/>
        <v>1963</v>
      </c>
      <c r="Y131" s="35">
        <f>MATCH(X131,[6]WantList!$O$2:$O$2000,0)</f>
        <v>121</v>
      </c>
      <c r="Z131" s="34">
        <f>MATCH(X131,[6]WantListWorkFile!$A$2:$A$244,0)</f>
        <v>131</v>
      </c>
      <c r="AJ131" s="34" t="s">
        <v>535</v>
      </c>
    </row>
    <row r="132" spans="1:36" ht="14.65" customHeight="1">
      <c r="A132" s="40">
        <v>1963</v>
      </c>
      <c r="B132" s="41" t="s">
        <v>13</v>
      </c>
      <c r="C132" s="41" t="s">
        <v>1962</v>
      </c>
      <c r="D132" s="42" t="s">
        <v>538</v>
      </c>
      <c r="E132" s="42" t="s">
        <v>454</v>
      </c>
      <c r="F132" s="42"/>
      <c r="G132" s="43">
        <v>0.05</v>
      </c>
      <c r="H132" s="43">
        <v>0.05</v>
      </c>
      <c r="I132" s="41">
        <v>1</v>
      </c>
      <c r="J132" s="41"/>
      <c r="K132" s="44"/>
      <c r="L132" s="44"/>
      <c r="M132" s="42"/>
      <c r="N132" s="42"/>
      <c r="P132" s="35" t="str">
        <f>IF(Nickels!B133&lt;&gt;" ",Nickels!A132&amp;" "&amp;Nickels!B132,Nickels!A132)</f>
        <v>1963 D</v>
      </c>
      <c r="V132" s="34">
        <f>MATCH(Nickels!$A132,[6]NickelMintage!A:A,0)</f>
        <v>165</v>
      </c>
      <c r="X132" s="46" t="str">
        <f t="shared" si="5"/>
        <v>1963 D</v>
      </c>
      <c r="Y132" s="35" t="e">
        <f>MATCH(X132,[6]WantList!$O$2:$O$2000,0)</f>
        <v>#N/A</v>
      </c>
      <c r="Z132" s="34">
        <f>MATCH(X132,[6]WantListWorkFile!$A$2:$A$244,0)</f>
        <v>132</v>
      </c>
      <c r="AJ132" s="34" t="s">
        <v>79</v>
      </c>
    </row>
    <row r="133" spans="1:36" ht="14.65" customHeight="1">
      <c r="A133" s="49">
        <v>1963</v>
      </c>
      <c r="B133" s="50" t="s">
        <v>13</v>
      </c>
      <c r="C133" s="41" t="s">
        <v>1962</v>
      </c>
      <c r="D133" s="51" t="s">
        <v>539</v>
      </c>
      <c r="E133" s="51" t="s">
        <v>454</v>
      </c>
      <c r="F133" s="51"/>
      <c r="G133" s="52">
        <v>0.05</v>
      </c>
      <c r="H133" s="52">
        <v>0.05</v>
      </c>
      <c r="I133" s="50">
        <v>1</v>
      </c>
      <c r="J133" s="50"/>
      <c r="K133" s="53"/>
      <c r="L133" s="53"/>
      <c r="M133" s="51"/>
      <c r="N133" s="51"/>
      <c r="P133" s="35" t="str">
        <f>IF(Nickels!B134&lt;&gt;" ",Nickels!A133&amp;" "&amp;Nickels!B133,Nickels!A133)</f>
        <v>1963 D</v>
      </c>
      <c r="V133" s="34">
        <f>MATCH(Nickels!$A133,[6]NickelMintage!A:A,0)</f>
        <v>165</v>
      </c>
      <c r="X133" s="46" t="str">
        <f t="shared" si="5"/>
        <v>1963 D</v>
      </c>
      <c r="Y133" s="35" t="e">
        <f>MATCH(X133,[6]WantList!$O$2:$O$2000,0)</f>
        <v>#N/A</v>
      </c>
      <c r="Z133" s="34">
        <f>MATCH(X133,[6]WantListWorkFile!$A$2:$A$244,0)</f>
        <v>132</v>
      </c>
      <c r="AJ133" s="34" t="s">
        <v>79</v>
      </c>
    </row>
    <row r="134" spans="1:36" ht="14.65" customHeight="1">
      <c r="A134" s="40">
        <v>1963</v>
      </c>
      <c r="B134" s="41" t="s">
        <v>13</v>
      </c>
      <c r="C134" s="41" t="s">
        <v>1962</v>
      </c>
      <c r="D134" s="42" t="s">
        <v>540</v>
      </c>
      <c r="E134" s="42" t="s">
        <v>454</v>
      </c>
      <c r="F134" s="42"/>
      <c r="G134" s="43">
        <v>0.05</v>
      </c>
      <c r="H134" s="43">
        <v>0.05</v>
      </c>
      <c r="I134" s="41">
        <v>1</v>
      </c>
      <c r="J134" s="41"/>
      <c r="K134" s="44"/>
      <c r="L134" s="44"/>
      <c r="M134" s="42"/>
      <c r="N134" s="42"/>
      <c r="P134" s="35" t="str">
        <f>IF(Nickels!B135&lt;&gt;" ",Nickels!A134&amp;" "&amp;Nickels!B134,Nickels!A134)</f>
        <v>1963 D</v>
      </c>
      <c r="V134" s="34">
        <f>MATCH(Nickels!$A134,[6]NickelMintage!A:A,0)</f>
        <v>165</v>
      </c>
      <c r="X134" s="46" t="str">
        <f t="shared" si="5"/>
        <v>1963 D</v>
      </c>
      <c r="Y134" s="35" t="e">
        <f>MATCH(X134,[6]WantList!$O$2:$O$2000,0)</f>
        <v>#N/A</v>
      </c>
      <c r="Z134" s="34">
        <f>MATCH(X134,[6]WantListWorkFile!$A$2:$A$244,0)</f>
        <v>132</v>
      </c>
      <c r="AJ134" s="34" t="s">
        <v>79</v>
      </c>
    </row>
    <row r="135" spans="1:36" ht="14.65" customHeight="1">
      <c r="A135" s="49">
        <v>1963</v>
      </c>
      <c r="B135" s="50"/>
      <c r="C135" s="41" t="s">
        <v>1962</v>
      </c>
      <c r="D135" s="51" t="s">
        <v>541</v>
      </c>
      <c r="E135" s="51" t="s">
        <v>454</v>
      </c>
      <c r="F135" s="51"/>
      <c r="G135" s="52">
        <v>0.05</v>
      </c>
      <c r="H135" s="52">
        <v>0.05</v>
      </c>
      <c r="I135" s="50">
        <v>1</v>
      </c>
      <c r="J135" s="50"/>
      <c r="K135" s="53"/>
      <c r="L135" s="53"/>
      <c r="M135" s="51"/>
      <c r="N135" s="51"/>
      <c r="P135" s="35" t="str">
        <f>IF(Nickels!B136&lt;&gt;" ",Nickels!A135&amp;" "&amp;Nickels!B135,Nickels!A135)</f>
        <v xml:space="preserve">1963 </v>
      </c>
      <c r="V135" s="34">
        <f>MATCH(Nickels!$A135,[6]NickelMintage!A:A,0)</f>
        <v>165</v>
      </c>
      <c r="X135" s="46">
        <f t="shared" si="5"/>
        <v>1963</v>
      </c>
      <c r="Y135" s="35">
        <f>MATCH(X135,[6]WantList!$O$2:$O$2000,0)</f>
        <v>121</v>
      </c>
      <c r="Z135" s="34">
        <f>MATCH(X135,[6]WantListWorkFile!$A$2:$A$244,0)</f>
        <v>131</v>
      </c>
      <c r="AJ135" s="34" t="s">
        <v>535</v>
      </c>
    </row>
    <row r="136" spans="1:36" ht="14.65" customHeight="1">
      <c r="A136" s="40">
        <v>1964</v>
      </c>
      <c r="B136" s="41"/>
      <c r="C136" s="41" t="s">
        <v>1962</v>
      </c>
      <c r="D136" s="42" t="s">
        <v>542</v>
      </c>
      <c r="E136" s="42" t="s">
        <v>454</v>
      </c>
      <c r="F136" s="42"/>
      <c r="G136" s="43">
        <v>0.05</v>
      </c>
      <c r="H136" s="43">
        <v>0.05</v>
      </c>
      <c r="I136" s="41">
        <v>1</v>
      </c>
      <c r="J136" s="41"/>
      <c r="K136" s="44"/>
      <c r="L136" s="44"/>
      <c r="M136" s="42"/>
      <c r="N136" s="42"/>
      <c r="P136" s="35" t="str">
        <f>IF(Nickels!B137&lt;&gt;" ",Nickels!A136&amp;" "&amp;Nickels!B136,Nickels!A136)</f>
        <v xml:space="preserve">1964 </v>
      </c>
      <c r="V136" s="34">
        <f>MATCH(Nickels!$A136,[6]NickelMintage!A:A,0)</f>
        <v>167</v>
      </c>
      <c r="X136" s="46">
        <f t="shared" si="5"/>
        <v>1964</v>
      </c>
      <c r="Y136" s="35">
        <f>MATCH(X136,[6]WantList!$O$2:$O$2000,0)</f>
        <v>128</v>
      </c>
      <c r="Z136" s="34">
        <f>MATCH(X136,[6]WantListWorkFile!$A$2:$A$244,0)</f>
        <v>133</v>
      </c>
      <c r="AJ136" s="34" t="s">
        <v>543</v>
      </c>
    </row>
    <row r="137" spans="1:36" ht="14.65" customHeight="1">
      <c r="A137" s="49">
        <v>1964</v>
      </c>
      <c r="B137" s="50"/>
      <c r="C137" s="41" t="s">
        <v>1962</v>
      </c>
      <c r="D137" s="51" t="s">
        <v>544</v>
      </c>
      <c r="E137" s="51" t="s">
        <v>454</v>
      </c>
      <c r="F137" s="51"/>
      <c r="G137" s="52">
        <v>0.05</v>
      </c>
      <c r="H137" s="52">
        <v>0.05</v>
      </c>
      <c r="I137" s="50">
        <v>1</v>
      </c>
      <c r="J137" s="50"/>
      <c r="K137" s="53"/>
      <c r="L137" s="53"/>
      <c r="M137" s="51"/>
      <c r="N137" s="51"/>
      <c r="P137" s="35" t="str">
        <f>IF(Nickels!B138&lt;&gt;" ",Nickels!A137&amp;" "&amp;Nickels!B137,Nickels!A137)</f>
        <v xml:space="preserve">1964 </v>
      </c>
      <c r="V137" s="34">
        <f>MATCH(Nickels!$A137,[6]NickelMintage!A:A,0)</f>
        <v>167</v>
      </c>
      <c r="X137" s="46">
        <f t="shared" si="5"/>
        <v>1964</v>
      </c>
      <c r="Y137" s="35">
        <f>MATCH(X137,[6]WantList!$O$2:$O$2000,0)</f>
        <v>128</v>
      </c>
      <c r="Z137" s="34">
        <f>MATCH(X137,[6]WantListWorkFile!$A$2:$A$244,0)</f>
        <v>133</v>
      </c>
      <c r="AJ137" s="34" t="s">
        <v>543</v>
      </c>
    </row>
    <row r="138" spans="1:36" ht="14.65" customHeight="1">
      <c r="A138" s="40">
        <v>1964</v>
      </c>
      <c r="B138" s="41"/>
      <c r="C138" s="41" t="s">
        <v>1962</v>
      </c>
      <c r="D138" s="42" t="s">
        <v>545</v>
      </c>
      <c r="E138" s="42" t="s">
        <v>454</v>
      </c>
      <c r="F138" s="42"/>
      <c r="G138" s="43">
        <v>0.05</v>
      </c>
      <c r="H138" s="43">
        <v>0.05</v>
      </c>
      <c r="I138" s="41">
        <v>1</v>
      </c>
      <c r="J138" s="41"/>
      <c r="K138" s="44"/>
      <c r="L138" s="44"/>
      <c r="M138" s="42"/>
      <c r="N138" s="42"/>
      <c r="P138" s="35" t="str">
        <f>IF(Nickels!B139&lt;&gt;" ",Nickels!A138&amp;" "&amp;Nickels!B138,Nickels!A138)</f>
        <v xml:space="preserve">1964 </v>
      </c>
      <c r="V138" s="34">
        <f>MATCH(Nickels!$A138,[6]NickelMintage!A:A,0)</f>
        <v>167</v>
      </c>
      <c r="X138" s="46">
        <f t="shared" si="5"/>
        <v>1964</v>
      </c>
      <c r="Y138" s="35">
        <f>MATCH(X138,[6]WantList!$O$2:$O$2000,0)</f>
        <v>128</v>
      </c>
      <c r="Z138" s="34">
        <f>MATCH(X138,[6]WantListWorkFile!$A$2:$A$244,0)</f>
        <v>133</v>
      </c>
      <c r="AJ138" s="34" t="s">
        <v>543</v>
      </c>
    </row>
    <row r="139" spans="1:36" ht="14.65" customHeight="1">
      <c r="A139" s="49">
        <v>1964</v>
      </c>
      <c r="B139" s="50"/>
      <c r="C139" s="41" t="s">
        <v>1962</v>
      </c>
      <c r="D139" s="51" t="s">
        <v>546</v>
      </c>
      <c r="E139" s="51" t="s">
        <v>454</v>
      </c>
      <c r="F139" s="51"/>
      <c r="G139" s="52">
        <v>0.05</v>
      </c>
      <c r="H139" s="52">
        <v>0.05</v>
      </c>
      <c r="I139" s="50">
        <v>1</v>
      </c>
      <c r="J139" s="50"/>
      <c r="K139" s="53"/>
      <c r="L139" s="53"/>
      <c r="M139" s="51"/>
      <c r="N139" s="51"/>
      <c r="P139" s="35" t="str">
        <f>IF(Nickels!B140&lt;&gt;" ",Nickels!A139&amp;" "&amp;Nickels!B139,Nickels!A139)</f>
        <v xml:space="preserve">1964 </v>
      </c>
      <c r="V139" s="34">
        <f>MATCH(Nickels!$A139,[6]NickelMintage!A:A,0)</f>
        <v>167</v>
      </c>
      <c r="X139" s="46">
        <f t="shared" si="5"/>
        <v>1964</v>
      </c>
      <c r="Y139" s="35">
        <f>MATCH(X139,[6]WantList!$O$2:$O$2000,0)</f>
        <v>128</v>
      </c>
      <c r="Z139" s="34">
        <f>MATCH(X139,[6]WantListWorkFile!$A$2:$A$244,0)</f>
        <v>133</v>
      </c>
      <c r="AJ139" s="34" t="s">
        <v>543</v>
      </c>
    </row>
    <row r="140" spans="1:36" ht="14.65" customHeight="1">
      <c r="A140" s="40">
        <v>1964</v>
      </c>
      <c r="B140" s="41"/>
      <c r="C140" s="41" t="s">
        <v>1962</v>
      </c>
      <c r="D140" s="42" t="s">
        <v>547</v>
      </c>
      <c r="E140" s="42" t="s">
        <v>454</v>
      </c>
      <c r="F140" s="42"/>
      <c r="G140" s="43">
        <v>0.05</v>
      </c>
      <c r="H140" s="43">
        <v>0.05</v>
      </c>
      <c r="I140" s="41">
        <v>1</v>
      </c>
      <c r="J140" s="41"/>
      <c r="K140" s="44"/>
      <c r="L140" s="44"/>
      <c r="M140" s="42"/>
      <c r="N140" s="42"/>
      <c r="P140" s="35" t="str">
        <f>IF(Nickels!B141&lt;&gt;" ",Nickels!A140&amp;" "&amp;Nickels!B140,Nickels!A140)</f>
        <v xml:space="preserve">1964 </v>
      </c>
      <c r="V140" s="34">
        <f>MATCH(Nickels!$A140,[6]NickelMintage!A:A,0)</f>
        <v>167</v>
      </c>
      <c r="X140" s="46">
        <f t="shared" si="5"/>
        <v>1964</v>
      </c>
      <c r="Y140" s="35">
        <f>MATCH(X140,[6]WantList!$O$2:$O$2000,0)</f>
        <v>128</v>
      </c>
      <c r="Z140" s="34">
        <f>MATCH(X140,[6]WantListWorkFile!$A$2:$A$244,0)</f>
        <v>133</v>
      </c>
      <c r="AJ140" s="34" t="s">
        <v>543</v>
      </c>
    </row>
    <row r="141" spans="1:36" ht="14.65" customHeight="1">
      <c r="A141" s="49">
        <v>1964</v>
      </c>
      <c r="B141" s="50"/>
      <c r="C141" s="41" t="s">
        <v>1962</v>
      </c>
      <c r="D141" s="51" t="s">
        <v>548</v>
      </c>
      <c r="E141" s="51" t="s">
        <v>454</v>
      </c>
      <c r="F141" s="51"/>
      <c r="G141" s="52">
        <v>0.05</v>
      </c>
      <c r="H141" s="52">
        <v>0.05</v>
      </c>
      <c r="I141" s="50">
        <v>1</v>
      </c>
      <c r="J141" s="50"/>
      <c r="K141" s="53"/>
      <c r="L141" s="53"/>
      <c r="M141" s="51"/>
      <c r="N141" s="51"/>
      <c r="P141" s="35" t="str">
        <f>IF(Nickels!B142&lt;&gt;" ",Nickels!A141&amp;" "&amp;Nickels!B141,Nickels!A141)</f>
        <v xml:space="preserve">1964 </v>
      </c>
      <c r="V141" s="34">
        <f>MATCH(Nickels!$A141,[6]NickelMintage!A:A,0)</f>
        <v>167</v>
      </c>
      <c r="X141" s="46">
        <f t="shared" si="5"/>
        <v>1964</v>
      </c>
      <c r="Y141" s="35">
        <f>MATCH(X141,[6]WantList!$O$2:$O$2000,0)</f>
        <v>128</v>
      </c>
      <c r="Z141" s="34">
        <f>MATCH(X141,[6]WantListWorkFile!$A$2:$A$244,0)</f>
        <v>133</v>
      </c>
      <c r="AJ141" s="34" t="s">
        <v>543</v>
      </c>
    </row>
    <row r="142" spans="1:36" ht="14.65" customHeight="1">
      <c r="A142" s="40">
        <v>1964</v>
      </c>
      <c r="B142" s="41"/>
      <c r="C142" s="41" t="s">
        <v>1962</v>
      </c>
      <c r="D142" s="42" t="s">
        <v>549</v>
      </c>
      <c r="E142" s="42" t="s">
        <v>454</v>
      </c>
      <c r="F142" s="42"/>
      <c r="G142" s="43">
        <v>0.05</v>
      </c>
      <c r="H142" s="43">
        <v>0.05</v>
      </c>
      <c r="I142" s="41">
        <v>1</v>
      </c>
      <c r="J142" s="41"/>
      <c r="K142" s="44"/>
      <c r="L142" s="44"/>
      <c r="M142" s="42"/>
      <c r="N142" s="42"/>
      <c r="P142" s="35" t="str">
        <f>IF(Nickels!B143&lt;&gt;" ",Nickels!A142&amp;" "&amp;Nickels!B142,Nickels!A142)</f>
        <v xml:space="preserve">1964 </v>
      </c>
      <c r="V142" s="34">
        <f>MATCH(Nickels!$A142,[6]NickelMintage!A:A,0)</f>
        <v>167</v>
      </c>
      <c r="X142" s="46">
        <f t="shared" si="5"/>
        <v>1964</v>
      </c>
      <c r="Y142" s="35">
        <f>MATCH(X142,[6]WantList!$O$2:$O$2000,0)</f>
        <v>128</v>
      </c>
      <c r="Z142" s="34">
        <f>MATCH(X142,[6]WantListWorkFile!$A$2:$A$244,0)</f>
        <v>133</v>
      </c>
      <c r="AJ142" s="34" t="s">
        <v>543</v>
      </c>
    </row>
    <row r="143" spans="1:36" ht="14.65" customHeight="1">
      <c r="A143" s="49">
        <v>1964</v>
      </c>
      <c r="B143" s="50"/>
      <c r="C143" s="41" t="s">
        <v>1962</v>
      </c>
      <c r="D143" s="51" t="s">
        <v>550</v>
      </c>
      <c r="E143" s="51" t="s">
        <v>454</v>
      </c>
      <c r="F143" s="51"/>
      <c r="G143" s="52">
        <v>0.05</v>
      </c>
      <c r="H143" s="52">
        <v>0.05</v>
      </c>
      <c r="I143" s="50">
        <v>1</v>
      </c>
      <c r="J143" s="50"/>
      <c r="K143" s="53"/>
      <c r="L143" s="53"/>
      <c r="M143" s="51"/>
      <c r="N143" s="51"/>
      <c r="P143" s="35" t="str">
        <f>IF(Nickels!B144&lt;&gt;" ",Nickels!A143&amp;" "&amp;Nickels!B143,Nickels!A143)</f>
        <v xml:space="preserve">1964 </v>
      </c>
      <c r="V143" s="34">
        <f>MATCH(Nickels!$A143,[6]NickelMintage!A:A,0)</f>
        <v>167</v>
      </c>
      <c r="X143" s="46">
        <f t="shared" si="5"/>
        <v>1964</v>
      </c>
      <c r="Y143" s="35">
        <f>MATCH(X143,[6]WantList!$O$2:$O$2000,0)</f>
        <v>128</v>
      </c>
      <c r="Z143" s="34">
        <f>MATCH(X143,[6]WantListWorkFile!$A$2:$A$244,0)</f>
        <v>133</v>
      </c>
      <c r="AJ143" s="34" t="s">
        <v>543</v>
      </c>
    </row>
    <row r="144" spans="1:36" ht="14.65" customHeight="1">
      <c r="A144" s="40">
        <v>1964</v>
      </c>
      <c r="B144" s="41"/>
      <c r="C144" s="41" t="s">
        <v>1962</v>
      </c>
      <c r="D144" s="42" t="s">
        <v>551</v>
      </c>
      <c r="E144" s="42" t="s">
        <v>454</v>
      </c>
      <c r="F144" s="42"/>
      <c r="G144" s="43">
        <v>0.05</v>
      </c>
      <c r="H144" s="43">
        <v>0.05</v>
      </c>
      <c r="I144" s="41">
        <v>1</v>
      </c>
      <c r="J144" s="41"/>
      <c r="K144" s="44"/>
      <c r="L144" s="44"/>
      <c r="M144" s="42"/>
      <c r="N144" s="42"/>
      <c r="P144" s="35" t="str">
        <f>IF(Nickels!B145&lt;&gt;" ",Nickels!A144&amp;" "&amp;Nickels!B144,Nickels!A144)</f>
        <v xml:space="preserve">1964 </v>
      </c>
      <c r="V144" s="34">
        <f>MATCH(Nickels!$A144,[6]NickelMintage!A:A,0)</f>
        <v>167</v>
      </c>
      <c r="X144" s="46">
        <f t="shared" si="5"/>
        <v>1964</v>
      </c>
      <c r="Y144" s="35">
        <f>MATCH(X144,[6]WantList!$O$2:$O$2000,0)</f>
        <v>128</v>
      </c>
      <c r="Z144" s="34">
        <f>MATCH(X144,[6]WantListWorkFile!$A$2:$A$244,0)</f>
        <v>133</v>
      </c>
      <c r="AJ144" s="34" t="s">
        <v>543</v>
      </c>
    </row>
    <row r="145" spans="1:36" ht="14.65" customHeight="1">
      <c r="A145" s="49">
        <v>1964</v>
      </c>
      <c r="B145" s="50"/>
      <c r="C145" s="41" t="s">
        <v>1962</v>
      </c>
      <c r="D145" s="51" t="s">
        <v>552</v>
      </c>
      <c r="E145" s="51" t="s">
        <v>454</v>
      </c>
      <c r="F145" s="51"/>
      <c r="G145" s="52">
        <v>0.05</v>
      </c>
      <c r="H145" s="52">
        <v>0.05</v>
      </c>
      <c r="I145" s="50">
        <v>1</v>
      </c>
      <c r="J145" s="50"/>
      <c r="K145" s="53"/>
      <c r="L145" s="53"/>
      <c r="M145" s="51"/>
      <c r="N145" s="51"/>
      <c r="P145" s="35" t="str">
        <f>IF(Nickels!B146&lt;&gt;" ",Nickels!A145&amp;" "&amp;Nickels!B145,Nickels!A145)</f>
        <v xml:space="preserve">1964 </v>
      </c>
      <c r="V145" s="34">
        <f>MATCH(Nickels!$A145,[6]NickelMintage!A:A,0)</f>
        <v>167</v>
      </c>
      <c r="X145" s="46">
        <f t="shared" si="5"/>
        <v>1964</v>
      </c>
      <c r="Y145" s="35">
        <f>MATCH(X145,[6]WantList!$O$2:$O$2000,0)</f>
        <v>128</v>
      </c>
      <c r="Z145" s="34">
        <f>MATCH(X145,[6]WantListWorkFile!$A$2:$A$244,0)</f>
        <v>133</v>
      </c>
      <c r="AJ145" s="34" t="s">
        <v>543</v>
      </c>
    </row>
    <row r="146" spans="1:36" ht="14.65" customHeight="1">
      <c r="A146" s="40">
        <v>1964</v>
      </c>
      <c r="B146" s="41" t="s">
        <v>13</v>
      </c>
      <c r="C146" s="41" t="s">
        <v>1962</v>
      </c>
      <c r="D146" s="42" t="s">
        <v>553</v>
      </c>
      <c r="E146" s="42" t="s">
        <v>454</v>
      </c>
      <c r="F146" s="42"/>
      <c r="G146" s="43">
        <v>0.05</v>
      </c>
      <c r="H146" s="43">
        <v>0.05</v>
      </c>
      <c r="I146" s="41">
        <v>1</v>
      </c>
      <c r="J146" s="41"/>
      <c r="K146" s="44"/>
      <c r="L146" s="44"/>
      <c r="M146" s="42"/>
      <c r="N146" s="42"/>
      <c r="P146" s="35" t="str">
        <f>IF(Nickels!B147&lt;&gt;" ",Nickels!A146&amp;" "&amp;Nickels!B146,Nickels!A146)</f>
        <v>1964 D</v>
      </c>
      <c r="V146" s="34">
        <f>MATCH(Nickels!$A146,[6]NickelMintage!A:A,0)</f>
        <v>167</v>
      </c>
      <c r="X146" s="46" t="str">
        <f t="shared" si="5"/>
        <v>1964 D</v>
      </c>
      <c r="Y146" s="35" t="e">
        <f>MATCH(X146,[6]WantList!$O$2:$O$2000,0)</f>
        <v>#N/A</v>
      </c>
      <c r="Z146" s="34">
        <f>MATCH(X146,[6]WantListWorkFile!$A$2:$A$244,0)</f>
        <v>134</v>
      </c>
      <c r="AJ146" s="34" t="s">
        <v>554</v>
      </c>
    </row>
    <row r="147" spans="1:36" ht="14.65" customHeight="1">
      <c r="A147" s="49">
        <v>1964</v>
      </c>
      <c r="B147" s="50" t="s">
        <v>13</v>
      </c>
      <c r="C147" s="41" t="s">
        <v>1962</v>
      </c>
      <c r="D147" s="51" t="s">
        <v>555</v>
      </c>
      <c r="E147" s="51" t="s">
        <v>454</v>
      </c>
      <c r="F147" s="51"/>
      <c r="G147" s="52">
        <v>0.05</v>
      </c>
      <c r="H147" s="52">
        <v>0.05</v>
      </c>
      <c r="I147" s="50">
        <v>1</v>
      </c>
      <c r="J147" s="50"/>
      <c r="K147" s="53"/>
      <c r="L147" s="53"/>
      <c r="M147" s="51"/>
      <c r="N147" s="51"/>
      <c r="P147" s="35" t="str">
        <f>IF(Nickels!B148&lt;&gt;" ",Nickels!A147&amp;" "&amp;Nickels!B147,Nickels!A147)</f>
        <v>1964 D</v>
      </c>
      <c r="V147" s="34">
        <f>MATCH(Nickels!$A147,[6]NickelMintage!A:A,0)</f>
        <v>167</v>
      </c>
      <c r="X147" s="46" t="str">
        <f t="shared" si="5"/>
        <v>1964 D</v>
      </c>
      <c r="Y147" s="35" t="e">
        <f>MATCH(X147,[6]WantList!$O$2:$O$2000,0)</f>
        <v>#N/A</v>
      </c>
      <c r="Z147" s="34">
        <f>MATCH(X147,[6]WantListWorkFile!$A$2:$A$244,0)</f>
        <v>134</v>
      </c>
      <c r="AJ147" s="34" t="s">
        <v>554</v>
      </c>
    </row>
    <row r="148" spans="1:36" ht="14.65" customHeight="1">
      <c r="A148" s="40">
        <v>1964</v>
      </c>
      <c r="B148" s="41" t="s">
        <v>13</v>
      </c>
      <c r="C148" s="41" t="s">
        <v>1962</v>
      </c>
      <c r="D148" s="42" t="s">
        <v>556</v>
      </c>
      <c r="E148" s="42" t="s">
        <v>454</v>
      </c>
      <c r="F148" s="42"/>
      <c r="G148" s="43">
        <v>0.05</v>
      </c>
      <c r="H148" s="43">
        <v>0.05</v>
      </c>
      <c r="I148" s="41">
        <v>1</v>
      </c>
      <c r="J148" s="41"/>
      <c r="K148" s="44"/>
      <c r="L148" s="44"/>
      <c r="M148" s="42"/>
      <c r="N148" s="42"/>
      <c r="P148" s="35" t="str">
        <f>IF(Nickels!B149&lt;&gt;" ",Nickels!A148&amp;" "&amp;Nickels!B148,Nickels!A148)</f>
        <v>1964 D</v>
      </c>
      <c r="V148" s="34">
        <f>MATCH(Nickels!$A148,[6]NickelMintage!A:A,0)</f>
        <v>167</v>
      </c>
      <c r="X148" s="46" t="str">
        <f t="shared" si="5"/>
        <v>1964 D</v>
      </c>
      <c r="Y148" s="35" t="e">
        <f>MATCH(X148,[6]WantList!$O$2:$O$2000,0)</f>
        <v>#N/A</v>
      </c>
      <c r="Z148" s="34">
        <f>MATCH(X148,[6]WantListWorkFile!$A$2:$A$244,0)</f>
        <v>134</v>
      </c>
      <c r="AJ148" s="34" t="s">
        <v>554</v>
      </c>
    </row>
    <row r="149" spans="1:36" ht="14.65" customHeight="1">
      <c r="A149" s="49">
        <v>1964</v>
      </c>
      <c r="B149" s="50" t="s">
        <v>13</v>
      </c>
      <c r="C149" s="41" t="s">
        <v>1962</v>
      </c>
      <c r="D149" s="51" t="s">
        <v>557</v>
      </c>
      <c r="E149" s="51" t="s">
        <v>454</v>
      </c>
      <c r="F149" s="51"/>
      <c r="G149" s="52">
        <v>0.05</v>
      </c>
      <c r="H149" s="52">
        <v>0.05</v>
      </c>
      <c r="I149" s="50">
        <v>1</v>
      </c>
      <c r="J149" s="50"/>
      <c r="K149" s="53"/>
      <c r="L149" s="53"/>
      <c r="M149" s="51"/>
      <c r="N149" s="51"/>
      <c r="P149" s="35" t="str">
        <f>IF(Nickels!B150&lt;&gt;" ",Nickels!A149&amp;" "&amp;Nickels!B149,Nickels!A149)</f>
        <v>1964 D</v>
      </c>
      <c r="V149" s="34">
        <f>MATCH(Nickels!$A149,[6]NickelMintage!A:A,0)</f>
        <v>167</v>
      </c>
      <c r="X149" s="46" t="str">
        <f t="shared" si="5"/>
        <v>1964 D</v>
      </c>
      <c r="Y149" s="35" t="e">
        <f>MATCH(X149,[6]WantList!$O$2:$O$2000,0)</f>
        <v>#N/A</v>
      </c>
      <c r="Z149" s="34">
        <f>MATCH(X149,[6]WantListWorkFile!$A$2:$A$244,0)</f>
        <v>134</v>
      </c>
      <c r="AJ149" s="34" t="s">
        <v>554</v>
      </c>
    </row>
    <row r="150" spans="1:36" ht="14.65" customHeight="1">
      <c r="A150" s="40">
        <v>1964</v>
      </c>
      <c r="B150" s="41" t="s">
        <v>13</v>
      </c>
      <c r="C150" s="41" t="s">
        <v>1962</v>
      </c>
      <c r="D150" s="42" t="s">
        <v>558</v>
      </c>
      <c r="E150" s="42" t="s">
        <v>454</v>
      </c>
      <c r="F150" s="42"/>
      <c r="G150" s="43">
        <v>0.05</v>
      </c>
      <c r="H150" s="43">
        <v>0.05</v>
      </c>
      <c r="I150" s="41">
        <v>1</v>
      </c>
      <c r="J150" s="41"/>
      <c r="K150" s="44"/>
      <c r="L150" s="44"/>
      <c r="M150" s="42"/>
      <c r="N150" s="42"/>
      <c r="P150" s="35" t="str">
        <f>IF(Nickels!B151&lt;&gt;" ",Nickels!A150&amp;" "&amp;Nickels!B150,Nickels!A150)</f>
        <v>1964 D</v>
      </c>
      <c r="V150" s="34">
        <f>MATCH(Nickels!$A150,[6]NickelMintage!A:A,0)</f>
        <v>167</v>
      </c>
      <c r="X150" s="46" t="str">
        <f t="shared" si="5"/>
        <v>1964 D</v>
      </c>
      <c r="Y150" s="35" t="e">
        <f>MATCH(X150,[6]WantList!$O$2:$O$2000,0)</f>
        <v>#N/A</v>
      </c>
      <c r="Z150" s="34">
        <f>MATCH(X150,[6]WantListWorkFile!$A$2:$A$244,0)</f>
        <v>134</v>
      </c>
      <c r="AJ150" s="34" t="s">
        <v>554</v>
      </c>
    </row>
    <row r="151" spans="1:36" ht="14.65" customHeight="1">
      <c r="A151" s="49">
        <v>1964</v>
      </c>
      <c r="B151" s="50" t="s">
        <v>13</v>
      </c>
      <c r="C151" s="41" t="s">
        <v>1962</v>
      </c>
      <c r="D151" s="51" t="s">
        <v>559</v>
      </c>
      <c r="E151" s="51" t="s">
        <v>454</v>
      </c>
      <c r="F151" s="51"/>
      <c r="G151" s="52">
        <v>0.05</v>
      </c>
      <c r="H151" s="52">
        <v>0.05</v>
      </c>
      <c r="I151" s="50">
        <v>1</v>
      </c>
      <c r="J151" s="50"/>
      <c r="K151" s="53"/>
      <c r="L151" s="53"/>
      <c r="M151" s="51"/>
      <c r="N151" s="51"/>
      <c r="P151" s="35" t="str">
        <f>IF(Nickels!B152&lt;&gt;" ",Nickels!A151&amp;" "&amp;Nickels!B151,Nickels!A151)</f>
        <v>1964 D</v>
      </c>
      <c r="V151" s="34">
        <f>MATCH(Nickels!$A151,[6]NickelMintage!A:A,0)</f>
        <v>167</v>
      </c>
      <c r="X151" s="46" t="str">
        <f t="shared" si="5"/>
        <v>1964 D</v>
      </c>
      <c r="Y151" s="35" t="e">
        <f>MATCH(X151,[6]WantList!$O$2:$O$2000,0)</f>
        <v>#N/A</v>
      </c>
      <c r="Z151" s="34">
        <f>MATCH(X151,[6]WantListWorkFile!$A$2:$A$244,0)</f>
        <v>134</v>
      </c>
      <c r="AJ151" s="34" t="s">
        <v>554</v>
      </c>
    </row>
    <row r="152" spans="1:36" ht="14.65" customHeight="1">
      <c r="A152" s="40">
        <v>1964</v>
      </c>
      <c r="B152" s="41" t="s">
        <v>13</v>
      </c>
      <c r="C152" s="41" t="s">
        <v>1962</v>
      </c>
      <c r="D152" s="42" t="s">
        <v>560</v>
      </c>
      <c r="E152" s="42" t="s">
        <v>454</v>
      </c>
      <c r="F152" s="42"/>
      <c r="G152" s="43">
        <v>0.05</v>
      </c>
      <c r="H152" s="43">
        <v>0.05</v>
      </c>
      <c r="I152" s="41">
        <v>1</v>
      </c>
      <c r="J152" s="41"/>
      <c r="K152" s="44"/>
      <c r="L152" s="44"/>
      <c r="M152" s="42"/>
      <c r="N152" s="42"/>
      <c r="P152" s="35" t="str">
        <f>IF(Nickels!B153&lt;&gt;" ",Nickels!A152&amp;" "&amp;Nickels!B152,Nickels!A152)</f>
        <v>1964 D</v>
      </c>
      <c r="V152" s="34">
        <f>MATCH(Nickels!$A152,[6]NickelMintage!A:A,0)</f>
        <v>167</v>
      </c>
      <c r="X152" s="46" t="str">
        <f t="shared" si="5"/>
        <v>1964 D</v>
      </c>
      <c r="Y152" s="35" t="e">
        <f>MATCH(X152,[6]WantList!$O$2:$O$2000,0)</f>
        <v>#N/A</v>
      </c>
      <c r="Z152" s="34">
        <f>MATCH(X152,[6]WantListWorkFile!$A$2:$A$244,0)</f>
        <v>134</v>
      </c>
      <c r="AJ152" s="34" t="s">
        <v>554</v>
      </c>
    </row>
    <row r="153" spans="1:36" ht="14.65" customHeight="1">
      <c r="A153" s="49">
        <v>1964</v>
      </c>
      <c r="B153" s="50" t="s">
        <v>13</v>
      </c>
      <c r="C153" s="41" t="s">
        <v>1962</v>
      </c>
      <c r="D153" s="51" t="s">
        <v>561</v>
      </c>
      <c r="E153" s="51" t="s">
        <v>454</v>
      </c>
      <c r="F153" s="51"/>
      <c r="G153" s="52">
        <v>0.05</v>
      </c>
      <c r="H153" s="52">
        <v>0.05</v>
      </c>
      <c r="I153" s="50">
        <v>1</v>
      </c>
      <c r="J153" s="50"/>
      <c r="K153" s="53"/>
      <c r="L153" s="53"/>
      <c r="M153" s="51"/>
      <c r="N153" s="51"/>
      <c r="P153" s="35" t="str">
        <f>IF(Nickels!B154&lt;&gt;" ",Nickels!A153&amp;" "&amp;Nickels!B153,Nickels!A153)</f>
        <v>1964 D</v>
      </c>
      <c r="V153" s="34">
        <f>MATCH(Nickels!$A153,[6]NickelMintage!A:A,0)</f>
        <v>167</v>
      </c>
      <c r="X153" s="46" t="str">
        <f t="shared" si="5"/>
        <v>1964 D</v>
      </c>
      <c r="Y153" s="35" t="e">
        <f>MATCH(X153,[6]WantList!$O$2:$O$2000,0)</f>
        <v>#N/A</v>
      </c>
      <c r="Z153" s="34">
        <f>MATCH(X153,[6]WantListWorkFile!$A$2:$A$244,0)</f>
        <v>134</v>
      </c>
      <c r="AJ153" s="34" t="s">
        <v>554</v>
      </c>
    </row>
    <row r="154" spans="1:36" ht="14.65" customHeight="1">
      <c r="A154" s="40">
        <v>1964</v>
      </c>
      <c r="B154" s="41" t="s">
        <v>13</v>
      </c>
      <c r="C154" s="41" t="s">
        <v>1962</v>
      </c>
      <c r="D154" s="42" t="s">
        <v>562</v>
      </c>
      <c r="E154" s="42" t="s">
        <v>454</v>
      </c>
      <c r="F154" s="42"/>
      <c r="G154" s="43">
        <v>0.05</v>
      </c>
      <c r="H154" s="43">
        <v>0.05</v>
      </c>
      <c r="I154" s="41">
        <v>1</v>
      </c>
      <c r="J154" s="41"/>
      <c r="K154" s="44"/>
      <c r="L154" s="44"/>
      <c r="M154" s="42"/>
      <c r="N154" s="42"/>
      <c r="P154" s="35" t="str">
        <f>IF(Nickels!B155&lt;&gt;" ",Nickels!A154&amp;" "&amp;Nickels!B154,Nickels!A154)</f>
        <v>1964 D</v>
      </c>
      <c r="V154" s="34">
        <f>MATCH(Nickels!$A154,[6]NickelMintage!A:A,0)</f>
        <v>167</v>
      </c>
      <c r="X154" s="46" t="str">
        <f t="shared" si="5"/>
        <v>1964 D</v>
      </c>
      <c r="Y154" s="35" t="e">
        <f>MATCH(X154,[6]WantList!$O$2:$O$2000,0)</f>
        <v>#N/A</v>
      </c>
      <c r="Z154" s="34">
        <f>MATCH(X154,[6]WantListWorkFile!$A$2:$A$244,0)</f>
        <v>134</v>
      </c>
      <c r="AJ154" s="34" t="s">
        <v>554</v>
      </c>
    </row>
    <row r="155" spans="1:36" ht="14.65" customHeight="1">
      <c r="A155" s="49">
        <v>1964</v>
      </c>
      <c r="B155" s="50" t="s">
        <v>13</v>
      </c>
      <c r="C155" s="41" t="s">
        <v>1962</v>
      </c>
      <c r="D155" s="51" t="s">
        <v>563</v>
      </c>
      <c r="E155" s="51" t="s">
        <v>454</v>
      </c>
      <c r="F155" s="51"/>
      <c r="G155" s="52">
        <v>0.05</v>
      </c>
      <c r="H155" s="52">
        <v>0.05</v>
      </c>
      <c r="I155" s="50">
        <v>1</v>
      </c>
      <c r="J155" s="50"/>
      <c r="K155" s="53"/>
      <c r="L155" s="53"/>
      <c r="M155" s="51"/>
      <c r="N155" s="51"/>
      <c r="P155" s="35" t="str">
        <f>IF(Nickels!B156&lt;&gt;" ",Nickels!A155&amp;" "&amp;Nickels!B155,Nickels!A155)</f>
        <v>1964 D</v>
      </c>
      <c r="V155" s="34">
        <f>MATCH(Nickels!$A155,[6]NickelMintage!A:A,0)</f>
        <v>167</v>
      </c>
      <c r="X155" s="46" t="str">
        <f t="shared" si="5"/>
        <v>1964 D</v>
      </c>
      <c r="Y155" s="35" t="e">
        <f>MATCH(X155,[6]WantList!$O$2:$O$2000,0)</f>
        <v>#N/A</v>
      </c>
      <c r="Z155" s="34">
        <f>MATCH(X155,[6]WantListWorkFile!$A$2:$A$244,0)</f>
        <v>134</v>
      </c>
      <c r="AJ155" s="34" t="s">
        <v>554</v>
      </c>
    </row>
    <row r="156" spans="1:36" ht="14.65" customHeight="1">
      <c r="A156" s="40">
        <v>1964</v>
      </c>
      <c r="B156" s="41" t="s">
        <v>13</v>
      </c>
      <c r="C156" s="41" t="s">
        <v>1962</v>
      </c>
      <c r="D156" s="42" t="s">
        <v>564</v>
      </c>
      <c r="E156" s="42" t="s">
        <v>454</v>
      </c>
      <c r="F156" s="42"/>
      <c r="G156" s="43">
        <v>0.05</v>
      </c>
      <c r="H156" s="43">
        <v>0.05</v>
      </c>
      <c r="I156" s="41">
        <v>1</v>
      </c>
      <c r="J156" s="41"/>
      <c r="K156" s="44"/>
      <c r="L156" s="44"/>
      <c r="M156" s="42"/>
      <c r="N156" s="42"/>
      <c r="P156" s="35" t="str">
        <f>IF(Nickels!B157&lt;&gt;" ",Nickels!A156&amp;" "&amp;Nickels!B156,Nickels!A156)</f>
        <v>1964 D</v>
      </c>
      <c r="V156" s="34">
        <f>MATCH(Nickels!$A156,[6]NickelMintage!A:A,0)</f>
        <v>167</v>
      </c>
      <c r="X156" s="46" t="str">
        <f t="shared" si="5"/>
        <v>1964 D</v>
      </c>
      <c r="Y156" s="35" t="e">
        <f>MATCH(X156,[6]WantList!$O$2:$O$2000,0)</f>
        <v>#N/A</v>
      </c>
      <c r="Z156" s="34">
        <f>MATCH(X156,[6]WantListWorkFile!$A$2:$A$244,0)</f>
        <v>134</v>
      </c>
      <c r="AJ156" s="34" t="s">
        <v>554</v>
      </c>
    </row>
    <row r="157" spans="1:36" ht="14.65" customHeight="1">
      <c r="A157" s="49">
        <v>1964</v>
      </c>
      <c r="B157" s="50" t="s">
        <v>13</v>
      </c>
      <c r="C157" s="41" t="s">
        <v>1962</v>
      </c>
      <c r="D157" s="51" t="s">
        <v>565</v>
      </c>
      <c r="E157" s="51" t="s">
        <v>454</v>
      </c>
      <c r="F157" s="51"/>
      <c r="G157" s="52">
        <v>0.05</v>
      </c>
      <c r="H157" s="52">
        <v>0.05</v>
      </c>
      <c r="I157" s="50">
        <v>1</v>
      </c>
      <c r="J157" s="50"/>
      <c r="K157" s="53"/>
      <c r="L157" s="53"/>
      <c r="M157" s="51"/>
      <c r="N157" s="51"/>
      <c r="P157" s="35" t="str">
        <f>IF(Nickels!B158&lt;&gt;" ",Nickels!A157&amp;" "&amp;Nickels!B157,Nickels!A157)</f>
        <v>1964 D</v>
      </c>
      <c r="V157" s="34">
        <f>MATCH(Nickels!$A157,[6]NickelMintage!A:A,0)</f>
        <v>167</v>
      </c>
      <c r="X157" s="46" t="str">
        <f t="shared" si="5"/>
        <v>1964 D</v>
      </c>
      <c r="Y157" s="35" t="e">
        <f>MATCH(X157,[6]WantList!$O$2:$O$2000,0)</f>
        <v>#N/A</v>
      </c>
      <c r="Z157" s="34">
        <f>MATCH(X157,[6]WantListWorkFile!$A$2:$A$244,0)</f>
        <v>134</v>
      </c>
      <c r="AJ157" s="34" t="s">
        <v>554</v>
      </c>
    </row>
    <row r="158" spans="1:36" ht="14.65" customHeight="1">
      <c r="A158" s="40">
        <v>1965</v>
      </c>
      <c r="B158" s="41"/>
      <c r="C158" s="41" t="s">
        <v>1962</v>
      </c>
      <c r="D158" s="42" t="s">
        <v>566</v>
      </c>
      <c r="E158" s="42" t="s">
        <v>454</v>
      </c>
      <c r="F158" s="42"/>
      <c r="G158" s="43">
        <v>0.05</v>
      </c>
      <c r="H158" s="43">
        <v>0.05</v>
      </c>
      <c r="I158" s="41">
        <v>1</v>
      </c>
      <c r="J158" s="41"/>
      <c r="K158" s="44"/>
      <c r="L158" s="44"/>
      <c r="M158" s="42"/>
      <c r="N158" s="42"/>
      <c r="P158" s="35" t="str">
        <f>IF(Nickels!B159&lt;&gt;" ",Nickels!A158&amp;" "&amp;Nickels!B158,Nickels!A158)</f>
        <v xml:space="preserve">1965 </v>
      </c>
      <c r="V158" s="34">
        <f>MATCH(Nickels!$A158,[6]NickelMintage!A:A,0)</f>
        <v>169</v>
      </c>
      <c r="X158" s="46">
        <f t="shared" si="5"/>
        <v>1965</v>
      </c>
      <c r="Y158" s="35">
        <f>MATCH(X158,[6]WantList!$O$2:$O$2000,0)</f>
        <v>150</v>
      </c>
      <c r="Z158" s="34">
        <f>MATCH(X158,[6]WantListWorkFile!$A$2:$A$244,0)</f>
        <v>135</v>
      </c>
      <c r="AJ158" s="34" t="s">
        <v>567</v>
      </c>
    </row>
    <row r="159" spans="1:36" ht="14.65" customHeight="1">
      <c r="A159" s="49">
        <v>1966</v>
      </c>
      <c r="B159" s="50"/>
      <c r="C159" s="41" t="s">
        <v>1962</v>
      </c>
      <c r="D159" s="51" t="s">
        <v>568</v>
      </c>
      <c r="E159" s="51" t="s">
        <v>454</v>
      </c>
      <c r="F159" s="51"/>
      <c r="G159" s="52">
        <v>0.05</v>
      </c>
      <c r="H159" s="52">
        <v>0.05</v>
      </c>
      <c r="I159" s="50">
        <v>1</v>
      </c>
      <c r="J159" s="50"/>
      <c r="K159" s="53"/>
      <c r="L159" s="53"/>
      <c r="M159" s="51"/>
      <c r="N159" s="51"/>
      <c r="P159" s="35" t="str">
        <f>IF(Nickels!B160&lt;&gt;" ",Nickels!A159&amp;" "&amp;Nickels!B159,Nickels!A159)</f>
        <v xml:space="preserve">1966 </v>
      </c>
      <c r="V159" s="34">
        <f>MATCH(Nickels!$A159,[6]NickelMintage!A:A,0)</f>
        <v>170</v>
      </c>
      <c r="X159" s="46">
        <f t="shared" si="5"/>
        <v>1966</v>
      </c>
      <c r="Y159" s="35">
        <f>MATCH(X159,[6]WantList!$O$2:$O$2000,0)</f>
        <v>151</v>
      </c>
      <c r="Z159" s="34">
        <f>MATCH(X159,[6]WantListWorkFile!$A$2:$A$244,0)</f>
        <v>136</v>
      </c>
      <c r="AJ159" s="34" t="s">
        <v>569</v>
      </c>
    </row>
    <row r="160" spans="1:36" ht="14.65" customHeight="1">
      <c r="A160" s="40">
        <v>1966</v>
      </c>
      <c r="B160" s="41"/>
      <c r="C160" s="41" t="s">
        <v>1962</v>
      </c>
      <c r="D160" s="42" t="s">
        <v>570</v>
      </c>
      <c r="E160" s="42" t="s">
        <v>454</v>
      </c>
      <c r="F160" s="42"/>
      <c r="G160" s="43">
        <v>0.05</v>
      </c>
      <c r="H160" s="43">
        <v>0.05</v>
      </c>
      <c r="I160" s="41">
        <v>1</v>
      </c>
      <c r="J160" s="41"/>
      <c r="K160" s="44"/>
      <c r="L160" s="44"/>
      <c r="M160" s="42"/>
      <c r="N160" s="42"/>
      <c r="P160" s="35" t="str">
        <f>IF(Nickels!B161&lt;&gt;" ",Nickels!A160&amp;" "&amp;Nickels!B160,Nickels!A160)</f>
        <v xml:space="preserve">1966 </v>
      </c>
      <c r="V160" s="34">
        <f>MATCH(Nickels!$A160,[6]NickelMintage!A:A,0)</f>
        <v>170</v>
      </c>
      <c r="X160" s="46">
        <f t="shared" si="5"/>
        <v>1966</v>
      </c>
      <c r="Y160" s="35">
        <f>MATCH(X160,[6]WantList!$O$2:$O$2000,0)</f>
        <v>151</v>
      </c>
      <c r="Z160" s="34">
        <f>MATCH(X160,[6]WantListWorkFile!$A$2:$A$244,0)</f>
        <v>136</v>
      </c>
      <c r="AJ160" s="34" t="s">
        <v>569</v>
      </c>
    </row>
    <row r="161" spans="1:36" ht="14.65" customHeight="1">
      <c r="A161" s="49">
        <v>1967</v>
      </c>
      <c r="B161" s="50"/>
      <c r="C161" s="41" t="s">
        <v>1962</v>
      </c>
      <c r="D161" s="51" t="s">
        <v>571</v>
      </c>
      <c r="E161" s="51" t="s">
        <v>454</v>
      </c>
      <c r="F161" s="51"/>
      <c r="G161" s="52">
        <v>0.05</v>
      </c>
      <c r="H161" s="52">
        <v>0.05</v>
      </c>
      <c r="I161" s="50">
        <v>1</v>
      </c>
      <c r="J161" s="50"/>
      <c r="K161" s="53"/>
      <c r="L161" s="53"/>
      <c r="M161" s="51"/>
      <c r="N161" s="51"/>
      <c r="P161" s="35" t="str">
        <f>IF(Nickels!B162&lt;&gt;" ",Nickels!A161&amp;" "&amp;Nickels!B161,Nickels!A161)</f>
        <v xml:space="preserve">1967 </v>
      </c>
      <c r="V161" s="34">
        <f>MATCH(Nickels!$A161,[6]NickelMintage!A:A,0)</f>
        <v>171</v>
      </c>
      <c r="X161" s="46">
        <f t="shared" si="5"/>
        <v>1967</v>
      </c>
      <c r="Y161" s="35">
        <f>MATCH(X161,[6]WantList!$O$2:$O$2000,0)</f>
        <v>153</v>
      </c>
      <c r="Z161" s="34">
        <f>MATCH(X161,[6]WantListWorkFile!$A$2:$A$244,0)</f>
        <v>137</v>
      </c>
      <c r="AJ161" s="34" t="s">
        <v>572</v>
      </c>
    </row>
    <row r="162" spans="1:36" ht="14.65" customHeight="1">
      <c r="A162" s="40">
        <v>1967</v>
      </c>
      <c r="B162" s="41"/>
      <c r="C162" s="41" t="s">
        <v>1962</v>
      </c>
      <c r="D162" s="42" t="s">
        <v>573</v>
      </c>
      <c r="E162" s="42" t="s">
        <v>454</v>
      </c>
      <c r="F162" s="42"/>
      <c r="G162" s="43">
        <v>0.05</v>
      </c>
      <c r="H162" s="43">
        <v>0.05</v>
      </c>
      <c r="I162" s="41">
        <v>1</v>
      </c>
      <c r="J162" s="41"/>
      <c r="K162" s="44"/>
      <c r="L162" s="44"/>
      <c r="M162" s="42"/>
      <c r="N162" s="42"/>
      <c r="P162" s="35" t="str">
        <f>IF(Nickels!B163&lt;&gt;" ",Nickels!A162&amp;" "&amp;Nickels!B162,Nickels!A162)</f>
        <v xml:space="preserve">1967 </v>
      </c>
      <c r="V162" s="34">
        <f>MATCH(Nickels!$A162,[6]NickelMintage!A:A,0)</f>
        <v>171</v>
      </c>
      <c r="X162" s="46">
        <f t="shared" si="5"/>
        <v>1967</v>
      </c>
      <c r="Y162" s="35">
        <f>MATCH(X162,[6]WantList!$O$2:$O$2000,0)</f>
        <v>153</v>
      </c>
      <c r="Z162" s="34">
        <f>MATCH(X162,[6]WantListWorkFile!$A$2:$A$244,0)</f>
        <v>137</v>
      </c>
      <c r="AJ162" s="34" t="s">
        <v>572</v>
      </c>
    </row>
    <row r="163" spans="1:36" ht="14.65" customHeight="1">
      <c r="A163" s="49">
        <v>1969</v>
      </c>
      <c r="B163" s="50" t="s">
        <v>13</v>
      </c>
      <c r="C163" s="41" t="s">
        <v>1962</v>
      </c>
      <c r="D163" s="51" t="s">
        <v>574</v>
      </c>
      <c r="E163" s="51" t="s">
        <v>454</v>
      </c>
      <c r="F163" s="51"/>
      <c r="G163" s="52">
        <v>0.05</v>
      </c>
      <c r="H163" s="52">
        <v>0.05</v>
      </c>
      <c r="I163" s="50">
        <v>1</v>
      </c>
      <c r="J163" s="50"/>
      <c r="K163" s="53"/>
      <c r="L163" s="53"/>
      <c r="M163" s="51"/>
      <c r="N163" s="51"/>
      <c r="P163" s="35" t="str">
        <f>IF(Nickels!B164&lt;&gt;" ",Nickels!A163&amp;" "&amp;Nickels!B163,Nickels!A163)</f>
        <v>1969 D</v>
      </c>
      <c r="V163" s="34" t="e">
        <f>MATCH(Nickels!$A163,[6]NickelMintage!A:A,0)</f>
        <v>#N/A</v>
      </c>
      <c r="X163" s="46" t="str">
        <f t="shared" si="5"/>
        <v>1969 D</v>
      </c>
      <c r="Y163" s="35" t="e">
        <f>MATCH(X163,[6]WantList!$O$2:$O$2000,0)</f>
        <v>#N/A</v>
      </c>
      <c r="Z163" s="34">
        <f>MATCH(X163,[6]WantListWorkFile!$A$2:$A$244,0)</f>
        <v>140</v>
      </c>
      <c r="AJ163" s="34" t="s">
        <v>575</v>
      </c>
    </row>
    <row r="164" spans="1:36" ht="14.65" customHeight="1">
      <c r="A164" s="40">
        <v>1969</v>
      </c>
      <c r="B164" s="41" t="s">
        <v>13</v>
      </c>
      <c r="C164" s="41" t="s">
        <v>1962</v>
      </c>
      <c r="D164" s="42" t="s">
        <v>576</v>
      </c>
      <c r="E164" s="42" t="s">
        <v>454</v>
      </c>
      <c r="F164" s="42"/>
      <c r="G164" s="43">
        <v>0.05</v>
      </c>
      <c r="H164" s="43">
        <v>0.05</v>
      </c>
      <c r="I164" s="41">
        <v>1</v>
      </c>
      <c r="J164" s="41"/>
      <c r="K164" s="44"/>
      <c r="L164" s="44"/>
      <c r="M164" s="42"/>
      <c r="N164" s="42"/>
      <c r="P164" s="35" t="str">
        <f>IF(Nickels!B165&lt;&gt;" ",Nickels!A164&amp;" "&amp;Nickels!B164,Nickels!A164)</f>
        <v>1969 D</v>
      </c>
      <c r="V164" s="34" t="e">
        <f>MATCH(Nickels!$A164,[6]NickelMintage!A:A,0)</f>
        <v>#N/A</v>
      </c>
      <c r="X164" s="46" t="str">
        <f t="shared" si="5"/>
        <v>1969 D</v>
      </c>
      <c r="Y164" s="35" t="e">
        <f>MATCH(X164,[6]WantList!$O$2:$O$2000,0)</f>
        <v>#N/A</v>
      </c>
      <c r="Z164" s="34">
        <f>MATCH(X164,[6]WantListWorkFile!$A$2:$A$244,0)</f>
        <v>140</v>
      </c>
      <c r="AJ164" s="34" t="s">
        <v>575</v>
      </c>
    </row>
    <row r="165" spans="1:36" ht="14.65" customHeight="1">
      <c r="A165" s="49">
        <v>1969</v>
      </c>
      <c r="B165" s="50" t="s">
        <v>13</v>
      </c>
      <c r="C165" s="41" t="s">
        <v>1962</v>
      </c>
      <c r="D165" s="51" t="s">
        <v>577</v>
      </c>
      <c r="E165" s="51" t="s">
        <v>454</v>
      </c>
      <c r="F165" s="51"/>
      <c r="G165" s="52">
        <v>0.05</v>
      </c>
      <c r="H165" s="52">
        <v>0.05</v>
      </c>
      <c r="I165" s="50">
        <v>1</v>
      </c>
      <c r="J165" s="50"/>
      <c r="K165" s="53"/>
      <c r="L165" s="53"/>
      <c r="M165" s="51"/>
      <c r="N165" s="51"/>
      <c r="P165" s="35" t="str">
        <f>IF(Nickels!B166&lt;&gt;" ",Nickels!A165&amp;" "&amp;Nickels!B165,Nickels!A165)</f>
        <v>1969 D</v>
      </c>
      <c r="V165" s="34" t="e">
        <f>MATCH(Nickels!$A165,[6]NickelMintage!A:A,0)</f>
        <v>#N/A</v>
      </c>
      <c r="X165" s="46" t="str">
        <f t="shared" si="5"/>
        <v>1969 D</v>
      </c>
      <c r="Y165" s="35" t="e">
        <f>MATCH(X165,[6]WantList!$O$2:$O$2000,0)</f>
        <v>#N/A</v>
      </c>
      <c r="Z165" s="34">
        <f>MATCH(X165,[6]WantListWorkFile!$A$2:$A$244,0)</f>
        <v>140</v>
      </c>
      <c r="AJ165" s="34" t="s">
        <v>575</v>
      </c>
    </row>
    <row r="166" spans="1:36" ht="14.65" customHeight="1">
      <c r="A166" s="40">
        <v>1969</v>
      </c>
      <c r="B166" s="41" t="s">
        <v>13</v>
      </c>
      <c r="C166" s="41" t="s">
        <v>1962</v>
      </c>
      <c r="D166" s="42" t="s">
        <v>578</v>
      </c>
      <c r="E166" s="42" t="s">
        <v>454</v>
      </c>
      <c r="F166" s="42"/>
      <c r="G166" s="43">
        <v>0.05</v>
      </c>
      <c r="H166" s="43">
        <v>0.05</v>
      </c>
      <c r="I166" s="41">
        <v>1</v>
      </c>
      <c r="J166" s="41"/>
      <c r="K166" s="44"/>
      <c r="L166" s="44"/>
      <c r="M166" s="42"/>
      <c r="N166" s="42"/>
      <c r="P166" s="35" t="str">
        <f>IF(Nickels!B167&lt;&gt;" ",Nickels!A166&amp;" "&amp;Nickels!B166,Nickels!A166)</f>
        <v>1969 D</v>
      </c>
      <c r="V166" s="34" t="e">
        <f>MATCH(Nickels!$A166,[6]NickelMintage!A:A,0)</f>
        <v>#N/A</v>
      </c>
      <c r="X166" s="46" t="str">
        <f t="shared" si="5"/>
        <v>1969 D</v>
      </c>
      <c r="Y166" s="35" t="e">
        <f>MATCH(X166,[6]WantList!$O$2:$O$2000,0)</f>
        <v>#N/A</v>
      </c>
      <c r="Z166" s="34">
        <f>MATCH(X166,[6]WantListWorkFile!$A$2:$A$244,0)</f>
        <v>140</v>
      </c>
      <c r="AJ166" s="34" t="s">
        <v>575</v>
      </c>
    </row>
    <row r="167" spans="1:36" ht="14.65" customHeight="1">
      <c r="A167" s="49">
        <v>1969</v>
      </c>
      <c r="B167" s="50" t="s">
        <v>13</v>
      </c>
      <c r="C167" s="41" t="s">
        <v>1962</v>
      </c>
      <c r="D167" s="51" t="s">
        <v>579</v>
      </c>
      <c r="E167" s="51" t="s">
        <v>454</v>
      </c>
      <c r="F167" s="51"/>
      <c r="G167" s="52">
        <v>0.05</v>
      </c>
      <c r="H167" s="52">
        <v>0.05</v>
      </c>
      <c r="I167" s="50">
        <v>1</v>
      </c>
      <c r="J167" s="50"/>
      <c r="K167" s="53"/>
      <c r="L167" s="53"/>
      <c r="M167" s="51"/>
      <c r="N167" s="51"/>
      <c r="P167" s="35" t="str">
        <f>IF(Nickels!B168&lt;&gt;" ",Nickels!A167&amp;" "&amp;Nickels!B167,Nickels!A167)</f>
        <v>1969 D</v>
      </c>
      <c r="V167" s="34" t="e">
        <f>MATCH(Nickels!$A167,[6]NickelMintage!A:A,0)</f>
        <v>#N/A</v>
      </c>
      <c r="X167" s="46" t="str">
        <f t="shared" si="5"/>
        <v>1969 D</v>
      </c>
      <c r="Y167" s="35" t="e">
        <f>MATCH(X167,[6]WantList!$O$2:$O$2000,0)</f>
        <v>#N/A</v>
      </c>
      <c r="Z167" s="34">
        <f>MATCH(X167,[6]WantListWorkFile!$A$2:$A$244,0)</f>
        <v>140</v>
      </c>
      <c r="AJ167" s="34" t="s">
        <v>575</v>
      </c>
    </row>
    <row r="168" spans="1:36" ht="14.65" customHeight="1">
      <c r="A168" s="40">
        <v>1969</v>
      </c>
      <c r="B168" s="41" t="s">
        <v>12</v>
      </c>
      <c r="C168" s="41" t="s">
        <v>1962</v>
      </c>
      <c r="D168" s="42" t="s">
        <v>580</v>
      </c>
      <c r="E168" s="42" t="s">
        <v>454</v>
      </c>
      <c r="F168" s="42"/>
      <c r="G168" s="43">
        <v>0.05</v>
      </c>
      <c r="H168" s="43">
        <v>0.05</v>
      </c>
      <c r="I168" s="41">
        <v>1</v>
      </c>
      <c r="J168" s="41"/>
      <c r="K168" s="44"/>
      <c r="L168" s="44"/>
      <c r="M168" s="42"/>
      <c r="N168" s="42"/>
      <c r="P168" s="35" t="str">
        <f>IF(Nickels!B169&lt;&gt;" ",Nickels!A168&amp;" "&amp;Nickels!B168,Nickels!A168)</f>
        <v>1969 S</v>
      </c>
      <c r="V168" s="34" t="e">
        <f>MATCH(Nickels!$A168,[6]NickelMintage!A:A,0)</f>
        <v>#N/A</v>
      </c>
      <c r="X168" s="46" t="str">
        <f t="shared" si="5"/>
        <v>1969 S</v>
      </c>
      <c r="Y168" s="35" t="e">
        <f>MATCH(X168,[6]WantList!$O$2:$O$2000,0)</f>
        <v>#N/A</v>
      </c>
      <c r="Z168" s="34">
        <f>MATCH(X168,[6]WantListWorkFile!$A$2:$A$244,0)</f>
        <v>141</v>
      </c>
      <c r="AJ168" s="34" t="s">
        <v>581</v>
      </c>
    </row>
    <row r="169" spans="1:36" ht="14.65" customHeight="1">
      <c r="A169" s="49">
        <v>1970</v>
      </c>
      <c r="B169" s="50" t="s">
        <v>13</v>
      </c>
      <c r="C169" s="41" t="s">
        <v>1962</v>
      </c>
      <c r="D169" s="51" t="s">
        <v>582</v>
      </c>
      <c r="E169" s="51" t="s">
        <v>454</v>
      </c>
      <c r="F169" s="51"/>
      <c r="G169" s="52">
        <v>0.05</v>
      </c>
      <c r="H169" s="52">
        <v>0.05</v>
      </c>
      <c r="I169" s="50">
        <v>1</v>
      </c>
      <c r="J169" s="50"/>
      <c r="K169" s="53"/>
      <c r="L169" s="53"/>
      <c r="M169" s="51"/>
      <c r="N169" s="51"/>
      <c r="P169" s="35" t="str">
        <f>IF(Nickels!B170&lt;&gt;" ",Nickels!A169&amp;" "&amp;Nickels!B169,Nickels!A169)</f>
        <v>1970 D</v>
      </c>
      <c r="V169" s="34" t="e">
        <f>MATCH(Nickels!$A169,[6]NickelMintage!A:A,0)</f>
        <v>#N/A</v>
      </c>
      <c r="X169" s="46" t="str">
        <f t="shared" si="5"/>
        <v>1970 D</v>
      </c>
      <c r="Y169" s="35" t="e">
        <f>MATCH(X169,[6]WantList!$O$2:$O$2000,0)</f>
        <v>#N/A</v>
      </c>
      <c r="Z169" s="34">
        <f>MATCH(X169,[6]WantListWorkFile!$A$2:$A$244,0)</f>
        <v>142</v>
      </c>
      <c r="AJ169" s="34" t="s">
        <v>583</v>
      </c>
    </row>
    <row r="170" spans="1:36" ht="14.65" customHeight="1">
      <c r="A170" s="40">
        <v>1970</v>
      </c>
      <c r="B170" s="41" t="s">
        <v>13</v>
      </c>
      <c r="C170" s="41" t="s">
        <v>1962</v>
      </c>
      <c r="D170" s="42" t="s">
        <v>584</v>
      </c>
      <c r="E170" s="42" t="s">
        <v>454</v>
      </c>
      <c r="F170" s="42"/>
      <c r="G170" s="43">
        <v>0.05</v>
      </c>
      <c r="H170" s="43">
        <v>0.05</v>
      </c>
      <c r="I170" s="41">
        <v>1</v>
      </c>
      <c r="J170" s="41"/>
      <c r="K170" s="44"/>
      <c r="L170" s="44"/>
      <c r="M170" s="42"/>
      <c r="N170" s="42"/>
      <c r="P170" s="35" t="str">
        <f>IF(Nickels!B171&lt;&gt;" ",Nickels!A170&amp;" "&amp;Nickels!B170,Nickels!A170)</f>
        <v>1970 D</v>
      </c>
      <c r="V170" s="34" t="e">
        <f>MATCH(Nickels!$A170,[6]NickelMintage!A:A,0)</f>
        <v>#N/A</v>
      </c>
      <c r="X170" s="46" t="str">
        <f t="shared" si="5"/>
        <v>1970 D</v>
      </c>
      <c r="Y170" s="35" t="e">
        <f>MATCH(X170,[6]WantList!$O$2:$O$2000,0)</f>
        <v>#N/A</v>
      </c>
      <c r="Z170" s="34">
        <f>MATCH(X170,[6]WantListWorkFile!$A$2:$A$244,0)</f>
        <v>142</v>
      </c>
      <c r="AJ170" s="34" t="s">
        <v>583</v>
      </c>
    </row>
    <row r="171" spans="1:36" ht="14.65" customHeight="1">
      <c r="A171" s="49">
        <v>1970</v>
      </c>
      <c r="B171" s="50" t="s">
        <v>13</v>
      </c>
      <c r="C171" s="41" t="s">
        <v>1962</v>
      </c>
      <c r="D171" s="51" t="s">
        <v>585</v>
      </c>
      <c r="E171" s="51" t="s">
        <v>454</v>
      </c>
      <c r="F171" s="51"/>
      <c r="G171" s="52">
        <v>0.05</v>
      </c>
      <c r="H171" s="52">
        <v>0.05</v>
      </c>
      <c r="I171" s="50">
        <v>1</v>
      </c>
      <c r="J171" s="50"/>
      <c r="K171" s="53"/>
      <c r="L171" s="53"/>
      <c r="M171" s="51"/>
      <c r="N171" s="51"/>
      <c r="P171" s="35" t="str">
        <f>IF(Nickels!B172&lt;&gt;" ",Nickels!A171&amp;" "&amp;Nickels!B171,Nickels!A171)</f>
        <v>1970 D</v>
      </c>
      <c r="V171" s="34" t="e">
        <f>MATCH(Nickels!$A171,[6]NickelMintage!A:A,0)</f>
        <v>#N/A</v>
      </c>
      <c r="X171" s="46" t="str">
        <f t="shared" si="5"/>
        <v>1970 D</v>
      </c>
      <c r="Y171" s="35" t="e">
        <f>MATCH(X171,[6]WantList!$O$2:$O$2000,0)</f>
        <v>#N/A</v>
      </c>
      <c r="Z171" s="34">
        <f>MATCH(X171,[6]WantListWorkFile!$A$2:$A$244,0)</f>
        <v>142</v>
      </c>
      <c r="AJ171" s="34" t="s">
        <v>583</v>
      </c>
    </row>
    <row r="172" spans="1:36" ht="14.65" customHeight="1">
      <c r="A172" s="40">
        <v>1970</v>
      </c>
      <c r="B172" s="41" t="s">
        <v>13</v>
      </c>
      <c r="C172" s="41" t="s">
        <v>1962</v>
      </c>
      <c r="D172" s="42" t="s">
        <v>586</v>
      </c>
      <c r="E172" s="42" t="s">
        <v>454</v>
      </c>
      <c r="F172" s="42"/>
      <c r="G172" s="43">
        <v>0.05</v>
      </c>
      <c r="H172" s="43">
        <v>0.05</v>
      </c>
      <c r="I172" s="41">
        <v>1</v>
      </c>
      <c r="J172" s="41"/>
      <c r="K172" s="44"/>
      <c r="L172" s="44"/>
      <c r="M172" s="42"/>
      <c r="N172" s="42"/>
      <c r="P172" s="35" t="str">
        <f>IF(Nickels!B173&lt;&gt;" ",Nickels!A172&amp;" "&amp;Nickels!B172,Nickels!A172)</f>
        <v>1970 D</v>
      </c>
      <c r="V172" s="34" t="e">
        <f>MATCH(Nickels!$A172,[6]NickelMintage!A:A,0)</f>
        <v>#N/A</v>
      </c>
      <c r="X172" s="46" t="str">
        <f t="shared" si="5"/>
        <v>1970 D</v>
      </c>
      <c r="Y172" s="35" t="e">
        <f>MATCH(X172,[6]WantList!$O$2:$O$2000,0)</f>
        <v>#N/A</v>
      </c>
      <c r="Z172" s="34">
        <f>MATCH(X172,[6]WantListWorkFile!$A$2:$A$244,0)</f>
        <v>142</v>
      </c>
      <c r="AJ172" s="34" t="s">
        <v>583</v>
      </c>
    </row>
    <row r="173" spans="1:36" ht="14.65" customHeight="1">
      <c r="A173" s="49">
        <v>1970</v>
      </c>
      <c r="B173" s="50" t="s">
        <v>13</v>
      </c>
      <c r="C173" s="41" t="s">
        <v>1962</v>
      </c>
      <c r="D173" s="51" t="s">
        <v>587</v>
      </c>
      <c r="E173" s="51" t="s">
        <v>454</v>
      </c>
      <c r="F173" s="51"/>
      <c r="G173" s="52">
        <v>0.05</v>
      </c>
      <c r="H173" s="52">
        <v>0.05</v>
      </c>
      <c r="I173" s="50">
        <v>1</v>
      </c>
      <c r="J173" s="50"/>
      <c r="K173" s="53"/>
      <c r="L173" s="53"/>
      <c r="M173" s="51"/>
      <c r="N173" s="51"/>
      <c r="P173" s="35" t="str">
        <f>IF(Nickels!B174&lt;&gt;" ",Nickels!A173&amp;" "&amp;Nickels!B173,Nickels!A173)</f>
        <v>1970 D</v>
      </c>
      <c r="V173" s="34" t="e">
        <f>MATCH(Nickels!$A173,[6]NickelMintage!A:A,0)</f>
        <v>#N/A</v>
      </c>
      <c r="X173" s="46" t="str">
        <f t="shared" si="5"/>
        <v>1970 D</v>
      </c>
      <c r="Y173" s="35" t="e">
        <f>MATCH(X173,[6]WantList!$O$2:$O$2000,0)</f>
        <v>#N/A</v>
      </c>
      <c r="Z173" s="34">
        <f>MATCH(X173,[6]WantListWorkFile!$A$2:$A$244,0)</f>
        <v>142</v>
      </c>
      <c r="AJ173" s="34" t="s">
        <v>583</v>
      </c>
    </row>
    <row r="174" spans="1:36" ht="14.65" customHeight="1">
      <c r="A174" s="40">
        <v>1970</v>
      </c>
      <c r="B174" s="41" t="s">
        <v>13</v>
      </c>
      <c r="C174" s="41" t="s">
        <v>1962</v>
      </c>
      <c r="D174" s="42" t="s">
        <v>588</v>
      </c>
      <c r="E174" s="42" t="s">
        <v>454</v>
      </c>
      <c r="F174" s="42"/>
      <c r="G174" s="43">
        <v>0.05</v>
      </c>
      <c r="H174" s="43">
        <v>0.05</v>
      </c>
      <c r="I174" s="41">
        <v>1</v>
      </c>
      <c r="J174" s="41"/>
      <c r="K174" s="44"/>
      <c r="L174" s="44"/>
      <c r="M174" s="42"/>
      <c r="N174" s="42"/>
      <c r="P174" s="35" t="str">
        <f>IF(Nickels!B175&lt;&gt;" ",Nickels!A174&amp;" "&amp;Nickels!B174,Nickels!A174)</f>
        <v>1970 D</v>
      </c>
      <c r="V174" s="34" t="e">
        <f>MATCH(Nickels!$A174,[6]NickelMintage!A:A,0)</f>
        <v>#N/A</v>
      </c>
      <c r="X174" s="46" t="str">
        <f t="shared" si="5"/>
        <v>1970 D</v>
      </c>
      <c r="Y174" s="35" t="e">
        <f>MATCH(X174,[6]WantList!$O$2:$O$2000,0)</f>
        <v>#N/A</v>
      </c>
      <c r="Z174" s="34">
        <f>MATCH(X174,[6]WantListWorkFile!$A$2:$A$244,0)</f>
        <v>142</v>
      </c>
      <c r="AJ174" s="34" t="s">
        <v>583</v>
      </c>
    </row>
    <row r="175" spans="1:36" ht="14.65" customHeight="1">
      <c r="A175" s="49">
        <v>1971</v>
      </c>
      <c r="B175" s="50" t="s">
        <v>13</v>
      </c>
      <c r="C175" s="41" t="s">
        <v>1962</v>
      </c>
      <c r="D175" s="51" t="s">
        <v>589</v>
      </c>
      <c r="E175" s="51" t="s">
        <v>454</v>
      </c>
      <c r="F175" s="51"/>
      <c r="G175" s="52">
        <v>0.05</v>
      </c>
      <c r="H175" s="52">
        <v>0.05</v>
      </c>
      <c r="I175" s="50">
        <v>1</v>
      </c>
      <c r="J175" s="50"/>
      <c r="K175" s="53"/>
      <c r="L175" s="53"/>
      <c r="M175" s="51"/>
      <c r="N175" s="51"/>
      <c r="P175" s="35" t="str">
        <f>IF(Nickels!B176&lt;&gt;" ",Nickels!A175&amp;" "&amp;Nickels!B175,Nickels!A175)</f>
        <v>1971 D</v>
      </c>
      <c r="V175" s="34">
        <f>MATCH(Nickels!$A175,[6]NickelMintage!A:A,0)</f>
        <v>178</v>
      </c>
      <c r="X175" s="46" t="str">
        <f t="shared" ref="X175:X238" si="6">IF(LEN(B175)&lt;1,A175,A175&amp;" "&amp;B175)</f>
        <v>1971 D</v>
      </c>
      <c r="Y175" s="35" t="e">
        <f>MATCH(X175,[6]WantList!$O$2:$O$2000,0)</f>
        <v>#N/A</v>
      </c>
      <c r="Z175" s="34">
        <f>MATCH(X175,[6]WantListWorkFile!$A$2:$A$244,0)</f>
        <v>145</v>
      </c>
      <c r="AJ175" s="34" t="s">
        <v>255</v>
      </c>
    </row>
    <row r="176" spans="1:36" ht="14.65" customHeight="1">
      <c r="A176" s="40">
        <v>1971</v>
      </c>
      <c r="B176" s="41" t="s">
        <v>13</v>
      </c>
      <c r="C176" s="41" t="s">
        <v>1962</v>
      </c>
      <c r="D176" s="42" t="s">
        <v>590</v>
      </c>
      <c r="E176" s="42" t="s">
        <v>454</v>
      </c>
      <c r="F176" s="42"/>
      <c r="G176" s="43">
        <v>0.05</v>
      </c>
      <c r="H176" s="43">
        <v>0.05</v>
      </c>
      <c r="I176" s="41">
        <v>1</v>
      </c>
      <c r="J176" s="41"/>
      <c r="K176" s="44"/>
      <c r="L176" s="44"/>
      <c r="M176" s="42"/>
      <c r="N176" s="42"/>
      <c r="P176" s="35" t="str">
        <f>IF(Nickels!B177&lt;&gt;" ",Nickels!A176&amp;" "&amp;Nickels!B176,Nickels!A176)</f>
        <v>1971 D</v>
      </c>
      <c r="V176" s="34">
        <f>MATCH(Nickels!$A176,[6]NickelMintage!A:A,0)</f>
        <v>178</v>
      </c>
      <c r="X176" s="46" t="str">
        <f t="shared" si="6"/>
        <v>1971 D</v>
      </c>
      <c r="Y176" s="35" t="e">
        <f>MATCH(X176,[6]WantList!$O$2:$O$2000,0)</f>
        <v>#N/A</v>
      </c>
      <c r="Z176" s="34">
        <f>MATCH(X176,[6]WantListWorkFile!$A$2:$A$244,0)</f>
        <v>145</v>
      </c>
      <c r="AJ176" s="34" t="s">
        <v>255</v>
      </c>
    </row>
    <row r="177" spans="1:36" ht="14.65" customHeight="1">
      <c r="A177" s="49">
        <v>1972</v>
      </c>
      <c r="B177" s="50" t="s">
        <v>13</v>
      </c>
      <c r="C177" s="41" t="s">
        <v>1962</v>
      </c>
      <c r="D177" s="51" t="s">
        <v>591</v>
      </c>
      <c r="E177" s="51" t="s">
        <v>454</v>
      </c>
      <c r="F177" s="51"/>
      <c r="G177" s="52">
        <v>0.05</v>
      </c>
      <c r="H177" s="52">
        <v>0.05</v>
      </c>
      <c r="I177" s="50">
        <v>1</v>
      </c>
      <c r="J177" s="50"/>
      <c r="K177" s="53"/>
      <c r="L177" s="53"/>
      <c r="M177" s="51"/>
      <c r="N177" s="51"/>
      <c r="P177" s="35" t="str">
        <f>IF(Nickels!B178&lt;&gt;" ",Nickels!A177&amp;" "&amp;Nickels!B177,Nickels!A177)</f>
        <v>1972 D</v>
      </c>
      <c r="V177" s="34">
        <f>MATCH(Nickels!$A177,[6]NickelMintage!A:A,0)</f>
        <v>181</v>
      </c>
      <c r="X177" s="46" t="str">
        <f t="shared" si="6"/>
        <v>1972 D</v>
      </c>
      <c r="Y177" s="35" t="e">
        <f>MATCH(X177,[6]WantList!$O$2:$O$2000,0)</f>
        <v>#N/A</v>
      </c>
      <c r="Z177" s="34">
        <f>MATCH(X177,[6]WantListWorkFile!$A$2:$A$244,0)</f>
        <v>147</v>
      </c>
      <c r="AJ177" s="34" t="s">
        <v>258</v>
      </c>
    </row>
    <row r="178" spans="1:36" ht="14.65" customHeight="1">
      <c r="A178" s="40">
        <v>1972</v>
      </c>
      <c r="B178" s="41" t="s">
        <v>13</v>
      </c>
      <c r="C178" s="41" t="s">
        <v>1962</v>
      </c>
      <c r="D178" s="42" t="s">
        <v>592</v>
      </c>
      <c r="E178" s="42" t="s">
        <v>454</v>
      </c>
      <c r="F178" s="42"/>
      <c r="G178" s="43">
        <v>0.05</v>
      </c>
      <c r="H178" s="43">
        <v>0.05</v>
      </c>
      <c r="I178" s="41">
        <v>1</v>
      </c>
      <c r="J178" s="41"/>
      <c r="K178" s="44"/>
      <c r="L178" s="44"/>
      <c r="M178" s="42"/>
      <c r="N178" s="42"/>
      <c r="P178" s="35" t="str">
        <f>IF(Nickels!B179&lt;&gt;" ",Nickels!A178&amp;" "&amp;Nickels!B178,Nickels!A178)</f>
        <v>1972 D</v>
      </c>
      <c r="V178" s="34">
        <f>MATCH(Nickels!$A178,[6]NickelMintage!A:A,0)</f>
        <v>181</v>
      </c>
      <c r="X178" s="46" t="str">
        <f t="shared" si="6"/>
        <v>1972 D</v>
      </c>
      <c r="Y178" s="35" t="e">
        <f>MATCH(X178,[6]WantList!$O$2:$O$2000,0)</f>
        <v>#N/A</v>
      </c>
      <c r="Z178" s="34">
        <f>MATCH(X178,[6]WantListWorkFile!$A$2:$A$244,0)</f>
        <v>147</v>
      </c>
      <c r="AJ178" s="34" t="s">
        <v>258</v>
      </c>
    </row>
    <row r="179" spans="1:36" ht="14.65" customHeight="1">
      <c r="A179" s="49">
        <v>1972</v>
      </c>
      <c r="B179" s="50" t="s">
        <v>13</v>
      </c>
      <c r="C179" s="41" t="s">
        <v>1962</v>
      </c>
      <c r="D179" s="51" t="s">
        <v>593</v>
      </c>
      <c r="E179" s="51" t="s">
        <v>454</v>
      </c>
      <c r="F179" s="51"/>
      <c r="G179" s="52">
        <v>0.05</v>
      </c>
      <c r="H179" s="52">
        <v>0.05</v>
      </c>
      <c r="I179" s="50">
        <v>1</v>
      </c>
      <c r="J179" s="50"/>
      <c r="K179" s="53"/>
      <c r="L179" s="53"/>
      <c r="M179" s="51"/>
      <c r="N179" s="51"/>
      <c r="P179" s="35" t="str">
        <f>IF(Nickels!B180&lt;&gt;" ",Nickels!A179&amp;" "&amp;Nickels!B179,Nickels!A179)</f>
        <v>1972 D</v>
      </c>
      <c r="V179" s="34">
        <f>MATCH(Nickels!$A179,[6]NickelMintage!A:A,0)</f>
        <v>181</v>
      </c>
      <c r="X179" s="46" t="str">
        <f t="shared" si="6"/>
        <v>1972 D</v>
      </c>
      <c r="Y179" s="35" t="e">
        <f>MATCH(X179,[6]WantList!$O$2:$O$2000,0)</f>
        <v>#N/A</v>
      </c>
      <c r="Z179" s="34">
        <f>MATCH(X179,[6]WantListWorkFile!$A$2:$A$244,0)</f>
        <v>147</v>
      </c>
      <c r="AJ179" s="34" t="s">
        <v>258</v>
      </c>
    </row>
    <row r="180" spans="1:36" ht="14.65" customHeight="1">
      <c r="A180" s="40">
        <v>1972</v>
      </c>
      <c r="B180" s="41"/>
      <c r="C180" s="41" t="s">
        <v>1962</v>
      </c>
      <c r="D180" s="42" t="s">
        <v>594</v>
      </c>
      <c r="E180" s="42" t="s">
        <v>454</v>
      </c>
      <c r="F180" s="42"/>
      <c r="G180" s="43">
        <v>0.05</v>
      </c>
      <c r="H180" s="43">
        <v>0.05</v>
      </c>
      <c r="I180" s="41">
        <v>1</v>
      </c>
      <c r="J180" s="41"/>
      <c r="K180" s="44"/>
      <c r="L180" s="44"/>
      <c r="M180" s="42"/>
      <c r="N180" s="42"/>
      <c r="P180" s="35" t="str">
        <f>IF(Nickels!B181&lt;&gt;" ",Nickels!A180&amp;" "&amp;Nickels!B180,Nickels!A180)</f>
        <v xml:space="preserve">1972 </v>
      </c>
      <c r="V180" s="34">
        <f>MATCH(Nickels!$A180,[6]NickelMintage!A:A,0)</f>
        <v>181</v>
      </c>
      <c r="X180" s="46">
        <f t="shared" si="6"/>
        <v>1972</v>
      </c>
      <c r="Y180" s="35">
        <f>MATCH(X180,[6]WantList!$O$2:$O$2000,0)</f>
        <v>172</v>
      </c>
      <c r="Z180" s="34">
        <f>MATCH(X180,[6]WantListWorkFile!$A$2:$A$244,0)</f>
        <v>146</v>
      </c>
      <c r="AJ180" s="34" t="s">
        <v>595</v>
      </c>
    </row>
    <row r="181" spans="1:36" ht="14.65" customHeight="1">
      <c r="A181" s="49">
        <v>1973</v>
      </c>
      <c r="B181" s="50"/>
      <c r="C181" s="41" t="s">
        <v>1962</v>
      </c>
      <c r="D181" s="51" t="s">
        <v>596</v>
      </c>
      <c r="E181" s="51" t="s">
        <v>454</v>
      </c>
      <c r="F181" s="51"/>
      <c r="G181" s="52">
        <v>0.05</v>
      </c>
      <c r="H181" s="52">
        <v>0.05</v>
      </c>
      <c r="I181" s="50">
        <v>1</v>
      </c>
      <c r="J181" s="50"/>
      <c r="K181" s="53"/>
      <c r="L181" s="53"/>
      <c r="M181" s="51"/>
      <c r="N181" s="51"/>
      <c r="P181" s="35" t="str">
        <f>IF(Nickels!B182&lt;&gt;" ",Nickels!A181&amp;" "&amp;Nickels!B181,Nickels!A181)</f>
        <v xml:space="preserve">1973 </v>
      </c>
      <c r="V181" s="34">
        <f>MATCH(Nickels!$A181,[6]NickelMintage!A:A,0)</f>
        <v>184</v>
      </c>
      <c r="X181" s="46">
        <f t="shared" si="6"/>
        <v>1973</v>
      </c>
      <c r="Y181" s="35">
        <f>MATCH(X181,[6]WantList!$O$2:$O$2000,0)</f>
        <v>173</v>
      </c>
      <c r="Z181" s="34">
        <f>MATCH(X181,[6]WantListWorkFile!$A$2:$A$244,0)</f>
        <v>148</v>
      </c>
      <c r="AJ181" s="34" t="s">
        <v>597</v>
      </c>
    </row>
    <row r="182" spans="1:36" ht="14.65" customHeight="1">
      <c r="A182" s="40">
        <v>1973</v>
      </c>
      <c r="B182" s="41"/>
      <c r="C182" s="41" t="s">
        <v>1962</v>
      </c>
      <c r="D182" s="42" t="s">
        <v>598</v>
      </c>
      <c r="E182" s="42" t="s">
        <v>454</v>
      </c>
      <c r="F182" s="42"/>
      <c r="G182" s="43">
        <v>0.05</v>
      </c>
      <c r="H182" s="43">
        <v>0.05</v>
      </c>
      <c r="I182" s="41">
        <v>1</v>
      </c>
      <c r="J182" s="41"/>
      <c r="K182" s="44"/>
      <c r="L182" s="44"/>
      <c r="M182" s="42"/>
      <c r="N182" s="42"/>
      <c r="P182" s="35" t="str">
        <f>IF(Nickels!B183&lt;&gt;" ",Nickels!A182&amp;" "&amp;Nickels!B182,Nickels!A182)</f>
        <v xml:space="preserve">1973 </v>
      </c>
      <c r="V182" s="34">
        <f>MATCH(Nickels!$A182,[6]NickelMintage!A:A,0)</f>
        <v>184</v>
      </c>
      <c r="X182" s="46">
        <f t="shared" si="6"/>
        <v>1973</v>
      </c>
      <c r="Y182" s="35">
        <f>MATCH(X182,[6]WantList!$O$2:$O$2000,0)</f>
        <v>173</v>
      </c>
      <c r="Z182" s="34">
        <f>MATCH(X182,[6]WantListWorkFile!$A$2:$A$244,0)</f>
        <v>148</v>
      </c>
      <c r="AJ182" s="34" t="s">
        <v>597</v>
      </c>
    </row>
    <row r="183" spans="1:36" ht="14.65" customHeight="1">
      <c r="A183" s="49">
        <v>1973</v>
      </c>
      <c r="B183" s="50"/>
      <c r="C183" s="41" t="s">
        <v>1962</v>
      </c>
      <c r="D183" s="51" t="s">
        <v>599</v>
      </c>
      <c r="E183" s="51" t="s">
        <v>454</v>
      </c>
      <c r="F183" s="51"/>
      <c r="G183" s="52">
        <v>0.05</v>
      </c>
      <c r="H183" s="52">
        <v>0.05</v>
      </c>
      <c r="I183" s="50">
        <v>1</v>
      </c>
      <c r="J183" s="50"/>
      <c r="K183" s="53"/>
      <c r="L183" s="53"/>
      <c r="M183" s="51"/>
      <c r="N183" s="51"/>
      <c r="P183" s="35" t="str">
        <f>IF(Nickels!B184&lt;&gt;" ",Nickels!A183&amp;" "&amp;Nickels!B183,Nickels!A183)</f>
        <v xml:space="preserve">1973 </v>
      </c>
      <c r="V183" s="34">
        <f>MATCH(Nickels!$A183,[6]NickelMintage!A:A,0)</f>
        <v>184</v>
      </c>
      <c r="X183" s="46">
        <f t="shared" si="6"/>
        <v>1973</v>
      </c>
      <c r="Y183" s="35">
        <f>MATCH(X183,[6]WantList!$O$2:$O$2000,0)</f>
        <v>173</v>
      </c>
      <c r="Z183" s="34">
        <f>MATCH(X183,[6]WantListWorkFile!$A$2:$A$244,0)</f>
        <v>148</v>
      </c>
      <c r="AJ183" s="34" t="s">
        <v>597</v>
      </c>
    </row>
    <row r="184" spans="1:36" ht="14.65" customHeight="1">
      <c r="A184" s="40">
        <v>1973</v>
      </c>
      <c r="B184" s="41"/>
      <c r="C184" s="41" t="s">
        <v>1962</v>
      </c>
      <c r="D184" s="42" t="s">
        <v>600</v>
      </c>
      <c r="E184" s="42" t="s">
        <v>454</v>
      </c>
      <c r="F184" s="42"/>
      <c r="G184" s="43">
        <v>0.05</v>
      </c>
      <c r="H184" s="43">
        <v>0.05</v>
      </c>
      <c r="I184" s="41">
        <v>1</v>
      </c>
      <c r="J184" s="41"/>
      <c r="K184" s="44"/>
      <c r="L184" s="44"/>
      <c r="M184" s="42"/>
      <c r="N184" s="42"/>
      <c r="P184" s="35" t="str">
        <f>IF(Nickels!B185&lt;&gt;" ",Nickels!A184&amp;" "&amp;Nickels!B184,Nickels!A184)</f>
        <v xml:space="preserve">1973 </v>
      </c>
      <c r="V184" s="34">
        <f>MATCH(Nickels!$A184,[6]NickelMintage!A:A,0)</f>
        <v>184</v>
      </c>
      <c r="X184" s="46">
        <f t="shared" si="6"/>
        <v>1973</v>
      </c>
      <c r="Y184" s="35">
        <f>MATCH(X184,[6]WantList!$O$2:$O$2000,0)</f>
        <v>173</v>
      </c>
      <c r="Z184" s="34">
        <f>MATCH(X184,[6]WantListWorkFile!$A$2:$A$244,0)</f>
        <v>148</v>
      </c>
      <c r="AJ184" s="34" t="s">
        <v>597</v>
      </c>
    </row>
    <row r="185" spans="1:36" ht="14.65" customHeight="1">
      <c r="A185" s="49">
        <v>1973</v>
      </c>
      <c r="B185" s="50"/>
      <c r="C185" s="41" t="s">
        <v>1962</v>
      </c>
      <c r="D185" s="51" t="s">
        <v>601</v>
      </c>
      <c r="E185" s="51" t="s">
        <v>454</v>
      </c>
      <c r="F185" s="51"/>
      <c r="G185" s="52">
        <v>0.05</v>
      </c>
      <c r="H185" s="52">
        <v>0.05</v>
      </c>
      <c r="I185" s="50">
        <v>1</v>
      </c>
      <c r="J185" s="50"/>
      <c r="K185" s="53"/>
      <c r="L185" s="53"/>
      <c r="M185" s="51"/>
      <c r="N185" s="51"/>
      <c r="P185" s="35" t="str">
        <f>IF(Nickels!B186&lt;&gt;" ",Nickels!A185&amp;" "&amp;Nickels!B185,Nickels!A185)</f>
        <v xml:space="preserve">1973 </v>
      </c>
      <c r="V185" s="34">
        <f>MATCH(Nickels!$A185,[6]NickelMintage!A:A,0)</f>
        <v>184</v>
      </c>
      <c r="X185" s="46">
        <f t="shared" si="6"/>
        <v>1973</v>
      </c>
      <c r="Y185" s="35">
        <f>MATCH(X185,[6]WantList!$O$2:$O$2000,0)</f>
        <v>173</v>
      </c>
      <c r="Z185" s="34">
        <f>MATCH(X185,[6]WantListWorkFile!$A$2:$A$244,0)</f>
        <v>148</v>
      </c>
      <c r="AJ185" s="34" t="s">
        <v>597</v>
      </c>
    </row>
    <row r="186" spans="1:36" ht="14.65" customHeight="1">
      <c r="A186" s="40">
        <v>1973</v>
      </c>
      <c r="B186" s="41"/>
      <c r="C186" s="41" t="s">
        <v>1962</v>
      </c>
      <c r="D186" s="42" t="s">
        <v>602</v>
      </c>
      <c r="E186" s="42" t="s">
        <v>454</v>
      </c>
      <c r="F186" s="42"/>
      <c r="G186" s="43">
        <v>0.05</v>
      </c>
      <c r="H186" s="43">
        <v>0.05</v>
      </c>
      <c r="I186" s="41">
        <v>1</v>
      </c>
      <c r="J186" s="41"/>
      <c r="K186" s="44"/>
      <c r="L186" s="44"/>
      <c r="M186" s="42"/>
      <c r="N186" s="42"/>
      <c r="P186" s="35" t="str">
        <f>IF(Nickels!B187&lt;&gt;" ",Nickels!A186&amp;" "&amp;Nickels!B186,Nickels!A186)</f>
        <v xml:space="preserve">1973 </v>
      </c>
      <c r="V186" s="34">
        <f>MATCH(Nickels!$A186,[6]NickelMintage!A:A,0)</f>
        <v>184</v>
      </c>
      <c r="X186" s="46">
        <f t="shared" si="6"/>
        <v>1973</v>
      </c>
      <c r="Y186" s="35">
        <f>MATCH(X186,[6]WantList!$O$2:$O$2000,0)</f>
        <v>173</v>
      </c>
      <c r="Z186" s="34">
        <f>MATCH(X186,[6]WantListWorkFile!$A$2:$A$244,0)</f>
        <v>148</v>
      </c>
      <c r="AJ186" s="34" t="s">
        <v>597</v>
      </c>
    </row>
    <row r="187" spans="1:36" ht="14.65" customHeight="1">
      <c r="A187" s="49">
        <v>1974</v>
      </c>
      <c r="B187" s="50"/>
      <c r="C187" s="41" t="s">
        <v>1962</v>
      </c>
      <c r="D187" s="51" t="s">
        <v>603</v>
      </c>
      <c r="E187" s="51" t="s">
        <v>454</v>
      </c>
      <c r="F187" s="51"/>
      <c r="G187" s="52">
        <v>0.05</v>
      </c>
      <c r="H187" s="52">
        <v>0.05</v>
      </c>
      <c r="I187" s="50">
        <v>1</v>
      </c>
      <c r="J187" s="50"/>
      <c r="K187" s="53"/>
      <c r="L187" s="53"/>
      <c r="M187" s="51"/>
      <c r="N187" s="51"/>
      <c r="P187" s="35" t="str">
        <f>IF(Nickels!B188&lt;&gt;" ",Nickels!A187&amp;" "&amp;Nickels!B187,Nickels!A187)</f>
        <v xml:space="preserve">1974 </v>
      </c>
      <c r="V187" s="34">
        <f>MATCH(Nickels!$A187,[6]NickelMintage!A:A,0)</f>
        <v>187</v>
      </c>
      <c r="X187" s="46">
        <f t="shared" si="6"/>
        <v>1974</v>
      </c>
      <c r="Y187" s="35">
        <f>MATCH(X187,[6]WantList!$O$2:$O$2000,0)</f>
        <v>179</v>
      </c>
      <c r="Z187" s="34">
        <f>MATCH(X187,[6]WantListWorkFile!$A$2:$A$244,0)</f>
        <v>150</v>
      </c>
      <c r="AJ187" s="34" t="s">
        <v>604</v>
      </c>
    </row>
    <row r="188" spans="1:36" ht="14.65" customHeight="1">
      <c r="A188" s="40">
        <v>1974</v>
      </c>
      <c r="B188" s="41"/>
      <c r="C188" s="41" t="s">
        <v>1962</v>
      </c>
      <c r="D188" s="42" t="s">
        <v>605</v>
      </c>
      <c r="E188" s="42" t="s">
        <v>454</v>
      </c>
      <c r="F188" s="42"/>
      <c r="G188" s="43">
        <v>0.05</v>
      </c>
      <c r="H188" s="43">
        <v>0.05</v>
      </c>
      <c r="I188" s="41">
        <v>1</v>
      </c>
      <c r="J188" s="41"/>
      <c r="K188" s="44"/>
      <c r="L188" s="44"/>
      <c r="M188" s="42"/>
      <c r="N188" s="42"/>
      <c r="P188" s="35" t="str">
        <f>IF(Nickels!B189&lt;&gt;" ",Nickels!A188&amp;" "&amp;Nickels!B188,Nickels!A188)</f>
        <v xml:space="preserve">1974 </v>
      </c>
      <c r="V188" s="34">
        <f>MATCH(Nickels!$A188,[6]NickelMintage!A:A,0)</f>
        <v>187</v>
      </c>
      <c r="X188" s="46">
        <f t="shared" si="6"/>
        <v>1974</v>
      </c>
      <c r="Y188" s="35">
        <f>MATCH(X188,[6]WantList!$O$2:$O$2000,0)</f>
        <v>179</v>
      </c>
      <c r="Z188" s="34">
        <f>MATCH(X188,[6]WantListWorkFile!$A$2:$A$244,0)</f>
        <v>150</v>
      </c>
      <c r="AJ188" s="34" t="s">
        <v>604</v>
      </c>
    </row>
    <row r="189" spans="1:36" ht="14.65" customHeight="1">
      <c r="A189" s="49">
        <v>1974</v>
      </c>
      <c r="B189" s="50"/>
      <c r="C189" s="41" t="s">
        <v>1962</v>
      </c>
      <c r="D189" s="51" t="s">
        <v>606</v>
      </c>
      <c r="E189" s="51" t="s">
        <v>454</v>
      </c>
      <c r="F189" s="51"/>
      <c r="G189" s="52">
        <v>0.05</v>
      </c>
      <c r="H189" s="52">
        <v>0.05</v>
      </c>
      <c r="I189" s="50">
        <v>1</v>
      </c>
      <c r="J189" s="50"/>
      <c r="K189" s="53"/>
      <c r="L189" s="53"/>
      <c r="M189" s="51"/>
      <c r="N189" s="51"/>
      <c r="P189" s="35" t="str">
        <f>IF(Nickels!B190&lt;&gt;" ",Nickels!A189&amp;" "&amp;Nickels!B189,Nickels!A189)</f>
        <v xml:space="preserve">1974 </v>
      </c>
      <c r="V189" s="34">
        <f>MATCH(Nickels!$A189,[6]NickelMintage!A:A,0)</f>
        <v>187</v>
      </c>
      <c r="X189" s="46">
        <f t="shared" si="6"/>
        <v>1974</v>
      </c>
      <c r="Y189" s="35">
        <f>MATCH(X189,[6]WantList!$O$2:$O$2000,0)</f>
        <v>179</v>
      </c>
      <c r="Z189" s="34">
        <f>MATCH(X189,[6]WantListWorkFile!$A$2:$A$244,0)</f>
        <v>150</v>
      </c>
      <c r="AJ189" s="34" t="s">
        <v>604</v>
      </c>
    </row>
    <row r="190" spans="1:36" ht="14.65" customHeight="1">
      <c r="A190" s="40">
        <v>1974</v>
      </c>
      <c r="B190" s="41"/>
      <c r="C190" s="41" t="s">
        <v>1962</v>
      </c>
      <c r="D190" s="42" t="s">
        <v>607</v>
      </c>
      <c r="E190" s="42" t="s">
        <v>454</v>
      </c>
      <c r="F190" s="42"/>
      <c r="G190" s="43">
        <v>0.05</v>
      </c>
      <c r="H190" s="43">
        <v>0.05</v>
      </c>
      <c r="I190" s="41">
        <v>1</v>
      </c>
      <c r="J190" s="41"/>
      <c r="K190" s="44"/>
      <c r="L190" s="44"/>
      <c r="M190" s="42"/>
      <c r="N190" s="42"/>
      <c r="P190" s="35" t="str">
        <f>IF(Nickels!B191&lt;&gt;" ",Nickels!A190&amp;" "&amp;Nickels!B190,Nickels!A190)</f>
        <v xml:space="preserve">1974 </v>
      </c>
      <c r="V190" s="34">
        <f>MATCH(Nickels!$A190,[6]NickelMintage!A:A,0)</f>
        <v>187</v>
      </c>
      <c r="X190" s="46">
        <f t="shared" si="6"/>
        <v>1974</v>
      </c>
      <c r="Y190" s="35">
        <f>MATCH(X190,[6]WantList!$O$2:$O$2000,0)</f>
        <v>179</v>
      </c>
      <c r="Z190" s="34">
        <f>MATCH(X190,[6]WantListWorkFile!$A$2:$A$244,0)</f>
        <v>150</v>
      </c>
      <c r="AJ190" s="34" t="s">
        <v>604</v>
      </c>
    </row>
    <row r="191" spans="1:36" ht="14.65" customHeight="1">
      <c r="A191" s="49">
        <v>1974</v>
      </c>
      <c r="B191" s="50" t="s">
        <v>13</v>
      </c>
      <c r="C191" s="41" t="s">
        <v>1962</v>
      </c>
      <c r="D191" s="51" t="s">
        <v>608</v>
      </c>
      <c r="E191" s="51" t="s">
        <v>454</v>
      </c>
      <c r="F191" s="51"/>
      <c r="G191" s="52">
        <v>0.05</v>
      </c>
      <c r="H191" s="52">
        <v>0.05</v>
      </c>
      <c r="I191" s="50">
        <v>1</v>
      </c>
      <c r="J191" s="50"/>
      <c r="K191" s="53"/>
      <c r="L191" s="53"/>
      <c r="M191" s="51"/>
      <c r="N191" s="51"/>
      <c r="P191" s="35" t="str">
        <f>IF(Nickels!B192&lt;&gt;" ",Nickels!A191&amp;" "&amp;Nickels!B191,Nickels!A191)</f>
        <v>1974 D</v>
      </c>
      <c r="V191" s="34">
        <f>MATCH(Nickels!$A191,[6]NickelMintage!A:A,0)</f>
        <v>187</v>
      </c>
      <c r="X191" s="46" t="str">
        <f t="shared" si="6"/>
        <v>1974 D</v>
      </c>
      <c r="Y191" s="35" t="e">
        <f>MATCH(X191,[6]WantList!$O$2:$O$2000,0)</f>
        <v>#N/A</v>
      </c>
      <c r="Z191" s="34">
        <f>MATCH(X191,[6]WantListWorkFile!$A$2:$A$244,0)</f>
        <v>151</v>
      </c>
      <c r="AJ191" s="34" t="s">
        <v>262</v>
      </c>
    </row>
    <row r="192" spans="1:36" ht="14.65" customHeight="1">
      <c r="A192" s="40">
        <v>1974</v>
      </c>
      <c r="B192" s="41" t="s">
        <v>13</v>
      </c>
      <c r="C192" s="41" t="s">
        <v>1962</v>
      </c>
      <c r="D192" s="42" t="s">
        <v>609</v>
      </c>
      <c r="E192" s="42" t="s">
        <v>454</v>
      </c>
      <c r="F192" s="42"/>
      <c r="G192" s="43">
        <v>0.05</v>
      </c>
      <c r="H192" s="43">
        <v>0.05</v>
      </c>
      <c r="I192" s="41">
        <v>1</v>
      </c>
      <c r="J192" s="41"/>
      <c r="K192" s="44"/>
      <c r="L192" s="44"/>
      <c r="M192" s="42"/>
      <c r="N192" s="42"/>
      <c r="P192" s="35" t="str">
        <f>IF(Nickels!B193&lt;&gt;" ",Nickels!A192&amp;" "&amp;Nickels!B192,Nickels!A192)</f>
        <v>1974 D</v>
      </c>
      <c r="V192" s="34">
        <f>MATCH(Nickels!$A192,[6]NickelMintage!A:A,0)</f>
        <v>187</v>
      </c>
      <c r="X192" s="46" t="str">
        <f t="shared" si="6"/>
        <v>1974 D</v>
      </c>
      <c r="Y192" s="35" t="e">
        <f>MATCH(X192,[6]WantList!$O$2:$O$2000,0)</f>
        <v>#N/A</v>
      </c>
      <c r="Z192" s="34">
        <f>MATCH(X192,[6]WantListWorkFile!$A$2:$A$244,0)</f>
        <v>151</v>
      </c>
      <c r="AJ192" s="34" t="s">
        <v>262</v>
      </c>
    </row>
    <row r="193" spans="1:36" ht="14.65" customHeight="1">
      <c r="A193" s="49">
        <v>1975</v>
      </c>
      <c r="B193" s="50"/>
      <c r="C193" s="41" t="s">
        <v>1962</v>
      </c>
      <c r="D193" s="51" t="s">
        <v>610</v>
      </c>
      <c r="E193" s="51" t="s">
        <v>454</v>
      </c>
      <c r="F193" s="51"/>
      <c r="G193" s="52">
        <v>0.05</v>
      </c>
      <c r="H193" s="52">
        <v>0.05</v>
      </c>
      <c r="I193" s="50">
        <v>1</v>
      </c>
      <c r="J193" s="50"/>
      <c r="K193" s="53"/>
      <c r="L193" s="53"/>
      <c r="M193" s="51"/>
      <c r="N193" s="51"/>
      <c r="P193" s="35" t="str">
        <f>IF(Nickels!B194&lt;&gt;" ",Nickels!A193&amp;" "&amp;Nickels!B193,Nickels!A193)</f>
        <v xml:space="preserve">1975 </v>
      </c>
      <c r="V193" s="34">
        <f>MATCH(Nickels!$A193,[6]NickelMintage!A:A,0)</f>
        <v>190</v>
      </c>
      <c r="X193" s="46">
        <f t="shared" si="6"/>
        <v>1975</v>
      </c>
      <c r="Y193" s="35">
        <f>MATCH(X193,[6]WantList!$O$2:$O$2000,0)</f>
        <v>185</v>
      </c>
      <c r="Z193" s="34">
        <f>MATCH(X193,[6]WantListWorkFile!$A$2:$A$244,0)</f>
        <v>152</v>
      </c>
      <c r="AJ193" s="34" t="s">
        <v>611</v>
      </c>
    </row>
    <row r="194" spans="1:36" ht="14.65" customHeight="1">
      <c r="A194" s="40">
        <v>1975</v>
      </c>
      <c r="B194" s="41"/>
      <c r="C194" s="41" t="s">
        <v>1962</v>
      </c>
      <c r="D194" s="42" t="s">
        <v>612</v>
      </c>
      <c r="E194" s="42" t="s">
        <v>454</v>
      </c>
      <c r="F194" s="42"/>
      <c r="G194" s="43">
        <v>0.05</v>
      </c>
      <c r="H194" s="43">
        <v>0.05</v>
      </c>
      <c r="I194" s="41">
        <v>1</v>
      </c>
      <c r="J194" s="41"/>
      <c r="K194" s="44"/>
      <c r="L194" s="44"/>
      <c r="M194" s="42"/>
      <c r="N194" s="42"/>
      <c r="P194" s="35" t="str">
        <f>IF(Nickels!B195&lt;&gt;" ",Nickels!A194&amp;" "&amp;Nickels!B194,Nickels!A194)</f>
        <v xml:space="preserve">1975 </v>
      </c>
      <c r="V194" s="34">
        <f>MATCH(Nickels!$A194,[6]NickelMintage!A:A,0)</f>
        <v>190</v>
      </c>
      <c r="X194" s="46">
        <f t="shared" si="6"/>
        <v>1975</v>
      </c>
      <c r="Y194" s="35">
        <f>MATCH(X194,[6]WantList!$O$2:$O$2000,0)</f>
        <v>185</v>
      </c>
      <c r="Z194" s="34">
        <f>MATCH(X194,[6]WantListWorkFile!$A$2:$A$244,0)</f>
        <v>152</v>
      </c>
      <c r="AJ194" s="34" t="s">
        <v>611</v>
      </c>
    </row>
    <row r="195" spans="1:36" ht="14.65" customHeight="1">
      <c r="A195" s="49">
        <v>1975</v>
      </c>
      <c r="B195" s="50" t="s">
        <v>13</v>
      </c>
      <c r="C195" s="41" t="s">
        <v>1962</v>
      </c>
      <c r="D195" s="51" t="s">
        <v>613</v>
      </c>
      <c r="E195" s="51" t="s">
        <v>454</v>
      </c>
      <c r="F195" s="51"/>
      <c r="G195" s="52">
        <v>0.05</v>
      </c>
      <c r="H195" s="52">
        <v>0.05</v>
      </c>
      <c r="I195" s="50">
        <v>1</v>
      </c>
      <c r="J195" s="50"/>
      <c r="K195" s="53"/>
      <c r="L195" s="53"/>
      <c r="M195" s="51"/>
      <c r="N195" s="51"/>
      <c r="P195" s="35" t="str">
        <f>IF(Nickels!B196&lt;&gt;" ",Nickels!A195&amp;" "&amp;Nickels!B195,Nickels!A195)</f>
        <v>1975 D</v>
      </c>
      <c r="V195" s="34">
        <f>MATCH(Nickels!$A195,[6]NickelMintage!A:A,0)</f>
        <v>190</v>
      </c>
      <c r="X195" s="46" t="str">
        <f t="shared" si="6"/>
        <v>1975 D</v>
      </c>
      <c r="Y195" s="35" t="e">
        <f>MATCH(X195,[6]WantList!$O$2:$O$2000,0)</f>
        <v>#N/A</v>
      </c>
      <c r="Z195" s="34">
        <f>MATCH(X195,[6]WantListWorkFile!$A$2:$A$244,0)</f>
        <v>153</v>
      </c>
      <c r="AJ195" s="34" t="s">
        <v>266</v>
      </c>
    </row>
    <row r="196" spans="1:36" ht="14.65" customHeight="1">
      <c r="A196" s="40">
        <v>1975</v>
      </c>
      <c r="B196" s="41"/>
      <c r="C196" s="41" t="s">
        <v>1962</v>
      </c>
      <c r="D196" s="42" t="s">
        <v>614</v>
      </c>
      <c r="E196" s="42" t="s">
        <v>454</v>
      </c>
      <c r="F196" s="42"/>
      <c r="G196" s="43">
        <v>0.05</v>
      </c>
      <c r="H196" s="43">
        <v>0.05</v>
      </c>
      <c r="I196" s="41">
        <v>1</v>
      </c>
      <c r="J196" s="41"/>
      <c r="K196" s="44"/>
      <c r="L196" s="44"/>
      <c r="M196" s="42"/>
      <c r="N196" s="42"/>
      <c r="P196" s="35" t="str">
        <f>IF(Nickels!B197&lt;&gt;" ",Nickels!A196&amp;" "&amp;Nickels!B196,Nickels!A196)</f>
        <v xml:space="preserve">1975 </v>
      </c>
      <c r="V196" s="34">
        <f>MATCH(Nickels!$A196,[6]NickelMintage!A:A,0)</f>
        <v>190</v>
      </c>
      <c r="X196" s="46">
        <f t="shared" si="6"/>
        <v>1975</v>
      </c>
      <c r="Y196" s="35">
        <f>MATCH(X196,[6]WantList!$O$2:$O$2000,0)</f>
        <v>185</v>
      </c>
      <c r="Z196" s="34">
        <f>MATCH(X196,[6]WantListWorkFile!$A$2:$A$244,0)</f>
        <v>152</v>
      </c>
      <c r="AJ196" s="34" t="s">
        <v>611</v>
      </c>
    </row>
    <row r="197" spans="1:36" ht="14.65" customHeight="1">
      <c r="A197" s="49">
        <v>1976</v>
      </c>
      <c r="B197" s="50"/>
      <c r="C197" s="41" t="s">
        <v>1962</v>
      </c>
      <c r="D197" s="51" t="s">
        <v>615</v>
      </c>
      <c r="E197" s="51" t="s">
        <v>454</v>
      </c>
      <c r="F197" s="51"/>
      <c r="G197" s="52">
        <v>0.05</v>
      </c>
      <c r="H197" s="52">
        <v>0.05</v>
      </c>
      <c r="I197" s="50">
        <v>1</v>
      </c>
      <c r="J197" s="50"/>
      <c r="K197" s="53"/>
      <c r="L197" s="53"/>
      <c r="M197" s="51"/>
      <c r="N197" s="51"/>
      <c r="P197" s="35" t="str">
        <f>IF(Nickels!B198&lt;&gt;" ",Nickels!A197&amp;" "&amp;Nickels!B197,Nickels!A197)</f>
        <v xml:space="preserve">1976 </v>
      </c>
      <c r="V197" s="34">
        <f>MATCH(Nickels!$A197,[6]NickelMintage!A:A,0)</f>
        <v>193</v>
      </c>
      <c r="X197" s="46">
        <f t="shared" si="6"/>
        <v>1976</v>
      </c>
      <c r="Y197" s="35">
        <f>MATCH(X197,[6]WantList!$O$2:$O$2000,0)</f>
        <v>189</v>
      </c>
      <c r="Z197" s="34">
        <f>MATCH(X197,[6]WantListWorkFile!$A$2:$A$244,0)</f>
        <v>154</v>
      </c>
      <c r="AJ197" s="34" t="s">
        <v>616</v>
      </c>
    </row>
    <row r="198" spans="1:36" ht="14.65" customHeight="1">
      <c r="A198" s="40">
        <v>1976</v>
      </c>
      <c r="B198" s="41"/>
      <c r="C198" s="41" t="s">
        <v>1962</v>
      </c>
      <c r="D198" s="42" t="s">
        <v>617</v>
      </c>
      <c r="E198" s="42" t="s">
        <v>454</v>
      </c>
      <c r="F198" s="42"/>
      <c r="G198" s="43">
        <v>0.05</v>
      </c>
      <c r="H198" s="43">
        <v>0.05</v>
      </c>
      <c r="I198" s="41">
        <v>1</v>
      </c>
      <c r="J198" s="41"/>
      <c r="K198" s="44"/>
      <c r="L198" s="44"/>
      <c r="M198" s="42"/>
      <c r="N198" s="42"/>
      <c r="P198" s="35" t="str">
        <f>IF(Nickels!B199&lt;&gt;" ",Nickels!A198&amp;" "&amp;Nickels!B198,Nickels!A198)</f>
        <v xml:space="preserve">1976 </v>
      </c>
      <c r="V198" s="34">
        <f>MATCH(Nickels!$A198,[6]NickelMintage!A:A,0)</f>
        <v>193</v>
      </c>
      <c r="X198" s="46">
        <f t="shared" si="6"/>
        <v>1976</v>
      </c>
      <c r="Y198" s="35">
        <f>MATCH(X198,[6]WantList!$O$2:$O$2000,0)</f>
        <v>189</v>
      </c>
      <c r="Z198" s="34">
        <f>MATCH(X198,[6]WantListWorkFile!$A$2:$A$244,0)</f>
        <v>154</v>
      </c>
      <c r="AJ198" s="34" t="s">
        <v>616</v>
      </c>
    </row>
    <row r="199" spans="1:36" ht="14.65" customHeight="1">
      <c r="A199" s="49">
        <v>1976</v>
      </c>
      <c r="B199" s="50"/>
      <c r="C199" s="41" t="s">
        <v>1962</v>
      </c>
      <c r="D199" s="51" t="s">
        <v>618</v>
      </c>
      <c r="E199" s="51" t="s">
        <v>454</v>
      </c>
      <c r="F199" s="51"/>
      <c r="G199" s="52">
        <v>0.05</v>
      </c>
      <c r="H199" s="52">
        <v>0.05</v>
      </c>
      <c r="I199" s="50">
        <v>1</v>
      </c>
      <c r="J199" s="50"/>
      <c r="K199" s="53"/>
      <c r="L199" s="53"/>
      <c r="M199" s="51"/>
      <c r="N199" s="51"/>
      <c r="P199" s="35" t="str">
        <f>IF(Nickels!B200&lt;&gt;" ",Nickels!A199&amp;" "&amp;Nickels!B199,Nickels!A199)</f>
        <v xml:space="preserve">1976 </v>
      </c>
      <c r="V199" s="34">
        <f>MATCH(Nickels!$A199,[6]NickelMintage!A:A,0)</f>
        <v>193</v>
      </c>
      <c r="X199" s="46">
        <f t="shared" si="6"/>
        <v>1976</v>
      </c>
      <c r="Y199" s="35">
        <f>MATCH(X199,[6]WantList!$O$2:$O$2000,0)</f>
        <v>189</v>
      </c>
      <c r="Z199" s="34">
        <f>MATCH(X199,[6]WantListWorkFile!$A$2:$A$244,0)</f>
        <v>154</v>
      </c>
      <c r="AJ199" s="34" t="s">
        <v>616</v>
      </c>
    </row>
    <row r="200" spans="1:36" ht="14.65" customHeight="1">
      <c r="A200" s="40">
        <v>1976</v>
      </c>
      <c r="B200" s="41"/>
      <c r="C200" s="41" t="s">
        <v>1962</v>
      </c>
      <c r="D200" s="42" t="s">
        <v>619</v>
      </c>
      <c r="E200" s="42" t="s">
        <v>454</v>
      </c>
      <c r="F200" s="42"/>
      <c r="G200" s="43">
        <v>0.05</v>
      </c>
      <c r="H200" s="43">
        <v>0.05</v>
      </c>
      <c r="I200" s="41">
        <v>1</v>
      </c>
      <c r="J200" s="41"/>
      <c r="K200" s="44"/>
      <c r="L200" s="44"/>
      <c r="M200" s="42"/>
      <c r="N200" s="42"/>
      <c r="P200" s="35" t="str">
        <f>IF(Nickels!B201&lt;&gt;" ",Nickels!A200&amp;" "&amp;Nickels!B200,Nickels!A200)</f>
        <v xml:space="preserve">1976 </v>
      </c>
      <c r="V200" s="34">
        <f>MATCH(Nickels!$A200,[6]NickelMintage!A:A,0)</f>
        <v>193</v>
      </c>
      <c r="X200" s="46">
        <f t="shared" si="6"/>
        <v>1976</v>
      </c>
      <c r="Y200" s="35">
        <f>MATCH(X200,[6]WantList!$O$2:$O$2000,0)</f>
        <v>189</v>
      </c>
      <c r="Z200" s="34">
        <f>MATCH(X200,[6]WantListWorkFile!$A$2:$A$244,0)</f>
        <v>154</v>
      </c>
      <c r="AJ200" s="34" t="s">
        <v>616</v>
      </c>
    </row>
    <row r="201" spans="1:36" ht="14.65" customHeight="1">
      <c r="A201" s="49">
        <v>1976</v>
      </c>
      <c r="B201" s="50"/>
      <c r="C201" s="41" t="s">
        <v>1962</v>
      </c>
      <c r="D201" s="51" t="s">
        <v>620</v>
      </c>
      <c r="E201" s="51" t="s">
        <v>454</v>
      </c>
      <c r="F201" s="51"/>
      <c r="G201" s="52">
        <v>0.05</v>
      </c>
      <c r="H201" s="52">
        <v>0.05</v>
      </c>
      <c r="I201" s="50">
        <v>1</v>
      </c>
      <c r="J201" s="50"/>
      <c r="K201" s="53"/>
      <c r="L201" s="53"/>
      <c r="M201" s="51"/>
      <c r="N201" s="51"/>
      <c r="P201" s="35" t="str">
        <f>IF(Nickels!B202&lt;&gt;" ",Nickels!A201&amp;" "&amp;Nickels!B201,Nickels!A201)</f>
        <v xml:space="preserve">1976 </v>
      </c>
      <c r="V201" s="34">
        <f>MATCH(Nickels!$A201,[6]NickelMintage!A:A,0)</f>
        <v>193</v>
      </c>
      <c r="X201" s="46">
        <f t="shared" si="6"/>
        <v>1976</v>
      </c>
      <c r="Y201" s="35">
        <f>MATCH(X201,[6]WantList!$O$2:$O$2000,0)</f>
        <v>189</v>
      </c>
      <c r="Z201" s="34">
        <f>MATCH(X201,[6]WantListWorkFile!$A$2:$A$244,0)</f>
        <v>154</v>
      </c>
      <c r="AJ201" s="34" t="s">
        <v>616</v>
      </c>
    </row>
    <row r="202" spans="1:36" ht="14.65" customHeight="1">
      <c r="A202" s="40">
        <v>1976</v>
      </c>
      <c r="B202" s="41" t="s">
        <v>13</v>
      </c>
      <c r="C202" s="41" t="s">
        <v>1962</v>
      </c>
      <c r="D202" s="42" t="s">
        <v>621</v>
      </c>
      <c r="E202" s="42" t="s">
        <v>454</v>
      </c>
      <c r="F202" s="42"/>
      <c r="G202" s="43">
        <v>0.05</v>
      </c>
      <c r="H202" s="43">
        <v>0.05</v>
      </c>
      <c r="I202" s="41">
        <v>1</v>
      </c>
      <c r="J202" s="41"/>
      <c r="K202" s="44"/>
      <c r="L202" s="44"/>
      <c r="M202" s="42"/>
      <c r="N202" s="42"/>
      <c r="P202" s="35" t="str">
        <f>IF(Nickels!B203&lt;&gt;" ",Nickels!A202&amp;" "&amp;Nickels!B202,Nickels!A202)</f>
        <v>1976 D</v>
      </c>
      <c r="V202" s="34">
        <f>MATCH(Nickels!$A202,[6]NickelMintage!A:A,0)</f>
        <v>193</v>
      </c>
      <c r="X202" s="46" t="str">
        <f t="shared" si="6"/>
        <v>1976 D</v>
      </c>
      <c r="Y202" s="35" t="e">
        <f>MATCH(X202,[6]WantList!$O$2:$O$2000,0)</f>
        <v>#N/A</v>
      </c>
      <c r="Z202" s="34">
        <f>MATCH(X202,[6]WantListWorkFile!$A$2:$A$244,0)</f>
        <v>155</v>
      </c>
      <c r="AJ202" s="34" t="s">
        <v>272</v>
      </c>
    </row>
    <row r="203" spans="1:36" ht="14.65" customHeight="1">
      <c r="A203" s="49">
        <v>1976</v>
      </c>
      <c r="B203" s="50" t="s">
        <v>13</v>
      </c>
      <c r="C203" s="41" t="s">
        <v>1962</v>
      </c>
      <c r="D203" s="51" t="s">
        <v>622</v>
      </c>
      <c r="E203" s="51" t="s">
        <v>454</v>
      </c>
      <c r="F203" s="51"/>
      <c r="G203" s="52">
        <v>0.05</v>
      </c>
      <c r="H203" s="52">
        <v>0.05</v>
      </c>
      <c r="I203" s="50">
        <v>1</v>
      </c>
      <c r="J203" s="50"/>
      <c r="K203" s="53"/>
      <c r="L203" s="53"/>
      <c r="M203" s="51"/>
      <c r="N203" s="51"/>
      <c r="P203" s="35" t="str">
        <f>IF(Nickels!B204&lt;&gt;" ",Nickels!A203&amp;" "&amp;Nickels!B203,Nickels!A203)</f>
        <v>1976 D</v>
      </c>
      <c r="V203" s="34">
        <f>MATCH(Nickels!$A203,[6]NickelMintage!A:A,0)</f>
        <v>193</v>
      </c>
      <c r="X203" s="46" t="str">
        <f t="shared" si="6"/>
        <v>1976 D</v>
      </c>
      <c r="Y203" s="35" t="e">
        <f>MATCH(X203,[6]WantList!$O$2:$O$2000,0)</f>
        <v>#N/A</v>
      </c>
      <c r="Z203" s="34">
        <f>MATCH(X203,[6]WantListWorkFile!$A$2:$A$244,0)</f>
        <v>155</v>
      </c>
      <c r="AJ203" s="34" t="s">
        <v>272</v>
      </c>
    </row>
    <row r="204" spans="1:36" ht="14.65" customHeight="1">
      <c r="A204" s="40">
        <v>1977</v>
      </c>
      <c r="B204" s="41"/>
      <c r="C204" s="41" t="s">
        <v>1962</v>
      </c>
      <c r="D204" s="42" t="s">
        <v>623</v>
      </c>
      <c r="E204" s="42" t="s">
        <v>454</v>
      </c>
      <c r="F204" s="42"/>
      <c r="G204" s="43">
        <v>0.05</v>
      </c>
      <c r="H204" s="43">
        <v>0.05</v>
      </c>
      <c r="I204" s="41">
        <v>1</v>
      </c>
      <c r="J204" s="41"/>
      <c r="K204" s="44"/>
      <c r="L204" s="44"/>
      <c r="M204" s="42"/>
      <c r="N204" s="42"/>
      <c r="P204" s="35" t="str">
        <f>IF(Nickels!B205&lt;&gt;" ",Nickels!A204&amp;" "&amp;Nickels!B204,Nickels!A204)</f>
        <v xml:space="preserve">1977 </v>
      </c>
      <c r="V204" s="34">
        <f>MATCH(Nickels!$A204,[6]NickelMintage!A:A,0)</f>
        <v>196</v>
      </c>
      <c r="X204" s="46">
        <f t="shared" si="6"/>
        <v>1977</v>
      </c>
      <c r="Y204" s="35">
        <f>MATCH(X204,[6]WantList!$O$2:$O$2000,0)</f>
        <v>196</v>
      </c>
      <c r="Z204" s="34">
        <f>MATCH(X204,[6]WantListWorkFile!$A$2:$A$244,0)</f>
        <v>156</v>
      </c>
      <c r="AJ204" s="34" t="s">
        <v>624</v>
      </c>
    </row>
    <row r="205" spans="1:36" ht="14.65" customHeight="1">
      <c r="A205" s="49">
        <v>1977</v>
      </c>
      <c r="B205" s="50"/>
      <c r="C205" s="41" t="s">
        <v>1962</v>
      </c>
      <c r="D205" s="51" t="s">
        <v>625</v>
      </c>
      <c r="E205" s="51" t="s">
        <v>454</v>
      </c>
      <c r="F205" s="51"/>
      <c r="G205" s="52">
        <v>0.05</v>
      </c>
      <c r="H205" s="52">
        <v>0.05</v>
      </c>
      <c r="I205" s="50">
        <v>1</v>
      </c>
      <c r="J205" s="50"/>
      <c r="K205" s="53"/>
      <c r="L205" s="53"/>
      <c r="M205" s="51"/>
      <c r="N205" s="51"/>
      <c r="P205" s="35" t="str">
        <f>IF(Nickels!B206&lt;&gt;" ",Nickels!A205&amp;" "&amp;Nickels!B205,Nickels!A205)</f>
        <v xml:space="preserve">1977 </v>
      </c>
      <c r="V205" s="34">
        <f>MATCH(Nickels!$A205,[6]NickelMintage!A:A,0)</f>
        <v>196</v>
      </c>
      <c r="X205" s="46">
        <f t="shared" si="6"/>
        <v>1977</v>
      </c>
      <c r="Y205" s="35">
        <f>MATCH(X205,[6]WantList!$O$2:$O$2000,0)</f>
        <v>196</v>
      </c>
      <c r="Z205" s="34">
        <f>MATCH(X205,[6]WantListWorkFile!$A$2:$A$244,0)</f>
        <v>156</v>
      </c>
      <c r="AJ205" s="34" t="s">
        <v>624</v>
      </c>
    </row>
    <row r="206" spans="1:36" ht="14.65" customHeight="1">
      <c r="A206" s="40">
        <v>1977</v>
      </c>
      <c r="B206" s="41"/>
      <c r="C206" s="41" t="s">
        <v>1962</v>
      </c>
      <c r="D206" s="42" t="s">
        <v>626</v>
      </c>
      <c r="E206" s="42" t="s">
        <v>454</v>
      </c>
      <c r="F206" s="42"/>
      <c r="G206" s="43">
        <v>0.05</v>
      </c>
      <c r="H206" s="43">
        <v>0.05</v>
      </c>
      <c r="I206" s="41">
        <v>1</v>
      </c>
      <c r="J206" s="41"/>
      <c r="K206" s="44"/>
      <c r="L206" s="44"/>
      <c r="M206" s="42"/>
      <c r="N206" s="42"/>
      <c r="P206" s="35" t="str">
        <f>IF(Nickels!B207&lt;&gt;" ",Nickels!A206&amp;" "&amp;Nickels!B206,Nickels!A206)</f>
        <v xml:space="preserve">1977 </v>
      </c>
      <c r="V206" s="34">
        <f>MATCH(Nickels!$A206,[6]NickelMintage!A:A,0)</f>
        <v>196</v>
      </c>
      <c r="X206" s="46">
        <f t="shared" si="6"/>
        <v>1977</v>
      </c>
      <c r="Y206" s="35">
        <f>MATCH(X206,[6]WantList!$O$2:$O$2000,0)</f>
        <v>196</v>
      </c>
      <c r="Z206" s="34">
        <f>MATCH(X206,[6]WantListWorkFile!$A$2:$A$244,0)</f>
        <v>156</v>
      </c>
      <c r="AJ206" s="34" t="s">
        <v>624</v>
      </c>
    </row>
    <row r="207" spans="1:36" ht="14.65" customHeight="1">
      <c r="A207" s="49">
        <v>1977</v>
      </c>
      <c r="B207" s="50"/>
      <c r="C207" s="41" t="s">
        <v>1962</v>
      </c>
      <c r="D207" s="51" t="s">
        <v>627</v>
      </c>
      <c r="E207" s="51" t="s">
        <v>454</v>
      </c>
      <c r="F207" s="51"/>
      <c r="G207" s="52">
        <v>0.05</v>
      </c>
      <c r="H207" s="52">
        <v>0.05</v>
      </c>
      <c r="I207" s="50">
        <v>1</v>
      </c>
      <c r="J207" s="50"/>
      <c r="K207" s="53"/>
      <c r="L207" s="53"/>
      <c r="M207" s="51"/>
      <c r="N207" s="51"/>
      <c r="P207" s="35" t="str">
        <f>IF(Nickels!B208&lt;&gt;" ",Nickels!A207&amp;" "&amp;Nickels!B207,Nickels!A207)</f>
        <v xml:space="preserve">1977 </v>
      </c>
      <c r="V207" s="34">
        <f>MATCH(Nickels!$A207,[6]NickelMintage!A:A,0)</f>
        <v>196</v>
      </c>
      <c r="X207" s="46">
        <f t="shared" si="6"/>
        <v>1977</v>
      </c>
      <c r="Y207" s="35">
        <f>MATCH(X207,[6]WantList!$O$2:$O$2000,0)</f>
        <v>196</v>
      </c>
      <c r="Z207" s="34">
        <f>MATCH(X207,[6]WantListWorkFile!$A$2:$A$244,0)</f>
        <v>156</v>
      </c>
      <c r="AJ207" s="34" t="s">
        <v>624</v>
      </c>
    </row>
    <row r="208" spans="1:36" ht="14.65" customHeight="1">
      <c r="A208" s="40">
        <v>1977</v>
      </c>
      <c r="B208" s="41"/>
      <c r="C208" s="41" t="s">
        <v>1962</v>
      </c>
      <c r="D208" s="42" t="s">
        <v>628</v>
      </c>
      <c r="E208" s="42" t="s">
        <v>454</v>
      </c>
      <c r="F208" s="42"/>
      <c r="G208" s="43">
        <v>0.05</v>
      </c>
      <c r="H208" s="43">
        <v>0.05</v>
      </c>
      <c r="I208" s="41">
        <v>1</v>
      </c>
      <c r="J208" s="41"/>
      <c r="K208" s="44"/>
      <c r="L208" s="44"/>
      <c r="M208" s="42"/>
      <c r="N208" s="42"/>
      <c r="P208" s="35" t="str">
        <f>IF(Nickels!B209&lt;&gt;" ",Nickels!A208&amp;" "&amp;Nickels!B208,Nickels!A208)</f>
        <v xml:space="preserve">1977 </v>
      </c>
      <c r="V208" s="34">
        <f>MATCH(Nickels!$A208,[6]NickelMintage!A:A,0)</f>
        <v>196</v>
      </c>
      <c r="X208" s="46">
        <f t="shared" si="6"/>
        <v>1977</v>
      </c>
      <c r="Y208" s="35">
        <f>MATCH(X208,[6]WantList!$O$2:$O$2000,0)</f>
        <v>196</v>
      </c>
      <c r="Z208" s="34">
        <f>MATCH(X208,[6]WantListWorkFile!$A$2:$A$244,0)</f>
        <v>156</v>
      </c>
      <c r="AJ208" s="34" t="s">
        <v>624</v>
      </c>
    </row>
    <row r="209" spans="1:36" ht="14.65" customHeight="1">
      <c r="A209" s="49">
        <v>1978</v>
      </c>
      <c r="B209" s="50"/>
      <c r="C209" s="41" t="s">
        <v>1962</v>
      </c>
      <c r="D209" s="51" t="s">
        <v>629</v>
      </c>
      <c r="E209" s="51" t="s">
        <v>454</v>
      </c>
      <c r="F209" s="51"/>
      <c r="G209" s="52">
        <v>0.05</v>
      </c>
      <c r="H209" s="52">
        <v>0.05</v>
      </c>
      <c r="I209" s="50">
        <v>1</v>
      </c>
      <c r="J209" s="50"/>
      <c r="K209" s="53"/>
      <c r="L209" s="53"/>
      <c r="M209" s="51"/>
      <c r="N209" s="51"/>
      <c r="P209" s="35" t="str">
        <f>IF(Nickels!B210&lt;&gt;" ",Nickels!A209&amp;" "&amp;Nickels!B209,Nickels!A209)</f>
        <v xml:space="preserve">1978 </v>
      </c>
      <c r="V209" s="34">
        <f>MATCH(Nickels!$A209,[6]NickelMintage!A:A,0)</f>
        <v>199</v>
      </c>
      <c r="X209" s="46">
        <f t="shared" si="6"/>
        <v>1978</v>
      </c>
      <c r="Y209" s="35">
        <f>MATCH(X209,[6]WantList!$O$2:$O$2000,0)</f>
        <v>201</v>
      </c>
      <c r="Z209" s="34">
        <f>MATCH(X209,[6]WantListWorkFile!$A$2:$A$244,0)</f>
        <v>158</v>
      </c>
      <c r="AJ209" s="34" t="s">
        <v>630</v>
      </c>
    </row>
    <row r="210" spans="1:36" ht="14.65" customHeight="1">
      <c r="A210" s="40">
        <v>1978</v>
      </c>
      <c r="B210" s="41"/>
      <c r="C210" s="41" t="s">
        <v>1962</v>
      </c>
      <c r="D210" s="42" t="s">
        <v>631</v>
      </c>
      <c r="E210" s="42" t="s">
        <v>454</v>
      </c>
      <c r="F210" s="42"/>
      <c r="G210" s="43">
        <v>0.05</v>
      </c>
      <c r="H210" s="43">
        <v>0.05</v>
      </c>
      <c r="I210" s="41">
        <v>1</v>
      </c>
      <c r="J210" s="41"/>
      <c r="K210" s="44"/>
      <c r="L210" s="44"/>
      <c r="M210" s="42"/>
      <c r="N210" s="42"/>
      <c r="P210" s="35" t="str">
        <f>IF(Nickels!B211&lt;&gt;" ",Nickels!A210&amp;" "&amp;Nickels!B210,Nickels!A210)</f>
        <v xml:space="preserve">1978 </v>
      </c>
      <c r="V210" s="34">
        <f>MATCH(Nickels!$A210,[6]NickelMintage!A:A,0)</f>
        <v>199</v>
      </c>
      <c r="X210" s="46">
        <f t="shared" si="6"/>
        <v>1978</v>
      </c>
      <c r="Y210" s="35">
        <f>MATCH(X210,[6]WantList!$O$2:$O$2000,0)</f>
        <v>201</v>
      </c>
      <c r="Z210" s="34">
        <f>MATCH(X210,[6]WantListWorkFile!$A$2:$A$244,0)</f>
        <v>158</v>
      </c>
      <c r="AJ210" s="34" t="s">
        <v>630</v>
      </c>
    </row>
    <row r="211" spans="1:36" ht="14.65" customHeight="1">
      <c r="A211" s="49">
        <v>1978</v>
      </c>
      <c r="B211" s="50"/>
      <c r="C211" s="41" t="s">
        <v>1962</v>
      </c>
      <c r="D211" s="51" t="s">
        <v>632</v>
      </c>
      <c r="E211" s="51" t="s">
        <v>454</v>
      </c>
      <c r="F211" s="51"/>
      <c r="G211" s="52">
        <v>0.05</v>
      </c>
      <c r="H211" s="52">
        <v>0.05</v>
      </c>
      <c r="I211" s="50">
        <v>1</v>
      </c>
      <c r="J211" s="50"/>
      <c r="K211" s="53"/>
      <c r="L211" s="53"/>
      <c r="M211" s="51"/>
      <c r="N211" s="51"/>
      <c r="P211" s="35" t="str">
        <f>IF(Nickels!B212&lt;&gt;" ",Nickels!A211&amp;" "&amp;Nickels!B211,Nickels!A211)</f>
        <v xml:space="preserve">1978 </v>
      </c>
      <c r="V211" s="34">
        <f>MATCH(Nickels!$A211,[6]NickelMintage!A:A,0)</f>
        <v>199</v>
      </c>
      <c r="X211" s="46">
        <f t="shared" si="6"/>
        <v>1978</v>
      </c>
      <c r="Y211" s="35">
        <f>MATCH(X211,[6]WantList!$O$2:$O$2000,0)</f>
        <v>201</v>
      </c>
      <c r="Z211" s="34">
        <f>MATCH(X211,[6]WantListWorkFile!$A$2:$A$244,0)</f>
        <v>158</v>
      </c>
      <c r="AJ211" s="34" t="s">
        <v>630</v>
      </c>
    </row>
    <row r="212" spans="1:36" ht="14.65" customHeight="1">
      <c r="A212" s="40">
        <v>1978</v>
      </c>
      <c r="B212" s="41"/>
      <c r="C212" s="41" t="s">
        <v>1962</v>
      </c>
      <c r="D212" s="42" t="s">
        <v>633</v>
      </c>
      <c r="E212" s="42" t="s">
        <v>454</v>
      </c>
      <c r="F212" s="42"/>
      <c r="G212" s="43">
        <v>0.05</v>
      </c>
      <c r="H212" s="43">
        <v>0.05</v>
      </c>
      <c r="I212" s="41">
        <v>1</v>
      </c>
      <c r="J212" s="41"/>
      <c r="K212" s="44"/>
      <c r="L212" s="44"/>
      <c r="M212" s="42"/>
      <c r="N212" s="42"/>
      <c r="P212" s="35" t="str">
        <f>IF(Nickels!B213&lt;&gt;" ",Nickels!A212&amp;" "&amp;Nickels!B212,Nickels!A212)</f>
        <v xml:space="preserve">1978 </v>
      </c>
      <c r="V212" s="34">
        <f>MATCH(Nickels!$A212,[6]NickelMintage!A:A,0)</f>
        <v>199</v>
      </c>
      <c r="X212" s="46">
        <f t="shared" si="6"/>
        <v>1978</v>
      </c>
      <c r="Y212" s="35">
        <f>MATCH(X212,[6]WantList!$O$2:$O$2000,0)</f>
        <v>201</v>
      </c>
      <c r="Z212" s="34">
        <f>MATCH(X212,[6]WantListWorkFile!$A$2:$A$244,0)</f>
        <v>158</v>
      </c>
      <c r="AJ212" s="34" t="s">
        <v>630</v>
      </c>
    </row>
    <row r="213" spans="1:36" ht="14.65" customHeight="1">
      <c r="A213" s="49">
        <v>1978</v>
      </c>
      <c r="B213" s="50"/>
      <c r="C213" s="41" t="s">
        <v>1962</v>
      </c>
      <c r="D213" s="51" t="s">
        <v>634</v>
      </c>
      <c r="E213" s="51" t="s">
        <v>454</v>
      </c>
      <c r="F213" s="51"/>
      <c r="G213" s="52">
        <v>0.05</v>
      </c>
      <c r="H213" s="52">
        <v>0.05</v>
      </c>
      <c r="I213" s="50">
        <v>1</v>
      </c>
      <c r="J213" s="50"/>
      <c r="K213" s="53"/>
      <c r="L213" s="53"/>
      <c r="M213" s="51"/>
      <c r="N213" s="51"/>
      <c r="P213" s="35" t="str">
        <f>IF(Nickels!B214&lt;&gt;" ",Nickels!A213&amp;" "&amp;Nickels!B213,Nickels!A213)</f>
        <v xml:space="preserve">1978 </v>
      </c>
      <c r="V213" s="34">
        <f>MATCH(Nickels!$A213,[6]NickelMintage!A:A,0)</f>
        <v>199</v>
      </c>
      <c r="X213" s="46">
        <f t="shared" si="6"/>
        <v>1978</v>
      </c>
      <c r="Y213" s="35">
        <f>MATCH(X213,[6]WantList!$O$2:$O$2000,0)</f>
        <v>201</v>
      </c>
      <c r="Z213" s="34">
        <f>MATCH(X213,[6]WantListWorkFile!$A$2:$A$244,0)</f>
        <v>158</v>
      </c>
      <c r="AJ213" s="34" t="s">
        <v>630</v>
      </c>
    </row>
    <row r="214" spans="1:36" ht="14.65" customHeight="1">
      <c r="A214" s="40">
        <v>1979</v>
      </c>
      <c r="B214" s="41"/>
      <c r="C214" s="41" t="s">
        <v>1962</v>
      </c>
      <c r="D214" s="42" t="s">
        <v>635</v>
      </c>
      <c r="E214" s="42" t="s">
        <v>454</v>
      </c>
      <c r="F214" s="42"/>
      <c r="G214" s="43">
        <v>0.05</v>
      </c>
      <c r="H214" s="43">
        <v>0.05</v>
      </c>
      <c r="I214" s="41">
        <v>1</v>
      </c>
      <c r="J214" s="41"/>
      <c r="K214" s="44"/>
      <c r="L214" s="44"/>
      <c r="M214" s="42"/>
      <c r="N214" s="42"/>
      <c r="P214" s="35" t="str">
        <f>IF(Nickels!B215&lt;&gt;" ",Nickels!A214&amp;" "&amp;Nickels!B214,Nickels!A214)</f>
        <v xml:space="preserve">1979 </v>
      </c>
      <c r="V214" s="34">
        <f>MATCH(Nickels!$A214,[6]NickelMintage!A:A,0)</f>
        <v>202</v>
      </c>
      <c r="X214" s="46">
        <f t="shared" si="6"/>
        <v>1979</v>
      </c>
      <c r="Y214" s="35">
        <f>MATCH(X214,[6]WantList!$O$2:$O$2000,0)</f>
        <v>206</v>
      </c>
      <c r="Z214" s="34">
        <f>MATCH(X214,[6]WantListWorkFile!$A$2:$A$244,0)</f>
        <v>160</v>
      </c>
      <c r="AJ214" s="34" t="s">
        <v>636</v>
      </c>
    </row>
    <row r="215" spans="1:36" ht="14.65" customHeight="1">
      <c r="A215" s="49">
        <v>1979</v>
      </c>
      <c r="B215" s="50"/>
      <c r="C215" s="41" t="s">
        <v>1962</v>
      </c>
      <c r="D215" s="51" t="s">
        <v>637</v>
      </c>
      <c r="E215" s="51" t="s">
        <v>454</v>
      </c>
      <c r="F215" s="51"/>
      <c r="G215" s="52">
        <v>0.05</v>
      </c>
      <c r="H215" s="52">
        <v>0.05</v>
      </c>
      <c r="I215" s="50">
        <v>1</v>
      </c>
      <c r="J215" s="50"/>
      <c r="K215" s="53"/>
      <c r="L215" s="53"/>
      <c r="M215" s="51"/>
      <c r="N215" s="51"/>
      <c r="P215" s="35" t="str">
        <f>IF(Nickels!B216&lt;&gt;" ",Nickels!A215&amp;" "&amp;Nickels!B215,Nickels!A215)</f>
        <v xml:space="preserve">1979 </v>
      </c>
      <c r="V215" s="34">
        <f>MATCH(Nickels!$A215,[6]NickelMintage!A:A,0)</f>
        <v>202</v>
      </c>
      <c r="X215" s="46">
        <f t="shared" si="6"/>
        <v>1979</v>
      </c>
      <c r="Y215" s="35">
        <f>MATCH(X215,[6]WantList!$O$2:$O$2000,0)</f>
        <v>206</v>
      </c>
      <c r="Z215" s="34">
        <f>MATCH(X215,[6]WantListWorkFile!$A$2:$A$244,0)</f>
        <v>160</v>
      </c>
      <c r="AJ215" s="34" t="s">
        <v>636</v>
      </c>
    </row>
    <row r="216" spans="1:36" ht="14.65" customHeight="1">
      <c r="A216" s="49">
        <v>1980</v>
      </c>
      <c r="B216" s="50" t="s">
        <v>25</v>
      </c>
      <c r="C216" s="41" t="s">
        <v>1962</v>
      </c>
      <c r="D216" s="51" t="s">
        <v>638</v>
      </c>
      <c r="E216" s="51" t="s">
        <v>454</v>
      </c>
      <c r="F216" s="51"/>
      <c r="G216" s="52">
        <v>0.05</v>
      </c>
      <c r="H216" s="52">
        <v>0.05</v>
      </c>
      <c r="I216" s="50">
        <v>1</v>
      </c>
      <c r="J216" s="50"/>
      <c r="K216" s="53"/>
      <c r="L216" s="53"/>
      <c r="M216" s="51"/>
      <c r="N216" s="51"/>
      <c r="P216" s="35" t="str">
        <f>IF(Nickels!B217&lt;&gt;" ",Nickels!A216&amp;" "&amp;Nickels!B216,Nickels!A216)</f>
        <v>1980 P</v>
      </c>
      <c r="V216" s="34" t="e">
        <f>MATCH(Nickels!$A216,[6]NickelMintage!A:A,0)</f>
        <v>#N/A</v>
      </c>
      <c r="X216" s="46" t="str">
        <f t="shared" si="6"/>
        <v>1980 P</v>
      </c>
      <c r="Y216" s="35" t="e">
        <f>MATCH(X216,[6]WantList!$O$2:$O$2000,0)</f>
        <v>#N/A</v>
      </c>
      <c r="Z216" s="34">
        <f>MATCH(X216,[6]WantListWorkFile!$A$2:$A$244,0)</f>
        <v>162</v>
      </c>
      <c r="AJ216" s="34" t="s">
        <v>242</v>
      </c>
    </row>
    <row r="217" spans="1:36" ht="14.65" customHeight="1">
      <c r="A217" s="40">
        <v>1980</v>
      </c>
      <c r="B217" s="41" t="s">
        <v>25</v>
      </c>
      <c r="C217" s="41" t="s">
        <v>1962</v>
      </c>
      <c r="D217" s="42" t="s">
        <v>639</v>
      </c>
      <c r="E217" s="42" t="s">
        <v>454</v>
      </c>
      <c r="F217" s="42"/>
      <c r="G217" s="43">
        <v>0.05</v>
      </c>
      <c r="H217" s="43">
        <v>0.05</v>
      </c>
      <c r="I217" s="41">
        <v>1</v>
      </c>
      <c r="J217" s="41"/>
      <c r="K217" s="44"/>
      <c r="L217" s="44"/>
      <c r="M217" s="42"/>
      <c r="N217" s="42"/>
      <c r="P217" s="35" t="str">
        <f>IF(Nickels!B218&lt;&gt;" ",Nickels!A217&amp;" "&amp;Nickels!B217,Nickels!A217)</f>
        <v>1980 P</v>
      </c>
      <c r="V217" s="34" t="e">
        <f>MATCH(Nickels!$A217,[6]NickelMintage!A:A,0)</f>
        <v>#N/A</v>
      </c>
      <c r="X217" s="46" t="str">
        <f t="shared" si="6"/>
        <v>1980 P</v>
      </c>
      <c r="Y217" s="35" t="e">
        <f>MATCH(X217,[6]WantList!$O$2:$O$2000,0)</f>
        <v>#N/A</v>
      </c>
      <c r="Z217" s="34">
        <f>MATCH(X217,[6]WantListWorkFile!$A$2:$A$244,0)</f>
        <v>162</v>
      </c>
      <c r="AJ217" s="34" t="s">
        <v>242</v>
      </c>
    </row>
    <row r="218" spans="1:36" ht="14.65" customHeight="1">
      <c r="A218" s="40">
        <v>1980</v>
      </c>
      <c r="B218" s="41" t="s">
        <v>25</v>
      </c>
      <c r="C218" s="41" t="s">
        <v>1962</v>
      </c>
      <c r="D218" s="42" t="s">
        <v>640</v>
      </c>
      <c r="E218" s="42" t="s">
        <v>454</v>
      </c>
      <c r="F218" s="42" t="s">
        <v>16</v>
      </c>
      <c r="G218" s="43">
        <v>0.05</v>
      </c>
      <c r="H218" s="43">
        <v>0.05</v>
      </c>
      <c r="I218" s="41">
        <v>1</v>
      </c>
      <c r="J218" s="41"/>
      <c r="K218" s="44"/>
      <c r="L218" s="44"/>
      <c r="M218" s="42"/>
      <c r="N218" s="42"/>
      <c r="P218" s="35" t="str">
        <f>IF(Nickels!B219&lt;&gt;" ",Nickels!A218&amp;" "&amp;Nickels!B218,Nickels!A218)</f>
        <v>1980 P</v>
      </c>
      <c r="V218" s="34" t="e">
        <f>MATCH(Nickels!$A218,[6]NickelMintage!A:A,0)</f>
        <v>#N/A</v>
      </c>
      <c r="X218" s="46" t="str">
        <f t="shared" si="6"/>
        <v>1980 P</v>
      </c>
      <c r="Y218" s="35" t="e">
        <f>MATCH(X218,[6]WantList!$O$2:$O$2000,0)</f>
        <v>#N/A</v>
      </c>
      <c r="Z218" s="34">
        <f>MATCH(X218,[6]WantListWorkFile!$A$2:$A$244,0)</f>
        <v>162</v>
      </c>
      <c r="AJ218" s="34" t="s">
        <v>242</v>
      </c>
    </row>
    <row r="219" spans="1:36" ht="14.65" customHeight="1">
      <c r="A219" s="49">
        <v>1980</v>
      </c>
      <c r="B219" s="50" t="s">
        <v>25</v>
      </c>
      <c r="C219" s="41" t="s">
        <v>1962</v>
      </c>
      <c r="D219" s="51" t="s">
        <v>641</v>
      </c>
      <c r="E219" s="51" t="s">
        <v>454</v>
      </c>
      <c r="F219" s="51" t="s">
        <v>18</v>
      </c>
      <c r="G219" s="52">
        <v>0.05</v>
      </c>
      <c r="H219" s="52">
        <v>0.05</v>
      </c>
      <c r="I219" s="50">
        <v>1</v>
      </c>
      <c r="J219" s="50"/>
      <c r="K219" s="53"/>
      <c r="L219" s="53"/>
      <c r="M219" s="51"/>
      <c r="N219" s="51"/>
      <c r="P219" s="35" t="str">
        <f>IF(Nickels!B220&lt;&gt;" ",Nickels!A219&amp;" "&amp;Nickels!B219,Nickels!A219)</f>
        <v>1980 P</v>
      </c>
      <c r="V219" s="34" t="e">
        <f>MATCH(Nickels!$A219,[6]NickelMintage!A:A,0)</f>
        <v>#N/A</v>
      </c>
      <c r="X219" s="46" t="str">
        <f t="shared" si="6"/>
        <v>1980 P</v>
      </c>
      <c r="Y219" s="35" t="e">
        <f>MATCH(X219,[6]WantList!$O$2:$O$2000,0)</f>
        <v>#N/A</v>
      </c>
      <c r="Z219" s="34">
        <f>MATCH(X219,[6]WantListWorkFile!$A$2:$A$244,0)</f>
        <v>162</v>
      </c>
      <c r="AJ219" s="34" t="s">
        <v>242</v>
      </c>
    </row>
    <row r="220" spans="1:36" ht="14.65" customHeight="1">
      <c r="A220" s="40">
        <v>1980</v>
      </c>
      <c r="B220" s="41" t="s">
        <v>25</v>
      </c>
      <c r="C220" s="41" t="s">
        <v>1962</v>
      </c>
      <c r="D220" s="42" t="s">
        <v>642</v>
      </c>
      <c r="E220" s="42" t="s">
        <v>454</v>
      </c>
      <c r="F220" s="42" t="s">
        <v>16</v>
      </c>
      <c r="G220" s="43">
        <v>0.05</v>
      </c>
      <c r="H220" s="43">
        <v>0.05</v>
      </c>
      <c r="I220" s="41">
        <v>1</v>
      </c>
      <c r="J220" s="41"/>
      <c r="K220" s="44"/>
      <c r="L220" s="44"/>
      <c r="M220" s="42"/>
      <c r="N220" s="42"/>
      <c r="P220" s="35" t="str">
        <f>IF(Nickels!B221&lt;&gt;" ",Nickels!A220&amp;" "&amp;Nickels!B220,Nickels!A220)</f>
        <v>1980 P</v>
      </c>
      <c r="V220" s="34" t="e">
        <f>MATCH(Nickels!$A220,[6]NickelMintage!A:A,0)</f>
        <v>#N/A</v>
      </c>
      <c r="X220" s="46" t="str">
        <f t="shared" si="6"/>
        <v>1980 P</v>
      </c>
      <c r="Y220" s="35" t="e">
        <f>MATCH(X220,[6]WantList!$O$2:$O$2000,0)</f>
        <v>#N/A</v>
      </c>
      <c r="Z220" s="34">
        <f>MATCH(X220,[6]WantListWorkFile!$A$2:$A$244,0)</f>
        <v>162</v>
      </c>
      <c r="AJ220" s="34" t="s">
        <v>242</v>
      </c>
    </row>
    <row r="221" spans="1:36" ht="14.65" customHeight="1">
      <c r="A221" s="49">
        <v>1981</v>
      </c>
      <c r="B221" s="50" t="s">
        <v>25</v>
      </c>
      <c r="C221" s="41" t="s">
        <v>1962</v>
      </c>
      <c r="D221" s="51" t="s">
        <v>643</v>
      </c>
      <c r="E221" s="51" t="s">
        <v>454</v>
      </c>
      <c r="F221" s="51"/>
      <c r="G221" s="52">
        <v>0.05</v>
      </c>
      <c r="H221" s="52">
        <v>0.05</v>
      </c>
      <c r="I221" s="50">
        <v>1</v>
      </c>
      <c r="J221" s="50"/>
      <c r="K221" s="53"/>
      <c r="L221" s="53"/>
      <c r="M221" s="51"/>
      <c r="N221" s="51"/>
      <c r="P221" s="35" t="str">
        <f>IF(Nickels!B222&lt;&gt;" ",Nickels!A221&amp;" "&amp;Nickels!B221,Nickels!A221)</f>
        <v>1981 P</v>
      </c>
      <c r="V221" s="34" t="e">
        <f>MATCH(Nickels!$A221,[6]NickelMintage!A:A,0)</f>
        <v>#N/A</v>
      </c>
      <c r="X221" s="46" t="str">
        <f t="shared" si="6"/>
        <v>1981 P</v>
      </c>
      <c r="Y221" s="35" t="e">
        <f>MATCH(X221,[6]WantList!$O$2:$O$2000,0)</f>
        <v>#N/A</v>
      </c>
      <c r="Z221" s="34">
        <f>MATCH(X221,[6]WantListWorkFile!$A$2:$A$244,0)</f>
        <v>164</v>
      </c>
      <c r="AJ221" s="34" t="s">
        <v>245</v>
      </c>
    </row>
    <row r="222" spans="1:36" ht="14.65" customHeight="1">
      <c r="A222" s="40">
        <v>1981</v>
      </c>
      <c r="B222" s="41" t="s">
        <v>25</v>
      </c>
      <c r="C222" s="41" t="s">
        <v>1962</v>
      </c>
      <c r="D222" s="42" t="s">
        <v>644</v>
      </c>
      <c r="E222" s="42" t="s">
        <v>454</v>
      </c>
      <c r="F222" s="42"/>
      <c r="G222" s="43">
        <v>0.05</v>
      </c>
      <c r="H222" s="43">
        <v>0.05</v>
      </c>
      <c r="I222" s="41">
        <v>1</v>
      </c>
      <c r="J222" s="41"/>
      <c r="K222" s="44"/>
      <c r="L222" s="44"/>
      <c r="M222" s="42"/>
      <c r="N222" s="42"/>
      <c r="P222" s="35" t="str">
        <f>IF(Nickels!B223&lt;&gt;" ",Nickels!A222&amp;" "&amp;Nickels!B222,Nickels!A222)</f>
        <v>1981 P</v>
      </c>
      <c r="V222" s="34" t="e">
        <f>MATCH(Nickels!$A222,[6]NickelMintage!A:A,0)</f>
        <v>#N/A</v>
      </c>
      <c r="X222" s="46" t="str">
        <f t="shared" si="6"/>
        <v>1981 P</v>
      </c>
      <c r="Y222" s="35" t="e">
        <f>MATCH(X222,[6]WantList!$O$2:$O$2000,0)</f>
        <v>#N/A</v>
      </c>
      <c r="Z222" s="34">
        <f>MATCH(X222,[6]WantListWorkFile!$A$2:$A$244,0)</f>
        <v>164</v>
      </c>
      <c r="AJ222" s="34" t="s">
        <v>245</v>
      </c>
    </row>
    <row r="223" spans="1:36" ht="14.65" customHeight="1">
      <c r="A223" s="40">
        <v>1981</v>
      </c>
      <c r="B223" s="41" t="s">
        <v>25</v>
      </c>
      <c r="C223" s="41" t="s">
        <v>1962</v>
      </c>
      <c r="D223" s="42" t="s">
        <v>645</v>
      </c>
      <c r="E223" s="42" t="s">
        <v>454</v>
      </c>
      <c r="F223" s="42"/>
      <c r="G223" s="43">
        <v>0.05</v>
      </c>
      <c r="H223" s="43">
        <v>0.05</v>
      </c>
      <c r="I223" s="41">
        <v>1</v>
      </c>
      <c r="J223" s="41"/>
      <c r="K223" s="44"/>
      <c r="L223" s="44"/>
      <c r="M223" s="42"/>
      <c r="N223" s="42"/>
      <c r="P223" s="35" t="str">
        <f>IF(Nickels!B224&lt;&gt;" ",Nickels!A223&amp;" "&amp;Nickels!B223,Nickels!A223)</f>
        <v>1981 P</v>
      </c>
      <c r="V223" s="34" t="e">
        <f>MATCH(Nickels!$A223,[6]NickelMintage!A:A,0)</f>
        <v>#N/A</v>
      </c>
      <c r="X223" s="46" t="str">
        <f t="shared" si="6"/>
        <v>1981 P</v>
      </c>
      <c r="Y223" s="35" t="e">
        <f>MATCH(X223,[6]WantList!$O$2:$O$2000,0)</f>
        <v>#N/A</v>
      </c>
      <c r="Z223" s="34">
        <f>MATCH(X223,[6]WantListWorkFile!$A$2:$A$244,0)</f>
        <v>164</v>
      </c>
      <c r="AJ223" s="34" t="s">
        <v>245</v>
      </c>
    </row>
    <row r="224" spans="1:36" ht="14.65" customHeight="1">
      <c r="A224" s="49">
        <v>1981</v>
      </c>
      <c r="B224" s="50" t="s">
        <v>25</v>
      </c>
      <c r="C224" s="41" t="s">
        <v>1962</v>
      </c>
      <c r="D224" s="51" t="s">
        <v>646</v>
      </c>
      <c r="E224" s="51" t="s">
        <v>454</v>
      </c>
      <c r="F224" s="51"/>
      <c r="G224" s="52">
        <v>0.05</v>
      </c>
      <c r="H224" s="52">
        <v>0.05</v>
      </c>
      <c r="I224" s="50">
        <v>1</v>
      </c>
      <c r="J224" s="50"/>
      <c r="K224" s="53"/>
      <c r="L224" s="53"/>
      <c r="M224" s="51"/>
      <c r="N224" s="51"/>
      <c r="P224" s="35" t="str">
        <f>IF(Nickels!B225&lt;&gt;" ",Nickels!A224&amp;" "&amp;Nickels!B224,Nickels!A224)</f>
        <v>1981 P</v>
      </c>
      <c r="V224" s="34" t="e">
        <f>MATCH(Nickels!$A224,[6]NickelMintage!A:A,0)</f>
        <v>#N/A</v>
      </c>
      <c r="X224" s="46" t="str">
        <f t="shared" si="6"/>
        <v>1981 P</v>
      </c>
      <c r="Y224" s="35" t="e">
        <f>MATCH(X224,[6]WantList!$O$2:$O$2000,0)</f>
        <v>#N/A</v>
      </c>
      <c r="Z224" s="34">
        <f>MATCH(X224,[6]WantListWorkFile!$A$2:$A$244,0)</f>
        <v>164</v>
      </c>
      <c r="AJ224" s="34" t="s">
        <v>245</v>
      </c>
    </row>
    <row r="225" spans="1:36" ht="14.65" customHeight="1">
      <c r="A225" s="49">
        <v>1981</v>
      </c>
      <c r="B225" s="50" t="s">
        <v>25</v>
      </c>
      <c r="C225" s="41" t="s">
        <v>1962</v>
      </c>
      <c r="D225" s="51" t="s">
        <v>647</v>
      </c>
      <c r="E225" s="51" t="s">
        <v>454</v>
      </c>
      <c r="F225" s="51"/>
      <c r="G225" s="52">
        <v>0.05</v>
      </c>
      <c r="H225" s="52">
        <v>0.05</v>
      </c>
      <c r="I225" s="50">
        <v>1</v>
      </c>
      <c r="J225" s="50"/>
      <c r="K225" s="53"/>
      <c r="L225" s="53"/>
      <c r="M225" s="51"/>
      <c r="N225" s="51"/>
      <c r="P225" s="35" t="str">
        <f>IF(Nickels!B226&lt;&gt;" ",Nickels!A225&amp;" "&amp;Nickels!B225,Nickels!A225)</f>
        <v>1981 P</v>
      </c>
      <c r="V225" s="34" t="e">
        <f>MATCH(Nickels!$A225,[6]NickelMintage!A:A,0)</f>
        <v>#N/A</v>
      </c>
      <c r="X225" s="46" t="str">
        <f t="shared" si="6"/>
        <v>1981 P</v>
      </c>
      <c r="Y225" s="35" t="e">
        <f>MATCH(X225,[6]WantList!$O$2:$O$2000,0)</f>
        <v>#N/A</v>
      </c>
      <c r="Z225" s="34">
        <f>MATCH(X225,[6]WantListWorkFile!$A$2:$A$244,0)</f>
        <v>164</v>
      </c>
      <c r="AJ225" s="34" t="s">
        <v>245</v>
      </c>
    </row>
    <row r="226" spans="1:36" ht="14.65" customHeight="1">
      <c r="A226" s="40">
        <v>1981</v>
      </c>
      <c r="B226" s="41" t="s">
        <v>25</v>
      </c>
      <c r="C226" s="41" t="s">
        <v>1962</v>
      </c>
      <c r="D226" s="42" t="s">
        <v>648</v>
      </c>
      <c r="E226" s="42" t="s">
        <v>454</v>
      </c>
      <c r="F226" s="42"/>
      <c r="G226" s="43">
        <v>0.05</v>
      </c>
      <c r="H226" s="43">
        <v>0.05</v>
      </c>
      <c r="I226" s="41">
        <v>1</v>
      </c>
      <c r="J226" s="41"/>
      <c r="K226" s="44"/>
      <c r="L226" s="44"/>
      <c r="M226" s="42"/>
      <c r="N226" s="42"/>
      <c r="P226" s="35" t="str">
        <f>IF(Nickels!B227&lt;&gt;" ",Nickels!A226&amp;" "&amp;Nickels!B226,Nickels!A226)</f>
        <v>1981 P</v>
      </c>
      <c r="V226" s="34" t="e">
        <f>MATCH(Nickels!$A226,[6]NickelMintage!A:A,0)</f>
        <v>#N/A</v>
      </c>
      <c r="X226" s="46" t="str">
        <f t="shared" si="6"/>
        <v>1981 P</v>
      </c>
      <c r="Y226" s="35" t="e">
        <f>MATCH(X226,[6]WantList!$O$2:$O$2000,0)</f>
        <v>#N/A</v>
      </c>
      <c r="Z226" s="34">
        <f>MATCH(X226,[6]WantListWorkFile!$A$2:$A$244,0)</f>
        <v>164</v>
      </c>
      <c r="AJ226" s="34" t="s">
        <v>245</v>
      </c>
    </row>
    <row r="227" spans="1:36" ht="14.65" customHeight="1">
      <c r="A227" s="49">
        <v>1981</v>
      </c>
      <c r="B227" s="50" t="s">
        <v>25</v>
      </c>
      <c r="C227" s="41" t="s">
        <v>1962</v>
      </c>
      <c r="D227" s="51" t="s">
        <v>649</v>
      </c>
      <c r="E227" s="51" t="s">
        <v>454</v>
      </c>
      <c r="F227" s="51"/>
      <c r="G227" s="52">
        <v>0.05</v>
      </c>
      <c r="H227" s="52">
        <v>0.05</v>
      </c>
      <c r="I227" s="50">
        <v>1</v>
      </c>
      <c r="J227" s="50"/>
      <c r="K227" s="53"/>
      <c r="L227" s="53"/>
      <c r="M227" s="51"/>
      <c r="N227" s="51"/>
      <c r="P227" s="35" t="str">
        <f>IF(Nickels!B228&lt;&gt;" ",Nickels!A227&amp;" "&amp;Nickels!B227,Nickels!A227)</f>
        <v>1981 P</v>
      </c>
      <c r="V227" s="34" t="e">
        <f>MATCH(Nickels!$A227,[6]NickelMintage!A:A,0)</f>
        <v>#N/A</v>
      </c>
      <c r="X227" s="46" t="str">
        <f t="shared" si="6"/>
        <v>1981 P</v>
      </c>
      <c r="Y227" s="35" t="e">
        <f>MATCH(X227,[6]WantList!$O$2:$O$2000,0)</f>
        <v>#N/A</v>
      </c>
      <c r="Z227" s="34">
        <f>MATCH(X227,[6]WantListWorkFile!$A$2:$A$244,0)</f>
        <v>164</v>
      </c>
      <c r="AJ227" s="34" t="s">
        <v>245</v>
      </c>
    </row>
    <row r="228" spans="1:36" ht="14.65" customHeight="1">
      <c r="A228" s="40">
        <v>1981</v>
      </c>
      <c r="B228" s="41" t="s">
        <v>25</v>
      </c>
      <c r="C228" s="41" t="s">
        <v>1962</v>
      </c>
      <c r="D228" s="42" t="s">
        <v>650</v>
      </c>
      <c r="E228" s="42" t="s">
        <v>454</v>
      </c>
      <c r="F228" s="42"/>
      <c r="G228" s="43">
        <v>0.05</v>
      </c>
      <c r="H228" s="43">
        <v>0.05</v>
      </c>
      <c r="I228" s="41">
        <v>1</v>
      </c>
      <c r="J228" s="41"/>
      <c r="K228" s="44"/>
      <c r="L228" s="44"/>
      <c r="M228" s="42"/>
      <c r="N228" s="42"/>
      <c r="P228" s="35" t="str">
        <f>IF(Nickels!B229&lt;&gt;" ",Nickels!A228&amp;" "&amp;Nickels!B228,Nickels!A228)</f>
        <v>1981 P</v>
      </c>
      <c r="V228" s="34" t="e">
        <f>MATCH(Nickels!$A228,[6]NickelMintage!A:A,0)</f>
        <v>#N/A</v>
      </c>
      <c r="X228" s="46" t="str">
        <f t="shared" si="6"/>
        <v>1981 P</v>
      </c>
      <c r="Y228" s="35" t="e">
        <f>MATCH(X228,[6]WantList!$O$2:$O$2000,0)</f>
        <v>#N/A</v>
      </c>
      <c r="Z228" s="34">
        <f>MATCH(X228,[6]WantListWorkFile!$A$2:$A$244,0)</f>
        <v>164</v>
      </c>
      <c r="AJ228" s="34" t="s">
        <v>245</v>
      </c>
    </row>
    <row r="229" spans="1:36" ht="14.65" customHeight="1">
      <c r="A229" s="49">
        <v>1981</v>
      </c>
      <c r="B229" s="50" t="s">
        <v>25</v>
      </c>
      <c r="C229" s="41" t="s">
        <v>1962</v>
      </c>
      <c r="D229" s="51" t="s">
        <v>651</v>
      </c>
      <c r="E229" s="51" t="s">
        <v>454</v>
      </c>
      <c r="F229" s="51"/>
      <c r="G229" s="52">
        <v>0.05</v>
      </c>
      <c r="H229" s="52">
        <v>0.05</v>
      </c>
      <c r="I229" s="50">
        <v>1</v>
      </c>
      <c r="J229" s="50"/>
      <c r="K229" s="53"/>
      <c r="L229" s="53"/>
      <c r="M229" s="51"/>
      <c r="N229" s="51"/>
      <c r="P229" s="35" t="str">
        <f>IF(Nickels!B230&lt;&gt;" ",Nickels!A229&amp;" "&amp;Nickels!B229,Nickels!A229)</f>
        <v>1981 P</v>
      </c>
      <c r="V229" s="34" t="e">
        <f>MATCH(Nickels!$A229,[6]NickelMintage!A:A,0)</f>
        <v>#N/A</v>
      </c>
      <c r="X229" s="46" t="str">
        <f t="shared" si="6"/>
        <v>1981 P</v>
      </c>
      <c r="Y229" s="35" t="e">
        <f>MATCH(X229,[6]WantList!$O$2:$O$2000,0)</f>
        <v>#N/A</v>
      </c>
      <c r="Z229" s="34">
        <f>MATCH(X229,[6]WantListWorkFile!$A$2:$A$244,0)</f>
        <v>164</v>
      </c>
      <c r="AJ229" s="34" t="s">
        <v>245</v>
      </c>
    </row>
    <row r="230" spans="1:36" ht="14.65" customHeight="1">
      <c r="A230" s="40">
        <v>1981</v>
      </c>
      <c r="B230" s="41" t="s">
        <v>13</v>
      </c>
      <c r="C230" s="41" t="s">
        <v>1962</v>
      </c>
      <c r="D230" s="42" t="s">
        <v>652</v>
      </c>
      <c r="E230" s="42" t="s">
        <v>454</v>
      </c>
      <c r="F230" s="42" t="s">
        <v>16</v>
      </c>
      <c r="G230" s="43">
        <v>0.05</v>
      </c>
      <c r="H230" s="43">
        <v>0.05</v>
      </c>
      <c r="I230" s="41">
        <v>1</v>
      </c>
      <c r="J230" s="41"/>
      <c r="K230" s="44"/>
      <c r="L230" s="44"/>
      <c r="M230" s="42"/>
      <c r="N230" s="42"/>
      <c r="P230" s="35" t="str">
        <f>IF(Nickels!B231&lt;&gt;" ",Nickels!A230&amp;" "&amp;Nickels!B230,Nickels!A230)</f>
        <v>1981 D</v>
      </c>
      <c r="V230" s="34" t="e">
        <f>MATCH(Nickels!$A230,[6]NickelMintage!A:A,0)</f>
        <v>#N/A</v>
      </c>
      <c r="X230" s="46" t="str">
        <f t="shared" si="6"/>
        <v>1981 D</v>
      </c>
      <c r="Y230" s="35" t="e">
        <f>MATCH(X230,[6]WantList!$O$2:$O$2000,0)</f>
        <v>#N/A</v>
      </c>
      <c r="Z230" s="34">
        <f>MATCH(X230,[6]WantListWorkFile!$A$2:$A$244,0)</f>
        <v>165</v>
      </c>
      <c r="AJ230" s="34" t="s">
        <v>243</v>
      </c>
    </row>
    <row r="231" spans="1:36" ht="14.65" customHeight="1">
      <c r="A231" s="49">
        <v>1982</v>
      </c>
      <c r="B231" s="50" t="s">
        <v>13</v>
      </c>
      <c r="C231" s="41" t="s">
        <v>1962</v>
      </c>
      <c r="D231" s="51" t="s">
        <v>653</v>
      </c>
      <c r="E231" s="51" t="s">
        <v>454</v>
      </c>
      <c r="F231" s="51"/>
      <c r="G231" s="52">
        <v>0.05</v>
      </c>
      <c r="H231" s="52">
        <v>0.05</v>
      </c>
      <c r="I231" s="50">
        <v>1</v>
      </c>
      <c r="J231" s="50"/>
      <c r="K231" s="53"/>
      <c r="L231" s="53"/>
      <c r="M231" s="51"/>
      <c r="N231" s="51"/>
      <c r="P231" s="35" t="str">
        <f>IF(Nickels!B232&lt;&gt;" ",Nickels!A231&amp;" "&amp;Nickels!B231,Nickels!A231)</f>
        <v>1982 D</v>
      </c>
      <c r="V231" s="34" t="e">
        <f>MATCH(Nickels!$A231,[6]NickelMintage!A:A,0)</f>
        <v>#N/A</v>
      </c>
      <c r="X231" s="46" t="str">
        <f t="shared" si="6"/>
        <v>1982 D</v>
      </c>
      <c r="Y231" s="35" t="e">
        <f>MATCH(X231,[6]WantList!$O$2:$O$2000,0)</f>
        <v>#N/A</v>
      </c>
      <c r="Z231" s="34">
        <f>MATCH(X231,[6]WantListWorkFile!$A$2:$A$244,0)</f>
        <v>167</v>
      </c>
      <c r="AJ231" s="34" t="s">
        <v>247</v>
      </c>
    </row>
    <row r="232" spans="1:36" ht="14.65" customHeight="1">
      <c r="A232" s="40">
        <v>1982</v>
      </c>
      <c r="B232" s="41" t="s">
        <v>25</v>
      </c>
      <c r="C232" s="41" t="s">
        <v>1962</v>
      </c>
      <c r="D232" s="42" t="s">
        <v>654</v>
      </c>
      <c r="E232" s="42" t="s">
        <v>454</v>
      </c>
      <c r="F232" s="42"/>
      <c r="G232" s="43">
        <v>0.05</v>
      </c>
      <c r="H232" s="43">
        <v>0.05</v>
      </c>
      <c r="I232" s="41">
        <v>1</v>
      </c>
      <c r="J232" s="41"/>
      <c r="K232" s="44"/>
      <c r="L232" s="44"/>
      <c r="M232" s="42"/>
      <c r="N232" s="42"/>
      <c r="P232" s="35" t="str">
        <f>IF(Nickels!B233&lt;&gt;" ",Nickels!A232&amp;" "&amp;Nickels!B232,Nickels!A232)</f>
        <v>1982 P</v>
      </c>
      <c r="V232" s="34" t="e">
        <f>MATCH(Nickels!$A232,[6]NickelMintage!A:A,0)</f>
        <v>#N/A</v>
      </c>
      <c r="X232" s="46" t="str">
        <f t="shared" si="6"/>
        <v>1982 P</v>
      </c>
      <c r="Y232" s="35" t="e">
        <f>MATCH(X232,[6]WantList!$O$2:$O$2000,0)</f>
        <v>#N/A</v>
      </c>
      <c r="Z232" s="34">
        <f>MATCH(X232,[6]WantListWorkFile!$A$2:$A$244,0)</f>
        <v>166</v>
      </c>
      <c r="AJ232" s="34" t="s">
        <v>655</v>
      </c>
    </row>
    <row r="233" spans="1:36" ht="14.65" customHeight="1">
      <c r="A233" s="49">
        <v>1982</v>
      </c>
      <c r="B233" s="50" t="s">
        <v>25</v>
      </c>
      <c r="C233" s="41" t="s">
        <v>1962</v>
      </c>
      <c r="D233" s="51" t="s">
        <v>656</v>
      </c>
      <c r="E233" s="51" t="s">
        <v>454</v>
      </c>
      <c r="F233" s="51"/>
      <c r="G233" s="52">
        <v>0.05</v>
      </c>
      <c r="H233" s="52">
        <v>0.05</v>
      </c>
      <c r="I233" s="50">
        <v>1</v>
      </c>
      <c r="J233" s="50"/>
      <c r="K233" s="53"/>
      <c r="L233" s="53"/>
      <c r="M233" s="51"/>
      <c r="N233" s="51"/>
      <c r="P233" s="35" t="str">
        <f>IF(Nickels!B234&lt;&gt;" ",Nickels!A233&amp;" "&amp;Nickels!B233,Nickels!A233)</f>
        <v>1982 P</v>
      </c>
      <c r="V233" s="34" t="e">
        <f>MATCH(Nickels!$A233,[6]NickelMintage!A:A,0)</f>
        <v>#N/A</v>
      </c>
      <c r="X233" s="46" t="str">
        <f t="shared" si="6"/>
        <v>1982 P</v>
      </c>
      <c r="Y233" s="35" t="e">
        <f>MATCH(X233,[6]WantList!$O$2:$O$2000,0)</f>
        <v>#N/A</v>
      </c>
      <c r="Z233" s="34">
        <f>MATCH(X233,[6]WantListWorkFile!$A$2:$A$244,0)</f>
        <v>166</v>
      </c>
      <c r="AJ233" s="34" t="s">
        <v>655</v>
      </c>
    </row>
    <row r="234" spans="1:36" ht="14.65" customHeight="1">
      <c r="A234" s="40">
        <v>1982</v>
      </c>
      <c r="B234" s="41" t="s">
        <v>25</v>
      </c>
      <c r="C234" s="41" t="s">
        <v>1962</v>
      </c>
      <c r="D234" s="42" t="s">
        <v>657</v>
      </c>
      <c r="E234" s="42" t="s">
        <v>454</v>
      </c>
      <c r="F234" s="42"/>
      <c r="G234" s="43">
        <v>0.05</v>
      </c>
      <c r="H234" s="43">
        <v>0.05</v>
      </c>
      <c r="I234" s="41">
        <v>1</v>
      </c>
      <c r="J234" s="41"/>
      <c r="K234" s="44"/>
      <c r="L234" s="44"/>
      <c r="M234" s="42"/>
      <c r="N234" s="42"/>
      <c r="P234" s="35" t="str">
        <f>IF(Nickels!B235&lt;&gt;" ",Nickels!A234&amp;" "&amp;Nickels!B234,Nickels!A234)</f>
        <v>1982 P</v>
      </c>
      <c r="V234" s="34" t="e">
        <f>MATCH(Nickels!$A234,[6]NickelMintage!A:A,0)</f>
        <v>#N/A</v>
      </c>
      <c r="X234" s="46" t="str">
        <f t="shared" si="6"/>
        <v>1982 P</v>
      </c>
      <c r="Y234" s="35" t="e">
        <f>MATCH(X234,[6]WantList!$O$2:$O$2000,0)</f>
        <v>#N/A</v>
      </c>
      <c r="Z234" s="34">
        <f>MATCH(X234,[6]WantListWorkFile!$A$2:$A$244,0)</f>
        <v>166</v>
      </c>
      <c r="AJ234" s="34" t="s">
        <v>655</v>
      </c>
    </row>
    <row r="235" spans="1:36" ht="14.65" customHeight="1">
      <c r="A235" s="49">
        <v>1982</v>
      </c>
      <c r="B235" s="50" t="s">
        <v>25</v>
      </c>
      <c r="C235" s="41" t="s">
        <v>1962</v>
      </c>
      <c r="D235" s="51" t="s">
        <v>658</v>
      </c>
      <c r="E235" s="51" t="s">
        <v>454</v>
      </c>
      <c r="F235" s="51"/>
      <c r="G235" s="52">
        <v>0.05</v>
      </c>
      <c r="H235" s="52">
        <v>0.05</v>
      </c>
      <c r="I235" s="50">
        <v>1</v>
      </c>
      <c r="J235" s="50"/>
      <c r="K235" s="53"/>
      <c r="L235" s="53"/>
      <c r="M235" s="51"/>
      <c r="N235" s="51"/>
      <c r="P235" s="35" t="str">
        <f>IF(Nickels!B236&lt;&gt;" ",Nickels!A235&amp;" "&amp;Nickels!B235,Nickels!A235)</f>
        <v>1982 P</v>
      </c>
      <c r="V235" s="34" t="e">
        <f>MATCH(Nickels!$A235,[6]NickelMintage!A:A,0)</f>
        <v>#N/A</v>
      </c>
      <c r="X235" s="46" t="str">
        <f t="shared" si="6"/>
        <v>1982 P</v>
      </c>
      <c r="Y235" s="35" t="e">
        <f>MATCH(X235,[6]WantList!$O$2:$O$2000,0)</f>
        <v>#N/A</v>
      </c>
      <c r="Z235" s="34">
        <f>MATCH(X235,[6]WantListWorkFile!$A$2:$A$244,0)</f>
        <v>166</v>
      </c>
      <c r="AJ235" s="34" t="s">
        <v>655</v>
      </c>
    </row>
    <row r="236" spans="1:36" ht="14.65" customHeight="1">
      <c r="A236" s="40">
        <v>1982</v>
      </c>
      <c r="B236" s="41" t="s">
        <v>25</v>
      </c>
      <c r="C236" s="41" t="s">
        <v>1962</v>
      </c>
      <c r="D236" s="42" t="s">
        <v>659</v>
      </c>
      <c r="E236" s="42" t="s">
        <v>454</v>
      </c>
      <c r="F236" s="42"/>
      <c r="G236" s="43">
        <v>0.05</v>
      </c>
      <c r="H236" s="43">
        <v>0.05</v>
      </c>
      <c r="I236" s="41">
        <v>1</v>
      </c>
      <c r="J236" s="41"/>
      <c r="K236" s="44"/>
      <c r="L236" s="44"/>
      <c r="M236" s="42"/>
      <c r="N236" s="42"/>
      <c r="P236" s="35" t="str">
        <f>IF(Nickels!B237&lt;&gt;" ",Nickels!A236&amp;" "&amp;Nickels!B236,Nickels!A236)</f>
        <v>1982 P</v>
      </c>
      <c r="V236" s="34" t="e">
        <f>MATCH(Nickels!$A236,[6]NickelMintage!A:A,0)</f>
        <v>#N/A</v>
      </c>
      <c r="X236" s="46" t="str">
        <f t="shared" si="6"/>
        <v>1982 P</v>
      </c>
      <c r="Y236" s="35" t="e">
        <f>MATCH(X236,[6]WantList!$O$2:$O$2000,0)</f>
        <v>#N/A</v>
      </c>
      <c r="Z236" s="34">
        <f>MATCH(X236,[6]WantListWorkFile!$A$2:$A$244,0)</f>
        <v>166</v>
      </c>
      <c r="AJ236" s="34" t="s">
        <v>655</v>
      </c>
    </row>
    <row r="237" spans="1:36" ht="14.65" customHeight="1">
      <c r="A237" s="49">
        <v>1982</v>
      </c>
      <c r="B237" s="50" t="s">
        <v>25</v>
      </c>
      <c r="C237" s="41" t="s">
        <v>1962</v>
      </c>
      <c r="D237" s="51" t="s">
        <v>660</v>
      </c>
      <c r="E237" s="51" t="s">
        <v>454</v>
      </c>
      <c r="F237" s="51"/>
      <c r="G237" s="52">
        <v>0.05</v>
      </c>
      <c r="H237" s="52">
        <v>0.05</v>
      </c>
      <c r="I237" s="50">
        <v>1</v>
      </c>
      <c r="J237" s="50"/>
      <c r="K237" s="53"/>
      <c r="L237" s="53"/>
      <c r="M237" s="51"/>
      <c r="N237" s="51"/>
      <c r="P237" s="35" t="str">
        <f>IF(Nickels!B238&lt;&gt;" ",Nickels!A237&amp;" "&amp;Nickels!B237,Nickels!A237)</f>
        <v>1982 P</v>
      </c>
      <c r="V237" s="34" t="e">
        <f>MATCH(Nickels!$A237,[6]NickelMintage!A:A,0)</f>
        <v>#N/A</v>
      </c>
      <c r="X237" s="46" t="str">
        <f t="shared" si="6"/>
        <v>1982 P</v>
      </c>
      <c r="Y237" s="35" t="e">
        <f>MATCH(X237,[6]WantList!$O$2:$O$2000,0)</f>
        <v>#N/A</v>
      </c>
      <c r="Z237" s="34">
        <f>MATCH(X237,[6]WantListWorkFile!$A$2:$A$244,0)</f>
        <v>166</v>
      </c>
      <c r="AJ237" s="34" t="s">
        <v>655</v>
      </c>
    </row>
    <row r="238" spans="1:36" ht="14.65" customHeight="1">
      <c r="A238" s="40">
        <v>1983</v>
      </c>
      <c r="B238" s="41" t="s">
        <v>25</v>
      </c>
      <c r="C238" s="41" t="s">
        <v>1962</v>
      </c>
      <c r="D238" s="42" t="s">
        <v>661</v>
      </c>
      <c r="E238" s="42" t="s">
        <v>454</v>
      </c>
      <c r="F238" s="42"/>
      <c r="G238" s="43">
        <v>0.05</v>
      </c>
      <c r="H238" s="43">
        <v>0.05</v>
      </c>
      <c r="I238" s="41">
        <v>1</v>
      </c>
      <c r="J238" s="41"/>
      <c r="K238" s="44"/>
      <c r="L238" s="44"/>
      <c r="M238" s="42"/>
      <c r="N238" s="42"/>
      <c r="P238" s="35" t="str">
        <f>IF(Nickels!B239&lt;&gt;" ",Nickels!A238&amp;" "&amp;Nickels!B238,Nickels!A238)</f>
        <v>1983 P</v>
      </c>
      <c r="V238" s="34" t="e">
        <f>MATCH(Nickels!$A238,[6]NickelMintage!A:A,0)</f>
        <v>#N/A</v>
      </c>
      <c r="X238" s="46" t="str">
        <f t="shared" si="6"/>
        <v>1983 P</v>
      </c>
      <c r="Y238" s="35" t="e">
        <f>MATCH(X238,[6]WantList!$O$2:$O$2000,0)</f>
        <v>#N/A</v>
      </c>
      <c r="Z238" s="34">
        <f>MATCH(X238,[6]WantListWorkFile!$A$2:$A$244,0)</f>
        <v>168</v>
      </c>
      <c r="AJ238" s="34" t="s">
        <v>250</v>
      </c>
    </row>
    <row r="239" spans="1:36" ht="14.65" customHeight="1">
      <c r="A239" s="49">
        <v>1983</v>
      </c>
      <c r="B239" s="50" t="s">
        <v>25</v>
      </c>
      <c r="C239" s="41" t="s">
        <v>1962</v>
      </c>
      <c r="D239" s="51" t="s">
        <v>662</v>
      </c>
      <c r="E239" s="51" t="s">
        <v>454</v>
      </c>
      <c r="F239" s="51"/>
      <c r="G239" s="52">
        <v>0.05</v>
      </c>
      <c r="H239" s="52">
        <v>0.05</v>
      </c>
      <c r="I239" s="50">
        <v>1</v>
      </c>
      <c r="J239" s="50"/>
      <c r="K239" s="53"/>
      <c r="L239" s="53"/>
      <c r="M239" s="51"/>
      <c r="N239" s="51"/>
      <c r="P239" s="35" t="str">
        <f>IF(Nickels!B240&lt;&gt;" ",Nickels!A239&amp;" "&amp;Nickels!B239,Nickels!A239)</f>
        <v>1983 P</v>
      </c>
      <c r="V239" s="34" t="e">
        <f>MATCH(Nickels!$A239,[6]NickelMintage!A:A,0)</f>
        <v>#N/A</v>
      </c>
      <c r="X239" s="46" t="str">
        <f t="shared" ref="X239:X301" si="7">IF(LEN(B239)&lt;1,A239,A239&amp;" "&amp;B239)</f>
        <v>1983 P</v>
      </c>
      <c r="Y239" s="35" t="e">
        <f>MATCH(X239,[6]WantList!$O$2:$O$2000,0)</f>
        <v>#N/A</v>
      </c>
      <c r="Z239" s="34">
        <f>MATCH(X239,[6]WantListWorkFile!$A$2:$A$244,0)</f>
        <v>168</v>
      </c>
      <c r="AJ239" s="34" t="s">
        <v>250</v>
      </c>
    </row>
    <row r="240" spans="1:36" ht="14.65" customHeight="1">
      <c r="A240" s="40">
        <v>1983</v>
      </c>
      <c r="B240" s="41" t="s">
        <v>13</v>
      </c>
      <c r="C240" s="41" t="s">
        <v>1962</v>
      </c>
      <c r="D240" s="42" t="s">
        <v>663</v>
      </c>
      <c r="E240" s="42" t="s">
        <v>454</v>
      </c>
      <c r="F240" s="42"/>
      <c r="G240" s="43">
        <v>0.05</v>
      </c>
      <c r="H240" s="43">
        <v>0.05</v>
      </c>
      <c r="I240" s="41">
        <v>1</v>
      </c>
      <c r="J240" s="41"/>
      <c r="K240" s="44"/>
      <c r="L240" s="44"/>
      <c r="M240" s="42"/>
      <c r="N240" s="42"/>
      <c r="P240" s="35" t="str">
        <f>IF(Nickels!B241&lt;&gt;" ",Nickels!A240&amp;" "&amp;Nickels!B240,Nickels!A240)</f>
        <v>1983 D</v>
      </c>
      <c r="V240" s="34" t="e">
        <f>MATCH(Nickels!$A240,[6]NickelMintage!A:A,0)</f>
        <v>#N/A</v>
      </c>
      <c r="X240" s="46" t="str">
        <f t="shared" si="7"/>
        <v>1983 D</v>
      </c>
      <c r="Y240" s="35" t="e">
        <f>MATCH(X240,[6]WantList!$O$2:$O$2000,0)</f>
        <v>#N/A</v>
      </c>
      <c r="Z240" s="34">
        <f>MATCH(X240,[6]WantListWorkFile!$A$2:$A$244,0)</f>
        <v>169</v>
      </c>
      <c r="AJ240" s="34" t="s">
        <v>249</v>
      </c>
    </row>
    <row r="241" spans="1:36" ht="14.65" customHeight="1">
      <c r="A241" s="49">
        <v>1983</v>
      </c>
      <c r="B241" s="50" t="s">
        <v>25</v>
      </c>
      <c r="C241" s="41" t="s">
        <v>1962</v>
      </c>
      <c r="D241" s="51" t="s">
        <v>664</v>
      </c>
      <c r="E241" s="51" t="s">
        <v>454</v>
      </c>
      <c r="F241" s="51"/>
      <c r="G241" s="52">
        <v>0.05</v>
      </c>
      <c r="H241" s="52">
        <v>0.05</v>
      </c>
      <c r="I241" s="50">
        <v>1</v>
      </c>
      <c r="J241" s="50"/>
      <c r="K241" s="53"/>
      <c r="L241" s="53"/>
      <c r="M241" s="51"/>
      <c r="N241" s="51"/>
      <c r="P241" s="35" t="str">
        <f>IF(Nickels!B242&lt;&gt;" ",Nickels!A241&amp;" "&amp;Nickels!B241,Nickels!A241)</f>
        <v>1983 P</v>
      </c>
      <c r="V241" s="34" t="e">
        <f>MATCH(Nickels!$A241,[6]NickelMintage!A:A,0)</f>
        <v>#N/A</v>
      </c>
      <c r="X241" s="46" t="str">
        <f t="shared" si="7"/>
        <v>1983 P</v>
      </c>
      <c r="Y241" s="35" t="e">
        <f>MATCH(X241,[6]WantList!$O$2:$O$2000,0)</f>
        <v>#N/A</v>
      </c>
      <c r="Z241" s="34">
        <f>MATCH(X241,[6]WantListWorkFile!$A$2:$A$244,0)</f>
        <v>168</v>
      </c>
      <c r="AJ241" s="34" t="s">
        <v>250</v>
      </c>
    </row>
    <row r="242" spans="1:36" ht="14.65" customHeight="1">
      <c r="A242" s="40">
        <v>1983</v>
      </c>
      <c r="B242" s="41" t="s">
        <v>13</v>
      </c>
      <c r="C242" s="41" t="s">
        <v>1962</v>
      </c>
      <c r="D242" s="42" t="s">
        <v>665</v>
      </c>
      <c r="E242" s="42" t="s">
        <v>454</v>
      </c>
      <c r="F242" s="42"/>
      <c r="G242" s="43">
        <v>0.05</v>
      </c>
      <c r="H242" s="43">
        <v>0.05</v>
      </c>
      <c r="I242" s="41">
        <v>1</v>
      </c>
      <c r="J242" s="41"/>
      <c r="K242" s="44"/>
      <c r="L242" s="44"/>
      <c r="M242" s="42"/>
      <c r="N242" s="42"/>
      <c r="P242" s="35" t="str">
        <f>IF(Nickels!B243&lt;&gt;" ",Nickels!A242&amp;" "&amp;Nickels!B242,Nickels!A242)</f>
        <v>1983 D</v>
      </c>
      <c r="V242" s="34" t="e">
        <f>MATCH(Nickels!$A242,[6]NickelMintage!A:A,0)</f>
        <v>#N/A</v>
      </c>
      <c r="X242" s="46" t="str">
        <f t="shared" si="7"/>
        <v>1983 D</v>
      </c>
      <c r="Y242" s="35" t="e">
        <f>MATCH(X242,[6]WantList!$O$2:$O$2000,0)</f>
        <v>#N/A</v>
      </c>
      <c r="Z242" s="34">
        <f>MATCH(X242,[6]WantListWorkFile!$A$2:$A$244,0)</f>
        <v>169</v>
      </c>
      <c r="AJ242" s="34" t="s">
        <v>249</v>
      </c>
    </row>
    <row r="243" spans="1:36" ht="14.65" customHeight="1">
      <c r="A243" s="49">
        <v>1983</v>
      </c>
      <c r="B243" s="50" t="s">
        <v>13</v>
      </c>
      <c r="C243" s="41" t="s">
        <v>1962</v>
      </c>
      <c r="D243" s="51" t="s">
        <v>666</v>
      </c>
      <c r="E243" s="51" t="s">
        <v>454</v>
      </c>
      <c r="F243" s="51"/>
      <c r="G243" s="52">
        <v>0.05</v>
      </c>
      <c r="H243" s="52">
        <v>0.05</v>
      </c>
      <c r="I243" s="50">
        <v>1</v>
      </c>
      <c r="J243" s="50"/>
      <c r="K243" s="53"/>
      <c r="L243" s="53"/>
      <c r="M243" s="51"/>
      <c r="N243" s="51"/>
      <c r="P243" s="35" t="str">
        <f>IF(Nickels!B244&lt;&gt;" ",Nickels!A243&amp;" "&amp;Nickels!B243,Nickels!A243)</f>
        <v>1983 D</v>
      </c>
      <c r="V243" s="34" t="e">
        <f>MATCH(Nickels!$A243,[6]NickelMintage!A:A,0)</f>
        <v>#N/A</v>
      </c>
      <c r="X243" s="46" t="str">
        <f t="shared" si="7"/>
        <v>1983 D</v>
      </c>
      <c r="Y243" s="35" t="e">
        <f>MATCH(X243,[6]WantList!$O$2:$O$2000,0)</f>
        <v>#N/A</v>
      </c>
      <c r="Z243" s="34">
        <f>MATCH(X243,[6]WantListWorkFile!$A$2:$A$244,0)</f>
        <v>169</v>
      </c>
      <c r="AJ243" s="34" t="s">
        <v>249</v>
      </c>
    </row>
    <row r="244" spans="1:36" ht="14.65" customHeight="1">
      <c r="A244" s="40">
        <v>1983</v>
      </c>
      <c r="B244" s="41" t="s">
        <v>25</v>
      </c>
      <c r="C244" s="41" t="s">
        <v>1962</v>
      </c>
      <c r="D244" s="42" t="s">
        <v>667</v>
      </c>
      <c r="E244" s="42" t="s">
        <v>454</v>
      </c>
      <c r="F244" s="42"/>
      <c r="G244" s="43">
        <v>0.05</v>
      </c>
      <c r="H244" s="43">
        <v>0.05</v>
      </c>
      <c r="I244" s="41">
        <v>1</v>
      </c>
      <c r="J244" s="41"/>
      <c r="K244" s="44"/>
      <c r="L244" s="44"/>
      <c r="M244" s="42"/>
      <c r="N244" s="42"/>
      <c r="P244" s="35" t="str">
        <f>IF(Nickels!B245&lt;&gt;" ",Nickels!A244&amp;" "&amp;Nickels!B244,Nickels!A244)</f>
        <v>1983 P</v>
      </c>
      <c r="V244" s="34" t="e">
        <f>MATCH(Nickels!$A244,[6]NickelMintage!A:A,0)</f>
        <v>#N/A</v>
      </c>
      <c r="X244" s="46" t="str">
        <f t="shared" si="7"/>
        <v>1983 P</v>
      </c>
      <c r="Y244" s="35" t="e">
        <f>MATCH(X244,[6]WantList!$O$2:$O$2000,0)</f>
        <v>#N/A</v>
      </c>
      <c r="Z244" s="34">
        <f>MATCH(X244,[6]WantListWorkFile!$A$2:$A$244,0)</f>
        <v>168</v>
      </c>
      <c r="AJ244" s="34" t="s">
        <v>250</v>
      </c>
    </row>
    <row r="245" spans="1:36" ht="14.65" customHeight="1">
      <c r="A245" s="49">
        <v>1984</v>
      </c>
      <c r="B245" s="50" t="s">
        <v>13</v>
      </c>
      <c r="C245" s="41" t="s">
        <v>1962</v>
      </c>
      <c r="D245" s="51" t="s">
        <v>668</v>
      </c>
      <c r="E245" s="51" t="s">
        <v>454</v>
      </c>
      <c r="F245" s="51"/>
      <c r="G245" s="52">
        <v>0.05</v>
      </c>
      <c r="H245" s="52">
        <v>0.05</v>
      </c>
      <c r="I245" s="50">
        <v>1</v>
      </c>
      <c r="J245" s="50"/>
      <c r="K245" s="53"/>
      <c r="L245" s="53"/>
      <c r="M245" s="51"/>
      <c r="N245" s="51"/>
      <c r="P245" s="35" t="str">
        <f>IF(Nickels!B246&lt;&gt;" ",Nickels!A245&amp;" "&amp;Nickels!B245,Nickels!A245)</f>
        <v>1984 D</v>
      </c>
      <c r="V245" s="34" t="e">
        <f>MATCH(Nickels!$A245,[6]NickelMintage!A:A,0)</f>
        <v>#N/A</v>
      </c>
      <c r="X245" s="46" t="str">
        <f t="shared" si="7"/>
        <v>1984 D</v>
      </c>
      <c r="Y245" s="35" t="e">
        <f>MATCH(X245,[6]WantList!$O$2:$O$2000,0)</f>
        <v>#N/A</v>
      </c>
      <c r="Z245" s="34">
        <f>MATCH(X245,[6]WantListWorkFile!$A$2:$A$244,0)</f>
        <v>171</v>
      </c>
      <c r="AJ245" s="34" t="s">
        <v>251</v>
      </c>
    </row>
    <row r="246" spans="1:36" ht="14.65" customHeight="1">
      <c r="A246" s="40">
        <v>1984</v>
      </c>
      <c r="B246" s="41" t="s">
        <v>13</v>
      </c>
      <c r="C246" s="41" t="s">
        <v>1962</v>
      </c>
      <c r="D246" s="42" t="s">
        <v>669</v>
      </c>
      <c r="E246" s="42" t="s">
        <v>454</v>
      </c>
      <c r="F246" s="42"/>
      <c r="G246" s="43">
        <v>0.05</v>
      </c>
      <c r="H246" s="43">
        <v>0.05</v>
      </c>
      <c r="I246" s="41">
        <v>1</v>
      </c>
      <c r="J246" s="41"/>
      <c r="K246" s="44"/>
      <c r="L246" s="44"/>
      <c r="M246" s="42"/>
      <c r="N246" s="42"/>
      <c r="P246" s="35" t="str">
        <f>IF(Nickels!B247&lt;&gt;" ",Nickels!A246&amp;" "&amp;Nickels!B246,Nickels!A246)</f>
        <v>1984 D</v>
      </c>
      <c r="V246" s="34" t="e">
        <f>MATCH(Nickels!$A246,[6]NickelMintage!A:A,0)</f>
        <v>#N/A</v>
      </c>
      <c r="X246" s="46" t="str">
        <f t="shared" si="7"/>
        <v>1984 D</v>
      </c>
      <c r="Y246" s="35" t="e">
        <f>MATCH(X246,[6]WantList!$O$2:$O$2000,0)</f>
        <v>#N/A</v>
      </c>
      <c r="Z246" s="34">
        <f>MATCH(X246,[6]WantListWorkFile!$A$2:$A$244,0)</f>
        <v>171</v>
      </c>
      <c r="AJ246" s="34" t="s">
        <v>251</v>
      </c>
    </row>
    <row r="247" spans="1:36" ht="14.65" customHeight="1">
      <c r="A247" s="49">
        <v>1985</v>
      </c>
      <c r="B247" s="50" t="s">
        <v>25</v>
      </c>
      <c r="C247" s="41" t="s">
        <v>1962</v>
      </c>
      <c r="D247" s="51" t="s">
        <v>670</v>
      </c>
      <c r="E247" s="51" t="s">
        <v>454</v>
      </c>
      <c r="F247" s="51"/>
      <c r="G247" s="52">
        <v>0.05</v>
      </c>
      <c r="H247" s="52">
        <v>0.05</v>
      </c>
      <c r="I247" s="50">
        <v>1</v>
      </c>
      <c r="J247" s="50"/>
      <c r="K247" s="53"/>
      <c r="L247" s="53"/>
      <c r="M247" s="51"/>
      <c r="N247" s="51"/>
      <c r="P247" s="35" t="str">
        <f>IF(Nickels!B248&lt;&gt;" ",Nickels!A247&amp;" "&amp;Nickels!B247,Nickels!A247)</f>
        <v>1985 P</v>
      </c>
      <c r="V247" s="34" t="e">
        <f>MATCH(Nickels!$A247,[6]NickelMintage!A:A,0)</f>
        <v>#N/A</v>
      </c>
      <c r="X247" s="46" t="str">
        <f t="shared" si="7"/>
        <v>1985 P</v>
      </c>
      <c r="Y247" s="35" t="e">
        <f>MATCH(X247,[6]WantList!$O$2:$O$2000,0)</f>
        <v>#N/A</v>
      </c>
      <c r="Z247" s="34">
        <f>MATCH(X247,[6]WantListWorkFile!$A$2:$A$244,0)</f>
        <v>172</v>
      </c>
      <c r="AJ247" s="34" t="s">
        <v>671</v>
      </c>
    </row>
    <row r="248" spans="1:36" ht="14.65" customHeight="1">
      <c r="A248" s="40">
        <v>1985</v>
      </c>
      <c r="B248" s="41" t="s">
        <v>25</v>
      </c>
      <c r="C248" s="41" t="s">
        <v>1962</v>
      </c>
      <c r="D248" s="42" t="s">
        <v>672</v>
      </c>
      <c r="E248" s="42" t="s">
        <v>454</v>
      </c>
      <c r="F248" s="42"/>
      <c r="G248" s="43">
        <v>0.05</v>
      </c>
      <c r="H248" s="43">
        <v>0.05</v>
      </c>
      <c r="I248" s="41">
        <v>1</v>
      </c>
      <c r="J248" s="41"/>
      <c r="K248" s="44"/>
      <c r="L248" s="44"/>
      <c r="M248" s="42"/>
      <c r="N248" s="42"/>
      <c r="P248" s="35" t="str">
        <f>IF(Nickels!B249&lt;&gt;" ",Nickels!A248&amp;" "&amp;Nickels!B248,Nickels!A248)</f>
        <v>1985 P</v>
      </c>
      <c r="V248" s="34" t="e">
        <f>MATCH(Nickels!$A248,[6]NickelMintage!A:A,0)</f>
        <v>#N/A</v>
      </c>
      <c r="X248" s="46" t="str">
        <f t="shared" si="7"/>
        <v>1985 P</v>
      </c>
      <c r="Y248" s="35" t="e">
        <f>MATCH(X248,[6]WantList!$O$2:$O$2000,0)</f>
        <v>#N/A</v>
      </c>
      <c r="Z248" s="34">
        <f>MATCH(X248,[6]WantListWorkFile!$A$2:$A$244,0)</f>
        <v>172</v>
      </c>
      <c r="AJ248" s="34" t="s">
        <v>671</v>
      </c>
    </row>
    <row r="249" spans="1:36" ht="14.65" customHeight="1">
      <c r="A249" s="49">
        <v>1986</v>
      </c>
      <c r="B249" s="50" t="s">
        <v>25</v>
      </c>
      <c r="C249" s="41" t="s">
        <v>1962</v>
      </c>
      <c r="D249" s="51" t="s">
        <v>673</v>
      </c>
      <c r="E249" s="51" t="s">
        <v>454</v>
      </c>
      <c r="F249" s="51"/>
      <c r="G249" s="52">
        <v>0.05</v>
      </c>
      <c r="H249" s="52">
        <v>0.05</v>
      </c>
      <c r="I249" s="50">
        <v>1</v>
      </c>
      <c r="J249" s="50"/>
      <c r="K249" s="53"/>
      <c r="L249" s="53"/>
      <c r="M249" s="51"/>
      <c r="N249" s="51"/>
      <c r="P249" s="35" t="str">
        <f>IF(Nickels!B250&lt;&gt;" ",Nickels!A249&amp;" "&amp;Nickels!B249,Nickels!A249)</f>
        <v>1986 P</v>
      </c>
      <c r="V249" s="34" t="e">
        <f>MATCH(Nickels!$A249,[6]NickelMintage!A:A,0)</f>
        <v>#N/A</v>
      </c>
      <c r="X249" s="46" t="str">
        <f t="shared" si="7"/>
        <v>1986 P</v>
      </c>
      <c r="Y249" s="35" t="e">
        <f>MATCH(X249,[6]WantList!$O$2:$O$2000,0)</f>
        <v>#N/A</v>
      </c>
      <c r="Z249" s="34">
        <f>MATCH(X249,[6]WantListWorkFile!$A$2:$A$244,0)</f>
        <v>174</v>
      </c>
      <c r="AJ249" s="34" t="s">
        <v>257</v>
      </c>
    </row>
    <row r="250" spans="1:36" ht="14.65" customHeight="1">
      <c r="A250" s="40">
        <v>1986</v>
      </c>
      <c r="B250" s="41" t="s">
        <v>25</v>
      </c>
      <c r="C250" s="41" t="s">
        <v>1962</v>
      </c>
      <c r="D250" s="42" t="s">
        <v>673</v>
      </c>
      <c r="E250" s="42" t="s">
        <v>454</v>
      </c>
      <c r="F250" s="42"/>
      <c r="G250" s="43">
        <v>0.05</v>
      </c>
      <c r="H250" s="43">
        <v>0.05</v>
      </c>
      <c r="I250" s="41">
        <v>1</v>
      </c>
      <c r="J250" s="41"/>
      <c r="K250" s="44"/>
      <c r="L250" s="44"/>
      <c r="M250" s="42"/>
      <c r="N250" s="42"/>
      <c r="P250" s="35" t="str">
        <f>IF(Nickels!B251&lt;&gt;" ",Nickels!A250&amp;" "&amp;Nickels!B250,Nickels!A250)</f>
        <v>1986 P</v>
      </c>
      <c r="V250" s="34" t="e">
        <f>MATCH(Nickels!$A250,[6]NickelMintage!A:A,0)</f>
        <v>#N/A</v>
      </c>
      <c r="X250" s="46" t="str">
        <f t="shared" si="7"/>
        <v>1986 P</v>
      </c>
      <c r="Y250" s="35" t="e">
        <f>MATCH(X250,[6]WantList!$O$2:$O$2000,0)</f>
        <v>#N/A</v>
      </c>
      <c r="Z250" s="34">
        <f>MATCH(X250,[6]WantListWorkFile!$A$2:$A$244,0)</f>
        <v>174</v>
      </c>
      <c r="AJ250" s="34" t="s">
        <v>257</v>
      </c>
    </row>
    <row r="251" spans="1:36" ht="14.65" customHeight="1">
      <c r="A251" s="49">
        <v>1987</v>
      </c>
      <c r="B251" s="50" t="s">
        <v>13</v>
      </c>
      <c r="C251" s="41" t="s">
        <v>1962</v>
      </c>
      <c r="D251" s="51" t="s">
        <v>674</v>
      </c>
      <c r="E251" s="51" t="s">
        <v>454</v>
      </c>
      <c r="F251" s="51"/>
      <c r="G251" s="52">
        <v>0.05</v>
      </c>
      <c r="H251" s="52">
        <v>0.05</v>
      </c>
      <c r="I251" s="50">
        <v>1</v>
      </c>
      <c r="J251" s="50"/>
      <c r="K251" s="53"/>
      <c r="L251" s="53"/>
      <c r="M251" s="51"/>
      <c r="N251" s="51"/>
      <c r="P251" s="35" t="str">
        <f>IF(Nickels!B252&lt;&gt;" ",Nickels!A251&amp;" "&amp;Nickels!B251,Nickels!A251)</f>
        <v>1987 D</v>
      </c>
      <c r="V251" s="34" t="e">
        <f>MATCH(Nickels!$A251,[6]NickelMintage!A:A,0)</f>
        <v>#N/A</v>
      </c>
      <c r="X251" s="46" t="str">
        <f t="shared" si="7"/>
        <v>1987 D</v>
      </c>
      <c r="Y251" s="35" t="e">
        <f>MATCH(X251,[6]WantList!$O$2:$O$2000,0)</f>
        <v>#N/A</v>
      </c>
      <c r="Z251" s="34">
        <f>MATCH(X251,[6]WantListWorkFile!$A$2:$A$244,0)</f>
        <v>177</v>
      </c>
      <c r="AJ251" s="34" t="s">
        <v>675</v>
      </c>
    </row>
    <row r="252" spans="1:36" ht="14.65" customHeight="1">
      <c r="A252" s="40">
        <v>1987</v>
      </c>
      <c r="B252" s="41" t="s">
        <v>13</v>
      </c>
      <c r="C252" s="41" t="s">
        <v>1962</v>
      </c>
      <c r="D252" s="42" t="s">
        <v>676</v>
      </c>
      <c r="E252" s="42" t="s">
        <v>454</v>
      </c>
      <c r="F252" s="42"/>
      <c r="G252" s="43">
        <v>0.05</v>
      </c>
      <c r="H252" s="43">
        <v>0.05</v>
      </c>
      <c r="I252" s="41">
        <v>1</v>
      </c>
      <c r="J252" s="41"/>
      <c r="K252" s="44"/>
      <c r="L252" s="44"/>
      <c r="M252" s="42"/>
      <c r="N252" s="42"/>
      <c r="P252" s="35" t="str">
        <f>IF(Nickels!B253&lt;&gt;" ",Nickels!A252&amp;" "&amp;Nickels!B252,Nickels!A252)</f>
        <v>1987 D</v>
      </c>
      <c r="V252" s="34" t="e">
        <f>MATCH(Nickels!$A252,[6]NickelMintage!A:A,0)</f>
        <v>#N/A</v>
      </c>
      <c r="X252" s="46" t="str">
        <f t="shared" si="7"/>
        <v>1987 D</v>
      </c>
      <c r="Y252" s="35" t="e">
        <f>MATCH(X252,[6]WantList!$O$2:$O$2000,0)</f>
        <v>#N/A</v>
      </c>
      <c r="Z252" s="34">
        <f>MATCH(X252,[6]WantListWorkFile!$A$2:$A$244,0)</f>
        <v>177</v>
      </c>
      <c r="AJ252" s="34" t="s">
        <v>675</v>
      </c>
    </row>
    <row r="253" spans="1:36" ht="14.65" customHeight="1">
      <c r="A253" s="49">
        <v>1988</v>
      </c>
      <c r="B253" s="50" t="s">
        <v>13</v>
      </c>
      <c r="C253" s="41" t="s">
        <v>1962</v>
      </c>
      <c r="D253" s="51" t="s">
        <v>677</v>
      </c>
      <c r="E253" s="51" t="s">
        <v>454</v>
      </c>
      <c r="F253" s="51"/>
      <c r="G253" s="52">
        <v>0.05</v>
      </c>
      <c r="H253" s="52">
        <v>0.05</v>
      </c>
      <c r="I253" s="50">
        <v>1</v>
      </c>
      <c r="J253" s="50"/>
      <c r="K253" s="53"/>
      <c r="L253" s="53"/>
      <c r="M253" s="51"/>
      <c r="N253" s="51"/>
      <c r="P253" s="35" t="str">
        <f>IF(Nickels!B254&lt;&gt;" ",Nickels!A253&amp;" "&amp;Nickels!B253,Nickels!A253)</f>
        <v>1988 D</v>
      </c>
      <c r="V253" s="34" t="e">
        <f>MATCH(Nickels!$A253,[6]NickelMintage!A:A,0)</f>
        <v>#N/A</v>
      </c>
      <c r="X253" s="46" t="str">
        <f t="shared" si="7"/>
        <v>1988 D</v>
      </c>
      <c r="Y253" s="35" t="e">
        <f>MATCH(X253,[6]WantList!$O$2:$O$2000,0)</f>
        <v>#N/A</v>
      </c>
      <c r="Z253" s="34">
        <f>MATCH(X253,[6]WantListWorkFile!$A$2:$A$244,0)</f>
        <v>179</v>
      </c>
      <c r="AJ253" s="34" t="s">
        <v>678</v>
      </c>
    </row>
    <row r="254" spans="1:36" ht="14.65" customHeight="1">
      <c r="A254" s="40">
        <v>1988</v>
      </c>
      <c r="B254" s="41" t="s">
        <v>13</v>
      </c>
      <c r="C254" s="41" t="s">
        <v>1962</v>
      </c>
      <c r="D254" s="42" t="s">
        <v>679</v>
      </c>
      <c r="E254" s="42" t="s">
        <v>454</v>
      </c>
      <c r="F254" s="42"/>
      <c r="G254" s="43">
        <v>0.05</v>
      </c>
      <c r="H254" s="43">
        <v>0.05</v>
      </c>
      <c r="I254" s="41">
        <v>1</v>
      </c>
      <c r="J254" s="41"/>
      <c r="K254" s="44"/>
      <c r="L254" s="44"/>
      <c r="M254" s="42"/>
      <c r="N254" s="42"/>
      <c r="P254" s="35" t="str">
        <f>IF(Nickels!B255&lt;&gt;" ",Nickels!A254&amp;" "&amp;Nickels!B254,Nickels!A254)</f>
        <v>1988 D</v>
      </c>
      <c r="V254" s="34" t="e">
        <f>MATCH(Nickels!$A254,[6]NickelMintage!A:A,0)</f>
        <v>#N/A</v>
      </c>
      <c r="X254" s="46" t="str">
        <f t="shared" si="7"/>
        <v>1988 D</v>
      </c>
      <c r="Y254" s="35" t="e">
        <f>MATCH(X254,[6]WantList!$O$2:$O$2000,0)</f>
        <v>#N/A</v>
      </c>
      <c r="Z254" s="34">
        <f>MATCH(X254,[6]WantListWorkFile!$A$2:$A$244,0)</f>
        <v>179</v>
      </c>
      <c r="AJ254" s="34" t="s">
        <v>678</v>
      </c>
    </row>
    <row r="255" spans="1:36" ht="14.65" customHeight="1">
      <c r="A255" s="49">
        <v>1989</v>
      </c>
      <c r="B255" s="50" t="s">
        <v>13</v>
      </c>
      <c r="C255" s="41" t="s">
        <v>1962</v>
      </c>
      <c r="D255" s="51" t="s">
        <v>680</v>
      </c>
      <c r="E255" s="51" t="s">
        <v>454</v>
      </c>
      <c r="F255" s="51"/>
      <c r="G255" s="52">
        <v>0.05</v>
      </c>
      <c r="H255" s="52">
        <v>0.05</v>
      </c>
      <c r="I255" s="50">
        <v>1</v>
      </c>
      <c r="J255" s="50"/>
      <c r="K255" s="53"/>
      <c r="L255" s="53"/>
      <c r="M255" s="51"/>
      <c r="N255" s="51"/>
      <c r="P255" s="35" t="str">
        <f>IF(Nickels!B256&lt;&gt;" ",Nickels!A255&amp;" "&amp;Nickels!B255,Nickels!A255)</f>
        <v>1989 D</v>
      </c>
      <c r="V255" s="34" t="e">
        <f>MATCH(Nickels!$A255,[6]NickelMintage!A:A,0)</f>
        <v>#N/A</v>
      </c>
      <c r="X255" s="46" t="str">
        <f t="shared" si="7"/>
        <v>1989 D</v>
      </c>
      <c r="Y255" s="35" t="e">
        <f>MATCH(X255,[6]WantList!$O$2:$O$2000,0)</f>
        <v>#N/A</v>
      </c>
      <c r="Z255" s="34">
        <f>MATCH(X255,[6]WantListWorkFile!$A$2:$A$244,0)</f>
        <v>181</v>
      </c>
      <c r="AJ255" s="34" t="s">
        <v>261</v>
      </c>
    </row>
    <row r="256" spans="1:36" ht="14.65" customHeight="1">
      <c r="A256" s="40">
        <v>1989</v>
      </c>
      <c r="B256" s="41" t="s">
        <v>13</v>
      </c>
      <c r="C256" s="41" t="s">
        <v>1962</v>
      </c>
      <c r="D256" s="42" t="s">
        <v>681</v>
      </c>
      <c r="E256" s="42" t="s">
        <v>454</v>
      </c>
      <c r="F256" s="42"/>
      <c r="G256" s="43">
        <v>0.05</v>
      </c>
      <c r="H256" s="43">
        <v>0.05</v>
      </c>
      <c r="I256" s="41">
        <v>1</v>
      </c>
      <c r="J256" s="41"/>
      <c r="K256" s="44"/>
      <c r="L256" s="44"/>
      <c r="M256" s="42"/>
      <c r="N256" s="42"/>
      <c r="P256" s="35" t="str">
        <f>IF(Nickels!B257&lt;&gt;" ",Nickels!A256&amp;" "&amp;Nickels!B256,Nickels!A256)</f>
        <v>1989 D</v>
      </c>
      <c r="V256" s="34" t="e">
        <f>MATCH(Nickels!$A256,[6]NickelMintage!A:A,0)</f>
        <v>#N/A</v>
      </c>
      <c r="X256" s="46" t="str">
        <f t="shared" si="7"/>
        <v>1989 D</v>
      </c>
      <c r="Y256" s="35" t="e">
        <f>MATCH(X256,[6]WantList!$O$2:$O$2000,0)</f>
        <v>#N/A</v>
      </c>
      <c r="Z256" s="34">
        <f>MATCH(X256,[6]WantListWorkFile!$A$2:$A$244,0)</f>
        <v>181</v>
      </c>
      <c r="AJ256" s="34" t="s">
        <v>261</v>
      </c>
    </row>
    <row r="257" spans="1:36" ht="14.65" customHeight="1">
      <c r="A257" s="49">
        <v>1989</v>
      </c>
      <c r="B257" s="50" t="s">
        <v>25</v>
      </c>
      <c r="C257" s="41" t="s">
        <v>1962</v>
      </c>
      <c r="D257" s="51" t="s">
        <v>682</v>
      </c>
      <c r="E257" s="51" t="s">
        <v>454</v>
      </c>
      <c r="F257" s="51"/>
      <c r="G257" s="52">
        <v>0.05</v>
      </c>
      <c r="H257" s="52">
        <v>0.05</v>
      </c>
      <c r="I257" s="50">
        <v>1</v>
      </c>
      <c r="J257" s="50"/>
      <c r="K257" s="53"/>
      <c r="L257" s="53"/>
      <c r="M257" s="51"/>
      <c r="N257" s="51"/>
      <c r="P257" s="35" t="str">
        <f>IF(Nickels!B258&lt;&gt;" ",Nickels!A257&amp;" "&amp;Nickels!B257,Nickels!A257)</f>
        <v>1989 P</v>
      </c>
      <c r="V257" s="34" t="e">
        <f>MATCH(Nickels!$A257,[6]NickelMintage!A:A,0)</f>
        <v>#N/A</v>
      </c>
      <c r="X257" s="46" t="str">
        <f t="shared" si="7"/>
        <v>1989 P</v>
      </c>
      <c r="Y257" s="35" t="e">
        <f>MATCH(X257,[6]WantList!$O$2:$O$2000,0)</f>
        <v>#N/A</v>
      </c>
      <c r="Z257" s="34">
        <f>MATCH(X257,[6]WantListWorkFile!$A$2:$A$244,0)</f>
        <v>180</v>
      </c>
      <c r="AJ257" s="34" t="s">
        <v>263</v>
      </c>
    </row>
    <row r="258" spans="1:36" ht="14.65" customHeight="1">
      <c r="A258" s="40">
        <v>1989</v>
      </c>
      <c r="B258" s="41" t="s">
        <v>25</v>
      </c>
      <c r="C258" s="41" t="s">
        <v>1962</v>
      </c>
      <c r="D258" s="42" t="s">
        <v>683</v>
      </c>
      <c r="E258" s="42" t="s">
        <v>454</v>
      </c>
      <c r="F258" s="42"/>
      <c r="G258" s="43">
        <v>0.05</v>
      </c>
      <c r="H258" s="43">
        <v>0.05</v>
      </c>
      <c r="I258" s="41">
        <v>1</v>
      </c>
      <c r="J258" s="41"/>
      <c r="K258" s="44"/>
      <c r="L258" s="44"/>
      <c r="M258" s="42"/>
      <c r="N258" s="42"/>
      <c r="P258" s="35" t="str">
        <f>IF(Nickels!B259&lt;&gt;" ",Nickels!A258&amp;" "&amp;Nickels!B258,Nickels!A258)</f>
        <v>1989 P</v>
      </c>
      <c r="V258" s="34" t="e">
        <f>MATCH(Nickels!$A258,[6]NickelMintage!A:A,0)</f>
        <v>#N/A</v>
      </c>
      <c r="X258" s="46" t="str">
        <f t="shared" si="7"/>
        <v>1989 P</v>
      </c>
      <c r="Y258" s="35" t="e">
        <f>MATCH(X258,[6]WantList!$O$2:$O$2000,0)</f>
        <v>#N/A</v>
      </c>
      <c r="Z258" s="34">
        <f>MATCH(X258,[6]WantListWorkFile!$A$2:$A$244,0)</f>
        <v>180</v>
      </c>
      <c r="AJ258" s="34" t="s">
        <v>263</v>
      </c>
    </row>
    <row r="259" spans="1:36" ht="14.65" customHeight="1">
      <c r="A259" s="49">
        <v>1989</v>
      </c>
      <c r="B259" s="50" t="s">
        <v>25</v>
      </c>
      <c r="C259" s="41" t="s">
        <v>1962</v>
      </c>
      <c r="D259" s="51" t="s">
        <v>684</v>
      </c>
      <c r="E259" s="51" t="s">
        <v>454</v>
      </c>
      <c r="F259" s="51" t="s">
        <v>19</v>
      </c>
      <c r="G259" s="52">
        <v>0.05</v>
      </c>
      <c r="H259" s="52">
        <v>0.05</v>
      </c>
      <c r="I259" s="50">
        <v>1</v>
      </c>
      <c r="J259" s="50"/>
      <c r="K259" s="53"/>
      <c r="L259" s="53"/>
      <c r="M259" s="51"/>
      <c r="N259" s="51"/>
      <c r="P259" s="35" t="str">
        <f>IF(Nickels!B260&lt;&gt;" ",Nickels!A259&amp;" "&amp;Nickels!B259,Nickels!A259)</f>
        <v>1989 P</v>
      </c>
      <c r="V259" s="34" t="e">
        <f>MATCH(Nickels!$A259,[6]NickelMintage!A:A,0)</f>
        <v>#N/A</v>
      </c>
      <c r="X259" s="46" t="str">
        <f t="shared" si="7"/>
        <v>1989 P</v>
      </c>
      <c r="Y259" s="35" t="e">
        <f>MATCH(X259,[6]WantList!$O$2:$O$2000,0)</f>
        <v>#N/A</v>
      </c>
      <c r="Z259" s="34">
        <f>MATCH(X259,[6]WantListWorkFile!$A$2:$A$244,0)</f>
        <v>180</v>
      </c>
      <c r="AJ259" s="34" t="s">
        <v>263</v>
      </c>
    </row>
    <row r="260" spans="1:36" ht="14.65" customHeight="1">
      <c r="A260" s="40">
        <v>1990</v>
      </c>
      <c r="B260" s="41" t="s">
        <v>13</v>
      </c>
      <c r="C260" s="41" t="s">
        <v>1962</v>
      </c>
      <c r="D260" s="42" t="s">
        <v>685</v>
      </c>
      <c r="E260" s="42" t="s">
        <v>454</v>
      </c>
      <c r="F260" s="42"/>
      <c r="G260" s="43">
        <v>0.05</v>
      </c>
      <c r="H260" s="43">
        <v>0.05</v>
      </c>
      <c r="I260" s="41">
        <v>1</v>
      </c>
      <c r="J260" s="41"/>
      <c r="K260" s="44"/>
      <c r="L260" s="44"/>
      <c r="M260" s="42"/>
      <c r="N260" s="42"/>
      <c r="P260" s="35" t="str">
        <f>IF(Nickels!B261&lt;&gt;" ",Nickels!A260&amp;" "&amp;Nickels!B260,Nickels!A260)</f>
        <v>1990 D</v>
      </c>
      <c r="V260" s="34" t="e">
        <f>MATCH(Nickels!$A260,[6]NickelMintage!A:A,0)</f>
        <v>#N/A</v>
      </c>
      <c r="X260" s="46" t="str">
        <f t="shared" si="7"/>
        <v>1990 D</v>
      </c>
      <c r="Y260" s="35" t="e">
        <f>MATCH(X260,[6]WantList!$O$2:$O$2000,0)</f>
        <v>#N/A</v>
      </c>
      <c r="Z260" s="34">
        <f>MATCH(X260,[6]WantListWorkFile!$A$2:$A$244,0)</f>
        <v>183</v>
      </c>
      <c r="AJ260" s="34" t="s">
        <v>265</v>
      </c>
    </row>
    <row r="261" spans="1:36" ht="14.65" customHeight="1">
      <c r="A261" s="49">
        <v>1990</v>
      </c>
      <c r="B261" s="50" t="s">
        <v>25</v>
      </c>
      <c r="C261" s="41" t="s">
        <v>1962</v>
      </c>
      <c r="D261" s="51" t="s">
        <v>686</v>
      </c>
      <c r="E261" s="51" t="s">
        <v>454</v>
      </c>
      <c r="F261" s="51"/>
      <c r="G261" s="52">
        <v>0.05</v>
      </c>
      <c r="H261" s="52">
        <v>0.05</v>
      </c>
      <c r="I261" s="50">
        <v>1</v>
      </c>
      <c r="J261" s="50"/>
      <c r="K261" s="53"/>
      <c r="L261" s="53"/>
      <c r="M261" s="51"/>
      <c r="N261" s="51"/>
      <c r="P261" s="35" t="str">
        <f>IF(Nickels!B262&lt;&gt;" ",Nickels!A261&amp;" "&amp;Nickels!B261,Nickels!A261)</f>
        <v>1990 P</v>
      </c>
      <c r="V261" s="34" t="e">
        <f>MATCH(Nickels!$A261,[6]NickelMintage!A:A,0)</f>
        <v>#N/A</v>
      </c>
      <c r="X261" s="46" t="str">
        <f t="shared" si="7"/>
        <v>1990 P</v>
      </c>
      <c r="Y261" s="35" t="e">
        <f>MATCH(X261,[6]WantList!$O$2:$O$2000,0)</f>
        <v>#N/A</v>
      </c>
      <c r="Z261" s="34">
        <f>MATCH(X261,[6]WantListWorkFile!$A$2:$A$244,0)</f>
        <v>182</v>
      </c>
      <c r="AJ261" s="34" t="s">
        <v>687</v>
      </c>
    </row>
    <row r="262" spans="1:36" ht="14.65" customHeight="1">
      <c r="A262" s="40">
        <v>1991</v>
      </c>
      <c r="B262" s="41" t="s">
        <v>25</v>
      </c>
      <c r="C262" s="41" t="s">
        <v>1962</v>
      </c>
      <c r="D262" s="42" t="s">
        <v>688</v>
      </c>
      <c r="E262" s="42" t="s">
        <v>454</v>
      </c>
      <c r="F262" s="42"/>
      <c r="G262" s="43">
        <v>0.05</v>
      </c>
      <c r="H262" s="43">
        <v>0.05</v>
      </c>
      <c r="I262" s="41">
        <v>1</v>
      </c>
      <c r="J262" s="41"/>
      <c r="K262" s="44"/>
      <c r="L262" s="44"/>
      <c r="M262" s="42"/>
      <c r="N262" s="42"/>
      <c r="P262" s="35" t="str">
        <f>IF(Nickels!B263&lt;&gt;" ",Nickels!A262&amp;" "&amp;Nickels!B262,Nickels!A262)</f>
        <v>1991 P</v>
      </c>
      <c r="V262" s="34" t="e">
        <f>MATCH(Nickels!$A262,[6]NickelMintage!A:A,0)</f>
        <v>#N/A</v>
      </c>
      <c r="X262" s="46" t="str">
        <f t="shared" si="7"/>
        <v>1991 P</v>
      </c>
      <c r="Y262" s="35" t="e">
        <f>MATCH(X262,[6]WantList!$O$2:$O$2000,0)</f>
        <v>#N/A</v>
      </c>
      <c r="Z262" s="34">
        <f>MATCH(X262,[6]WantListWorkFile!$A$2:$A$244,0)</f>
        <v>184</v>
      </c>
      <c r="AJ262" s="34" t="s">
        <v>270</v>
      </c>
    </row>
    <row r="263" spans="1:36" ht="14.65" customHeight="1">
      <c r="A263" s="49">
        <v>1991</v>
      </c>
      <c r="B263" s="50" t="s">
        <v>13</v>
      </c>
      <c r="C263" s="41" t="s">
        <v>1962</v>
      </c>
      <c r="D263" s="51" t="s">
        <v>689</v>
      </c>
      <c r="E263" s="51" t="s">
        <v>454</v>
      </c>
      <c r="F263" s="51"/>
      <c r="G263" s="52">
        <v>0.05</v>
      </c>
      <c r="H263" s="52">
        <v>0.05</v>
      </c>
      <c r="I263" s="50">
        <v>1</v>
      </c>
      <c r="J263" s="50"/>
      <c r="K263" s="53"/>
      <c r="L263" s="53"/>
      <c r="M263" s="51"/>
      <c r="N263" s="51"/>
      <c r="P263" s="35" t="str">
        <f>IF(Nickels!B264&lt;&gt;" ",Nickels!A263&amp;" "&amp;Nickels!B263,Nickels!A263)</f>
        <v>1991 D</v>
      </c>
      <c r="V263" s="34" t="e">
        <f>MATCH(Nickels!$A263,[6]NickelMintage!A:A,0)</f>
        <v>#N/A</v>
      </c>
      <c r="X263" s="46" t="str">
        <f t="shared" si="7"/>
        <v>1991 D</v>
      </c>
      <c r="Y263" s="35" t="e">
        <f>MATCH(X263,[6]WantList!$O$2:$O$2000,0)</f>
        <v>#N/A</v>
      </c>
      <c r="Z263" s="34">
        <f>MATCH(X263,[6]WantListWorkFile!$A$2:$A$244,0)</f>
        <v>185</v>
      </c>
      <c r="AJ263" s="34" t="s">
        <v>268</v>
      </c>
    </row>
    <row r="264" spans="1:36" ht="14.65" customHeight="1">
      <c r="A264" s="40">
        <v>1992</v>
      </c>
      <c r="B264" s="41" t="s">
        <v>25</v>
      </c>
      <c r="C264" s="41" t="s">
        <v>1962</v>
      </c>
      <c r="D264" s="42" t="s">
        <v>690</v>
      </c>
      <c r="E264" s="42" t="s">
        <v>454</v>
      </c>
      <c r="F264" s="42"/>
      <c r="G264" s="43">
        <v>0.05</v>
      </c>
      <c r="H264" s="43">
        <v>0.05</v>
      </c>
      <c r="I264" s="41">
        <v>1</v>
      </c>
      <c r="J264" s="41"/>
      <c r="K264" s="44"/>
      <c r="L264" s="44"/>
      <c r="M264" s="42"/>
      <c r="N264" s="42"/>
      <c r="P264" s="35" t="str">
        <f>IF(Nickels!B265&lt;&gt;" ",Nickels!A264&amp;" "&amp;Nickels!B264,Nickels!A264)</f>
        <v>1992 P</v>
      </c>
      <c r="V264" s="34" t="e">
        <f>MATCH(Nickels!$A264,[6]NickelMintage!A:A,0)</f>
        <v>#N/A</v>
      </c>
      <c r="X264" s="46" t="str">
        <f t="shared" si="7"/>
        <v>1992 P</v>
      </c>
      <c r="Y264" s="35" t="e">
        <f>MATCH(X264,[6]WantList!$O$2:$O$2000,0)</f>
        <v>#N/A</v>
      </c>
      <c r="Z264" s="34">
        <f>MATCH(X264,[6]WantListWorkFile!$A$2:$A$244,0)</f>
        <v>186</v>
      </c>
      <c r="AJ264" s="34" t="s">
        <v>691</v>
      </c>
    </row>
    <row r="265" spans="1:36" ht="14.65" customHeight="1">
      <c r="A265" s="49">
        <v>1992</v>
      </c>
      <c r="B265" s="50" t="s">
        <v>25</v>
      </c>
      <c r="C265" s="41" t="s">
        <v>1962</v>
      </c>
      <c r="D265" s="51" t="s">
        <v>692</v>
      </c>
      <c r="E265" s="51" t="s">
        <v>454</v>
      </c>
      <c r="F265" s="51"/>
      <c r="G265" s="52">
        <v>0.05</v>
      </c>
      <c r="H265" s="52">
        <v>0.05</v>
      </c>
      <c r="I265" s="50">
        <v>1</v>
      </c>
      <c r="J265" s="50"/>
      <c r="K265" s="53"/>
      <c r="L265" s="53"/>
      <c r="M265" s="51"/>
      <c r="N265" s="51"/>
      <c r="P265" s="35" t="str">
        <f>IF(Nickels!B266&lt;&gt;" ",Nickels!A265&amp;" "&amp;Nickels!B265,Nickels!A265)</f>
        <v>1992 P</v>
      </c>
      <c r="V265" s="34" t="e">
        <f>MATCH(Nickels!$A265,[6]NickelMintage!A:A,0)</f>
        <v>#N/A</v>
      </c>
      <c r="X265" s="46" t="str">
        <f t="shared" si="7"/>
        <v>1992 P</v>
      </c>
      <c r="Y265" s="35" t="e">
        <f>MATCH(X265,[6]WantList!$O$2:$O$2000,0)</f>
        <v>#N/A</v>
      </c>
      <c r="Z265" s="34">
        <f>MATCH(X265,[6]WantListWorkFile!$A$2:$A$244,0)</f>
        <v>186</v>
      </c>
      <c r="AJ265" s="34" t="s">
        <v>691</v>
      </c>
    </row>
    <row r="266" spans="1:36" ht="14.65" customHeight="1">
      <c r="A266" s="40">
        <v>1992</v>
      </c>
      <c r="B266" s="41" t="s">
        <v>13</v>
      </c>
      <c r="C266" s="41" t="s">
        <v>1962</v>
      </c>
      <c r="D266" s="42" t="s">
        <v>693</v>
      </c>
      <c r="E266" s="42" t="s">
        <v>454</v>
      </c>
      <c r="F266" s="42"/>
      <c r="G266" s="43">
        <v>0.05</v>
      </c>
      <c r="H266" s="43">
        <v>0.05</v>
      </c>
      <c r="I266" s="41">
        <v>1</v>
      </c>
      <c r="J266" s="41"/>
      <c r="K266" s="44"/>
      <c r="L266" s="44"/>
      <c r="M266" s="42"/>
      <c r="N266" s="42"/>
      <c r="P266" s="35" t="str">
        <f>IF(Nickels!B267&lt;&gt;" ",Nickels!A266&amp;" "&amp;Nickels!B266,Nickels!A266)</f>
        <v>1992 D</v>
      </c>
      <c r="V266" s="34" t="e">
        <f>MATCH(Nickels!$A266,[6]NickelMintage!A:A,0)</f>
        <v>#N/A</v>
      </c>
      <c r="X266" s="46" t="str">
        <f t="shared" si="7"/>
        <v>1992 D</v>
      </c>
      <c r="Y266" s="35" t="e">
        <f>MATCH(X266,[6]WantList!$O$2:$O$2000,0)</f>
        <v>#N/A</v>
      </c>
      <c r="Z266" s="34">
        <f>MATCH(X266,[6]WantListWorkFile!$A$2:$A$244,0)</f>
        <v>187</v>
      </c>
      <c r="AJ266" s="34" t="s">
        <v>274</v>
      </c>
    </row>
    <row r="267" spans="1:36" ht="14.65" customHeight="1">
      <c r="A267" s="49">
        <v>1992</v>
      </c>
      <c r="B267" s="50" t="s">
        <v>13</v>
      </c>
      <c r="C267" s="41" t="s">
        <v>1962</v>
      </c>
      <c r="D267" s="51" t="s">
        <v>694</v>
      </c>
      <c r="E267" s="51" t="s">
        <v>454</v>
      </c>
      <c r="F267" s="51" t="s">
        <v>18</v>
      </c>
      <c r="G267" s="52">
        <v>0.05</v>
      </c>
      <c r="H267" s="52">
        <v>0.05</v>
      </c>
      <c r="I267" s="50">
        <v>1</v>
      </c>
      <c r="J267" s="50"/>
      <c r="K267" s="53"/>
      <c r="L267" s="53"/>
      <c r="M267" s="51"/>
      <c r="N267" s="51"/>
      <c r="P267" s="35" t="str">
        <f>IF(Nickels!B268&lt;&gt;" ",Nickels!A267&amp;" "&amp;Nickels!B267,Nickels!A267)</f>
        <v>1992 D</v>
      </c>
      <c r="V267" s="34" t="e">
        <f>MATCH(Nickels!$A267,[6]NickelMintage!A:A,0)</f>
        <v>#N/A</v>
      </c>
      <c r="X267" s="46" t="str">
        <f t="shared" si="7"/>
        <v>1992 D</v>
      </c>
      <c r="Y267" s="35" t="e">
        <f>MATCH(X267,[6]WantList!$O$2:$O$2000,0)</f>
        <v>#N/A</v>
      </c>
      <c r="Z267" s="34">
        <f>MATCH(X267,[6]WantListWorkFile!$A$2:$A$244,0)</f>
        <v>187</v>
      </c>
      <c r="AJ267" s="34" t="s">
        <v>274</v>
      </c>
    </row>
    <row r="268" spans="1:36" ht="14.65" customHeight="1">
      <c r="A268" s="40">
        <v>1993</v>
      </c>
      <c r="B268" s="41" t="s">
        <v>13</v>
      </c>
      <c r="C268" s="41" t="s">
        <v>1962</v>
      </c>
      <c r="D268" s="42" t="s">
        <v>695</v>
      </c>
      <c r="E268" s="42" t="s">
        <v>454</v>
      </c>
      <c r="F268" s="42"/>
      <c r="G268" s="43">
        <v>0.05</v>
      </c>
      <c r="H268" s="43">
        <v>0.05</v>
      </c>
      <c r="I268" s="41">
        <v>1</v>
      </c>
      <c r="J268" s="41"/>
      <c r="K268" s="44"/>
      <c r="L268" s="44"/>
      <c r="M268" s="42"/>
      <c r="N268" s="42"/>
      <c r="P268" s="35" t="str">
        <f>IF(Nickels!B269&lt;&gt;" ",Nickels!A268&amp;" "&amp;Nickels!B268,Nickels!A268)</f>
        <v>1993 D</v>
      </c>
      <c r="V268" s="34" t="e">
        <f>MATCH(Nickels!$A268,[6]NickelMintage!A:A,0)</f>
        <v>#N/A</v>
      </c>
      <c r="X268" s="46" t="str">
        <f t="shared" si="7"/>
        <v>1993 D</v>
      </c>
      <c r="Y268" s="35" t="e">
        <f>MATCH(X268,[6]WantList!$O$2:$O$2000,0)</f>
        <v>#N/A</v>
      </c>
      <c r="Z268" s="34">
        <f>MATCH(X268,[6]WantListWorkFile!$A$2:$A$244,0)</f>
        <v>189</v>
      </c>
      <c r="AJ268" s="34" t="s">
        <v>277</v>
      </c>
    </row>
    <row r="269" spans="1:36" ht="14.65" customHeight="1">
      <c r="A269" s="49">
        <v>1993</v>
      </c>
      <c r="B269" s="50" t="s">
        <v>13</v>
      </c>
      <c r="C269" s="41" t="s">
        <v>1962</v>
      </c>
      <c r="D269" s="51" t="s">
        <v>696</v>
      </c>
      <c r="E269" s="51" t="s">
        <v>454</v>
      </c>
      <c r="F269" s="51"/>
      <c r="G269" s="52">
        <v>0.05</v>
      </c>
      <c r="H269" s="52">
        <v>0.05</v>
      </c>
      <c r="I269" s="50">
        <v>1</v>
      </c>
      <c r="J269" s="50"/>
      <c r="K269" s="53"/>
      <c r="L269" s="53"/>
      <c r="M269" s="51"/>
      <c r="N269" s="51"/>
      <c r="P269" s="35" t="str">
        <f>IF(Nickels!B270&lt;&gt;" ",Nickels!A269&amp;" "&amp;Nickels!B269,Nickels!A269)</f>
        <v>1993 D</v>
      </c>
      <c r="V269" s="34" t="e">
        <f>MATCH(Nickels!$A269,[6]NickelMintage!A:A,0)</f>
        <v>#N/A</v>
      </c>
      <c r="X269" s="46" t="str">
        <f t="shared" si="7"/>
        <v>1993 D</v>
      </c>
      <c r="Y269" s="35" t="e">
        <f>MATCH(X269,[6]WantList!$O$2:$O$2000,0)</f>
        <v>#N/A</v>
      </c>
      <c r="Z269" s="34">
        <f>MATCH(X269,[6]WantListWorkFile!$A$2:$A$244,0)</f>
        <v>189</v>
      </c>
      <c r="AJ269" s="34" t="s">
        <v>277</v>
      </c>
    </row>
    <row r="270" spans="1:36" ht="14.65" customHeight="1">
      <c r="A270" s="40">
        <v>1994</v>
      </c>
      <c r="B270" s="41" t="s">
        <v>25</v>
      </c>
      <c r="C270" s="41" t="s">
        <v>1962</v>
      </c>
      <c r="D270" s="42" t="s">
        <v>697</v>
      </c>
      <c r="E270" s="42" t="s">
        <v>454</v>
      </c>
      <c r="F270" s="42"/>
      <c r="G270" s="43">
        <v>0.05</v>
      </c>
      <c r="H270" s="43">
        <v>0.05</v>
      </c>
      <c r="I270" s="41">
        <v>1</v>
      </c>
      <c r="J270" s="41"/>
      <c r="K270" s="44"/>
      <c r="L270" s="44"/>
      <c r="M270" s="42"/>
      <c r="N270" s="42"/>
      <c r="P270" s="35" t="str">
        <f>IF(Nickels!B271&lt;&gt;" ",Nickels!A270&amp;" "&amp;Nickels!B270,Nickels!A270)</f>
        <v>1994 P</v>
      </c>
      <c r="V270" s="34" t="e">
        <f>MATCH(Nickels!$A270,[6]NickelMintage!A:A,0)</f>
        <v>#N/A</v>
      </c>
      <c r="X270" s="46" t="str">
        <f t="shared" si="7"/>
        <v>1994 P</v>
      </c>
      <c r="Y270" s="35" t="e">
        <f>MATCH(X270,[6]WantList!$O$2:$O$2000,0)</f>
        <v>#N/A</v>
      </c>
      <c r="Z270" s="34">
        <f>MATCH(X270,[6]WantListWorkFile!$A$2:$A$244,0)</f>
        <v>190</v>
      </c>
      <c r="AJ270" s="34" t="s">
        <v>698</v>
      </c>
    </row>
    <row r="271" spans="1:36" ht="14.65" customHeight="1">
      <c r="A271" s="49">
        <v>1994</v>
      </c>
      <c r="B271" s="50" t="s">
        <v>25</v>
      </c>
      <c r="C271" s="41" t="s">
        <v>1962</v>
      </c>
      <c r="D271" s="51" t="s">
        <v>699</v>
      </c>
      <c r="E271" s="51" t="s">
        <v>454</v>
      </c>
      <c r="F271" s="51"/>
      <c r="G271" s="52">
        <v>0.05</v>
      </c>
      <c r="H271" s="52">
        <v>0.05</v>
      </c>
      <c r="I271" s="50">
        <v>1</v>
      </c>
      <c r="J271" s="50"/>
      <c r="K271" s="53"/>
      <c r="L271" s="53"/>
      <c r="M271" s="51"/>
      <c r="N271" s="51"/>
      <c r="P271" s="35" t="str">
        <f>IF(Nickels!B272&lt;&gt;" ",Nickels!A271&amp;" "&amp;Nickels!B271,Nickels!A271)</f>
        <v>1994 P</v>
      </c>
      <c r="V271" s="34" t="e">
        <f>MATCH(Nickels!$A271,[6]NickelMintage!A:A,0)</f>
        <v>#N/A</v>
      </c>
      <c r="X271" s="46" t="str">
        <f t="shared" si="7"/>
        <v>1994 P</v>
      </c>
      <c r="Y271" s="35" t="e">
        <f>MATCH(X271,[6]WantList!$O$2:$O$2000,0)</f>
        <v>#N/A</v>
      </c>
      <c r="Z271" s="34">
        <f>MATCH(X271,[6]WantListWorkFile!$A$2:$A$244,0)</f>
        <v>190</v>
      </c>
      <c r="AJ271" s="34" t="s">
        <v>698</v>
      </c>
    </row>
    <row r="272" spans="1:36" ht="14.65" customHeight="1">
      <c r="A272" s="40">
        <v>1994</v>
      </c>
      <c r="B272" s="41" t="s">
        <v>25</v>
      </c>
      <c r="C272" s="41" t="s">
        <v>1962</v>
      </c>
      <c r="D272" s="42" t="s">
        <v>700</v>
      </c>
      <c r="E272" s="42" t="s">
        <v>454</v>
      </c>
      <c r="F272" s="42"/>
      <c r="G272" s="43">
        <v>0.05</v>
      </c>
      <c r="H272" s="43">
        <v>0.05</v>
      </c>
      <c r="I272" s="41">
        <v>1</v>
      </c>
      <c r="J272" s="41"/>
      <c r="K272" s="44"/>
      <c r="L272" s="44"/>
      <c r="M272" s="42"/>
      <c r="N272" s="42"/>
      <c r="P272" s="35" t="str">
        <f>IF(Nickels!B273&lt;&gt;" ",Nickels!A272&amp;" "&amp;Nickels!B272,Nickels!A272)</f>
        <v>1994 P</v>
      </c>
      <c r="V272" s="34" t="e">
        <f>MATCH(Nickels!$A272,[6]NickelMintage!A:A,0)</f>
        <v>#N/A</v>
      </c>
      <c r="X272" s="46" t="str">
        <f t="shared" si="7"/>
        <v>1994 P</v>
      </c>
      <c r="Y272" s="35" t="e">
        <f>MATCH(X272,[6]WantList!$O$2:$O$2000,0)</f>
        <v>#N/A</v>
      </c>
      <c r="Z272" s="34">
        <f>MATCH(X272,[6]WantListWorkFile!$A$2:$A$244,0)</f>
        <v>190</v>
      </c>
      <c r="AJ272" s="34" t="s">
        <v>698</v>
      </c>
    </row>
    <row r="273" spans="1:36" ht="14.65" customHeight="1">
      <c r="A273" s="49">
        <v>1994</v>
      </c>
      <c r="B273" s="50" t="s">
        <v>25</v>
      </c>
      <c r="C273" s="41" t="s">
        <v>1962</v>
      </c>
      <c r="D273" s="51" t="s">
        <v>701</v>
      </c>
      <c r="E273" s="51" t="s">
        <v>454</v>
      </c>
      <c r="F273" s="51"/>
      <c r="G273" s="52">
        <v>0.05</v>
      </c>
      <c r="H273" s="52">
        <v>0.05</v>
      </c>
      <c r="I273" s="50">
        <v>1</v>
      </c>
      <c r="J273" s="50"/>
      <c r="K273" s="53"/>
      <c r="L273" s="53"/>
      <c r="M273" s="51"/>
      <c r="N273" s="51"/>
      <c r="P273" s="35" t="str">
        <f>IF(Nickels!B274&lt;&gt;" ",Nickels!A273&amp;" "&amp;Nickels!B273,Nickels!A273)</f>
        <v>1994 P</v>
      </c>
      <c r="V273" s="34" t="e">
        <f>MATCH(Nickels!$A273,[6]NickelMintage!A:A,0)</f>
        <v>#N/A</v>
      </c>
      <c r="X273" s="46" t="str">
        <f t="shared" si="7"/>
        <v>1994 P</v>
      </c>
      <c r="Y273" s="35" t="e">
        <f>MATCH(X273,[6]WantList!$O$2:$O$2000,0)</f>
        <v>#N/A</v>
      </c>
      <c r="Z273" s="34">
        <f>MATCH(X273,[6]WantListWorkFile!$A$2:$A$244,0)</f>
        <v>190</v>
      </c>
      <c r="AJ273" s="34" t="s">
        <v>698</v>
      </c>
    </row>
    <row r="274" spans="1:36" ht="14.65" customHeight="1">
      <c r="A274" s="40">
        <v>1995</v>
      </c>
      <c r="B274" s="41" t="s">
        <v>25</v>
      </c>
      <c r="C274" s="41" t="s">
        <v>1962</v>
      </c>
      <c r="D274" s="42" t="s">
        <v>702</v>
      </c>
      <c r="E274" s="42" t="s">
        <v>454</v>
      </c>
      <c r="F274" s="42"/>
      <c r="G274" s="43">
        <v>0.05</v>
      </c>
      <c r="H274" s="43">
        <v>0.05</v>
      </c>
      <c r="I274" s="41">
        <v>1</v>
      </c>
      <c r="J274" s="41"/>
      <c r="K274" s="44"/>
      <c r="L274" s="44"/>
      <c r="M274" s="42"/>
      <c r="N274" s="42"/>
      <c r="P274" s="35" t="str">
        <f>IF(Nickels!B275&lt;&gt;" ",Nickels!A274&amp;" "&amp;Nickels!B274,Nickels!A274)</f>
        <v>1995 P</v>
      </c>
      <c r="V274" s="34" t="e">
        <f>MATCH(Nickels!$A274,[6]NickelMintage!A:A,0)</f>
        <v>#N/A</v>
      </c>
      <c r="X274" s="46" t="str">
        <f t="shared" si="7"/>
        <v>1995 P</v>
      </c>
      <c r="Y274" s="35" t="e">
        <f>MATCH(X274,[6]WantList!$O$2:$O$2000,0)</f>
        <v>#N/A</v>
      </c>
      <c r="Z274" s="34">
        <f>MATCH(X274,[6]WantListWorkFile!$A$2:$A$244,0)</f>
        <v>192</v>
      </c>
      <c r="AJ274" s="34" t="s">
        <v>282</v>
      </c>
    </row>
    <row r="275" spans="1:36" ht="14.65" customHeight="1">
      <c r="A275" s="49">
        <v>1995</v>
      </c>
      <c r="B275" s="50" t="s">
        <v>25</v>
      </c>
      <c r="C275" s="41" t="s">
        <v>1962</v>
      </c>
      <c r="D275" s="51" t="s">
        <v>703</v>
      </c>
      <c r="E275" s="51" t="s">
        <v>454</v>
      </c>
      <c r="F275" s="51"/>
      <c r="G275" s="52">
        <v>0.05</v>
      </c>
      <c r="H275" s="52">
        <v>0.05</v>
      </c>
      <c r="I275" s="50">
        <v>1</v>
      </c>
      <c r="J275" s="50"/>
      <c r="K275" s="53"/>
      <c r="L275" s="53"/>
      <c r="M275" s="51"/>
      <c r="N275" s="51"/>
      <c r="P275" s="35" t="str">
        <f>IF(Nickels!B276&lt;&gt;" ",Nickels!A275&amp;" "&amp;Nickels!B275,Nickels!A275)</f>
        <v>1995 P</v>
      </c>
      <c r="V275" s="34" t="e">
        <f>MATCH(Nickels!$A275,[6]NickelMintage!A:A,0)</f>
        <v>#N/A</v>
      </c>
      <c r="X275" s="46" t="str">
        <f t="shared" si="7"/>
        <v>1995 P</v>
      </c>
      <c r="Y275" s="35" t="e">
        <f>MATCH(X275,[6]WantList!$O$2:$O$2000,0)</f>
        <v>#N/A</v>
      </c>
      <c r="Z275" s="34">
        <f>MATCH(X275,[6]WantListWorkFile!$A$2:$A$244,0)</f>
        <v>192</v>
      </c>
      <c r="AJ275" s="34" t="s">
        <v>282</v>
      </c>
    </row>
    <row r="276" spans="1:36" ht="14.65" customHeight="1">
      <c r="A276" s="40">
        <v>1995</v>
      </c>
      <c r="B276" s="41" t="s">
        <v>25</v>
      </c>
      <c r="C276" s="41" t="s">
        <v>1962</v>
      </c>
      <c r="D276" s="42" t="s">
        <v>704</v>
      </c>
      <c r="E276" s="42" t="s">
        <v>454</v>
      </c>
      <c r="F276" s="42"/>
      <c r="G276" s="43">
        <v>0.05</v>
      </c>
      <c r="H276" s="43">
        <v>0.05</v>
      </c>
      <c r="I276" s="41">
        <v>1</v>
      </c>
      <c r="J276" s="41"/>
      <c r="K276" s="44"/>
      <c r="L276" s="44"/>
      <c r="M276" s="42"/>
      <c r="N276" s="42"/>
      <c r="P276" s="35" t="str">
        <f>IF(Nickels!B277&lt;&gt;" ",Nickels!A276&amp;" "&amp;Nickels!B276,Nickels!A276)</f>
        <v>1995 P</v>
      </c>
      <c r="V276" s="34" t="e">
        <f>MATCH(Nickels!$A276,[6]NickelMintage!A:A,0)</f>
        <v>#N/A</v>
      </c>
      <c r="X276" s="46" t="str">
        <f t="shared" si="7"/>
        <v>1995 P</v>
      </c>
      <c r="Y276" s="35" t="e">
        <f>MATCH(X276,[6]WantList!$O$2:$O$2000,0)</f>
        <v>#N/A</v>
      </c>
      <c r="Z276" s="34">
        <f>MATCH(X276,[6]WantListWorkFile!$A$2:$A$244,0)</f>
        <v>192</v>
      </c>
      <c r="AJ276" s="34" t="s">
        <v>282</v>
      </c>
    </row>
    <row r="277" spans="1:36" ht="14.65" customHeight="1">
      <c r="A277" s="49">
        <v>1995</v>
      </c>
      <c r="B277" s="50" t="s">
        <v>25</v>
      </c>
      <c r="C277" s="41" t="s">
        <v>1962</v>
      </c>
      <c r="D277" s="51" t="s">
        <v>705</v>
      </c>
      <c r="E277" s="51" t="s">
        <v>454</v>
      </c>
      <c r="F277" s="51"/>
      <c r="G277" s="52">
        <v>0.05</v>
      </c>
      <c r="H277" s="52">
        <v>0.05</v>
      </c>
      <c r="I277" s="50">
        <v>1</v>
      </c>
      <c r="J277" s="50"/>
      <c r="K277" s="53"/>
      <c r="L277" s="53"/>
      <c r="M277" s="51"/>
      <c r="N277" s="51"/>
      <c r="P277" s="35" t="str">
        <f>IF(Nickels!B278&lt;&gt;" ",Nickels!A277&amp;" "&amp;Nickels!B277,Nickels!A277)</f>
        <v>1995 P</v>
      </c>
      <c r="V277" s="34" t="e">
        <f>MATCH(Nickels!$A277,[6]NickelMintage!A:A,0)</f>
        <v>#N/A</v>
      </c>
      <c r="X277" s="46" t="str">
        <f t="shared" si="7"/>
        <v>1995 P</v>
      </c>
      <c r="Y277" s="35" t="e">
        <f>MATCH(X277,[6]WantList!$O$2:$O$2000,0)</f>
        <v>#N/A</v>
      </c>
      <c r="Z277" s="34">
        <f>MATCH(X277,[6]WantListWorkFile!$A$2:$A$244,0)</f>
        <v>192</v>
      </c>
      <c r="AJ277" s="34" t="s">
        <v>282</v>
      </c>
    </row>
    <row r="278" spans="1:36" ht="14.65" customHeight="1">
      <c r="A278" s="40">
        <v>1995</v>
      </c>
      <c r="B278" s="41" t="s">
        <v>13</v>
      </c>
      <c r="C278" s="41" t="s">
        <v>1962</v>
      </c>
      <c r="D278" s="42" t="s">
        <v>706</v>
      </c>
      <c r="E278" s="42" t="s">
        <v>454</v>
      </c>
      <c r="F278" s="42" t="s">
        <v>707</v>
      </c>
      <c r="G278" s="43">
        <v>0.05</v>
      </c>
      <c r="H278" s="43">
        <v>0.05</v>
      </c>
      <c r="I278" s="41">
        <v>1</v>
      </c>
      <c r="J278" s="41"/>
      <c r="K278" s="44"/>
      <c r="L278" s="44"/>
      <c r="M278" s="42"/>
      <c r="N278" s="42"/>
      <c r="P278" s="35" t="str">
        <f>IF(Nickels!B279&lt;&gt;" ",Nickels!A278&amp;" "&amp;Nickels!B278,Nickels!A278)</f>
        <v>1995 D</v>
      </c>
      <c r="V278" s="34" t="e">
        <f>MATCH(Nickels!$A278,[6]NickelMintage!A:A,0)</f>
        <v>#N/A</v>
      </c>
      <c r="X278" s="46" t="str">
        <f t="shared" si="7"/>
        <v>1995 D</v>
      </c>
      <c r="Y278" s="35" t="e">
        <f>MATCH(X278,[6]WantList!$O$2:$O$2000,0)</f>
        <v>#N/A</v>
      </c>
      <c r="Z278" s="34">
        <f>MATCH(X278,[6]WantListWorkFile!$A$2:$A$244,0)</f>
        <v>193</v>
      </c>
      <c r="AJ278" s="34" t="s">
        <v>281</v>
      </c>
    </row>
    <row r="279" spans="1:36" ht="14.65" customHeight="1">
      <c r="A279" s="49">
        <v>1995</v>
      </c>
      <c r="B279" s="50" t="s">
        <v>13</v>
      </c>
      <c r="C279" s="41" t="s">
        <v>1962</v>
      </c>
      <c r="D279" s="51" t="s">
        <v>708</v>
      </c>
      <c r="E279" s="51" t="s">
        <v>454</v>
      </c>
      <c r="F279" s="51" t="s">
        <v>707</v>
      </c>
      <c r="G279" s="52">
        <v>0.05</v>
      </c>
      <c r="H279" s="52">
        <v>0.05</v>
      </c>
      <c r="I279" s="50">
        <v>1</v>
      </c>
      <c r="J279" s="50"/>
      <c r="K279" s="53"/>
      <c r="L279" s="53"/>
      <c r="M279" s="51"/>
      <c r="N279" s="51"/>
      <c r="P279" s="35" t="str">
        <f>IF(Nickels!B280&lt;&gt;" ",Nickels!A279&amp;" "&amp;Nickels!B279,Nickels!A279)</f>
        <v>1995 D</v>
      </c>
      <c r="V279" s="34" t="e">
        <f>MATCH(Nickels!$A279,[6]NickelMintage!A:A,0)</f>
        <v>#N/A</v>
      </c>
      <c r="X279" s="46" t="str">
        <f t="shared" si="7"/>
        <v>1995 D</v>
      </c>
      <c r="Y279" s="35" t="e">
        <f>MATCH(X279,[6]WantList!$O$2:$O$2000,0)</f>
        <v>#N/A</v>
      </c>
      <c r="Z279" s="34">
        <f>MATCH(X279,[6]WantListWorkFile!$A$2:$A$244,0)</f>
        <v>193</v>
      </c>
      <c r="AJ279" s="34" t="s">
        <v>281</v>
      </c>
    </row>
    <row r="280" spans="1:36" ht="14.65" customHeight="1">
      <c r="A280" s="40">
        <v>1996</v>
      </c>
      <c r="B280" s="41" t="s">
        <v>25</v>
      </c>
      <c r="C280" s="41" t="s">
        <v>1962</v>
      </c>
      <c r="D280" s="42" t="s">
        <v>709</v>
      </c>
      <c r="E280" s="42" t="s">
        <v>454</v>
      </c>
      <c r="F280" s="42"/>
      <c r="G280" s="43">
        <v>0.05</v>
      </c>
      <c r="H280" s="43">
        <v>0.05</v>
      </c>
      <c r="I280" s="41">
        <v>1</v>
      </c>
      <c r="J280" s="41"/>
      <c r="K280" s="44"/>
      <c r="L280" s="44"/>
      <c r="M280" s="42"/>
      <c r="N280" s="42"/>
      <c r="P280" s="35" t="str">
        <f>IF(Nickels!B281&lt;&gt;" ",Nickels!A280&amp;" "&amp;Nickels!B280,Nickels!A280)</f>
        <v>1996 P</v>
      </c>
      <c r="V280" s="34" t="e">
        <f>MATCH(Nickels!$A280,[6]NickelMintage!A:A,0)</f>
        <v>#N/A</v>
      </c>
      <c r="X280" s="46" t="str">
        <f t="shared" si="7"/>
        <v>1996 P</v>
      </c>
      <c r="Y280" s="35" t="e">
        <f>MATCH(X280,[6]WantList!$O$2:$O$2000,0)</f>
        <v>#N/A</v>
      </c>
      <c r="Z280" s="34">
        <f>MATCH(X280,[6]WantListWorkFile!$A$2:$A$244,0)</f>
        <v>194</v>
      </c>
      <c r="AJ280" s="34" t="s">
        <v>710</v>
      </c>
    </row>
    <row r="281" spans="1:36" ht="14.65" customHeight="1">
      <c r="A281" s="49">
        <v>1996</v>
      </c>
      <c r="B281" s="50" t="s">
        <v>25</v>
      </c>
      <c r="C281" s="41" t="s">
        <v>1962</v>
      </c>
      <c r="D281" s="51" t="s">
        <v>711</v>
      </c>
      <c r="E281" s="51" t="s">
        <v>454</v>
      </c>
      <c r="F281" s="51"/>
      <c r="G281" s="52">
        <v>0.05</v>
      </c>
      <c r="H281" s="52">
        <v>0.05</v>
      </c>
      <c r="I281" s="50">
        <v>1</v>
      </c>
      <c r="J281" s="50"/>
      <c r="K281" s="53"/>
      <c r="L281" s="53"/>
      <c r="M281" s="51"/>
      <c r="N281" s="51"/>
      <c r="P281" s="35" t="str">
        <f>IF(Nickels!B282&lt;&gt;" ",Nickels!A281&amp;" "&amp;Nickels!B281,Nickels!A281)</f>
        <v>1996 P</v>
      </c>
      <c r="V281" s="34" t="e">
        <f>MATCH(Nickels!$A281,[6]NickelMintage!A:A,0)</f>
        <v>#N/A</v>
      </c>
      <c r="X281" s="46" t="str">
        <f t="shared" si="7"/>
        <v>1996 P</v>
      </c>
      <c r="Y281" s="35" t="e">
        <f>MATCH(X281,[6]WantList!$O$2:$O$2000,0)</f>
        <v>#N/A</v>
      </c>
      <c r="Z281" s="34">
        <f>MATCH(X281,[6]WantListWorkFile!$A$2:$A$244,0)</f>
        <v>194</v>
      </c>
      <c r="AJ281" s="34" t="s">
        <v>710</v>
      </c>
    </row>
    <row r="282" spans="1:36" ht="14.65" customHeight="1">
      <c r="A282" s="40">
        <v>1996</v>
      </c>
      <c r="B282" s="41" t="s">
        <v>25</v>
      </c>
      <c r="C282" s="41" t="s">
        <v>1962</v>
      </c>
      <c r="D282" s="42" t="s">
        <v>712</v>
      </c>
      <c r="E282" s="42" t="s">
        <v>454</v>
      </c>
      <c r="F282" s="42"/>
      <c r="G282" s="43">
        <v>0.05</v>
      </c>
      <c r="H282" s="43">
        <v>0.05</v>
      </c>
      <c r="I282" s="41">
        <v>1</v>
      </c>
      <c r="J282" s="41"/>
      <c r="K282" s="44"/>
      <c r="L282" s="44"/>
      <c r="M282" s="42"/>
      <c r="N282" s="42"/>
      <c r="P282" s="35" t="str">
        <f>IF(Nickels!B283&lt;&gt;" ",Nickels!A282&amp;" "&amp;Nickels!B282,Nickels!A282)</f>
        <v>1996 P</v>
      </c>
      <c r="V282" s="34" t="e">
        <f>MATCH(Nickels!$A282,[6]NickelMintage!A:A,0)</f>
        <v>#N/A</v>
      </c>
      <c r="X282" s="46" t="str">
        <f t="shared" si="7"/>
        <v>1996 P</v>
      </c>
      <c r="Y282" s="35" t="e">
        <f>MATCH(X282,[6]WantList!$O$2:$O$2000,0)</f>
        <v>#N/A</v>
      </c>
      <c r="Z282" s="34">
        <f>MATCH(X282,[6]WantListWorkFile!$A$2:$A$244,0)</f>
        <v>194</v>
      </c>
      <c r="AJ282" s="34" t="s">
        <v>710</v>
      </c>
    </row>
    <row r="283" spans="1:36" ht="14.65" customHeight="1">
      <c r="A283" s="49">
        <v>1996</v>
      </c>
      <c r="B283" s="50" t="s">
        <v>25</v>
      </c>
      <c r="C283" s="41" t="s">
        <v>1962</v>
      </c>
      <c r="D283" s="51" t="s">
        <v>713</v>
      </c>
      <c r="E283" s="51" t="s">
        <v>454</v>
      </c>
      <c r="F283" s="51"/>
      <c r="G283" s="52">
        <v>0.05</v>
      </c>
      <c r="H283" s="52">
        <v>0.05</v>
      </c>
      <c r="I283" s="50">
        <v>1</v>
      </c>
      <c r="J283" s="50"/>
      <c r="K283" s="53"/>
      <c r="L283" s="53"/>
      <c r="M283" s="51"/>
      <c r="N283" s="51"/>
      <c r="P283" s="35" t="str">
        <f>IF(Nickels!B284&lt;&gt;" ",Nickels!A283&amp;" "&amp;Nickels!B283,Nickels!A283)</f>
        <v>1996 P</v>
      </c>
      <c r="V283" s="34" t="e">
        <f>MATCH(Nickels!$A283,[6]NickelMintage!A:A,0)</f>
        <v>#N/A</v>
      </c>
      <c r="X283" s="46" t="str">
        <f t="shared" si="7"/>
        <v>1996 P</v>
      </c>
      <c r="Y283" s="35" t="e">
        <f>MATCH(X283,[6]WantList!$O$2:$O$2000,0)</f>
        <v>#N/A</v>
      </c>
      <c r="Z283" s="34">
        <f>MATCH(X283,[6]WantListWorkFile!$A$2:$A$244,0)</f>
        <v>194</v>
      </c>
      <c r="AJ283" s="34" t="s">
        <v>710</v>
      </c>
    </row>
    <row r="284" spans="1:36" ht="14.65" customHeight="1">
      <c r="A284" s="40">
        <v>1997</v>
      </c>
      <c r="B284" s="41" t="s">
        <v>25</v>
      </c>
      <c r="C284" s="41" t="s">
        <v>1962</v>
      </c>
      <c r="D284" s="42" t="s">
        <v>714</v>
      </c>
      <c r="E284" s="42" t="s">
        <v>454</v>
      </c>
      <c r="F284" s="42"/>
      <c r="G284" s="43">
        <v>0.05</v>
      </c>
      <c r="H284" s="43">
        <v>0.05</v>
      </c>
      <c r="I284" s="41">
        <v>1</v>
      </c>
      <c r="J284" s="41"/>
      <c r="K284" s="44"/>
      <c r="L284" s="44"/>
      <c r="M284" s="42"/>
      <c r="N284" s="42"/>
      <c r="P284" s="35" t="str">
        <f>IF(Nickels!B285&lt;&gt;" ",Nickels!A284&amp;" "&amp;Nickels!B284,Nickels!A284)</f>
        <v>1997 P</v>
      </c>
      <c r="V284" s="34" t="e">
        <f>MATCH(Nickels!$A284,[6]NickelMintage!A:A,0)</f>
        <v>#N/A</v>
      </c>
      <c r="X284" s="46" t="str">
        <f t="shared" si="7"/>
        <v>1997 P</v>
      </c>
      <c r="Y284" s="35" t="e">
        <f>MATCH(X284,[6]WantList!$O$2:$O$2000,0)</f>
        <v>#N/A</v>
      </c>
      <c r="Z284" s="34">
        <f>MATCH(X284,[6]WantListWorkFile!$A$2:$A$244,0)</f>
        <v>196</v>
      </c>
      <c r="AJ284" s="34" t="s">
        <v>715</v>
      </c>
    </row>
    <row r="285" spans="1:36" ht="14.65" customHeight="1">
      <c r="A285" s="49">
        <v>1997</v>
      </c>
      <c r="B285" s="50" t="s">
        <v>25</v>
      </c>
      <c r="C285" s="41" t="s">
        <v>1962</v>
      </c>
      <c r="D285" s="51" t="s">
        <v>716</v>
      </c>
      <c r="E285" s="51" t="s">
        <v>454</v>
      </c>
      <c r="F285" s="51" t="s">
        <v>717</v>
      </c>
      <c r="G285" s="52">
        <v>0.05</v>
      </c>
      <c r="H285" s="52">
        <v>0.05</v>
      </c>
      <c r="I285" s="50">
        <v>1</v>
      </c>
      <c r="J285" s="50"/>
      <c r="K285" s="53"/>
      <c r="L285" s="53"/>
      <c r="M285" s="51"/>
      <c r="N285" s="51"/>
      <c r="P285" s="35" t="str">
        <f>IF(Nickels!B286&lt;&gt;" ",Nickels!A285&amp;" "&amp;Nickels!B285,Nickels!A285)</f>
        <v>1997 P</v>
      </c>
      <c r="V285" s="34" t="e">
        <f>MATCH(Nickels!$A285,[6]NickelMintage!A:A,0)</f>
        <v>#N/A</v>
      </c>
      <c r="X285" s="46" t="str">
        <f t="shared" si="7"/>
        <v>1997 P</v>
      </c>
      <c r="Y285" s="35" t="e">
        <f>MATCH(X285,[6]WantList!$O$2:$O$2000,0)</f>
        <v>#N/A</v>
      </c>
      <c r="Z285" s="34">
        <f>MATCH(X285,[6]WantListWorkFile!$A$2:$A$244,0)</f>
        <v>196</v>
      </c>
      <c r="AJ285" s="34" t="s">
        <v>715</v>
      </c>
    </row>
    <row r="286" spans="1:36" ht="14.65" customHeight="1">
      <c r="A286" s="40">
        <v>1997</v>
      </c>
      <c r="B286" s="41" t="s">
        <v>13</v>
      </c>
      <c r="C286" s="41" t="s">
        <v>1962</v>
      </c>
      <c r="D286" s="42" t="s">
        <v>718</v>
      </c>
      <c r="E286" s="42" t="s">
        <v>454</v>
      </c>
      <c r="F286" s="42" t="s">
        <v>507</v>
      </c>
      <c r="G286" s="43">
        <v>0.05</v>
      </c>
      <c r="H286" s="43">
        <v>0.05</v>
      </c>
      <c r="I286" s="41">
        <v>1</v>
      </c>
      <c r="J286" s="41"/>
      <c r="K286" s="44"/>
      <c r="L286" s="44"/>
      <c r="M286" s="42"/>
      <c r="N286" s="42"/>
      <c r="P286" s="35" t="str">
        <f>IF(Nickels!B287&lt;&gt;" ",Nickels!A286&amp;" "&amp;Nickels!B286,Nickels!A286)</f>
        <v>1997 D</v>
      </c>
      <c r="V286" s="34" t="e">
        <f>MATCH(Nickels!$A286,[6]NickelMintage!A:A,0)</f>
        <v>#N/A</v>
      </c>
      <c r="X286" s="46" t="str">
        <f t="shared" si="7"/>
        <v>1997 D</v>
      </c>
      <c r="Y286" s="35" t="e">
        <f>MATCH(X286,[6]WantList!$O$2:$O$2000,0)</f>
        <v>#N/A</v>
      </c>
      <c r="Z286" s="34">
        <f>MATCH(X286,[6]WantListWorkFile!$A$2:$A$244,0)</f>
        <v>197</v>
      </c>
      <c r="AJ286" s="34" t="s">
        <v>719</v>
      </c>
    </row>
    <row r="287" spans="1:36" ht="14.65" customHeight="1">
      <c r="A287" s="49">
        <v>1997</v>
      </c>
      <c r="B287" s="50" t="s">
        <v>25</v>
      </c>
      <c r="C287" s="41" t="s">
        <v>1962</v>
      </c>
      <c r="D287" s="51" t="s">
        <v>720</v>
      </c>
      <c r="E287" s="51" t="s">
        <v>454</v>
      </c>
      <c r="F287" s="51" t="s">
        <v>717</v>
      </c>
      <c r="G287" s="52">
        <v>0.05</v>
      </c>
      <c r="H287" s="52">
        <v>0.05</v>
      </c>
      <c r="I287" s="50">
        <v>1</v>
      </c>
      <c r="J287" s="50"/>
      <c r="K287" s="53"/>
      <c r="L287" s="53"/>
      <c r="M287" s="51"/>
      <c r="N287" s="51"/>
      <c r="P287" s="35" t="str">
        <f>IF(Nickels!B288&lt;&gt;" ",Nickels!A287&amp;" "&amp;Nickels!B287,Nickels!A287)</f>
        <v>1997 P</v>
      </c>
      <c r="V287" s="34" t="e">
        <f>MATCH(Nickels!$A287,[6]NickelMintage!A:A,0)</f>
        <v>#N/A</v>
      </c>
      <c r="X287" s="46" t="str">
        <f t="shared" si="7"/>
        <v>1997 P</v>
      </c>
      <c r="Y287" s="35" t="e">
        <f>MATCH(X287,[6]WantList!$O$2:$O$2000,0)</f>
        <v>#N/A</v>
      </c>
      <c r="Z287" s="34">
        <f>MATCH(X287,[6]WantListWorkFile!$A$2:$A$244,0)</f>
        <v>196</v>
      </c>
      <c r="AJ287" s="34" t="s">
        <v>715</v>
      </c>
    </row>
    <row r="288" spans="1:36" ht="14.65" customHeight="1">
      <c r="A288" s="40">
        <v>1998</v>
      </c>
      <c r="B288" s="41" t="s">
        <v>25</v>
      </c>
      <c r="C288" s="41" t="s">
        <v>1962</v>
      </c>
      <c r="D288" s="42" t="s">
        <v>721</v>
      </c>
      <c r="E288" s="42" t="s">
        <v>454</v>
      </c>
      <c r="F288" s="42"/>
      <c r="G288" s="43">
        <v>0.05</v>
      </c>
      <c r="H288" s="43">
        <v>0.05</v>
      </c>
      <c r="I288" s="41">
        <v>1</v>
      </c>
      <c r="J288" s="41"/>
      <c r="K288" s="44"/>
      <c r="L288" s="44"/>
      <c r="M288" s="42"/>
      <c r="N288" s="42"/>
      <c r="P288" s="35" t="str">
        <f>IF(Nickels!B289&lt;&gt;" ",Nickels!A288&amp;" "&amp;Nickels!B288,Nickels!A288)</f>
        <v>1998 P</v>
      </c>
      <c r="V288" s="34" t="e">
        <f>MATCH(Nickels!$A288,[6]NickelMintage!A:A,0)</f>
        <v>#N/A</v>
      </c>
      <c r="X288" s="46" t="str">
        <f t="shared" si="7"/>
        <v>1998 P</v>
      </c>
      <c r="Y288" s="35" t="e">
        <f>MATCH(X288,[6]WantList!$O$2:$O$2000,0)</f>
        <v>#N/A</v>
      </c>
      <c r="Z288" s="34">
        <f>MATCH(X288,[6]WantListWorkFile!$A$2:$A$244,0)</f>
        <v>198</v>
      </c>
      <c r="AJ288" s="34" t="s">
        <v>241</v>
      </c>
    </row>
    <row r="289" spans="1:36" ht="14.65" customHeight="1">
      <c r="A289" s="49">
        <v>1998</v>
      </c>
      <c r="B289" s="50" t="s">
        <v>25</v>
      </c>
      <c r="C289" s="41" t="s">
        <v>1962</v>
      </c>
      <c r="D289" s="51" t="s">
        <v>722</v>
      </c>
      <c r="E289" s="51" t="s">
        <v>454</v>
      </c>
      <c r="F289" s="51"/>
      <c r="G289" s="52">
        <v>0.05</v>
      </c>
      <c r="H289" s="52">
        <v>0.05</v>
      </c>
      <c r="I289" s="50">
        <v>1</v>
      </c>
      <c r="J289" s="50"/>
      <c r="K289" s="53"/>
      <c r="L289" s="53"/>
      <c r="M289" s="51"/>
      <c r="N289" s="51"/>
      <c r="P289" s="35" t="str">
        <f>IF(Nickels!B290&lt;&gt;" ",Nickels!A289&amp;" "&amp;Nickels!B289,Nickels!A289)</f>
        <v>1998 P</v>
      </c>
      <c r="V289" s="34" t="e">
        <f>MATCH(Nickels!$A289,[6]NickelMintage!A:A,0)</f>
        <v>#N/A</v>
      </c>
      <c r="X289" s="46" t="str">
        <f t="shared" si="7"/>
        <v>1998 P</v>
      </c>
      <c r="Y289" s="35" t="e">
        <f>MATCH(X289,[6]WantList!$O$2:$O$2000,0)</f>
        <v>#N/A</v>
      </c>
      <c r="Z289" s="34">
        <f>MATCH(X289,[6]WantListWorkFile!$A$2:$A$244,0)</f>
        <v>198</v>
      </c>
      <c r="AJ289" s="34" t="s">
        <v>241</v>
      </c>
    </row>
    <row r="290" spans="1:36" ht="14.65" customHeight="1">
      <c r="A290" s="40">
        <v>1998</v>
      </c>
      <c r="B290" s="41" t="s">
        <v>25</v>
      </c>
      <c r="C290" s="41" t="s">
        <v>1962</v>
      </c>
      <c r="D290" s="42" t="s">
        <v>723</v>
      </c>
      <c r="E290" s="42" t="s">
        <v>454</v>
      </c>
      <c r="F290" s="42"/>
      <c r="G290" s="43">
        <v>0.05</v>
      </c>
      <c r="H290" s="43">
        <v>0.05</v>
      </c>
      <c r="I290" s="41">
        <v>1</v>
      </c>
      <c r="J290" s="41"/>
      <c r="K290" s="44"/>
      <c r="L290" s="44"/>
      <c r="M290" s="42"/>
      <c r="N290" s="42"/>
      <c r="P290" s="35" t="str">
        <f>IF(Nickels!B291&lt;&gt;" ",Nickels!A290&amp;" "&amp;Nickels!B290,Nickels!A290)</f>
        <v>1998 P</v>
      </c>
      <c r="V290" s="34" t="e">
        <f>MATCH(Nickels!$A290,[6]NickelMintage!A:A,0)</f>
        <v>#N/A</v>
      </c>
      <c r="X290" s="46" t="str">
        <f t="shared" si="7"/>
        <v>1998 P</v>
      </c>
      <c r="Y290" s="35" t="e">
        <f>MATCH(X290,[6]WantList!$O$2:$O$2000,0)</f>
        <v>#N/A</v>
      </c>
      <c r="Z290" s="34">
        <f>MATCH(X290,[6]WantListWorkFile!$A$2:$A$244,0)</f>
        <v>198</v>
      </c>
      <c r="AJ290" s="34" t="s">
        <v>241</v>
      </c>
    </row>
    <row r="291" spans="1:36" ht="14.65" customHeight="1">
      <c r="A291" s="49">
        <v>1998</v>
      </c>
      <c r="B291" s="50" t="s">
        <v>13</v>
      </c>
      <c r="C291" s="41" t="s">
        <v>1962</v>
      </c>
      <c r="D291" s="51" t="s">
        <v>724</v>
      </c>
      <c r="E291" s="51" t="s">
        <v>454</v>
      </c>
      <c r="F291" s="51"/>
      <c r="G291" s="52">
        <v>0.05</v>
      </c>
      <c r="H291" s="52">
        <v>0.05</v>
      </c>
      <c r="I291" s="50">
        <v>1</v>
      </c>
      <c r="J291" s="50"/>
      <c r="K291" s="53"/>
      <c r="L291" s="53"/>
      <c r="M291" s="51"/>
      <c r="N291" s="51"/>
      <c r="P291" s="35" t="str">
        <f>IF(Nickels!B292&lt;&gt;" ",Nickels!A291&amp;" "&amp;Nickels!B291,Nickels!A291)</f>
        <v>1998 D</v>
      </c>
      <c r="V291" s="34" t="e">
        <f>MATCH(Nickels!$A291,[6]NickelMintage!A:A,0)</f>
        <v>#N/A</v>
      </c>
      <c r="X291" s="46" t="str">
        <f t="shared" si="7"/>
        <v>1998 D</v>
      </c>
      <c r="Y291" s="35" t="e">
        <f>MATCH(X291,[6]WantList!$O$2:$O$2000,0)</f>
        <v>#N/A</v>
      </c>
      <c r="Z291" s="34">
        <f>MATCH(X291,[6]WantListWorkFile!$A$2:$A$244,0)</f>
        <v>199</v>
      </c>
      <c r="AJ291" s="34" t="s">
        <v>725</v>
      </c>
    </row>
    <row r="292" spans="1:36" ht="14.65" customHeight="1">
      <c r="A292" s="40">
        <v>1999</v>
      </c>
      <c r="B292" s="41" t="s">
        <v>25</v>
      </c>
      <c r="C292" s="41" t="s">
        <v>1962</v>
      </c>
      <c r="D292" s="42" t="s">
        <v>726</v>
      </c>
      <c r="E292" s="42" t="s">
        <v>454</v>
      </c>
      <c r="F292" s="42"/>
      <c r="G292" s="43">
        <v>0.05</v>
      </c>
      <c r="H292" s="43">
        <v>0.05</v>
      </c>
      <c r="I292" s="41">
        <v>1</v>
      </c>
      <c r="J292" s="41"/>
      <c r="K292" s="44"/>
      <c r="L292" s="44"/>
      <c r="M292" s="42"/>
      <c r="N292" s="42"/>
      <c r="P292" s="35" t="str">
        <f>IF(Nickels!B293&lt;&gt;" ",Nickels!A292&amp;" "&amp;Nickels!B292,Nickels!A292)</f>
        <v>1999 P</v>
      </c>
      <c r="V292" s="34" t="e">
        <f>MATCH(Nickels!$A292,[6]NickelMintage!A:A,0)</f>
        <v>#N/A</v>
      </c>
      <c r="X292" s="46" t="str">
        <f t="shared" si="7"/>
        <v>1999 P</v>
      </c>
      <c r="Y292" s="35" t="e">
        <f>MATCH(X292,[6]WantList!$O$2:$O$2000,0)</f>
        <v>#N/A</v>
      </c>
      <c r="Z292" s="34">
        <f>MATCH(X292,[6]WantListWorkFile!$A$2:$A$244,0)</f>
        <v>200</v>
      </c>
      <c r="AJ292" s="34" t="s">
        <v>727</v>
      </c>
    </row>
    <row r="293" spans="1:36" ht="14.65" customHeight="1">
      <c r="A293" s="49">
        <v>1999</v>
      </c>
      <c r="B293" s="50" t="s">
        <v>25</v>
      </c>
      <c r="C293" s="41" t="s">
        <v>1962</v>
      </c>
      <c r="D293" s="51" t="s">
        <v>728</v>
      </c>
      <c r="E293" s="51" t="s">
        <v>454</v>
      </c>
      <c r="F293" s="51"/>
      <c r="G293" s="52">
        <v>0.05</v>
      </c>
      <c r="H293" s="52">
        <v>0.05</v>
      </c>
      <c r="I293" s="50">
        <v>1</v>
      </c>
      <c r="J293" s="50"/>
      <c r="K293" s="53"/>
      <c r="L293" s="53"/>
      <c r="M293" s="51"/>
      <c r="N293" s="51"/>
      <c r="P293" s="35" t="str">
        <f>IF(Nickels!B294&lt;&gt;" ",Nickels!A293&amp;" "&amp;Nickels!B293,Nickels!A293)</f>
        <v>1999 P</v>
      </c>
      <c r="V293" s="34" t="e">
        <f>MATCH(Nickels!$A293,[6]NickelMintage!A:A,0)</f>
        <v>#N/A</v>
      </c>
      <c r="X293" s="46" t="str">
        <f t="shared" si="7"/>
        <v>1999 P</v>
      </c>
      <c r="Y293" s="35" t="e">
        <f>MATCH(X293,[6]WantList!$O$2:$O$2000,0)</f>
        <v>#N/A</v>
      </c>
      <c r="Z293" s="34">
        <f>MATCH(X293,[6]WantListWorkFile!$A$2:$A$244,0)</f>
        <v>200</v>
      </c>
      <c r="AJ293" s="34" t="s">
        <v>727</v>
      </c>
    </row>
    <row r="294" spans="1:36" ht="14.65" customHeight="1">
      <c r="A294" s="40">
        <v>1999</v>
      </c>
      <c r="B294" s="41" t="s">
        <v>25</v>
      </c>
      <c r="C294" s="41" t="s">
        <v>1962</v>
      </c>
      <c r="D294" s="42" t="s">
        <v>729</v>
      </c>
      <c r="E294" s="42" t="s">
        <v>454</v>
      </c>
      <c r="F294" s="42"/>
      <c r="G294" s="43">
        <v>0.05</v>
      </c>
      <c r="H294" s="43">
        <v>0.05</v>
      </c>
      <c r="I294" s="41">
        <v>1</v>
      </c>
      <c r="J294" s="41"/>
      <c r="K294" s="44"/>
      <c r="L294" s="44"/>
      <c r="M294" s="42"/>
      <c r="N294" s="42"/>
      <c r="P294" s="35" t="str">
        <f>IF(Nickels!B295&lt;&gt;" ",Nickels!A294&amp;" "&amp;Nickels!B294,Nickels!A294)</f>
        <v>1999 P</v>
      </c>
      <c r="V294" s="34" t="e">
        <f>MATCH(Nickels!$A294,[6]NickelMintage!A:A,0)</f>
        <v>#N/A</v>
      </c>
      <c r="X294" s="46" t="str">
        <f t="shared" si="7"/>
        <v>1999 P</v>
      </c>
      <c r="Y294" s="35" t="e">
        <f>MATCH(X294,[6]WantList!$O$2:$O$2000,0)</f>
        <v>#N/A</v>
      </c>
      <c r="Z294" s="34">
        <f>MATCH(X294,[6]WantListWorkFile!$A$2:$A$244,0)</f>
        <v>200</v>
      </c>
      <c r="AJ294" s="34" t="s">
        <v>727</v>
      </c>
    </row>
    <row r="295" spans="1:36" ht="14.65" customHeight="1">
      <c r="A295" s="49">
        <v>2000</v>
      </c>
      <c r="B295" s="50" t="s">
        <v>13</v>
      </c>
      <c r="C295" s="41" t="s">
        <v>1962</v>
      </c>
      <c r="D295" s="51" t="s">
        <v>730</v>
      </c>
      <c r="E295" s="51" t="s">
        <v>454</v>
      </c>
      <c r="F295" s="51" t="s">
        <v>717</v>
      </c>
      <c r="G295" s="52">
        <v>0.05</v>
      </c>
      <c r="H295" s="52">
        <v>0.05</v>
      </c>
      <c r="I295" s="50">
        <v>1</v>
      </c>
      <c r="J295" s="50"/>
      <c r="K295" s="53"/>
      <c r="L295" s="53"/>
      <c r="M295" s="51"/>
      <c r="N295" s="51"/>
      <c r="P295" s="35" t="str">
        <f>IF(Nickels!B296&lt;&gt;" ",Nickels!A295&amp;" "&amp;Nickels!B295,Nickels!A295)</f>
        <v>2000 D</v>
      </c>
      <c r="V295" s="34" t="e">
        <f>MATCH(Nickels!$A295,[6]NickelMintage!A:A,0)</f>
        <v>#N/A</v>
      </c>
      <c r="X295" s="46" t="str">
        <f t="shared" si="7"/>
        <v>2000 D</v>
      </c>
      <c r="Y295" s="35" t="e">
        <f>MATCH(X295,[6]WantList!$O$2:$O$2000,0)</f>
        <v>#N/A</v>
      </c>
      <c r="Z295" s="34">
        <f>MATCH(X295,[6]WantListWorkFile!$A$2:$A$244,0)</f>
        <v>203</v>
      </c>
      <c r="AJ295" s="34" t="s">
        <v>731</v>
      </c>
    </row>
    <row r="296" spans="1:36" ht="14.65" customHeight="1">
      <c r="A296" s="40">
        <v>2000</v>
      </c>
      <c r="B296" s="41" t="s">
        <v>25</v>
      </c>
      <c r="C296" s="41" t="s">
        <v>1962</v>
      </c>
      <c r="D296" s="42" t="s">
        <v>732</v>
      </c>
      <c r="E296" s="42" t="s">
        <v>454</v>
      </c>
      <c r="F296" s="42" t="s">
        <v>717</v>
      </c>
      <c r="G296" s="43">
        <v>0.05</v>
      </c>
      <c r="H296" s="43">
        <v>0.05</v>
      </c>
      <c r="I296" s="41">
        <v>1</v>
      </c>
      <c r="J296" s="41"/>
      <c r="K296" s="44"/>
      <c r="L296" s="44"/>
      <c r="M296" s="42"/>
      <c r="N296" s="42"/>
      <c r="P296" s="35" t="str">
        <f>IF(Nickels!B297&lt;&gt;" ",Nickels!A296&amp;" "&amp;Nickels!B296,Nickels!A296)</f>
        <v>2000 P</v>
      </c>
      <c r="V296" s="34" t="e">
        <f>MATCH(Nickels!$A296,[6]NickelMintage!A:A,0)</f>
        <v>#N/A</v>
      </c>
      <c r="X296" s="46" t="str">
        <f t="shared" si="7"/>
        <v>2000 P</v>
      </c>
      <c r="Y296" s="35" t="e">
        <f>MATCH(X296,[6]WantList!$O$2:$O$2000,0)</f>
        <v>#N/A</v>
      </c>
      <c r="Z296" s="34">
        <f>MATCH(X296,[6]WantListWorkFile!$A$2:$A$244,0)</f>
        <v>202</v>
      </c>
      <c r="AJ296" s="34" t="s">
        <v>244</v>
      </c>
    </row>
    <row r="297" spans="1:36" ht="14.65" customHeight="1">
      <c r="A297" s="49">
        <v>2001</v>
      </c>
      <c r="B297" s="50" t="s">
        <v>25</v>
      </c>
      <c r="C297" s="41" t="s">
        <v>1962</v>
      </c>
      <c r="D297" s="51" t="s">
        <v>733</v>
      </c>
      <c r="E297" s="51" t="s">
        <v>454</v>
      </c>
      <c r="F297" s="51" t="s">
        <v>507</v>
      </c>
      <c r="G297" s="52">
        <v>0.05</v>
      </c>
      <c r="H297" s="52">
        <v>0.05</v>
      </c>
      <c r="I297" s="50">
        <v>1</v>
      </c>
      <c r="J297" s="50"/>
      <c r="K297" s="53"/>
      <c r="L297" s="53"/>
      <c r="M297" s="51"/>
      <c r="N297" s="51"/>
      <c r="P297" s="35" t="str">
        <f>IF(Nickels!B298&lt;&gt;" ",Nickels!A297&amp;" "&amp;Nickels!B297,Nickels!A297)</f>
        <v>2001 P</v>
      </c>
      <c r="V297" s="34" t="e">
        <f>MATCH(Nickels!$A297,[6]NickelMintage!A:A,0)</f>
        <v>#N/A</v>
      </c>
      <c r="X297" s="46" t="str">
        <f t="shared" si="7"/>
        <v>2001 P</v>
      </c>
      <c r="Y297" s="35" t="e">
        <f>MATCH(X297,[6]WantList!$O$2:$O$2000,0)</f>
        <v>#N/A</v>
      </c>
      <c r="Z297" s="34">
        <f>MATCH(X297,[6]WantListWorkFile!$A$2:$A$244,0)</f>
        <v>204</v>
      </c>
      <c r="AJ297" s="34" t="s">
        <v>246</v>
      </c>
    </row>
    <row r="298" spans="1:36" ht="14.65" customHeight="1">
      <c r="A298" s="40">
        <v>2001</v>
      </c>
      <c r="B298" s="41" t="s">
        <v>25</v>
      </c>
      <c r="C298" s="41" t="s">
        <v>1962</v>
      </c>
      <c r="D298" s="42" t="s">
        <v>734</v>
      </c>
      <c r="E298" s="42" t="s">
        <v>454</v>
      </c>
      <c r="F298" s="42" t="s">
        <v>717</v>
      </c>
      <c r="G298" s="43">
        <v>0.05</v>
      </c>
      <c r="H298" s="43">
        <v>0.05</v>
      </c>
      <c r="I298" s="41">
        <v>1</v>
      </c>
      <c r="J298" s="41"/>
      <c r="K298" s="44"/>
      <c r="L298" s="44"/>
      <c r="M298" s="42"/>
      <c r="N298" s="42"/>
      <c r="P298" s="35" t="str">
        <f>IF(Nickels!B299&lt;&gt;" ",Nickels!A298&amp;" "&amp;Nickels!B298,Nickels!A298)</f>
        <v>2001 P</v>
      </c>
      <c r="V298" s="34" t="e">
        <f>MATCH(Nickels!$A298,[6]NickelMintage!A:A,0)</f>
        <v>#N/A</v>
      </c>
      <c r="X298" s="46" t="str">
        <f t="shared" si="7"/>
        <v>2001 P</v>
      </c>
      <c r="Y298" s="35" t="e">
        <f>MATCH(X298,[6]WantList!$O$2:$O$2000,0)</f>
        <v>#N/A</v>
      </c>
      <c r="Z298" s="34">
        <f>MATCH(X298,[6]WantListWorkFile!$A$2:$A$244,0)</f>
        <v>204</v>
      </c>
      <c r="AJ298" s="34" t="s">
        <v>246</v>
      </c>
    </row>
    <row r="299" spans="1:36" ht="14.65" customHeight="1">
      <c r="A299" s="49">
        <v>2001</v>
      </c>
      <c r="B299" s="50" t="s">
        <v>13</v>
      </c>
      <c r="C299" s="41" t="s">
        <v>1962</v>
      </c>
      <c r="D299" s="51" t="s">
        <v>735</v>
      </c>
      <c r="E299" s="51" t="s">
        <v>454</v>
      </c>
      <c r="F299" s="51" t="s">
        <v>717</v>
      </c>
      <c r="G299" s="52">
        <v>0.05</v>
      </c>
      <c r="H299" s="52">
        <v>0.05</v>
      </c>
      <c r="I299" s="50">
        <v>1</v>
      </c>
      <c r="J299" s="50"/>
      <c r="K299" s="53"/>
      <c r="L299" s="53"/>
      <c r="M299" s="51"/>
      <c r="N299" s="51"/>
      <c r="P299" s="35" t="str">
        <f>IF(Nickels!B300&lt;&gt;" ",Nickels!A299&amp;" "&amp;Nickels!B299,Nickels!A299)</f>
        <v>2001 D</v>
      </c>
      <c r="V299" s="34" t="e">
        <f>MATCH(Nickels!$A299,[6]NickelMintage!A:A,0)</f>
        <v>#N/A</v>
      </c>
      <c r="X299" s="46" t="str">
        <f t="shared" si="7"/>
        <v>2001 D</v>
      </c>
      <c r="Y299" s="35" t="e">
        <f>MATCH(X299,[6]WantList!$O$2:$O$2000,0)</f>
        <v>#N/A</v>
      </c>
      <c r="Z299" s="34">
        <f>MATCH(X299,[6]WantListWorkFile!$A$2:$A$244,0)</f>
        <v>205</v>
      </c>
      <c r="AJ299" s="34" t="s">
        <v>736</v>
      </c>
    </row>
    <row r="300" spans="1:36" ht="14.65" customHeight="1">
      <c r="A300" s="40">
        <v>2002</v>
      </c>
      <c r="B300" s="41" t="s">
        <v>25</v>
      </c>
      <c r="C300" s="41" t="s">
        <v>1962</v>
      </c>
      <c r="D300" s="42" t="s">
        <v>737</v>
      </c>
      <c r="E300" s="42" t="s">
        <v>454</v>
      </c>
      <c r="F300" s="42" t="s">
        <v>717</v>
      </c>
      <c r="G300" s="43">
        <v>0.05</v>
      </c>
      <c r="H300" s="43">
        <v>0.05</v>
      </c>
      <c r="I300" s="41">
        <v>1</v>
      </c>
      <c r="J300" s="41"/>
      <c r="K300" s="44"/>
      <c r="L300" s="44"/>
      <c r="M300" s="42"/>
      <c r="N300" s="42"/>
      <c r="P300" s="35" t="str">
        <f>IF(Nickels!B301&lt;&gt;" ",Nickels!A300&amp;" "&amp;Nickels!B300,Nickels!A300)</f>
        <v>2002 P</v>
      </c>
      <c r="V300" s="34" t="e">
        <f>MATCH(Nickels!$A300,[6]NickelMintage!A:A,0)</f>
        <v>#N/A</v>
      </c>
      <c r="X300" s="46" t="str">
        <f t="shared" si="7"/>
        <v>2002 P</v>
      </c>
      <c r="Y300" s="35" t="e">
        <f>MATCH(X300,[6]WantList!$O$2:$O$2000,0)</f>
        <v>#N/A</v>
      </c>
      <c r="Z300" s="34">
        <f>MATCH(X300,[6]WantListWorkFile!$A$2:$A$244,0)</f>
        <v>206</v>
      </c>
      <c r="AJ300" s="34" t="s">
        <v>248</v>
      </c>
    </row>
    <row r="301" spans="1:36" ht="14.65" customHeight="1">
      <c r="A301" s="49">
        <v>2002</v>
      </c>
      <c r="B301" s="50" t="s">
        <v>25</v>
      </c>
      <c r="C301" s="41" t="s">
        <v>1962</v>
      </c>
      <c r="D301" s="51" t="s">
        <v>738</v>
      </c>
      <c r="E301" s="51" t="s">
        <v>454</v>
      </c>
      <c r="F301" s="51" t="s">
        <v>717</v>
      </c>
      <c r="G301" s="52">
        <v>0.05</v>
      </c>
      <c r="H301" s="52">
        <v>0.05</v>
      </c>
      <c r="I301" s="50">
        <v>1</v>
      </c>
      <c r="J301" s="50"/>
      <c r="K301" s="53"/>
      <c r="L301" s="53"/>
      <c r="M301" s="51"/>
      <c r="N301" s="51"/>
      <c r="P301" s="35" t="str">
        <f>IF(Nickels!B302&lt;&gt;" ",Nickels!A301&amp;" "&amp;Nickels!B301,Nickels!A301)</f>
        <v>2002 P</v>
      </c>
      <c r="V301" s="34" t="e">
        <f>MATCH(Nickels!$A301,[6]NickelMintage!A:A,0)</f>
        <v>#N/A</v>
      </c>
      <c r="X301" s="46" t="str">
        <f t="shared" si="7"/>
        <v>2002 P</v>
      </c>
      <c r="Y301" s="35" t="e">
        <f>MATCH(X301,[6]WantList!$O$2:$O$2000,0)</f>
        <v>#N/A</v>
      </c>
      <c r="Z301" s="34">
        <f>MATCH(X301,[6]WantListWorkFile!$A$2:$A$244,0)</f>
        <v>206</v>
      </c>
      <c r="AJ301" s="34" t="s">
        <v>248</v>
      </c>
    </row>
    <row r="302" spans="1:36" ht="14.65" customHeight="1">
      <c r="A302" s="40">
        <v>2003</v>
      </c>
      <c r="B302" s="41" t="s">
        <v>25</v>
      </c>
      <c r="C302" s="41" t="s">
        <v>1962</v>
      </c>
      <c r="D302" s="42" t="s">
        <v>739</v>
      </c>
      <c r="E302" s="42" t="s">
        <v>454</v>
      </c>
      <c r="F302" s="42" t="s">
        <v>717</v>
      </c>
      <c r="G302" s="43">
        <v>0.05</v>
      </c>
      <c r="H302" s="43">
        <v>0.1</v>
      </c>
      <c r="I302" s="41">
        <v>1</v>
      </c>
      <c r="J302" s="41"/>
      <c r="K302" s="44"/>
      <c r="L302" s="44"/>
      <c r="M302" s="42"/>
      <c r="N302" s="42"/>
      <c r="P302" s="35" t="str">
        <f>IF(Nickels!B303&lt;&gt;" ",Nickels!A302&amp;" "&amp;Nickels!B302,Nickels!A302)</f>
        <v>2003 P</v>
      </c>
      <c r="X302" s="46"/>
      <c r="Y302" s="35"/>
    </row>
    <row r="303" spans="1:36" ht="14.65" customHeight="1">
      <c r="A303" s="49">
        <v>2004</v>
      </c>
      <c r="B303" s="50"/>
      <c r="C303" s="41" t="s">
        <v>1962</v>
      </c>
      <c r="D303" s="51" t="s">
        <v>740</v>
      </c>
      <c r="E303" s="51" t="s">
        <v>454</v>
      </c>
      <c r="F303" s="51" t="s">
        <v>507</v>
      </c>
      <c r="G303" s="52">
        <v>2</v>
      </c>
      <c r="H303" s="52">
        <v>9.6</v>
      </c>
      <c r="I303" s="50">
        <v>40</v>
      </c>
      <c r="J303" s="50"/>
      <c r="K303" s="57" t="s">
        <v>741</v>
      </c>
      <c r="L303" s="57"/>
      <c r="M303" s="51"/>
      <c r="N303" s="51"/>
      <c r="P303" s="35" t="str">
        <f>IF(Nickels!B304&lt;&gt;" ",Nickels!A303&amp;" "&amp;Nickels!B303,Nickels!A303)</f>
        <v xml:space="preserve">2004 </v>
      </c>
      <c r="V303" s="34" t="e">
        <f>MATCH(Nickels!$A303,[6]NickelMintage!A:A,0)</f>
        <v>#N/A</v>
      </c>
      <c r="X303" s="46">
        <f t="shared" ref="X303:X312" si="8">IF(LEN(B303)&lt;1,A303,A303&amp;" "&amp;B303)</f>
        <v>2004</v>
      </c>
      <c r="Y303" s="35">
        <f>MATCH(X303,[6]WantList!$O$2:$O$2000,0)</f>
        <v>295</v>
      </c>
      <c r="Z303" s="34" t="e">
        <f>MATCH(X303,[6]WantListWorkFile!$A$2:$A$244,0)</f>
        <v>#N/A</v>
      </c>
      <c r="AJ303" s="34" t="s">
        <v>742</v>
      </c>
    </row>
    <row r="304" spans="1:36" ht="14.65" customHeight="1">
      <c r="A304" s="49">
        <v>2004</v>
      </c>
      <c r="B304" s="50" t="s">
        <v>25</v>
      </c>
      <c r="C304" s="41" t="s">
        <v>1962</v>
      </c>
      <c r="D304" s="51" t="s">
        <v>743</v>
      </c>
      <c r="E304" s="51" t="s">
        <v>454</v>
      </c>
      <c r="F304" s="51" t="s">
        <v>507</v>
      </c>
      <c r="G304" s="52">
        <v>0.05</v>
      </c>
      <c r="H304" s="52">
        <v>0.05</v>
      </c>
      <c r="I304" s="50">
        <v>1</v>
      </c>
      <c r="J304" s="50"/>
      <c r="K304" s="57" t="s">
        <v>744</v>
      </c>
      <c r="L304" s="57"/>
      <c r="M304" s="51"/>
      <c r="N304" s="51"/>
      <c r="P304" s="35" t="str">
        <f>IF(Nickels!B305&lt;&gt;" ",Nickels!A304&amp;" "&amp;Nickels!B304,Nickels!A304)</f>
        <v>2004 P</v>
      </c>
      <c r="V304" s="34" t="e">
        <f>MATCH(Nickels!$A304,[6]NickelMintage!A:A,0)</f>
        <v>#N/A</v>
      </c>
      <c r="X304" s="46" t="str">
        <f t="shared" si="8"/>
        <v>2004 P</v>
      </c>
      <c r="Y304" s="35" t="e">
        <f>MATCH(X304,[6]WantList!$O$2:$O$2000,0)</f>
        <v>#N/A</v>
      </c>
      <c r="Z304" s="34" t="e">
        <f>MATCH(X304,[6]WantListWorkFile!$A$2:$A$244,0)</f>
        <v>#N/A</v>
      </c>
      <c r="AJ304" s="34" t="s">
        <v>742</v>
      </c>
    </row>
    <row r="305" spans="1:36" ht="14.65" customHeight="1">
      <c r="A305" s="40">
        <v>2004</v>
      </c>
      <c r="B305" s="41" t="s">
        <v>25</v>
      </c>
      <c r="C305" s="41" t="s">
        <v>1962</v>
      </c>
      <c r="D305" s="42" t="s">
        <v>745</v>
      </c>
      <c r="E305" s="42" t="s">
        <v>454</v>
      </c>
      <c r="F305" s="42" t="s">
        <v>507</v>
      </c>
      <c r="G305" s="43">
        <v>0.05</v>
      </c>
      <c r="H305" s="43">
        <v>0.05</v>
      </c>
      <c r="I305" s="41">
        <v>1</v>
      </c>
      <c r="J305" s="41"/>
      <c r="K305" s="58" t="s">
        <v>746</v>
      </c>
      <c r="L305" s="58"/>
      <c r="M305" s="42"/>
      <c r="N305" s="42"/>
      <c r="P305" s="35" t="str">
        <f>IF(Nickels!B306&lt;&gt;" ",Nickels!A305&amp;" "&amp;Nickels!B305,Nickels!A305)</f>
        <v>2004 P</v>
      </c>
      <c r="V305" s="34" t="e">
        <f>MATCH(Nickels!$A305,[6]NickelMintage!A:A,0)</f>
        <v>#N/A</v>
      </c>
      <c r="X305" s="46" t="str">
        <f t="shared" si="8"/>
        <v>2004 P</v>
      </c>
      <c r="Y305" s="35" t="e">
        <f>MATCH(X305,[6]WantList!$O$2:$O$2000,0)</f>
        <v>#N/A</v>
      </c>
      <c r="Z305" s="34" t="e">
        <f>MATCH(X305,[6]WantListWorkFile!$A$2:$A$244,0)</f>
        <v>#N/A</v>
      </c>
      <c r="AJ305" s="34" t="s">
        <v>747</v>
      </c>
    </row>
    <row r="306" spans="1:36" ht="14.65" customHeight="1">
      <c r="A306" s="40">
        <v>2005</v>
      </c>
      <c r="B306" s="41"/>
      <c r="C306" s="41" t="s">
        <v>1962</v>
      </c>
      <c r="D306" s="42" t="s">
        <v>748</v>
      </c>
      <c r="E306" s="42" t="s">
        <v>454</v>
      </c>
      <c r="F306" s="42" t="s">
        <v>507</v>
      </c>
      <c r="G306" s="43">
        <v>2</v>
      </c>
      <c r="H306" s="43">
        <v>13.6</v>
      </c>
      <c r="I306" s="41">
        <v>40</v>
      </c>
      <c r="J306" s="41"/>
      <c r="K306" s="58" t="s">
        <v>749</v>
      </c>
      <c r="L306" s="58"/>
      <c r="M306" s="42"/>
      <c r="N306" s="42"/>
      <c r="P306" s="35" t="str">
        <f>IF(Nickels!B307&lt;&gt;" ",Nickels!A306&amp;" "&amp;Nickels!B306,Nickels!A306)</f>
        <v xml:space="preserve">2005 </v>
      </c>
      <c r="V306" s="34" t="e">
        <f>MATCH(Nickels!$A306,[6]NickelMintage!A:A,0)</f>
        <v>#N/A</v>
      </c>
      <c r="X306" s="46">
        <f t="shared" si="8"/>
        <v>2005</v>
      </c>
      <c r="Y306" s="35">
        <f>MATCH(X306,[6]WantList!$O$2:$O$2000,0)</f>
        <v>296</v>
      </c>
      <c r="Z306" s="34" t="e">
        <f>MATCH(X306,[6]WantListWorkFile!$A$2:$A$244,0)</f>
        <v>#N/A</v>
      </c>
      <c r="AJ306" s="34" t="s">
        <v>750</v>
      </c>
    </row>
    <row r="307" spans="1:36" ht="14.65" customHeight="1">
      <c r="A307" s="40">
        <v>2005</v>
      </c>
      <c r="B307" s="41"/>
      <c r="C307" s="41" t="s">
        <v>1962</v>
      </c>
      <c r="D307" s="42" t="s">
        <v>751</v>
      </c>
      <c r="E307" s="42" t="s">
        <v>454</v>
      </c>
      <c r="F307" s="42" t="s">
        <v>507</v>
      </c>
      <c r="G307" s="43">
        <v>2</v>
      </c>
      <c r="H307" s="43">
        <v>9.6</v>
      </c>
      <c r="I307" s="41">
        <v>40</v>
      </c>
      <c r="J307" s="41"/>
      <c r="K307" s="44" t="s">
        <v>752</v>
      </c>
      <c r="L307" s="44"/>
      <c r="M307" s="42"/>
      <c r="N307" s="42"/>
      <c r="P307" s="35" t="str">
        <f>IF(Nickels!B308&lt;&gt;" ",Nickels!A307&amp;" "&amp;Nickels!B307,Nickels!A307)</f>
        <v xml:space="preserve">2005 </v>
      </c>
      <c r="V307" s="34" t="e">
        <f>MATCH(Nickels!$A307,[6]NickelMintage!A:A,0)</f>
        <v>#N/A</v>
      </c>
      <c r="X307" s="46">
        <f t="shared" si="8"/>
        <v>2005</v>
      </c>
      <c r="Y307" s="35">
        <f>MATCH(X307,[6]WantList!$O$2:$O$2000,0)</f>
        <v>296</v>
      </c>
      <c r="Z307" s="34" t="e">
        <f>MATCH(X307,[6]WantListWorkFile!$A$2:$A$244,0)</f>
        <v>#N/A</v>
      </c>
      <c r="AJ307" s="34" t="s">
        <v>750</v>
      </c>
    </row>
    <row r="308" spans="1:36" ht="14.65" customHeight="1">
      <c r="A308" s="49">
        <v>2005</v>
      </c>
      <c r="B308" s="50"/>
      <c r="C308" s="41" t="s">
        <v>1962</v>
      </c>
      <c r="D308" s="51" t="s">
        <v>753</v>
      </c>
      <c r="E308" s="51" t="s">
        <v>454</v>
      </c>
      <c r="F308" s="51" t="s">
        <v>507</v>
      </c>
      <c r="G308" s="52">
        <v>2</v>
      </c>
      <c r="H308" s="52">
        <v>9.6</v>
      </c>
      <c r="I308" s="50">
        <v>40</v>
      </c>
      <c r="J308" s="50"/>
      <c r="K308" s="57" t="s">
        <v>754</v>
      </c>
      <c r="L308" s="57"/>
      <c r="M308" s="51"/>
      <c r="N308" s="51"/>
      <c r="P308" s="35" t="str">
        <f>IF(Nickels!B309&lt;&gt;" ",Nickels!A308&amp;" "&amp;Nickels!B308,Nickels!A308)</f>
        <v xml:space="preserve">2005 </v>
      </c>
      <c r="V308" s="34" t="e">
        <f>MATCH(Nickels!$A308,[6]NickelMintage!A:A,0)</f>
        <v>#N/A</v>
      </c>
      <c r="X308" s="46">
        <f t="shared" si="8"/>
        <v>2005</v>
      </c>
      <c r="Y308" s="35">
        <f>MATCH(X308,[6]WantList!$O$2:$O$2000,0)</f>
        <v>296</v>
      </c>
      <c r="Z308" s="34" t="e">
        <f>MATCH(X308,[6]WantListWorkFile!$A$2:$A$244,0)</f>
        <v>#N/A</v>
      </c>
      <c r="AJ308" s="34" t="s">
        <v>750</v>
      </c>
    </row>
    <row r="309" spans="1:36" ht="14.65" customHeight="1">
      <c r="A309" s="49">
        <v>2005</v>
      </c>
      <c r="B309" s="50" t="s">
        <v>13</v>
      </c>
      <c r="C309" s="41" t="s">
        <v>1962</v>
      </c>
      <c r="D309" s="51" t="s">
        <v>755</v>
      </c>
      <c r="E309" s="51" t="s">
        <v>454</v>
      </c>
      <c r="F309" s="51" t="s">
        <v>507</v>
      </c>
      <c r="G309" s="52">
        <v>0.05</v>
      </c>
      <c r="H309" s="52">
        <v>0.05</v>
      </c>
      <c r="I309" s="50">
        <v>1</v>
      </c>
      <c r="J309" s="50"/>
      <c r="K309" s="57" t="s">
        <v>746</v>
      </c>
      <c r="L309" s="57"/>
      <c r="M309" s="51"/>
      <c r="N309" s="51"/>
      <c r="P309" s="35" t="str">
        <f>IF(Nickels!B310&lt;&gt;" ",Nickels!A309&amp;" "&amp;Nickels!B309,Nickels!A309)</f>
        <v>2005 D</v>
      </c>
      <c r="V309" s="34" t="e">
        <f>MATCH(Nickels!$A309,[6]NickelMintage!A:A,0)</f>
        <v>#N/A</v>
      </c>
      <c r="X309" s="46" t="str">
        <f t="shared" si="8"/>
        <v>2005 D</v>
      </c>
      <c r="Y309" s="35" t="e">
        <f>MATCH(X309,[6]WantList!$O$2:$O$2000,0)</f>
        <v>#N/A</v>
      </c>
      <c r="Z309" s="34" t="e">
        <f>MATCH(X309,[6]WantListWorkFile!$A$2:$A$244,0)</f>
        <v>#N/A</v>
      </c>
      <c r="AJ309" s="34" t="s">
        <v>253</v>
      </c>
    </row>
    <row r="310" spans="1:36" ht="14.65" customHeight="1">
      <c r="A310" s="40">
        <v>2005</v>
      </c>
      <c r="B310" s="41" t="s">
        <v>13</v>
      </c>
      <c r="C310" s="41" t="s">
        <v>1962</v>
      </c>
      <c r="D310" s="42" t="s">
        <v>756</v>
      </c>
      <c r="E310" s="42" t="s">
        <v>454</v>
      </c>
      <c r="F310" s="42" t="s">
        <v>507</v>
      </c>
      <c r="G310" s="43">
        <v>0.05</v>
      </c>
      <c r="H310" s="43">
        <v>0.05</v>
      </c>
      <c r="I310" s="41">
        <v>1</v>
      </c>
      <c r="J310" s="41"/>
      <c r="K310" s="58" t="s">
        <v>746</v>
      </c>
      <c r="L310" s="58"/>
      <c r="M310" s="42"/>
      <c r="N310" s="42"/>
      <c r="P310" s="35" t="str">
        <f>IF(Nickels!B311&lt;&gt;" ",Nickels!A310&amp;" "&amp;Nickels!B310,Nickels!A310)</f>
        <v>2005 D</v>
      </c>
      <c r="V310" s="34" t="e">
        <f>MATCH(Nickels!$A310,[6]NickelMintage!A:A,0)</f>
        <v>#N/A</v>
      </c>
      <c r="X310" s="46" t="str">
        <f t="shared" si="8"/>
        <v>2005 D</v>
      </c>
      <c r="Y310" s="35" t="e">
        <f>MATCH(X310,[6]WantList!$O$2:$O$2000,0)</f>
        <v>#N/A</v>
      </c>
      <c r="Z310" s="34" t="e">
        <f>MATCH(X310,[6]WantListWorkFile!$A$2:$A$244,0)</f>
        <v>#N/A</v>
      </c>
      <c r="AJ310" s="34" t="s">
        <v>253</v>
      </c>
    </row>
    <row r="311" spans="1:36" ht="14.65" customHeight="1">
      <c r="A311" s="49">
        <v>2005</v>
      </c>
      <c r="B311" s="50" t="s">
        <v>25</v>
      </c>
      <c r="C311" s="41" t="s">
        <v>1962</v>
      </c>
      <c r="D311" s="51" t="s">
        <v>757</v>
      </c>
      <c r="E311" s="51" t="s">
        <v>454</v>
      </c>
      <c r="F311" s="51" t="s">
        <v>507</v>
      </c>
      <c r="G311" s="52">
        <v>0.05</v>
      </c>
      <c r="H311" s="52">
        <v>0.05</v>
      </c>
      <c r="I311" s="50">
        <v>1</v>
      </c>
      <c r="J311" s="50"/>
      <c r="K311" s="57" t="s">
        <v>746</v>
      </c>
      <c r="L311" s="57"/>
      <c r="M311" s="51"/>
      <c r="N311" s="51"/>
      <c r="P311" s="35" t="str">
        <f>IF(Nickels!B312&lt;&gt;" ",Nickels!A311&amp;" "&amp;Nickels!B311,Nickels!A311)</f>
        <v>2005 P</v>
      </c>
      <c r="V311" s="34" t="e">
        <f>MATCH(Nickels!$A311,[6]NickelMintage!A:A,0)</f>
        <v>#N/A</v>
      </c>
      <c r="X311" s="46" t="str">
        <f t="shared" si="8"/>
        <v>2005 P</v>
      </c>
      <c r="Y311" s="35" t="e">
        <f>MATCH(X311,[6]WantList!$O$2:$O$2000,0)</f>
        <v>#N/A</v>
      </c>
      <c r="Z311" s="34" t="e">
        <f>MATCH(X311,[6]WantListWorkFile!$A$2:$A$244,0)</f>
        <v>#N/A</v>
      </c>
      <c r="AJ311" s="34" t="s">
        <v>758</v>
      </c>
    </row>
    <row r="312" spans="1:36" ht="14.65" customHeight="1">
      <c r="A312" s="40">
        <v>2005</v>
      </c>
      <c r="B312" s="41" t="s">
        <v>25</v>
      </c>
      <c r="C312" s="41" t="s">
        <v>1962</v>
      </c>
      <c r="D312" s="42" t="s">
        <v>759</v>
      </c>
      <c r="E312" s="42" t="s">
        <v>454</v>
      </c>
      <c r="F312" s="42" t="s">
        <v>507</v>
      </c>
      <c r="G312" s="43">
        <v>0.05</v>
      </c>
      <c r="H312" s="43">
        <v>0.05</v>
      </c>
      <c r="I312" s="41">
        <v>1</v>
      </c>
      <c r="J312" s="41"/>
      <c r="K312" s="58" t="s">
        <v>746</v>
      </c>
      <c r="L312" s="58"/>
      <c r="M312" s="42"/>
      <c r="N312" s="42"/>
      <c r="P312" s="35" t="str">
        <f>IF(Nickels!B313&lt;&gt;" ",Nickels!A312&amp;" "&amp;Nickels!B312,Nickels!A312)</f>
        <v>2005 P</v>
      </c>
      <c r="V312" s="34" t="e">
        <f>MATCH(Nickels!$A312,[6]NickelMintage!A:A,0)</f>
        <v>#N/A</v>
      </c>
      <c r="X312" s="46" t="str">
        <f t="shared" si="8"/>
        <v>2005 P</v>
      </c>
      <c r="Y312" s="35" t="e">
        <f>MATCH(X312,[6]WantList!$O$2:$O$2000,0)</f>
        <v>#N/A</v>
      </c>
      <c r="Z312" s="34" t="e">
        <f>MATCH(X312,[6]WantListWorkFile!$A$2:$A$244,0)</f>
        <v>#N/A</v>
      </c>
      <c r="AJ312" s="34" t="s">
        <v>758</v>
      </c>
    </row>
    <row r="313" spans="1:36" ht="14.65" customHeight="1">
      <c r="A313" s="49">
        <v>2007</v>
      </c>
      <c r="B313" s="50" t="s">
        <v>13</v>
      </c>
      <c r="C313" s="41" t="s">
        <v>1962</v>
      </c>
      <c r="D313" s="51" t="s">
        <v>760</v>
      </c>
      <c r="E313" s="51" t="s">
        <v>454</v>
      </c>
      <c r="F313" s="51" t="s">
        <v>717</v>
      </c>
      <c r="G313" s="52">
        <v>0.05</v>
      </c>
      <c r="H313" s="52">
        <v>0.05</v>
      </c>
      <c r="I313" s="50">
        <v>1</v>
      </c>
      <c r="J313" s="50"/>
      <c r="K313" s="53"/>
      <c r="L313" s="53"/>
      <c r="M313" s="51"/>
      <c r="N313" s="51"/>
      <c r="P313" s="35" t="str">
        <f>IF(Nickels!B314&lt;&gt;" ",Nickels!A313&amp;" "&amp;Nickels!B313,Nickels!A313)</f>
        <v>2007 D</v>
      </c>
      <c r="V313" s="34" t="e">
        <f>MATCH(Nickels!$A313,[6]NickelMintage!A:A,0)</f>
        <v>#N/A</v>
      </c>
      <c r="X313" s="46" t="s">
        <v>196</v>
      </c>
      <c r="Y313" s="35" t="e">
        <f>MATCH(X313,[6]WantList!$O$2:$O$2000,0)</f>
        <v>#N/A</v>
      </c>
      <c r="Z313" s="34">
        <f>MATCH(X313,[6]WantListWorkFile!$A$2:$A$244,0)</f>
        <v>221</v>
      </c>
      <c r="AJ313" s="34" t="s">
        <v>196</v>
      </c>
    </row>
    <row r="314" spans="1:36" ht="14.65" customHeight="1">
      <c r="A314" s="40">
        <v>2007</v>
      </c>
      <c r="B314" s="41" t="s">
        <v>13</v>
      </c>
      <c r="C314" s="41" t="s">
        <v>1962</v>
      </c>
      <c r="D314" s="42" t="s">
        <v>761</v>
      </c>
      <c r="E314" s="42" t="s">
        <v>454</v>
      </c>
      <c r="F314" s="42" t="s">
        <v>717</v>
      </c>
      <c r="G314" s="43">
        <v>0.05</v>
      </c>
      <c r="H314" s="43">
        <v>0.05</v>
      </c>
      <c r="I314" s="41">
        <v>1</v>
      </c>
      <c r="J314" s="41"/>
      <c r="K314" s="44"/>
      <c r="L314" s="44"/>
      <c r="M314" s="42"/>
      <c r="N314" s="42"/>
      <c r="P314" s="35" t="str">
        <f>IF(Nickels!B315&lt;&gt;" ",Nickels!A314&amp;" "&amp;Nickels!B314,Nickels!A314)</f>
        <v>2007 D</v>
      </c>
      <c r="V314" s="34" t="e">
        <f>MATCH(Nickels!$A314,[6]NickelMintage!A:A,0)</f>
        <v>#N/A</v>
      </c>
      <c r="X314" s="46" t="s">
        <v>196</v>
      </c>
      <c r="Y314" s="35" t="e">
        <f>MATCH(X314,[6]WantList!$O$2:$O$2000,0)</f>
        <v>#N/A</v>
      </c>
      <c r="Z314" s="34">
        <f>MATCH(X314,[6]WantListWorkFile!$A$2:$A$244,0)</f>
        <v>221</v>
      </c>
      <c r="AJ314" s="34" t="s">
        <v>196</v>
      </c>
    </row>
    <row r="315" spans="1:36" ht="14.65" customHeight="1">
      <c r="A315" s="49">
        <v>2008</v>
      </c>
      <c r="B315" s="50" t="s">
        <v>13</v>
      </c>
      <c r="C315" s="41" t="s">
        <v>1962</v>
      </c>
      <c r="D315" s="51" t="s">
        <v>762</v>
      </c>
      <c r="E315" s="51" t="s">
        <v>454</v>
      </c>
      <c r="F315" s="51" t="s">
        <v>507</v>
      </c>
      <c r="G315" s="52">
        <v>0.05</v>
      </c>
      <c r="H315" s="52">
        <v>0.05</v>
      </c>
      <c r="I315" s="50">
        <v>1</v>
      </c>
      <c r="J315" s="50"/>
      <c r="K315" s="53"/>
      <c r="L315" s="53"/>
      <c r="M315" s="51"/>
      <c r="N315" s="51"/>
      <c r="P315" s="35" t="str">
        <f>IF(Nickels!B316&lt;&gt;" ",Nickels!A315&amp;" "&amp;Nickels!B315,Nickels!A315)</f>
        <v>2008 D</v>
      </c>
      <c r="V315" s="34" t="e">
        <f>MATCH(Nickels!$A315,[6]NickelMintage!A:A,0)</f>
        <v>#N/A</v>
      </c>
      <c r="X315" s="46" t="s">
        <v>206</v>
      </c>
      <c r="Y315" s="35" t="e">
        <f>MATCH(X315,[6]WantList!$O$2:$O$2000,0)</f>
        <v>#N/A</v>
      </c>
      <c r="Z315" s="34">
        <f>MATCH(X315,[6]WantListWorkFile!$A$2:$A$244,0)</f>
        <v>223</v>
      </c>
    </row>
    <row r="316" spans="1:36" ht="14.65" customHeight="1">
      <c r="A316" s="40">
        <v>2010</v>
      </c>
      <c r="B316" s="41" t="s">
        <v>12</v>
      </c>
      <c r="C316" s="41" t="s">
        <v>1962</v>
      </c>
      <c r="D316" s="42" t="s">
        <v>763</v>
      </c>
      <c r="E316" s="42" t="s">
        <v>454</v>
      </c>
      <c r="F316" s="42" t="s">
        <v>507</v>
      </c>
      <c r="G316" s="43">
        <v>1.5</v>
      </c>
      <c r="H316" s="43">
        <v>4.95</v>
      </c>
      <c r="I316" s="41">
        <v>1</v>
      </c>
      <c r="J316" s="41"/>
      <c r="K316" s="44" t="s">
        <v>27</v>
      </c>
      <c r="L316" s="44"/>
      <c r="M316" s="42"/>
      <c r="N316" s="42"/>
      <c r="P316" s="35" t="str">
        <f>IF(Nickels!B317&lt;&gt;" ",Nickels!A316&amp;" "&amp;Nickels!B316,Nickels!A316)</f>
        <v>2010 S</v>
      </c>
      <c r="V316" s="34" t="e">
        <f>MATCH(Nickels!$A316,[6]NickelMintage!A:A,0)</f>
        <v>#N/A</v>
      </c>
      <c r="X316" s="46"/>
      <c r="Y316" s="35"/>
    </row>
    <row r="317" spans="1:36" ht="14.65" customHeight="1">
      <c r="A317" s="49">
        <v>2011</v>
      </c>
      <c r="B317" s="50" t="s">
        <v>25</v>
      </c>
      <c r="C317" s="41" t="s">
        <v>1962</v>
      </c>
      <c r="D317" s="51" t="s">
        <v>764</v>
      </c>
      <c r="E317" s="51" t="s">
        <v>454</v>
      </c>
      <c r="F317" s="51" t="s">
        <v>507</v>
      </c>
      <c r="G317" s="52">
        <v>0.3</v>
      </c>
      <c r="H317" s="52">
        <v>0.56999999999999995</v>
      </c>
      <c r="I317" s="50">
        <v>1</v>
      </c>
      <c r="J317" s="50"/>
      <c r="K317" s="53"/>
      <c r="L317" s="53"/>
      <c r="M317" s="51"/>
      <c r="N317" s="51"/>
      <c r="P317" s="35" t="str">
        <f>IF(Nickels!B318&lt;&gt;" ",Nickels!A317&amp;" "&amp;Nickels!B317,Nickels!A317)</f>
        <v>2011 P</v>
      </c>
      <c r="V317" s="34" t="e">
        <f>MATCH(Nickels!$A317,[6]NickelMintage!A:A,0)</f>
        <v>#N/A</v>
      </c>
      <c r="X317" s="46"/>
      <c r="Y317" s="35"/>
    </row>
    <row r="318" spans="1:36" ht="14.65" customHeight="1">
      <c r="A318" s="40">
        <v>2011</v>
      </c>
      <c r="B318" s="41" t="s">
        <v>12</v>
      </c>
      <c r="C318" s="41" t="s">
        <v>1962</v>
      </c>
      <c r="D318" s="42" t="s">
        <v>765</v>
      </c>
      <c r="E318" s="42" t="s">
        <v>454</v>
      </c>
      <c r="F318" s="42" t="s">
        <v>507</v>
      </c>
      <c r="G318" s="43">
        <v>1.25</v>
      </c>
      <c r="H318" s="43">
        <v>1</v>
      </c>
      <c r="I318" s="41">
        <v>1</v>
      </c>
      <c r="J318" s="41"/>
      <c r="K318" s="44" t="s">
        <v>27</v>
      </c>
      <c r="L318" s="44"/>
      <c r="M318" s="42"/>
      <c r="N318" s="42"/>
      <c r="P318" s="35" t="str">
        <f>IF(Nickels!B319&lt;&gt;" ",Nickels!A318&amp;" "&amp;Nickels!B318,Nickels!A318)</f>
        <v>2011 S</v>
      </c>
      <c r="V318" s="34" t="e">
        <f>MATCH(Nickels!$A318,[6]NickelMintage!A:A,0)</f>
        <v>#N/A</v>
      </c>
      <c r="X318" s="46"/>
      <c r="Y318" s="35"/>
    </row>
    <row r="319" spans="1:36" ht="14.65" customHeight="1">
      <c r="A319" s="49">
        <v>2011</v>
      </c>
      <c r="B319" s="50" t="s">
        <v>13</v>
      </c>
      <c r="C319" s="41" t="s">
        <v>1962</v>
      </c>
      <c r="D319" s="51" t="s">
        <v>766</v>
      </c>
      <c r="E319" s="51" t="s">
        <v>454</v>
      </c>
      <c r="F319" s="51" t="s">
        <v>507</v>
      </c>
      <c r="G319" s="52">
        <v>0.5</v>
      </c>
      <c r="H319" s="52">
        <v>0.56999999999999995</v>
      </c>
      <c r="I319" s="50">
        <v>1</v>
      </c>
      <c r="J319" s="50"/>
      <c r="K319" s="53"/>
      <c r="L319" s="53"/>
      <c r="M319" s="51"/>
      <c r="N319" s="51"/>
      <c r="P319" s="35" t="str">
        <f>IF(Nickels!B320&lt;&gt;" ",Nickels!A319&amp;" "&amp;Nickels!B319,Nickels!A319)</f>
        <v>2011 D</v>
      </c>
      <c r="V319" s="34" t="e">
        <f>MATCH(Nickels!$A319,[6]NickelMintage!A:A,0)</f>
        <v>#N/A</v>
      </c>
      <c r="X319" s="46"/>
      <c r="Y319" s="35"/>
    </row>
    <row r="320" spans="1:36" ht="14.65" customHeight="1">
      <c r="A320" s="40">
        <v>2012</v>
      </c>
      <c r="B320" s="41" t="s">
        <v>25</v>
      </c>
      <c r="C320" s="41" t="s">
        <v>1962</v>
      </c>
      <c r="D320" s="42" t="s">
        <v>767</v>
      </c>
      <c r="E320" s="42" t="s">
        <v>454</v>
      </c>
      <c r="F320" s="42" t="s">
        <v>507</v>
      </c>
      <c r="G320" s="43">
        <v>0.05</v>
      </c>
      <c r="H320" s="43">
        <v>0.05</v>
      </c>
      <c r="I320" s="41">
        <v>1</v>
      </c>
      <c r="J320" s="41"/>
      <c r="K320" s="44"/>
      <c r="L320" s="44"/>
      <c r="M320" s="42"/>
      <c r="N320" s="42"/>
      <c r="P320" s="35" t="str">
        <f>IF(Nickels!B321&lt;&gt;" ",Nickels!A320&amp;" "&amp;Nickels!B320,Nickels!A320)</f>
        <v>2012 P</v>
      </c>
      <c r="V320" s="34" t="e">
        <f>MATCH(Nickels!$A320,[6]NickelMintage!A:A,0)</f>
        <v>#N/A</v>
      </c>
      <c r="X320" s="46" t="str">
        <f>IF(LEN(B320)&lt;1,A320,A320&amp;" "&amp;B320)</f>
        <v>2012 P</v>
      </c>
      <c r="Y320" s="35" t="e">
        <f>MATCH(X320,[6]WantList!$O$2:$O$2000,0)</f>
        <v>#N/A</v>
      </c>
      <c r="Z320" s="34">
        <f>MATCH(X320,[6]WantListWorkFile!$A$2:$A$244,0)</f>
        <v>230</v>
      </c>
      <c r="AJ320" s="34" t="s">
        <v>768</v>
      </c>
    </row>
    <row r="321" spans="1:36" ht="14.65" customHeight="1">
      <c r="A321" s="49">
        <v>2012</v>
      </c>
      <c r="B321" s="50" t="s">
        <v>25</v>
      </c>
      <c r="C321" s="41" t="s">
        <v>1962</v>
      </c>
      <c r="D321" s="51" t="s">
        <v>769</v>
      </c>
      <c r="E321" s="51" t="s">
        <v>454</v>
      </c>
      <c r="F321" s="51" t="s">
        <v>717</v>
      </c>
      <c r="G321" s="52">
        <v>0.05</v>
      </c>
      <c r="H321" s="52">
        <v>0.05</v>
      </c>
      <c r="I321" s="50">
        <v>1</v>
      </c>
      <c r="J321" s="50"/>
      <c r="K321" s="53"/>
      <c r="L321" s="53"/>
      <c r="M321" s="51"/>
      <c r="N321" s="51"/>
      <c r="P321" s="35" t="str">
        <f>IF(Nickels!B322&lt;&gt;" ",Nickels!A321&amp;" "&amp;Nickels!B321,Nickels!A321)</f>
        <v>2012 P</v>
      </c>
      <c r="V321" s="34" t="e">
        <f>MATCH(Nickels!$A321,[6]NickelMintage!A:A,0)</f>
        <v>#N/A</v>
      </c>
      <c r="X321" s="46" t="str">
        <f>IF(LEN(B321)&lt;1,A321,A321&amp;" "&amp;B321)</f>
        <v>2012 P</v>
      </c>
      <c r="Y321" s="35" t="e">
        <f>MATCH(X321,[6]WantList!$O$2:$O$2000,0)</f>
        <v>#N/A</v>
      </c>
      <c r="Z321" s="34">
        <f>MATCH(X321,[6]WantListWorkFile!$A$2:$A$244,0)</f>
        <v>230</v>
      </c>
      <c r="AJ321" s="34" t="s">
        <v>768</v>
      </c>
    </row>
    <row r="322" spans="1:36" ht="14.65" customHeight="1">
      <c r="A322" s="40">
        <v>2012</v>
      </c>
      <c r="B322" s="41" t="s">
        <v>25</v>
      </c>
      <c r="C322" s="41" t="s">
        <v>1962</v>
      </c>
      <c r="D322" s="42" t="s">
        <v>770</v>
      </c>
      <c r="E322" s="42" t="s">
        <v>454</v>
      </c>
      <c r="F322" s="42" t="s">
        <v>507</v>
      </c>
      <c r="G322" s="43">
        <v>0.05</v>
      </c>
      <c r="H322" s="43">
        <v>0.05</v>
      </c>
      <c r="I322" s="41">
        <v>1</v>
      </c>
      <c r="J322" s="41"/>
      <c r="K322" s="44"/>
      <c r="L322" s="44"/>
      <c r="M322" s="42"/>
      <c r="N322" s="42"/>
      <c r="P322" s="35" t="str">
        <f>IF(Nickels!B323&lt;&gt;" ",Nickels!A322&amp;" "&amp;Nickels!B322,Nickels!A322)</f>
        <v>2012 P</v>
      </c>
      <c r="V322" s="34" t="e">
        <f>MATCH(Nickels!$A322,[6]NickelMintage!A:A,0)</f>
        <v>#N/A</v>
      </c>
      <c r="X322" s="46" t="str">
        <f>IF(LEN(B322)&lt;1,A322,A322&amp;" "&amp;B322)</f>
        <v>2012 P</v>
      </c>
      <c r="Y322" s="35" t="e">
        <f>MATCH(X322,[6]WantList!$O$2:$O$2000,0)</f>
        <v>#N/A</v>
      </c>
      <c r="Z322" s="34">
        <f>MATCH(X322,[6]WantListWorkFile!$A$2:$A$244,0)</f>
        <v>230</v>
      </c>
      <c r="AJ322" s="34" t="s">
        <v>768</v>
      </c>
    </row>
    <row r="323" spans="1:36" ht="14.65" customHeight="1">
      <c r="A323" s="49">
        <v>2012</v>
      </c>
      <c r="B323" s="50" t="s">
        <v>25</v>
      </c>
      <c r="C323" s="41" t="s">
        <v>1962</v>
      </c>
      <c r="D323" s="51" t="s">
        <v>771</v>
      </c>
      <c r="E323" s="51" t="s">
        <v>454</v>
      </c>
      <c r="F323" s="51" t="s">
        <v>717</v>
      </c>
      <c r="G323" s="52">
        <v>0.05</v>
      </c>
      <c r="H323" s="52">
        <v>0.05</v>
      </c>
      <c r="I323" s="50">
        <v>1</v>
      </c>
      <c r="J323" s="50"/>
      <c r="K323" s="53"/>
      <c r="L323" s="53"/>
      <c r="M323" s="51"/>
      <c r="N323" s="51"/>
      <c r="P323" s="35" t="str">
        <f>IF(Nickels!B324&lt;&gt;" ",Nickels!A323&amp;" "&amp;Nickels!B323,Nickels!A323)</f>
        <v>2012 P</v>
      </c>
      <c r="V323" s="34" t="e">
        <f>MATCH(Nickels!$A323,[6]NickelMintage!A:A,0)</f>
        <v>#N/A</v>
      </c>
      <c r="X323" s="46" t="str">
        <f>IF(LEN(B323)&lt;1,A323,A323&amp;" "&amp;B323)</f>
        <v>2012 P</v>
      </c>
      <c r="Y323" s="35" t="e">
        <f>MATCH(X323,[6]WantList!$O$2:$O$2000,0)</f>
        <v>#N/A</v>
      </c>
      <c r="Z323" s="34">
        <f>MATCH(X323,[6]WantListWorkFile!$A$2:$A$244,0)</f>
        <v>230</v>
      </c>
      <c r="AJ323" s="34" t="s">
        <v>768</v>
      </c>
    </row>
    <row r="324" spans="1:36" ht="14.65" customHeight="1">
      <c r="A324" s="40">
        <v>2012</v>
      </c>
      <c r="B324" s="41" t="s">
        <v>13</v>
      </c>
      <c r="C324" s="41" t="s">
        <v>1962</v>
      </c>
      <c r="D324" s="42" t="s">
        <v>772</v>
      </c>
      <c r="E324" s="42" t="s">
        <v>454</v>
      </c>
      <c r="F324" s="42" t="s">
        <v>507</v>
      </c>
      <c r="G324" s="43">
        <v>0.25</v>
      </c>
      <c r="H324" s="43">
        <v>0.56999999999999995</v>
      </c>
      <c r="I324" s="41">
        <v>1</v>
      </c>
      <c r="J324" s="41"/>
      <c r="K324" s="44"/>
      <c r="L324" s="44"/>
      <c r="M324" s="42"/>
      <c r="N324" s="42"/>
      <c r="P324" s="35" t="str">
        <f>IF(Nickels!B325&lt;&gt;" ",Nickels!A324&amp;" "&amp;Nickels!B324,Nickels!A324)</f>
        <v>2012 D</v>
      </c>
      <c r="V324" s="34" t="e">
        <f>MATCH(Nickels!$A324,[6]NickelMintage!A:A,0)</f>
        <v>#N/A</v>
      </c>
      <c r="X324" s="46"/>
      <c r="Y324" s="35"/>
    </row>
    <row r="325" spans="1:36" ht="14.65" customHeight="1">
      <c r="A325" s="49">
        <v>2012</v>
      </c>
      <c r="B325" s="50" t="s">
        <v>12</v>
      </c>
      <c r="C325" s="41" t="s">
        <v>1962</v>
      </c>
      <c r="D325" s="51" t="s">
        <v>773</v>
      </c>
      <c r="E325" s="51" t="s">
        <v>454</v>
      </c>
      <c r="F325" s="51" t="s">
        <v>507</v>
      </c>
      <c r="G325" s="52">
        <v>2</v>
      </c>
      <c r="H325" s="52">
        <v>5.84</v>
      </c>
      <c r="I325" s="50">
        <v>1</v>
      </c>
      <c r="J325" s="50"/>
      <c r="K325" s="53" t="s">
        <v>27</v>
      </c>
      <c r="L325" s="53"/>
      <c r="M325" s="51"/>
      <c r="N325" s="51"/>
      <c r="P325" s="35" t="str">
        <f>IF(Nickels!B326&lt;&gt;" ",Nickels!A325&amp;" "&amp;Nickels!B325,Nickels!A325)</f>
        <v>2012 S</v>
      </c>
      <c r="V325" s="34" t="e">
        <f>MATCH(Nickels!$A325,[6]NickelMintage!A:A,0)</f>
        <v>#N/A</v>
      </c>
      <c r="X325" s="46"/>
      <c r="Y325" s="35"/>
    </row>
    <row r="326" spans="1:36" ht="14.65" customHeight="1">
      <c r="A326" s="40">
        <v>2013</v>
      </c>
      <c r="B326" s="41" t="s">
        <v>25</v>
      </c>
      <c r="C326" s="41" t="s">
        <v>1962</v>
      </c>
      <c r="D326" s="42" t="s">
        <v>774</v>
      </c>
      <c r="E326" s="42" t="s">
        <v>454</v>
      </c>
      <c r="F326" s="42" t="s">
        <v>717</v>
      </c>
      <c r="G326" s="43">
        <v>0.05</v>
      </c>
      <c r="H326" s="43">
        <v>0.05</v>
      </c>
      <c r="I326" s="41">
        <v>1</v>
      </c>
      <c r="J326" s="41"/>
      <c r="K326" s="44"/>
      <c r="L326" s="44"/>
      <c r="M326" s="42"/>
      <c r="N326" s="42"/>
      <c r="P326" s="35" t="str">
        <f>IF(Nickels!B327&lt;&gt;" ",Nickels!A326&amp;" "&amp;Nickels!B326,Nickels!A326)</f>
        <v>2013 P</v>
      </c>
      <c r="V326" s="34" t="e">
        <f>MATCH(Nickels!$A326,[6]NickelMintage!A:A,0)</f>
        <v>#N/A</v>
      </c>
      <c r="X326" s="46" t="str">
        <f>IF(LEN(B326)&lt;1,A326,A326&amp;" "&amp;B326)</f>
        <v>2013 P</v>
      </c>
      <c r="Y326" s="35" t="e">
        <f>MATCH(X326,[6]WantList!$O$2:$O$2000,0)</f>
        <v>#N/A</v>
      </c>
      <c r="Z326" s="34">
        <f>MATCH(X326,[6]WantListWorkFile!$A$2:$A$244,0)</f>
        <v>232</v>
      </c>
      <c r="AJ326" s="34" t="s">
        <v>775</v>
      </c>
    </row>
    <row r="327" spans="1:36" ht="14.65" customHeight="1">
      <c r="A327" s="49">
        <v>2013</v>
      </c>
      <c r="B327" s="50" t="s">
        <v>25</v>
      </c>
      <c r="C327" s="41" t="s">
        <v>1962</v>
      </c>
      <c r="D327" s="51" t="s">
        <v>776</v>
      </c>
      <c r="E327" s="51" t="s">
        <v>454</v>
      </c>
      <c r="F327" s="51" t="s">
        <v>507</v>
      </c>
      <c r="G327" s="52">
        <v>0.05</v>
      </c>
      <c r="H327" s="52">
        <v>0.05</v>
      </c>
      <c r="I327" s="50">
        <v>1</v>
      </c>
      <c r="J327" s="50"/>
      <c r="K327" s="53"/>
      <c r="L327" s="53"/>
      <c r="M327" s="51"/>
      <c r="N327" s="51"/>
      <c r="P327" s="35" t="str">
        <f>IF(Nickels!B328&lt;&gt;" ",Nickels!A327&amp;" "&amp;Nickels!B327,Nickels!A327)</f>
        <v>2013 P</v>
      </c>
      <c r="V327" s="34" t="e">
        <f>MATCH(Nickels!$A327,[6]NickelMintage!A:A,0)</f>
        <v>#N/A</v>
      </c>
      <c r="X327" s="46" t="str">
        <f>IF(LEN(B327)&lt;1,A327,A327&amp;" "&amp;B327)</f>
        <v>2013 P</v>
      </c>
      <c r="Y327" s="35" t="e">
        <f>MATCH(X327,[6]WantList!$O$2:$O$2000,0)</f>
        <v>#N/A</v>
      </c>
      <c r="Z327" s="34">
        <f>MATCH(X327,[6]WantListWorkFile!$A$2:$A$244,0)</f>
        <v>232</v>
      </c>
      <c r="AJ327" s="34" t="s">
        <v>775</v>
      </c>
    </row>
    <row r="328" spans="1:36" ht="14.65" customHeight="1">
      <c r="A328" s="40">
        <v>2013</v>
      </c>
      <c r="B328" s="41" t="s">
        <v>25</v>
      </c>
      <c r="C328" s="41" t="s">
        <v>1962</v>
      </c>
      <c r="D328" s="42" t="s">
        <v>777</v>
      </c>
      <c r="E328" s="42" t="s">
        <v>454</v>
      </c>
      <c r="F328" s="42" t="s">
        <v>717</v>
      </c>
      <c r="G328" s="43">
        <v>0.05</v>
      </c>
      <c r="H328" s="43">
        <v>0.05</v>
      </c>
      <c r="I328" s="41">
        <v>1</v>
      </c>
      <c r="J328" s="41"/>
      <c r="K328" s="44"/>
      <c r="L328" s="44"/>
      <c r="M328" s="42"/>
      <c r="N328" s="42"/>
      <c r="P328" s="35" t="str">
        <f>IF(Nickels!B329&lt;&gt;" ",Nickels!A328&amp;" "&amp;Nickels!B328,Nickels!A328)</f>
        <v>2013 P</v>
      </c>
      <c r="V328" s="34" t="e">
        <f>MATCH(Nickels!$A328,[6]NickelMintage!A:A,0)</f>
        <v>#N/A</v>
      </c>
      <c r="X328" s="46" t="str">
        <f>IF(LEN(B328)&lt;1,A328,A328&amp;" "&amp;B328)</f>
        <v>2013 P</v>
      </c>
      <c r="Y328" s="35" t="e">
        <f>MATCH(X328,[6]WantList!$O$2:$O$2000,0)</f>
        <v>#N/A</v>
      </c>
      <c r="Z328" s="34">
        <f>MATCH(X328,[6]WantListWorkFile!$A$2:$A$244,0)</f>
        <v>232</v>
      </c>
      <c r="AJ328" s="34" t="s">
        <v>775</v>
      </c>
    </row>
    <row r="329" spans="1:36" ht="14.65" customHeight="1">
      <c r="A329" s="49">
        <v>2013</v>
      </c>
      <c r="B329" s="50" t="s">
        <v>13</v>
      </c>
      <c r="C329" s="41" t="s">
        <v>1962</v>
      </c>
      <c r="D329" s="51" t="s">
        <v>778</v>
      </c>
      <c r="E329" s="51" t="s">
        <v>454</v>
      </c>
      <c r="F329" s="51" t="s">
        <v>507</v>
      </c>
      <c r="G329" s="52">
        <v>0.5</v>
      </c>
      <c r="H329" s="52">
        <v>0.56999999999999995</v>
      </c>
      <c r="I329" s="50">
        <v>1</v>
      </c>
      <c r="J329" s="50"/>
      <c r="K329" s="53"/>
      <c r="L329" s="53"/>
      <c r="M329" s="51"/>
      <c r="N329" s="51"/>
      <c r="P329" s="35" t="str">
        <f>IF(Nickels!B330&lt;&gt;" ",Nickels!A329&amp;" "&amp;Nickels!B329,Nickels!A329)</f>
        <v>2013 D</v>
      </c>
      <c r="V329" s="34" t="e">
        <f>MATCH(Nickels!$A329,[6]NickelMintage!A:A,0)</f>
        <v>#N/A</v>
      </c>
      <c r="X329" s="46"/>
      <c r="Y329" s="35"/>
    </row>
    <row r="330" spans="1:36" ht="14.65" customHeight="1">
      <c r="A330" s="40">
        <v>2013</v>
      </c>
      <c r="B330" s="41" t="s">
        <v>12</v>
      </c>
      <c r="C330" s="41" t="s">
        <v>1962</v>
      </c>
      <c r="D330" s="42" t="s">
        <v>779</v>
      </c>
      <c r="E330" s="42" t="s">
        <v>454</v>
      </c>
      <c r="F330" s="42" t="s">
        <v>507</v>
      </c>
      <c r="G330" s="43">
        <v>0.9</v>
      </c>
      <c r="H330" s="43">
        <v>4.95</v>
      </c>
      <c r="I330" s="41">
        <v>1</v>
      </c>
      <c r="J330" s="41"/>
      <c r="K330" s="44" t="s">
        <v>27</v>
      </c>
      <c r="L330" s="44"/>
      <c r="M330" s="42"/>
      <c r="N330" s="42"/>
      <c r="P330" s="35" t="str">
        <f>IF(Nickels!B331&lt;&gt;" ",Nickels!A330&amp;" "&amp;Nickels!B330,Nickels!A330)</f>
        <v>2013 S</v>
      </c>
      <c r="V330" s="34" t="e">
        <f>MATCH(Nickels!$A330,[6]NickelMintage!A:A,0)</f>
        <v>#N/A</v>
      </c>
      <c r="X330" s="46"/>
      <c r="Y330" s="35"/>
    </row>
    <row r="331" spans="1:36" ht="14.65" customHeight="1">
      <c r="A331" s="49">
        <v>2014</v>
      </c>
      <c r="B331" s="50" t="s">
        <v>25</v>
      </c>
      <c r="C331" s="41" t="s">
        <v>1962</v>
      </c>
      <c r="D331" s="51" t="s">
        <v>780</v>
      </c>
      <c r="E331" s="51" t="s">
        <v>454</v>
      </c>
      <c r="F331" s="51" t="s">
        <v>717</v>
      </c>
      <c r="G331" s="52">
        <v>0.05</v>
      </c>
      <c r="H331" s="52">
        <v>0.05</v>
      </c>
      <c r="I331" s="50">
        <v>1</v>
      </c>
      <c r="J331" s="50"/>
      <c r="K331" s="53"/>
      <c r="L331" s="53"/>
      <c r="M331" s="51"/>
      <c r="N331" s="51"/>
      <c r="P331" s="35" t="str">
        <f>IF(Nickels!B332&lt;&gt;" ",Nickels!A331&amp;" "&amp;Nickels!B331,Nickels!A331)</f>
        <v>2014 P</v>
      </c>
      <c r="V331" s="34" t="e">
        <f>MATCH(Nickels!$A331,[6]NickelMintage!A:A,0)</f>
        <v>#N/A</v>
      </c>
      <c r="X331" s="46" t="str">
        <f>IF(LEN(B331)&lt;1,A331,A331&amp;" "&amp;B331)</f>
        <v>2014 P</v>
      </c>
      <c r="Y331" s="35" t="e">
        <f>MATCH(X331,[6]WantList!$O$2:$O$2000,0)</f>
        <v>#N/A</v>
      </c>
      <c r="Z331" s="34">
        <f>MATCH(X331,[6]WantListWorkFile!$A$2:$A$244,0)</f>
        <v>234</v>
      </c>
      <c r="AJ331" s="34" t="s">
        <v>781</v>
      </c>
    </row>
    <row r="332" spans="1:36" ht="14.65" customHeight="1">
      <c r="A332" s="40">
        <v>2014</v>
      </c>
      <c r="B332" s="41" t="s">
        <v>12</v>
      </c>
      <c r="C332" s="41" t="s">
        <v>1962</v>
      </c>
      <c r="D332" s="42" t="s">
        <v>782</v>
      </c>
      <c r="E332" s="42" t="s">
        <v>454</v>
      </c>
      <c r="F332" s="42" t="s">
        <v>507</v>
      </c>
      <c r="G332" s="43">
        <v>1.25</v>
      </c>
      <c r="H332" s="43">
        <v>4.95</v>
      </c>
      <c r="I332" s="41">
        <v>1</v>
      </c>
      <c r="J332" s="41"/>
      <c r="K332" s="44" t="s">
        <v>27</v>
      </c>
      <c r="L332" s="44"/>
      <c r="M332" s="42"/>
      <c r="N332" s="42"/>
      <c r="P332" s="35" t="str">
        <f>IF(Nickels!B333&lt;&gt;" ",Nickels!A332&amp;" "&amp;Nickels!B332,Nickels!A332)</f>
        <v>2014 S</v>
      </c>
      <c r="V332" s="34" t="e">
        <f>MATCH(Nickels!$A332,[6]NickelMintage!A:A,0)</f>
        <v>#N/A</v>
      </c>
      <c r="X332" s="46"/>
      <c r="Y332" s="35"/>
    </row>
    <row r="333" spans="1:36" ht="14.65" customHeight="1">
      <c r="A333" s="49">
        <v>2014</v>
      </c>
      <c r="B333" s="50" t="s">
        <v>13</v>
      </c>
      <c r="C333" s="41" t="s">
        <v>1962</v>
      </c>
      <c r="D333" s="51" t="s">
        <v>783</v>
      </c>
      <c r="E333" s="51" t="s">
        <v>454</v>
      </c>
      <c r="F333" s="51" t="s">
        <v>507</v>
      </c>
      <c r="G333" s="52">
        <v>0.4</v>
      </c>
      <c r="H333" s="52">
        <v>0.56999999999999995</v>
      </c>
      <c r="I333" s="50">
        <v>1</v>
      </c>
      <c r="J333" s="50"/>
      <c r="K333" s="53"/>
      <c r="L333" s="53"/>
      <c r="M333" s="51"/>
      <c r="N333" s="51"/>
      <c r="P333" s="35" t="str">
        <f>IF(Nickels!B334&lt;&gt;" ",Nickels!A333&amp;" "&amp;Nickels!B333,Nickels!A333)</f>
        <v>2014 D</v>
      </c>
      <c r="V333" s="34" t="e">
        <f>MATCH(Nickels!$A333,[6]NickelMintage!A:A,0)</f>
        <v>#N/A</v>
      </c>
      <c r="X333" s="46"/>
      <c r="Y333" s="35"/>
    </row>
    <row r="334" spans="1:36" ht="14.65" customHeight="1">
      <c r="A334" s="40">
        <v>2015</v>
      </c>
      <c r="B334" s="41" t="s">
        <v>25</v>
      </c>
      <c r="C334" s="41" t="s">
        <v>1962</v>
      </c>
      <c r="D334" s="42" t="s">
        <v>784</v>
      </c>
      <c r="E334" s="42" t="s">
        <v>454</v>
      </c>
      <c r="F334" s="42" t="s">
        <v>717</v>
      </c>
      <c r="G334" s="43">
        <v>0.05</v>
      </c>
      <c r="H334" s="43">
        <v>0.05</v>
      </c>
      <c r="I334" s="41">
        <v>1</v>
      </c>
      <c r="J334" s="41"/>
      <c r="K334" s="44"/>
      <c r="L334" s="44"/>
      <c r="M334" s="42"/>
      <c r="N334" s="42"/>
      <c r="P334" s="35" t="str">
        <f>IF(Nickels!B335&lt;&gt;" ",Nickels!A334&amp;" "&amp;Nickels!B334,Nickels!A334)</f>
        <v>2015 P</v>
      </c>
      <c r="V334" s="34" t="e">
        <f>MATCH(Nickels!$A334,[6]NickelMintage!A:A,0)</f>
        <v>#N/A</v>
      </c>
      <c r="X334" s="46" t="str">
        <f>IF(LEN(B334)&lt;1,A334,A334&amp;" "&amp;B334)</f>
        <v>2015 P</v>
      </c>
      <c r="Y334" s="35" t="e">
        <f>MATCH(X334,[6]WantList!$O$2:$O$2000,0)</f>
        <v>#N/A</v>
      </c>
      <c r="Z334" s="34">
        <f>MATCH(X334,[6]WantListWorkFile!$A$2:$A$244,0)</f>
        <v>236</v>
      </c>
      <c r="AJ334" s="34" t="s">
        <v>785</v>
      </c>
    </row>
    <row r="335" spans="1:36" ht="14.65" customHeight="1">
      <c r="A335" s="49">
        <v>2015</v>
      </c>
      <c r="B335" s="50" t="s">
        <v>25</v>
      </c>
      <c r="C335" s="41" t="s">
        <v>1962</v>
      </c>
      <c r="D335" s="51" t="s">
        <v>786</v>
      </c>
      <c r="E335" s="51" t="s">
        <v>454</v>
      </c>
      <c r="F335" s="51" t="s">
        <v>717</v>
      </c>
      <c r="G335" s="52">
        <v>0.05</v>
      </c>
      <c r="H335" s="52">
        <v>0.05</v>
      </c>
      <c r="I335" s="50">
        <v>1</v>
      </c>
      <c r="J335" s="50"/>
      <c r="K335" s="53"/>
      <c r="L335" s="53"/>
      <c r="M335" s="51"/>
      <c r="N335" s="51"/>
      <c r="P335" s="35" t="str">
        <f>IF(Nickels!B336&lt;&gt;" ",Nickels!A335&amp;" "&amp;Nickels!B335,Nickels!A335)</f>
        <v>2015 P</v>
      </c>
      <c r="V335" s="34" t="e">
        <f>MATCH(Nickels!$A335,[6]NickelMintage!A:A,0)</f>
        <v>#N/A</v>
      </c>
      <c r="X335" s="46" t="str">
        <f>IF(LEN(B335)&lt;1,A335,A335&amp;" "&amp;B335)</f>
        <v>2015 P</v>
      </c>
      <c r="Y335" s="35" t="e">
        <f>MATCH(X335,[6]WantList!$O$2:$O$2000,0)</f>
        <v>#N/A</v>
      </c>
      <c r="Z335" s="34">
        <f>MATCH(X335,[6]WantListWorkFile!$A$2:$A$244,0)</f>
        <v>236</v>
      </c>
      <c r="AJ335" s="34" t="s">
        <v>785</v>
      </c>
    </row>
    <row r="336" spans="1:36" ht="14.65" customHeight="1">
      <c r="A336" s="40">
        <v>2015</v>
      </c>
      <c r="B336" s="41" t="s">
        <v>13</v>
      </c>
      <c r="C336" s="41" t="s">
        <v>1962</v>
      </c>
      <c r="D336" s="42" t="s">
        <v>787</v>
      </c>
      <c r="E336" s="42" t="s">
        <v>454</v>
      </c>
      <c r="F336" s="42" t="s">
        <v>717</v>
      </c>
      <c r="G336" s="43">
        <v>0.05</v>
      </c>
      <c r="H336" s="43">
        <v>0.05</v>
      </c>
      <c r="I336" s="41">
        <v>1</v>
      </c>
      <c r="J336" s="41"/>
      <c r="K336" s="44"/>
      <c r="L336" s="44"/>
      <c r="M336" s="42"/>
      <c r="N336" s="42"/>
      <c r="P336" s="35" t="str">
        <f>IF(Nickels!B337&lt;&gt;" ",Nickels!A336&amp;" "&amp;Nickels!B336,Nickels!A336)</f>
        <v>2015 D</v>
      </c>
      <c r="V336" s="34" t="e">
        <f>MATCH(Nickels!$A336,[6]NickelMintage!A:A,0)</f>
        <v>#N/A</v>
      </c>
      <c r="X336" s="46" t="str">
        <f>IF(LEN(B336)&lt;1,A336,A336&amp;" "&amp;B336)</f>
        <v>2015 D</v>
      </c>
      <c r="Y336" s="35" t="e">
        <f>MATCH(X336,[6]WantList!$O$2:$O$2000,0)</f>
        <v>#N/A</v>
      </c>
      <c r="Z336" s="34">
        <f>MATCH(X336,[6]WantListWorkFile!$A$2:$A$244,0)</f>
        <v>237</v>
      </c>
      <c r="AJ336" s="34" t="s">
        <v>271</v>
      </c>
    </row>
    <row r="337" spans="1:36" ht="14.65" customHeight="1">
      <c r="A337" s="49">
        <v>2015</v>
      </c>
      <c r="B337" s="50" t="s">
        <v>25</v>
      </c>
      <c r="C337" s="41" t="s">
        <v>1962</v>
      </c>
      <c r="D337" s="51" t="s">
        <v>788</v>
      </c>
      <c r="E337" s="51" t="s">
        <v>454</v>
      </c>
      <c r="F337" s="51" t="s">
        <v>717</v>
      </c>
      <c r="G337" s="52">
        <v>0.05</v>
      </c>
      <c r="H337" s="52">
        <v>0.05</v>
      </c>
      <c r="I337" s="50">
        <v>1</v>
      </c>
      <c r="J337" s="50"/>
      <c r="K337" s="53"/>
      <c r="L337" s="53"/>
      <c r="M337" s="51"/>
      <c r="N337" s="51"/>
      <c r="P337" s="35" t="str">
        <f>IF(Nickels!B338&lt;&gt;" ",Nickels!A337&amp;" "&amp;Nickels!B337,Nickels!A337)</f>
        <v>2015 P</v>
      </c>
      <c r="V337" s="34" t="e">
        <f>MATCH(Nickels!$A337,[6]NickelMintage!A:A,0)</f>
        <v>#N/A</v>
      </c>
      <c r="X337" s="46" t="str">
        <f>IF(LEN(B337)&lt;1,A337,A337&amp;" "&amp;B337)</f>
        <v>2015 P</v>
      </c>
      <c r="Y337" s="35" t="e">
        <f>MATCH(X337,[6]WantList!$O$2:$O$2000,0)</f>
        <v>#N/A</v>
      </c>
      <c r="Z337" s="34">
        <f>MATCH(X337,[6]WantListWorkFile!$A$2:$A$244,0)</f>
        <v>236</v>
      </c>
      <c r="AJ337" s="34" t="s">
        <v>785</v>
      </c>
    </row>
    <row r="338" spans="1:36" ht="14.65" customHeight="1">
      <c r="A338" s="40">
        <v>2015</v>
      </c>
      <c r="B338" s="41" t="s">
        <v>12</v>
      </c>
      <c r="C338" s="41" t="s">
        <v>1962</v>
      </c>
      <c r="D338" s="42" t="s">
        <v>789</v>
      </c>
      <c r="E338" s="42" t="s">
        <v>454</v>
      </c>
      <c r="F338" s="42" t="s">
        <v>507</v>
      </c>
      <c r="G338" s="43">
        <v>2.25</v>
      </c>
      <c r="H338" s="43">
        <v>4.95</v>
      </c>
      <c r="I338" s="41">
        <v>1</v>
      </c>
      <c r="J338" s="41"/>
      <c r="K338" s="44" t="s">
        <v>27</v>
      </c>
      <c r="L338" s="44"/>
      <c r="M338" s="42"/>
      <c r="N338" s="42"/>
      <c r="P338" s="35" t="str">
        <f>IF(Nickels!B339&lt;&gt;" ",Nickels!A338&amp;" "&amp;Nickels!B338,Nickels!A338)</f>
        <v>2015 S</v>
      </c>
      <c r="V338" s="34" t="e">
        <f>MATCH(Nickels!$A338,[6]NickelMintage!A:A,0)</f>
        <v>#N/A</v>
      </c>
      <c r="X338" s="46"/>
      <c r="Y338" s="35"/>
    </row>
    <row r="339" spans="1:36" ht="14.65" customHeight="1">
      <c r="A339" s="49">
        <v>2016</v>
      </c>
      <c r="B339" s="50" t="s">
        <v>25</v>
      </c>
      <c r="C339" s="41" t="s">
        <v>1962</v>
      </c>
      <c r="D339" s="51" t="s">
        <v>790</v>
      </c>
      <c r="E339" s="51" t="s">
        <v>454</v>
      </c>
      <c r="F339" s="51" t="s">
        <v>717</v>
      </c>
      <c r="G339" s="52">
        <v>0.05</v>
      </c>
      <c r="H339" s="52">
        <v>0.05</v>
      </c>
      <c r="I339" s="50">
        <v>1</v>
      </c>
      <c r="J339" s="50"/>
      <c r="K339" s="53"/>
      <c r="L339" s="53"/>
      <c r="M339" s="51"/>
      <c r="N339" s="51"/>
      <c r="P339" s="35" t="str">
        <f>IF(Nickels!B340&lt;&gt;" ",Nickels!A339&amp;" "&amp;Nickels!B339,Nickels!A339)</f>
        <v>2016 P</v>
      </c>
      <c r="V339" s="34" t="e">
        <f>MATCH(Nickels!$A339,[6]NickelMintage!A:A,0)</f>
        <v>#N/A</v>
      </c>
      <c r="X339" s="46" t="str">
        <f>IF(LEN(B339)&lt;1,A339,A339&amp;" "&amp;B339)</f>
        <v>2016 P</v>
      </c>
      <c r="Y339" s="35" t="e">
        <f>MATCH(X339,[6]WantList!$O$2:$O$2000,0)</f>
        <v>#N/A</v>
      </c>
      <c r="Z339" s="34">
        <f>MATCH(X339,[6]WantListWorkFile!$A$2:$A$244,0)</f>
        <v>238</v>
      </c>
      <c r="AJ339" s="34" t="s">
        <v>791</v>
      </c>
    </row>
    <row r="340" spans="1:36" ht="14.65" customHeight="1">
      <c r="A340" s="40">
        <v>2016</v>
      </c>
      <c r="B340" s="41" t="s">
        <v>25</v>
      </c>
      <c r="C340" s="41" t="s">
        <v>1962</v>
      </c>
      <c r="D340" s="42" t="s">
        <v>792</v>
      </c>
      <c r="E340" s="42" t="s">
        <v>454</v>
      </c>
      <c r="F340" s="42" t="s">
        <v>717</v>
      </c>
      <c r="G340" s="43">
        <v>0.05</v>
      </c>
      <c r="H340" s="43">
        <v>0.05</v>
      </c>
      <c r="I340" s="41">
        <v>1</v>
      </c>
      <c r="J340" s="41"/>
      <c r="K340" s="44"/>
      <c r="L340" s="44"/>
      <c r="M340" s="42"/>
      <c r="N340" s="42"/>
      <c r="P340" s="35" t="str">
        <f>IF(Nickels!B341&lt;&gt;" ",Nickels!A340&amp;" "&amp;Nickels!B340,Nickels!A340)</f>
        <v>2016 P</v>
      </c>
      <c r="V340" s="34" t="e">
        <f>MATCH(Nickels!$A340,[6]NickelMintage!A:A,0)</f>
        <v>#N/A</v>
      </c>
      <c r="X340" s="46" t="str">
        <f>IF(LEN(B340)&lt;1,A340,A340&amp;" "&amp;B340)</f>
        <v>2016 P</v>
      </c>
      <c r="Y340" s="35" t="e">
        <f>MATCH(X340,[6]WantList!$O$2:$O$2000,0)</f>
        <v>#N/A</v>
      </c>
      <c r="Z340" s="34">
        <f>MATCH(X340,[6]WantListWorkFile!$A$2:$A$244,0)</f>
        <v>238</v>
      </c>
      <c r="AJ340" s="34" t="s">
        <v>791</v>
      </c>
    </row>
    <row r="341" spans="1:36" ht="14.65" customHeight="1">
      <c r="A341" s="49">
        <v>2016</v>
      </c>
      <c r="B341" s="50" t="s">
        <v>25</v>
      </c>
      <c r="C341" s="41" t="s">
        <v>1962</v>
      </c>
      <c r="D341" s="51" t="s">
        <v>793</v>
      </c>
      <c r="E341" s="51" t="s">
        <v>454</v>
      </c>
      <c r="F341" s="51" t="s">
        <v>717</v>
      </c>
      <c r="G341" s="52">
        <v>0.05</v>
      </c>
      <c r="H341" s="52">
        <v>0.05</v>
      </c>
      <c r="I341" s="50">
        <v>1</v>
      </c>
      <c r="J341" s="50"/>
      <c r="K341" s="53"/>
      <c r="L341" s="53"/>
      <c r="M341" s="51"/>
      <c r="N341" s="51"/>
      <c r="P341" s="35" t="str">
        <f>IF(Nickels!B342&lt;&gt;" ",Nickels!A341&amp;" "&amp;Nickels!B341,Nickels!A341)</f>
        <v>2016 P</v>
      </c>
      <c r="V341" s="34" t="e">
        <f>MATCH(Nickels!$A341,[6]NickelMintage!A:A,0)</f>
        <v>#N/A</v>
      </c>
      <c r="X341" s="46" t="str">
        <f>IF(LEN(B341)&lt;1,A341,A341&amp;" "&amp;B341)</f>
        <v>2016 P</v>
      </c>
      <c r="Y341" s="35" t="e">
        <f>MATCH(X341,[6]WantList!$O$2:$O$2000,0)</f>
        <v>#N/A</v>
      </c>
      <c r="Z341" s="34">
        <f>MATCH(X341,[6]WantListWorkFile!$A$2:$A$244,0)</f>
        <v>238</v>
      </c>
      <c r="AJ341" s="34" t="s">
        <v>791</v>
      </c>
    </row>
    <row r="342" spans="1:36" ht="14.65" customHeight="1">
      <c r="A342" s="40">
        <v>2016</v>
      </c>
      <c r="B342" s="41" t="s">
        <v>25</v>
      </c>
      <c r="C342" s="41" t="s">
        <v>1962</v>
      </c>
      <c r="D342" s="42" t="s">
        <v>794</v>
      </c>
      <c r="E342" s="42" t="s">
        <v>454</v>
      </c>
      <c r="F342" s="42" t="s">
        <v>717</v>
      </c>
      <c r="G342" s="43">
        <v>0.05</v>
      </c>
      <c r="H342" s="43">
        <v>0.05</v>
      </c>
      <c r="I342" s="41">
        <v>1</v>
      </c>
      <c r="J342" s="41"/>
      <c r="K342" s="44"/>
      <c r="L342" s="44"/>
      <c r="M342" s="42"/>
      <c r="N342" s="42"/>
      <c r="P342" s="35" t="str">
        <f>IF(Nickels!B343&lt;&gt;" ",Nickels!A342&amp;" "&amp;Nickels!B342,Nickels!A342)</f>
        <v>2016 P</v>
      </c>
      <c r="V342" s="34" t="e">
        <f>MATCH(Nickels!$A342,[6]NickelMintage!A:A,0)</f>
        <v>#N/A</v>
      </c>
      <c r="X342" s="46" t="str">
        <f>IF(LEN(B342)&lt;1,A342,A342&amp;" "&amp;B342)</f>
        <v>2016 P</v>
      </c>
      <c r="Y342" s="35" t="e">
        <f>MATCH(X342,[6]WantList!$O$2:$O$2000,0)</f>
        <v>#N/A</v>
      </c>
      <c r="Z342" s="34">
        <f>MATCH(X342,[6]WantListWorkFile!$A$2:$A$244,0)</f>
        <v>238</v>
      </c>
      <c r="AJ342" s="34" t="s">
        <v>791</v>
      </c>
    </row>
    <row r="343" spans="1:36" ht="14.65" customHeight="1">
      <c r="A343" s="49">
        <v>2016</v>
      </c>
      <c r="B343" s="50" t="s">
        <v>25</v>
      </c>
      <c r="C343" s="41" t="s">
        <v>1962</v>
      </c>
      <c r="D343" s="51" t="s">
        <v>795</v>
      </c>
      <c r="E343" s="51" t="s">
        <v>454</v>
      </c>
      <c r="F343" s="51" t="s">
        <v>507</v>
      </c>
      <c r="G343" s="52">
        <v>0.05</v>
      </c>
      <c r="H343" s="52">
        <v>0.05</v>
      </c>
      <c r="I343" s="50">
        <v>1</v>
      </c>
      <c r="J343" s="50"/>
      <c r="K343" s="53"/>
      <c r="L343" s="53"/>
      <c r="M343" s="51"/>
      <c r="N343" s="51"/>
      <c r="P343" s="35" t="str">
        <f>IF(Nickels!B344&lt;&gt;" ",Nickels!A343&amp;" "&amp;Nickels!B343,Nickels!A343)</f>
        <v>2016 P</v>
      </c>
      <c r="V343" s="34" t="e">
        <f>MATCH(Nickels!$A343,[6]NickelMintage!A:A,0)</f>
        <v>#N/A</v>
      </c>
      <c r="X343" s="46" t="str">
        <f>IF(LEN(B343)&lt;1,A343,A343&amp;" "&amp;B343)</f>
        <v>2016 P</v>
      </c>
      <c r="Y343" s="35" t="e">
        <f>MATCH(X343,[6]WantList!$O$2:$O$2000,0)</f>
        <v>#N/A</v>
      </c>
      <c r="Z343" s="34">
        <f>MATCH(X343,[6]WantListWorkFile!$A$2:$A$244,0)</f>
        <v>238</v>
      </c>
      <c r="AJ343" s="34" t="s">
        <v>791</v>
      </c>
    </row>
    <row r="344" spans="1:36" ht="14.65" customHeight="1">
      <c r="A344" s="40">
        <v>2016</v>
      </c>
      <c r="B344" s="41" t="s">
        <v>13</v>
      </c>
      <c r="C344" s="41" t="s">
        <v>1962</v>
      </c>
      <c r="D344" s="42" t="s">
        <v>796</v>
      </c>
      <c r="E344" s="42" t="s">
        <v>454</v>
      </c>
      <c r="F344" s="42" t="s">
        <v>507</v>
      </c>
      <c r="G344" s="43">
        <v>0.5</v>
      </c>
      <c r="H344" s="43">
        <v>0.56999999999999995</v>
      </c>
      <c r="I344" s="41">
        <v>1</v>
      </c>
      <c r="J344" s="41"/>
      <c r="K344" s="44"/>
      <c r="L344" s="44"/>
      <c r="M344" s="42"/>
      <c r="N344" s="42"/>
      <c r="P344" s="35" t="str">
        <f>IF(Nickels!B345&lt;&gt;" ",Nickels!A344&amp;" "&amp;Nickels!B344,Nickels!A344)</f>
        <v>2016 D</v>
      </c>
      <c r="V344" s="34" t="e">
        <f>MATCH(Nickels!$A344,[6]NickelMintage!A:A,0)</f>
        <v>#N/A</v>
      </c>
      <c r="X344" s="46"/>
      <c r="Y344" s="35"/>
    </row>
    <row r="345" spans="1:36" ht="14.65" customHeight="1">
      <c r="A345" s="49">
        <v>2016</v>
      </c>
      <c r="B345" s="50" t="s">
        <v>12</v>
      </c>
      <c r="C345" s="41" t="s">
        <v>1962</v>
      </c>
      <c r="D345" s="51" t="s">
        <v>797</v>
      </c>
      <c r="E345" s="51" t="s">
        <v>454</v>
      </c>
      <c r="F345" s="51" t="s">
        <v>507</v>
      </c>
      <c r="G345" s="52">
        <v>2</v>
      </c>
      <c r="H345" s="52">
        <v>4.95</v>
      </c>
      <c r="I345" s="50">
        <v>1</v>
      </c>
      <c r="J345" s="50"/>
      <c r="K345" s="53" t="s">
        <v>27</v>
      </c>
      <c r="L345" s="53"/>
      <c r="M345" s="51"/>
      <c r="N345" s="51"/>
      <c r="P345" s="35" t="str">
        <f>IF(Nickels!B346&lt;&gt;" ",Nickels!A345&amp;" "&amp;Nickels!B345,Nickels!A345)</f>
        <v>2016 S</v>
      </c>
      <c r="V345" s="34" t="e">
        <f>MATCH(Nickels!$A345,[6]NickelMintage!A:A,0)</f>
        <v>#N/A</v>
      </c>
      <c r="X345" s="46"/>
      <c r="Y345" s="35"/>
    </row>
    <row r="346" spans="1:36" ht="14.65" customHeight="1">
      <c r="A346" s="40">
        <v>2017</v>
      </c>
      <c r="B346" s="41" t="s">
        <v>25</v>
      </c>
      <c r="C346" s="41" t="s">
        <v>1962</v>
      </c>
      <c r="D346" s="42" t="s">
        <v>798</v>
      </c>
      <c r="E346" s="42" t="s">
        <v>454</v>
      </c>
      <c r="F346" s="42" t="s">
        <v>717</v>
      </c>
      <c r="G346" s="43">
        <v>0.05</v>
      </c>
      <c r="H346" s="43">
        <v>0.05</v>
      </c>
      <c r="I346" s="41">
        <v>1</v>
      </c>
      <c r="J346" s="41"/>
      <c r="K346" s="44"/>
      <c r="L346" s="44"/>
      <c r="M346" s="42"/>
      <c r="N346" s="42"/>
      <c r="P346" s="35" t="str">
        <f>IF(Nickels!B347&lt;&gt;" ",Nickels!A346&amp;" "&amp;Nickels!B346,Nickels!A346)</f>
        <v>2017 P</v>
      </c>
      <c r="V346" s="34" t="e">
        <f>MATCH(Nickels!$A346,[6]NickelMintage!A:A,0)</f>
        <v>#N/A</v>
      </c>
      <c r="X346" s="46" t="str">
        <f>IF(LEN(B346)&lt;1,A346,A346&amp;" "&amp;B346)</f>
        <v>2017 P</v>
      </c>
      <c r="Y346" s="35" t="e">
        <f>MATCH(X346,[6]WantList!$O$2:$O$2000,0)</f>
        <v>#N/A</v>
      </c>
      <c r="Z346" s="34">
        <f>MATCH(X346,[6]WantListWorkFile!$A$2:$A$244,0)</f>
        <v>240</v>
      </c>
      <c r="AJ346" s="34" t="s">
        <v>799</v>
      </c>
    </row>
    <row r="347" spans="1:36" ht="14.65" customHeight="1">
      <c r="A347" s="49">
        <v>2017</v>
      </c>
      <c r="B347" s="50" t="s">
        <v>25</v>
      </c>
      <c r="C347" s="41" t="s">
        <v>1962</v>
      </c>
      <c r="D347" s="51" t="s">
        <v>800</v>
      </c>
      <c r="E347" s="51" t="s">
        <v>454</v>
      </c>
      <c r="F347" s="51" t="s">
        <v>507</v>
      </c>
      <c r="G347" s="52">
        <v>0.05</v>
      </c>
      <c r="H347" s="52">
        <v>0.05</v>
      </c>
      <c r="I347" s="50">
        <v>1</v>
      </c>
      <c r="J347" s="50"/>
      <c r="K347" s="53"/>
      <c r="L347" s="53"/>
      <c r="M347" s="51"/>
      <c r="N347" s="51"/>
      <c r="P347" s="35" t="str">
        <f>IF(Nickels!B348&lt;&gt;" ",Nickels!A347&amp;" "&amp;Nickels!B347,Nickels!A347)</f>
        <v>2017 P</v>
      </c>
      <c r="V347" s="34" t="e">
        <f>MATCH(Nickels!$A347,[6]NickelMintage!A:A,0)</f>
        <v>#N/A</v>
      </c>
      <c r="X347" s="46" t="str">
        <f>IF(LEN(B347)&lt;1,A347,A347&amp;" "&amp;B347)</f>
        <v>2017 P</v>
      </c>
      <c r="Y347" s="35" t="e">
        <f>MATCH(X347,[6]WantList!$O$2:$O$2000,0)</f>
        <v>#N/A</v>
      </c>
      <c r="Z347" s="34">
        <f>MATCH(X347,[6]WantListWorkFile!$A$2:$A$244,0)</f>
        <v>240</v>
      </c>
      <c r="AJ347" s="34" t="s">
        <v>799</v>
      </c>
    </row>
    <row r="348" spans="1:36" ht="14.65" customHeight="1">
      <c r="A348" s="40">
        <v>2017</v>
      </c>
      <c r="B348" s="41" t="s">
        <v>13</v>
      </c>
      <c r="C348" s="41" t="s">
        <v>1962</v>
      </c>
      <c r="D348" s="42" t="s">
        <v>801</v>
      </c>
      <c r="E348" s="42" t="s">
        <v>454</v>
      </c>
      <c r="F348" s="42" t="s">
        <v>507</v>
      </c>
      <c r="G348" s="43">
        <v>0.25</v>
      </c>
      <c r="H348" s="43">
        <v>0.56999999999999995</v>
      </c>
      <c r="I348" s="41">
        <v>1</v>
      </c>
      <c r="J348" s="41"/>
      <c r="K348" s="44"/>
      <c r="L348" s="44"/>
      <c r="M348" s="42"/>
      <c r="N348" s="42"/>
      <c r="P348" s="35" t="str">
        <f>IF(Nickels!B349&lt;&gt;" ",Nickels!A348&amp;" "&amp;Nickels!B348,Nickels!A348)</f>
        <v>2017 D</v>
      </c>
      <c r="V348" s="34" t="e">
        <f>MATCH(Nickels!$A348,[6]NickelMintage!A:A,0)</f>
        <v>#N/A</v>
      </c>
      <c r="X348" s="46"/>
      <c r="Y348" s="35"/>
    </row>
    <row r="349" spans="1:36" ht="14.65" customHeight="1">
      <c r="A349" s="49">
        <v>2017</v>
      </c>
      <c r="B349" s="50" t="s">
        <v>12</v>
      </c>
      <c r="C349" s="41" t="s">
        <v>1962</v>
      </c>
      <c r="D349" s="51" t="s">
        <v>802</v>
      </c>
      <c r="E349" s="51" t="s">
        <v>454</v>
      </c>
      <c r="F349" s="51" t="s">
        <v>507</v>
      </c>
      <c r="G349" s="52">
        <v>2.5</v>
      </c>
      <c r="H349" s="52">
        <v>4.95</v>
      </c>
      <c r="I349" s="50">
        <v>1</v>
      </c>
      <c r="J349" s="50"/>
      <c r="K349" s="53" t="s">
        <v>27</v>
      </c>
      <c r="L349" s="53"/>
      <c r="M349" s="51"/>
      <c r="N349" s="51"/>
      <c r="P349" s="35" t="str">
        <f>IF(Nickels!B350&lt;&gt;" ",Nickels!A349&amp;" "&amp;Nickels!B349,Nickels!A349)</f>
        <v>2017 S</v>
      </c>
      <c r="V349" s="34" t="e">
        <f>MATCH(Nickels!$A349,[6]NickelMintage!A:A,0)</f>
        <v>#N/A</v>
      </c>
      <c r="X349" s="46"/>
      <c r="Y349" s="35"/>
    </row>
    <row r="350" spans="1:36" ht="14.65" customHeight="1">
      <c r="A350" s="40">
        <v>2018</v>
      </c>
      <c r="B350" s="41" t="s">
        <v>25</v>
      </c>
      <c r="C350" s="41" t="s">
        <v>1962</v>
      </c>
      <c r="D350" s="42" t="s">
        <v>803</v>
      </c>
      <c r="E350" s="42" t="s">
        <v>454</v>
      </c>
      <c r="F350" s="42" t="s">
        <v>507</v>
      </c>
      <c r="G350" s="43">
        <v>0.05</v>
      </c>
      <c r="H350" s="43">
        <v>0.05</v>
      </c>
      <c r="I350" s="41">
        <v>1</v>
      </c>
      <c r="J350" s="41"/>
      <c r="K350" s="44"/>
      <c r="L350" s="44"/>
      <c r="M350" s="42"/>
      <c r="N350" s="42"/>
      <c r="P350" s="35" t="str">
        <f>IF(Nickels!B351&lt;&gt;" ",Nickels!A350&amp;" "&amp;Nickels!B350,Nickels!A350)</f>
        <v>2018 P</v>
      </c>
      <c r="V350" s="34" t="e">
        <f>MATCH(Nickels!$A350,[6]NickelMintage!A:A,0)</f>
        <v>#N/A</v>
      </c>
      <c r="X350" s="46" t="str">
        <f>IF(LEN(B350)&lt;1,A350,A350&amp;" "&amp;B350)</f>
        <v>2018 P</v>
      </c>
      <c r="Y350" s="35" t="e">
        <f>MATCH(X350,[6]WantList!$O$2:$O$2000,0)</f>
        <v>#N/A</v>
      </c>
      <c r="Z350" s="34">
        <f>MATCH(X350,[6]WantListWorkFile!$A$2:$A$244,0)</f>
        <v>242</v>
      </c>
      <c r="AJ350" s="34" t="s">
        <v>804</v>
      </c>
    </row>
    <row r="351" spans="1:36" ht="14.65" customHeight="1">
      <c r="A351" s="49">
        <v>2018</v>
      </c>
      <c r="B351" s="50" t="s">
        <v>25</v>
      </c>
      <c r="C351" s="41" t="s">
        <v>1962</v>
      </c>
      <c r="D351" s="51" t="s">
        <v>805</v>
      </c>
      <c r="E351" s="51" t="s">
        <v>454</v>
      </c>
      <c r="F351" s="51" t="s">
        <v>717</v>
      </c>
      <c r="G351" s="52">
        <v>0.05</v>
      </c>
      <c r="H351" s="52">
        <v>0.05</v>
      </c>
      <c r="I351" s="50">
        <v>1</v>
      </c>
      <c r="J351" s="50"/>
      <c r="K351" s="53"/>
      <c r="L351" s="53"/>
      <c r="M351" s="51"/>
      <c r="N351" s="51"/>
      <c r="P351" s="35" t="str">
        <f>IF(Nickels!B352&lt;&gt;" ",Nickels!A351&amp;" "&amp;Nickels!B351,Nickels!A351)</f>
        <v>2018 P</v>
      </c>
      <c r="V351" s="34" t="e">
        <f>MATCH(Nickels!$A351,[6]NickelMintage!A:A,0)</f>
        <v>#N/A</v>
      </c>
      <c r="X351" s="46" t="str">
        <f>IF(LEN(B351)&lt;1,A351,A351&amp;" "&amp;B351)</f>
        <v>2018 P</v>
      </c>
      <c r="Y351" s="35" t="e">
        <f>MATCH(X351,[6]WantList!$O$2:$O$2000,0)</f>
        <v>#N/A</v>
      </c>
      <c r="Z351" s="34">
        <f>MATCH(X351,[6]WantListWorkFile!$A$2:$A$244,0)</f>
        <v>242</v>
      </c>
      <c r="AJ351" s="34" t="s">
        <v>804</v>
      </c>
    </row>
    <row r="352" spans="1:36" ht="14.65" customHeight="1">
      <c r="A352" s="40">
        <v>2018</v>
      </c>
      <c r="B352" s="41" t="s">
        <v>25</v>
      </c>
      <c r="C352" s="41" t="s">
        <v>1962</v>
      </c>
      <c r="D352" s="42" t="s">
        <v>806</v>
      </c>
      <c r="E352" s="42" t="s">
        <v>454</v>
      </c>
      <c r="F352" s="42" t="s">
        <v>507</v>
      </c>
      <c r="G352" s="43">
        <v>0.05</v>
      </c>
      <c r="H352" s="43">
        <v>0.05</v>
      </c>
      <c r="I352" s="41">
        <v>1</v>
      </c>
      <c r="J352" s="41"/>
      <c r="K352" s="44"/>
      <c r="L352" s="44"/>
      <c r="M352" s="42"/>
      <c r="N352" s="42"/>
      <c r="P352" s="35" t="str">
        <f>IF(Nickels!B353&lt;&gt;" ",Nickels!A352&amp;" "&amp;Nickels!B352,Nickels!A352)</f>
        <v>2018 P</v>
      </c>
      <c r="V352" s="34" t="e">
        <f>MATCH(Nickels!$A352,[6]NickelMintage!A:A,0)</f>
        <v>#N/A</v>
      </c>
      <c r="X352" s="46" t="str">
        <f>IF(LEN(B352)&lt;1,A352,A352&amp;" "&amp;B352)</f>
        <v>2018 P</v>
      </c>
      <c r="Y352" s="35" t="e">
        <f>MATCH(X352,[6]WantList!$O$2:$O$2000,0)</f>
        <v>#N/A</v>
      </c>
      <c r="Z352" s="34">
        <f>MATCH(X352,[6]WantListWorkFile!$A$2:$A$244,0)</f>
        <v>242</v>
      </c>
      <c r="AJ352" s="34" t="s">
        <v>804</v>
      </c>
    </row>
    <row r="353" spans="1:36" ht="14.65" customHeight="1">
      <c r="A353" s="49">
        <v>2018</v>
      </c>
      <c r="B353" s="50" t="s">
        <v>13</v>
      </c>
      <c r="C353" s="41" t="s">
        <v>1962</v>
      </c>
      <c r="D353" s="51" t="s">
        <v>807</v>
      </c>
      <c r="E353" s="51" t="s">
        <v>454</v>
      </c>
      <c r="F353" s="51" t="s">
        <v>507</v>
      </c>
      <c r="G353" s="52">
        <v>0.3</v>
      </c>
      <c r="H353" s="52">
        <v>0.56999999999999995</v>
      </c>
      <c r="I353" s="50">
        <v>1</v>
      </c>
      <c r="J353" s="50"/>
      <c r="K353" s="53"/>
      <c r="L353" s="53"/>
      <c r="M353" s="51"/>
      <c r="N353" s="51"/>
      <c r="P353" s="35" t="str">
        <f>IF(Nickels!B354&lt;&gt;" ",Nickels!A353&amp;" "&amp;Nickels!B353,Nickels!A353)</f>
        <v>2018 D</v>
      </c>
      <c r="V353" s="34" t="e">
        <f>MATCH(Nickels!$A353,[6]NickelMintage!A:A,0)</f>
        <v>#N/A</v>
      </c>
      <c r="X353" s="46"/>
      <c r="Y353" s="35"/>
    </row>
    <row r="354" spans="1:36" ht="14.65" customHeight="1">
      <c r="A354" s="40">
        <v>2018</v>
      </c>
      <c r="B354" s="41" t="s">
        <v>12</v>
      </c>
      <c r="C354" s="41" t="s">
        <v>1962</v>
      </c>
      <c r="D354" s="42" t="s">
        <v>808</v>
      </c>
      <c r="E354" s="42" t="s">
        <v>454</v>
      </c>
      <c r="F354" s="42" t="s">
        <v>507</v>
      </c>
      <c r="G354" s="43">
        <v>2.5</v>
      </c>
      <c r="H354" s="43">
        <v>4.95</v>
      </c>
      <c r="I354" s="41">
        <v>1</v>
      </c>
      <c r="J354" s="41"/>
      <c r="K354" s="44" t="s">
        <v>27</v>
      </c>
      <c r="L354" s="44"/>
      <c r="M354" s="42"/>
      <c r="N354" s="42"/>
      <c r="P354" s="35" t="str">
        <f>IF(Nickels!B355&lt;&gt;" ",Nickels!A354&amp;" "&amp;Nickels!B354,Nickels!A354)</f>
        <v>2018 S</v>
      </c>
      <c r="V354" s="34" t="e">
        <f>MATCH(Nickels!$A354,[6]NickelMintage!A:A,0)</f>
        <v>#N/A</v>
      </c>
      <c r="X354" s="46"/>
      <c r="Y354" s="35"/>
    </row>
    <row r="355" spans="1:36" ht="14.65" customHeight="1">
      <c r="A355" s="49">
        <v>2019</v>
      </c>
      <c r="B355" s="50" t="s">
        <v>25</v>
      </c>
      <c r="C355" s="41" t="s">
        <v>1962</v>
      </c>
      <c r="D355" s="51" t="s">
        <v>809</v>
      </c>
      <c r="E355" s="51" t="s">
        <v>454</v>
      </c>
      <c r="F355" s="51" t="s">
        <v>507</v>
      </c>
      <c r="G355" s="52">
        <v>0.05</v>
      </c>
      <c r="H355" s="52">
        <v>0.06</v>
      </c>
      <c r="I355" s="50">
        <v>1</v>
      </c>
      <c r="J355" s="50"/>
      <c r="K355" s="53"/>
      <c r="L355" s="53"/>
      <c r="M355" s="51"/>
      <c r="N355" s="51"/>
      <c r="P355" s="35" t="str">
        <f>IF(Nickels!B356&lt;&gt;" ",Nickels!A355&amp;" "&amp;Nickels!B355,Nickels!A355)</f>
        <v>2019 P</v>
      </c>
      <c r="V355" s="34" t="e">
        <f>MATCH(Nickels!$A355,[6]NickelMintage!A:A,0)</f>
        <v>#N/A</v>
      </c>
      <c r="X355" s="46" t="str">
        <f>IF(LEN(B355)&lt;1,A355,A355&amp;" "&amp;B355)</f>
        <v>2019 P</v>
      </c>
      <c r="Y355" s="35" t="e">
        <f>MATCH(X355,[6]WantList!$O$2:$O$2000,0)</f>
        <v>#N/A</v>
      </c>
      <c r="Z355" s="34" t="e">
        <f>MATCH(X355,[6]WantListWorkFile!$A$2:$A$244,0)</f>
        <v>#N/A</v>
      </c>
      <c r="AJ355" s="34" t="s">
        <v>810</v>
      </c>
    </row>
    <row r="356" spans="1:36" ht="14.65" customHeight="1">
      <c r="A356" s="40">
        <v>2019</v>
      </c>
      <c r="B356" s="41" t="s">
        <v>25</v>
      </c>
      <c r="C356" s="41" t="s">
        <v>1962</v>
      </c>
      <c r="D356" s="42" t="s">
        <v>811</v>
      </c>
      <c r="E356" s="42" t="s">
        <v>454</v>
      </c>
      <c r="F356" s="42" t="s">
        <v>717</v>
      </c>
      <c r="G356" s="43">
        <v>0.05</v>
      </c>
      <c r="H356" s="43">
        <v>0.05</v>
      </c>
      <c r="I356" s="41">
        <v>1</v>
      </c>
      <c r="J356" s="41"/>
      <c r="K356" s="44"/>
      <c r="L356" s="44"/>
      <c r="M356" s="42"/>
      <c r="N356" s="42"/>
      <c r="P356" s="35" t="str">
        <f>IF(Nickels!B357&lt;&gt;" ",Nickels!A356&amp;" "&amp;Nickels!B356,Nickels!A356)</f>
        <v>2019 P</v>
      </c>
      <c r="V356" s="34" t="e">
        <f>MATCH(Nickels!$A356,[6]NickelMintage!A:A,0)</f>
        <v>#N/A</v>
      </c>
      <c r="X356" s="46" t="str">
        <f>IF(LEN(B356)&lt;1,A356,A356&amp;" "&amp;B356)</f>
        <v>2019 P</v>
      </c>
      <c r="Y356" s="35" t="e">
        <f>MATCH(X356,[6]WantList!$O$2:$O$2000,0)</f>
        <v>#N/A</v>
      </c>
      <c r="Z356" s="34" t="e">
        <f>MATCH(X356,[6]WantListWorkFile!$A$2:$A$244,0)</f>
        <v>#N/A</v>
      </c>
      <c r="AJ356" s="34" t="s">
        <v>810</v>
      </c>
    </row>
    <row r="357" spans="1:36" ht="14.65" customHeight="1">
      <c r="A357" s="49">
        <v>2019</v>
      </c>
      <c r="B357" s="50" t="s">
        <v>12</v>
      </c>
      <c r="C357" s="41" t="s">
        <v>1962</v>
      </c>
      <c r="D357" s="51" t="s">
        <v>812</v>
      </c>
      <c r="E357" s="51" t="s">
        <v>454</v>
      </c>
      <c r="F357" s="51" t="s">
        <v>507</v>
      </c>
      <c r="G357" s="52">
        <v>2.5</v>
      </c>
      <c r="H357" s="52">
        <v>4.95</v>
      </c>
      <c r="I357" s="50">
        <v>1</v>
      </c>
      <c r="J357" s="50"/>
      <c r="K357" s="53" t="s">
        <v>27</v>
      </c>
      <c r="L357" s="53"/>
      <c r="M357" s="51"/>
      <c r="N357" s="51"/>
      <c r="P357" s="35" t="str">
        <f>IF(Nickels!B358&lt;&gt;" ",Nickels!A357&amp;" "&amp;Nickels!B357,Nickels!A357)</f>
        <v>2019 S</v>
      </c>
      <c r="V357" s="34" t="e">
        <f>MATCH(Nickels!$A357,[6]NickelMintage!A:A,0)</f>
        <v>#N/A</v>
      </c>
      <c r="X357" s="46"/>
      <c r="Y357" s="35"/>
    </row>
    <row r="358" spans="1:36" ht="14.65" customHeight="1">
      <c r="A358" s="40">
        <v>2019</v>
      </c>
      <c r="B358" s="41" t="s">
        <v>13</v>
      </c>
      <c r="C358" s="41" t="s">
        <v>1962</v>
      </c>
      <c r="D358" s="42" t="s">
        <v>813</v>
      </c>
      <c r="E358" s="42" t="s">
        <v>454</v>
      </c>
      <c r="F358" s="42" t="s">
        <v>507</v>
      </c>
      <c r="G358" s="43">
        <v>0.4</v>
      </c>
      <c r="H358" s="43">
        <v>0.56999999999999995</v>
      </c>
      <c r="I358" s="41">
        <v>1</v>
      </c>
      <c r="J358" s="41"/>
      <c r="K358" s="44"/>
      <c r="L358" s="44"/>
      <c r="M358" s="42"/>
      <c r="N358" s="42"/>
      <c r="P358" s="35" t="str">
        <f>IF(Nickels!B359&lt;&gt;" ",Nickels!A358&amp;" "&amp;Nickels!B358,Nickels!A358)</f>
        <v>2019 D</v>
      </c>
      <c r="V358" s="34" t="e">
        <f>MATCH(Nickels!$A358,[6]NickelMintage!A:A,0)</f>
        <v>#N/A</v>
      </c>
      <c r="X358" s="46"/>
      <c r="Y358" s="35"/>
    </row>
    <row r="359" spans="1:36" ht="14.65" customHeight="1">
      <c r="A359" s="49">
        <v>2020</v>
      </c>
      <c r="B359" s="50" t="s">
        <v>25</v>
      </c>
      <c r="C359" s="41" t="s">
        <v>1962</v>
      </c>
      <c r="D359" s="51" t="s">
        <v>814</v>
      </c>
      <c r="E359" s="51" t="s">
        <v>454</v>
      </c>
      <c r="F359" s="51" t="s">
        <v>507</v>
      </c>
      <c r="G359" s="52">
        <v>0.05</v>
      </c>
      <c r="H359" s="52">
        <v>0.05</v>
      </c>
      <c r="I359" s="50">
        <v>1</v>
      </c>
      <c r="J359" s="50"/>
      <c r="K359" s="53"/>
      <c r="L359" s="53"/>
      <c r="M359" s="51"/>
      <c r="N359" s="51"/>
      <c r="P359" s="35" t="str">
        <f>IF(Nickels!B360&lt;&gt;" ",Nickels!A359&amp;" "&amp;Nickels!B359,Nickels!A359)</f>
        <v>2020 P</v>
      </c>
      <c r="V359" s="34" t="e">
        <f>MATCH(Nickels!$A359,[6]NickelMintage!A:A,0)</f>
        <v>#N/A</v>
      </c>
      <c r="X359" s="46" t="str">
        <f>IF(LEN(B359)&lt;1,A359,A359&amp;" "&amp;B359)</f>
        <v>2020 P</v>
      </c>
      <c r="Y359" s="35" t="e">
        <f>MATCH(X359,[6]WantList!$O$2:$O$2000,0)</f>
        <v>#N/A</v>
      </c>
      <c r="Z359" s="34" t="e">
        <f>MATCH(X359,[6]WantListWorkFile!$A$2:$A$244,0)</f>
        <v>#N/A</v>
      </c>
      <c r="AJ359" s="34" t="s">
        <v>815</v>
      </c>
    </row>
    <row r="360" spans="1:36" ht="14.65" customHeight="1">
      <c r="A360" s="40">
        <v>2020</v>
      </c>
      <c r="B360" s="41" t="s">
        <v>12</v>
      </c>
      <c r="C360" s="41" t="s">
        <v>1962</v>
      </c>
      <c r="D360" s="42" t="s">
        <v>816</v>
      </c>
      <c r="E360" s="42" t="s">
        <v>454</v>
      </c>
      <c r="F360" s="42" t="s">
        <v>507</v>
      </c>
      <c r="G360" s="43">
        <v>3.5</v>
      </c>
      <c r="H360" s="43">
        <v>4.95</v>
      </c>
      <c r="I360" s="41">
        <v>1</v>
      </c>
      <c r="J360" s="41"/>
      <c r="K360" s="44" t="s">
        <v>27</v>
      </c>
      <c r="L360" s="44"/>
      <c r="M360" s="42"/>
      <c r="N360" s="42"/>
      <c r="P360" s="35" t="str">
        <f>IF(Nickels!B361&lt;&gt;" ",Nickels!A360&amp;" "&amp;Nickels!B360,Nickels!A360)</f>
        <v>2020 S</v>
      </c>
      <c r="V360" s="34" t="e">
        <f>MATCH(Nickels!$A360,[6]NickelMintage!A:A,0)</f>
        <v>#N/A</v>
      </c>
      <c r="X360" s="46"/>
      <c r="Y360" s="35"/>
    </row>
    <row r="361" spans="1:36" ht="14.65" customHeight="1">
      <c r="A361" s="49">
        <v>2020</v>
      </c>
      <c r="B361" s="50" t="s">
        <v>13</v>
      </c>
      <c r="C361" s="41" t="s">
        <v>1962</v>
      </c>
      <c r="D361" s="51" t="s">
        <v>817</v>
      </c>
      <c r="E361" s="51" t="s">
        <v>454</v>
      </c>
      <c r="F361" s="51" t="s">
        <v>507</v>
      </c>
      <c r="G361" s="52">
        <v>0.3</v>
      </c>
      <c r="H361" s="52">
        <v>0.85</v>
      </c>
      <c r="I361" s="50">
        <v>1</v>
      </c>
      <c r="J361" s="50"/>
      <c r="K361" s="53"/>
      <c r="L361" s="53"/>
      <c r="M361" s="51"/>
      <c r="N361" s="51"/>
      <c r="P361" s="35" t="str">
        <f>IF(Nickels!B362&lt;&gt;" ",Nickels!A361&amp;" "&amp;Nickels!B361,Nickels!A361)</f>
        <v>2020 D</v>
      </c>
      <c r="V361" s="34" t="e">
        <f>MATCH(Nickels!$A361,[6]NickelMintage!A:A,0)</f>
        <v>#N/A</v>
      </c>
      <c r="X361" s="46"/>
      <c r="Y361" s="35"/>
    </row>
    <row r="362" spans="1:36" ht="14.65" customHeight="1">
      <c r="A362" s="40">
        <v>2021</v>
      </c>
      <c r="B362" s="41" t="s">
        <v>25</v>
      </c>
      <c r="C362" s="41" t="s">
        <v>1962</v>
      </c>
      <c r="D362" s="42" t="s">
        <v>818</v>
      </c>
      <c r="E362" s="42" t="s">
        <v>454</v>
      </c>
      <c r="F362" s="42" t="s">
        <v>507</v>
      </c>
      <c r="G362" s="43">
        <v>0.05</v>
      </c>
      <c r="H362" s="43">
        <v>0.05</v>
      </c>
      <c r="I362" s="41">
        <v>1</v>
      </c>
      <c r="J362" s="41"/>
      <c r="K362" s="44"/>
      <c r="L362" s="44"/>
      <c r="M362" s="42"/>
      <c r="N362" s="42"/>
      <c r="P362" s="35" t="str">
        <f>IF(Nickels!B363&lt;&gt;" ",Nickels!A362&amp;" "&amp;Nickels!B362,Nickels!A362)</f>
        <v>2021 P</v>
      </c>
      <c r="V362" s="34" t="e">
        <f>MATCH(Nickels!$A362,[6]NickelMintage!A:A,0)</f>
        <v>#N/A</v>
      </c>
      <c r="X362" s="34" t="s">
        <v>819</v>
      </c>
      <c r="Y362" s="35" t="e">
        <f>MATCH(X362,[6]WantList!$O$2:$O$2000,0)</f>
        <v>#N/A</v>
      </c>
      <c r="Z362" s="34" t="e">
        <f>MATCH(X362,[6]WantListWorkFile!$A$2:$A$244,0)</f>
        <v>#N/A</v>
      </c>
      <c r="AJ362" s="34" t="s">
        <v>53</v>
      </c>
    </row>
    <row r="363" spans="1:36" ht="14.65" customHeight="1">
      <c r="A363" s="49">
        <v>2021</v>
      </c>
      <c r="B363" s="50" t="s">
        <v>13</v>
      </c>
      <c r="C363" s="41" t="s">
        <v>1962</v>
      </c>
      <c r="D363" s="51" t="s">
        <v>820</v>
      </c>
      <c r="E363" s="51" t="s">
        <v>454</v>
      </c>
      <c r="F363" s="51" t="s">
        <v>507</v>
      </c>
      <c r="G363" s="52">
        <v>0.3</v>
      </c>
      <c r="H363" s="52">
        <v>0.35</v>
      </c>
      <c r="I363" s="50">
        <v>1</v>
      </c>
      <c r="J363" s="50"/>
      <c r="K363" s="53"/>
      <c r="L363" s="53"/>
      <c r="M363" s="51"/>
      <c r="N363" s="51"/>
      <c r="P363" s="35" t="str">
        <f>IF(Nickels!B364&lt;&gt;" ",Nickels!A363&amp;" "&amp;Nickels!B363,Nickels!A363)</f>
        <v>2021 D</v>
      </c>
      <c r="V363" s="34" t="e">
        <f>MATCH(Nickels!$A363,[6]NickelMintage!A:A,0)</f>
        <v>#N/A</v>
      </c>
      <c r="AA363" s="34" t="s">
        <v>53</v>
      </c>
    </row>
    <row r="364" spans="1:36" ht="14.65" customHeight="1">
      <c r="A364" s="40">
        <v>2021</v>
      </c>
      <c r="B364" s="41" t="s">
        <v>12</v>
      </c>
      <c r="C364" s="41" t="s">
        <v>1962</v>
      </c>
      <c r="D364" s="42" t="s">
        <v>821</v>
      </c>
      <c r="E364" s="42" t="s">
        <v>454</v>
      </c>
      <c r="F364" s="42" t="s">
        <v>507</v>
      </c>
      <c r="G364" s="43">
        <v>3</v>
      </c>
      <c r="H364" s="43">
        <v>4.95</v>
      </c>
      <c r="I364" s="41">
        <v>1</v>
      </c>
      <c r="J364" s="41"/>
      <c r="K364" s="44" t="s">
        <v>27</v>
      </c>
      <c r="L364" s="44"/>
      <c r="M364" s="42"/>
      <c r="N364" s="42"/>
      <c r="P364" s="35" t="str">
        <f>IF(Nickels!B365&lt;&gt;" ",Nickels!A364&amp;" "&amp;Nickels!B364,Nickels!A364)</f>
        <v>2021 S</v>
      </c>
      <c r="V364" s="34" t="e">
        <f>MATCH(Nickels!$A364,[6]NickelMintage!A:A,0)</f>
        <v>#N/A</v>
      </c>
      <c r="AA364" s="34" t="s">
        <v>53</v>
      </c>
    </row>
    <row r="365" spans="1:36" ht="14.65" customHeight="1">
      <c r="A365" s="40">
        <v>2021</v>
      </c>
      <c r="B365" s="41" t="s">
        <v>25</v>
      </c>
      <c r="C365" s="41" t="s">
        <v>1962</v>
      </c>
      <c r="D365" s="42" t="s">
        <v>822</v>
      </c>
      <c r="E365" s="42" t="s">
        <v>454</v>
      </c>
      <c r="F365" s="42" t="s">
        <v>717</v>
      </c>
      <c r="G365" s="43">
        <v>0.05</v>
      </c>
      <c r="H365" s="43">
        <v>0.05</v>
      </c>
      <c r="I365" s="41">
        <v>1</v>
      </c>
      <c r="J365" s="41"/>
      <c r="K365" s="44"/>
      <c r="L365" s="44"/>
      <c r="M365" s="42"/>
      <c r="N365" s="42"/>
      <c r="P365" s="35" t="str">
        <f>IF(Nickels!B366&lt;&gt;" ",Nickels!A365&amp;" "&amp;Nickels!B365,Nickels!A365)</f>
        <v>2021 P</v>
      </c>
      <c r="V365" s="34" t="e">
        <f>MATCH(Nickels!$A365,[6]NickelMintage!A:A,0)</f>
        <v>#N/A</v>
      </c>
      <c r="AA365" s="34" t="s">
        <v>53</v>
      </c>
    </row>
    <row r="366" spans="1:36" ht="14.65" customHeight="1">
      <c r="A366" s="49">
        <v>2022</v>
      </c>
      <c r="B366" s="50" t="s">
        <v>25</v>
      </c>
      <c r="C366" s="41" t="s">
        <v>1962</v>
      </c>
      <c r="D366" s="51" t="s">
        <v>823</v>
      </c>
      <c r="E366" s="51" t="s">
        <v>454</v>
      </c>
      <c r="F366" s="51" t="s">
        <v>507</v>
      </c>
      <c r="G366" s="52">
        <v>0.3</v>
      </c>
      <c r="H366" s="52">
        <v>2.95</v>
      </c>
      <c r="I366" s="50">
        <v>1</v>
      </c>
      <c r="J366" s="50"/>
      <c r="K366" s="53"/>
      <c r="L366" s="53"/>
      <c r="M366" s="51"/>
      <c r="N366" s="51"/>
      <c r="P366" s="35" t="str">
        <f>IF(Nickels!B367&lt;&gt;" ",Nickels!A366&amp;" "&amp;Nickels!B366,Nickels!A366)</f>
        <v>2022 P</v>
      </c>
      <c r="V366" s="34" t="e">
        <f>MATCH(Nickels!$A366,[6]NickelMintage!A:A,0)</f>
        <v>#N/A</v>
      </c>
      <c r="AA366" s="34" t="s">
        <v>53</v>
      </c>
    </row>
    <row r="367" spans="1:36" ht="14.65" customHeight="1">
      <c r="A367" s="40">
        <v>2022</v>
      </c>
      <c r="B367" s="41" t="s">
        <v>13</v>
      </c>
      <c r="C367" s="41" t="s">
        <v>1962</v>
      </c>
      <c r="D367" s="42" t="s">
        <v>824</v>
      </c>
      <c r="E367" s="42" t="s">
        <v>454</v>
      </c>
      <c r="F367" s="42" t="s">
        <v>507</v>
      </c>
      <c r="G367" s="43">
        <v>0.3</v>
      </c>
      <c r="H367" s="43">
        <v>0.56999999999999995</v>
      </c>
      <c r="I367" s="41">
        <v>1</v>
      </c>
      <c r="J367" s="41"/>
      <c r="K367" s="44"/>
      <c r="L367" s="44"/>
      <c r="M367" s="42"/>
      <c r="N367" s="42"/>
      <c r="P367" s="35" t="str">
        <f>IF(Nickels!B368&lt;&gt;" ",Nickels!A367&amp;" "&amp;Nickels!B367,Nickels!A367)</f>
        <v>2022 D</v>
      </c>
      <c r="V367" s="34" t="e">
        <f>MATCH(Nickels!$A367,[6]NickelMintage!A:A,0)</f>
        <v>#N/A</v>
      </c>
      <c r="AA367" s="34" t="s">
        <v>53</v>
      </c>
    </row>
    <row r="368" spans="1:36" ht="14.65" customHeight="1">
      <c r="A368" s="49">
        <v>2022</v>
      </c>
      <c r="B368" s="50" t="s">
        <v>12</v>
      </c>
      <c r="C368" s="41" t="s">
        <v>1962</v>
      </c>
      <c r="D368" s="51" t="s">
        <v>825</v>
      </c>
      <c r="E368" s="51" t="s">
        <v>454</v>
      </c>
      <c r="F368" s="51" t="s">
        <v>507</v>
      </c>
      <c r="G368" s="52">
        <v>3</v>
      </c>
      <c r="H368" s="52">
        <v>4.95</v>
      </c>
      <c r="I368" s="50">
        <v>1</v>
      </c>
      <c r="J368" s="50"/>
      <c r="K368" s="53" t="s">
        <v>27</v>
      </c>
      <c r="L368" s="53"/>
      <c r="M368" s="51"/>
      <c r="N368" s="51"/>
      <c r="P368" s="35" t="str">
        <f>IF(Nickels!B369&lt;&gt;" ",Nickels!A368&amp;" "&amp;Nickels!B368,Nickels!A368)</f>
        <v>2022 S</v>
      </c>
      <c r="V368" s="34" t="e">
        <f>MATCH(Nickels!$A368,[6]NickelMintage!A:A,0)</f>
        <v>#N/A</v>
      </c>
      <c r="AA368" s="34" t="s">
        <v>53</v>
      </c>
    </row>
    <row r="369" spans="1:27" ht="14.65" customHeight="1">
      <c r="A369" s="40">
        <v>2023</v>
      </c>
      <c r="B369" s="41" t="s">
        <v>25</v>
      </c>
      <c r="C369" s="41" t="s">
        <v>1962</v>
      </c>
      <c r="D369" s="42" t="s">
        <v>826</v>
      </c>
      <c r="E369" s="42" t="s">
        <v>454</v>
      </c>
      <c r="F369" s="42" t="s">
        <v>507</v>
      </c>
      <c r="G369" s="43">
        <v>0.3</v>
      </c>
      <c r="H369" s="43">
        <v>0.56999999999999995</v>
      </c>
      <c r="I369" s="41">
        <v>1</v>
      </c>
      <c r="J369" s="41"/>
      <c r="K369" s="44"/>
      <c r="L369" s="44"/>
      <c r="M369" s="42"/>
      <c r="N369" s="42"/>
      <c r="P369" s="35" t="str">
        <f>IF(Nickels!B370&lt;&gt;" ",Nickels!A369&amp;" "&amp;Nickels!B369,Nickels!A369)</f>
        <v>2023 P</v>
      </c>
      <c r="V369" s="34" t="e">
        <f>MATCH(Nickels!$A369,[6]NickelMintage!A:A,0)</f>
        <v>#N/A</v>
      </c>
      <c r="AA369" s="34" t="s">
        <v>53</v>
      </c>
    </row>
    <row r="370" spans="1:27" ht="14.65" customHeight="1">
      <c r="A370" s="49">
        <v>2023</v>
      </c>
      <c r="B370" s="50" t="s">
        <v>12</v>
      </c>
      <c r="C370" s="41" t="s">
        <v>1962</v>
      </c>
      <c r="D370" s="51" t="s">
        <v>827</v>
      </c>
      <c r="E370" s="51" t="s">
        <v>454</v>
      </c>
      <c r="F370" s="51" t="s">
        <v>507</v>
      </c>
      <c r="G370" s="52">
        <v>3.25</v>
      </c>
      <c r="H370" s="52">
        <v>0.56999999999999995</v>
      </c>
      <c r="I370" s="50">
        <v>1</v>
      </c>
      <c r="J370" s="50"/>
      <c r="K370" s="53" t="s">
        <v>27</v>
      </c>
      <c r="L370" s="53"/>
      <c r="M370" s="51"/>
      <c r="N370" s="51"/>
      <c r="P370" s="35" t="str">
        <f>IF(Nickels!B371&lt;&gt;" ",Nickels!A370&amp;" "&amp;Nickels!B370,Nickels!A370)</f>
        <v>2023 S</v>
      </c>
      <c r="V370" s="34" t="e">
        <f>MATCH(Nickels!$A370,[6]NickelMintage!A:A,0)</f>
        <v>#N/A</v>
      </c>
      <c r="AA370" s="34" t="s">
        <v>53</v>
      </c>
    </row>
    <row r="371" spans="1:27" ht="14.65" customHeight="1">
      <c r="A371" s="40">
        <v>2023</v>
      </c>
      <c r="B371" s="41" t="s">
        <v>25</v>
      </c>
      <c r="C371" s="41" t="s">
        <v>1962</v>
      </c>
      <c r="D371" s="42" t="s">
        <v>828</v>
      </c>
      <c r="E371" s="42" t="s">
        <v>454</v>
      </c>
      <c r="F371" s="42" t="s">
        <v>717</v>
      </c>
      <c r="G371" s="43">
        <v>0.05</v>
      </c>
      <c r="H371" s="43">
        <v>0.05</v>
      </c>
      <c r="I371" s="41">
        <v>1</v>
      </c>
      <c r="J371" s="41"/>
      <c r="K371" s="44"/>
      <c r="L371" s="44"/>
      <c r="M371" s="42"/>
      <c r="N371" s="42"/>
      <c r="P371" s="35"/>
      <c r="AA371" s="34" t="s">
        <v>53</v>
      </c>
    </row>
    <row r="372" spans="1:27" ht="14.65" customHeight="1">
      <c r="A372" s="40">
        <v>2024</v>
      </c>
      <c r="B372" s="41" t="s">
        <v>25</v>
      </c>
      <c r="C372" s="41" t="s">
        <v>1962</v>
      </c>
      <c r="D372" s="42" t="s">
        <v>829</v>
      </c>
      <c r="E372" s="42" t="s">
        <v>454</v>
      </c>
      <c r="F372" s="42" t="s">
        <v>507</v>
      </c>
      <c r="G372" s="43">
        <v>0.3</v>
      </c>
      <c r="H372" s="43">
        <v>0.56999999999999995</v>
      </c>
      <c r="I372" s="41">
        <v>1</v>
      </c>
      <c r="J372" s="41"/>
      <c r="K372" s="44"/>
      <c r="L372" s="44"/>
      <c r="M372" s="42"/>
      <c r="N372" s="42"/>
      <c r="P372" s="35"/>
      <c r="AA372" s="34" t="s">
        <v>53</v>
      </c>
    </row>
    <row r="373" spans="1:27" ht="14.65" customHeight="1">
      <c r="X373" s="34" t="s">
        <v>53</v>
      </c>
    </row>
    <row r="374" spans="1:27" ht="14.65" customHeight="1">
      <c r="X374" s="34" t="s">
        <v>53</v>
      </c>
    </row>
    <row r="375" spans="1:27" ht="14.65" customHeight="1">
      <c r="X375" s="34" t="s">
        <v>53</v>
      </c>
    </row>
    <row r="376" spans="1:27" ht="14.65" customHeight="1">
      <c r="X376" s="34" t="s">
        <v>53</v>
      </c>
    </row>
    <row r="377" spans="1:27" ht="14.65" customHeight="1">
      <c r="X377" s="34" t="s">
        <v>53</v>
      </c>
    </row>
    <row r="378" spans="1:27" ht="14.65" customHeight="1">
      <c r="X378" s="34" t="s">
        <v>53</v>
      </c>
    </row>
    <row r="379" spans="1:27" ht="14.65" customHeight="1">
      <c r="X379" s="34" t="s">
        <v>53</v>
      </c>
    </row>
    <row r="380" spans="1:27" ht="14.65" customHeight="1">
      <c r="X380" s="34" t="s">
        <v>53</v>
      </c>
    </row>
    <row r="381" spans="1:27" ht="14.65" customHeight="1">
      <c r="X381" s="34" t="s">
        <v>53</v>
      </c>
    </row>
    <row r="382" spans="1:27" ht="14.65" customHeight="1">
      <c r="X382" s="34" t="s">
        <v>53</v>
      </c>
    </row>
    <row r="383" spans="1:27" ht="14.65" customHeight="1">
      <c r="X383" s="34" t="s">
        <v>53</v>
      </c>
    </row>
    <row r="384" spans="1:27" ht="14.65" customHeight="1">
      <c r="X384" s="34" t="s">
        <v>53</v>
      </c>
    </row>
  </sheetData>
  <sheetProtection selectLockedCells="1" selectUnlockedCells="1"/>
  <dataValidations count="2">
    <dataValidation type="list" operator="equal" allowBlank="1" showErrorMessage="1" sqref="AB1" xr:uid="{AF44AB53-DCCF-4DCD-A3F1-988B8A0E1A50}">
      <formula1>"SLDLIBBUFJEF"</formula1>
      <formula2>0</formula2>
    </dataValidation>
    <dataValidation type="list" operator="equal" allowBlank="1" showErrorMessage="1" sqref="AE1" xr:uid="{72067919-2C6D-4220-A820-57965F3F1461}">
      <formula1>"NIC-"</formula1>
      <formula2>0</formula2>
    </dataValidation>
  </dataValidations>
  <hyperlinks>
    <hyperlink ref="M2" r:id="rId1" xr:uid="{C9067CC0-CE5C-428C-AB18-FE72E0095FC6}"/>
    <hyperlink ref="N2" r:id="rId2" xr:uid="{0DDC9A8E-2B03-4E42-A315-33B00302D147}"/>
    <hyperlink ref="M3" r:id="rId3" xr:uid="{155998D5-6A0E-4165-A068-0072E78D9856}"/>
    <hyperlink ref="N3" r:id="rId4" xr:uid="{CC759AB4-1B78-490D-A016-A9D34FE6BECF}"/>
    <hyperlink ref="M4" r:id="rId5" xr:uid="{731E213C-E999-40E4-A6F0-2DA0710E3D31}"/>
    <hyperlink ref="N4" r:id="rId6" xr:uid="{F7828262-FA31-4E0B-AAF9-8354ED13471B}"/>
    <hyperlink ref="M5" r:id="rId7" xr:uid="{CB6DED1C-8F5D-49B3-B75B-3CF738586EB4}"/>
    <hyperlink ref="N5" r:id="rId8" xr:uid="{3DBCCAFB-480E-42D8-BB76-6618253A77F3}"/>
    <hyperlink ref="M7" r:id="rId9" xr:uid="{10A47CF3-106C-42D2-8111-14AC8249717A}"/>
    <hyperlink ref="N7" r:id="rId10" xr:uid="{4C18CC2B-ECDB-4784-A09C-F78C55EE22E8}"/>
    <hyperlink ref="M10" r:id="rId11" xr:uid="{0075FB5E-2151-4EA3-AD82-93825BB92203}"/>
    <hyperlink ref="N10" r:id="rId12" xr:uid="{BBE7AF3E-71AD-40E0-A28B-532FE9FBF437}"/>
    <hyperlink ref="M11" r:id="rId13" xr:uid="{A9EB4119-DB59-44D5-9FC3-C09492DD1FD8}"/>
    <hyperlink ref="N11" r:id="rId14" xr:uid="{F798F112-27B6-4E3A-8888-615E56F56A74}"/>
    <hyperlink ref="M12" r:id="rId15" xr:uid="{37A766BA-4B88-46FE-8978-7540F310D67D}"/>
    <hyperlink ref="N12" r:id="rId16" xr:uid="{FEDF2694-A38C-4D16-B07C-C9A08583BBBA}"/>
    <hyperlink ref="M13" r:id="rId17" xr:uid="{0196B78B-4BBA-4003-991D-C97E2EE1526D}"/>
    <hyperlink ref="N13" r:id="rId18" xr:uid="{C5782AAE-6300-41E3-8FB6-A29C4DE85883}"/>
    <hyperlink ref="M14" r:id="rId19" xr:uid="{15ED2745-26B2-48FC-993F-401FDDDEB773}"/>
    <hyperlink ref="N14" r:id="rId20" xr:uid="{27D5DD22-44E9-4756-AA00-031AF7472F5C}"/>
    <hyperlink ref="M16" r:id="rId21" xr:uid="{26DFDEBB-7745-4DFC-9618-4143A77EB196}"/>
    <hyperlink ref="N16" r:id="rId22" xr:uid="{4005E44C-9084-4C30-AA4C-6E883E95F9E8}"/>
    <hyperlink ref="M17" r:id="rId23" xr:uid="{37CE2BA1-67C1-4B60-8755-D96EA69B5154}"/>
    <hyperlink ref="N17" r:id="rId24" xr:uid="{2092132C-089B-4B3E-8172-54493B84EEC6}"/>
    <hyperlink ref="M18" r:id="rId25" xr:uid="{6B4A7C46-F31A-49C5-96AB-717F4ABC84D9}"/>
    <hyperlink ref="N18" r:id="rId26" xr:uid="{971AA6E3-C3A8-4636-9D32-5D74B8B4BCFF}"/>
  </hyperlinks>
  <pageMargins left="0.75" right="0.75" top="1" bottom="1" header="0.51181102362204722" footer="0.51181102362204722"/>
  <pageSetup firstPageNumber="0" orientation="portrait" horizontalDpi="300" verticalDpi="300" r:id="rId27"/>
  <headerFooter alignWithMargins="0"/>
  <drawing r:id="rId28"/>
  <tableParts count="1">
    <tablePart r:id="rId29"/>
  </tableParts>
  <extLst>
    <ext xmlns:x15="http://schemas.microsoft.com/office/spreadsheetml/2010/11/main" uri="{3A4CF648-6AED-40f4-86FF-DC5316D8AED3}">
      <x14:slicerList xmlns:x14="http://schemas.microsoft.com/office/spreadsheetml/2009/9/main">
        <x14:slicer r:id="rId30"/>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FBB66-7EC6-4415-8F80-8173427242B2}">
  <sheetPr codeName="Sheet15">
    <tabColor theme="5" tint="0.79998168889431442"/>
  </sheetPr>
  <dimension ref="A1:K4"/>
  <sheetViews>
    <sheetView workbookViewId="0"/>
  </sheetViews>
  <sheetFormatPr defaultColWidth="9.140625" defaultRowHeight="12.75"/>
  <cols>
    <col min="1" max="1" width="20.5703125" style="34" bestFit="1" customWidth="1"/>
    <col min="2" max="2" width="5" style="35" bestFit="1" customWidth="1"/>
    <col min="3" max="3" width="14.5703125" style="34" bestFit="1" customWidth="1"/>
    <col min="4" max="4" width="19.42578125" style="34" bestFit="1" customWidth="1"/>
    <col min="5" max="5" width="21.85546875" style="34" bestFit="1" customWidth="1"/>
    <col min="6" max="7" width="6.7109375" style="167" bestFit="1" customWidth="1"/>
    <col min="8" max="8" width="4" style="34" bestFit="1" customWidth="1"/>
    <col min="9" max="9" width="12.7109375" style="34" bestFit="1" customWidth="1"/>
    <col min="10" max="10" width="12.140625" style="34" bestFit="1" customWidth="1"/>
    <col min="11" max="11" width="10.85546875" style="34" bestFit="1" customWidth="1"/>
    <col min="12" max="12" width="2" style="34" bestFit="1" customWidth="1"/>
    <col min="13" max="16384" width="9.140625" style="34"/>
  </cols>
  <sheetData>
    <row r="1" spans="1:11">
      <c r="A1" s="61" t="s">
        <v>830</v>
      </c>
      <c r="B1" s="170">
        <v>1901</v>
      </c>
    </row>
    <row r="3" spans="1:11">
      <c r="A3" s="63" t="s">
        <v>0</v>
      </c>
      <c r="B3" s="64" t="s">
        <v>1</v>
      </c>
      <c r="C3" s="64" t="s">
        <v>2</v>
      </c>
      <c r="D3" s="64" t="s">
        <v>286</v>
      </c>
      <c r="E3" s="64" t="s">
        <v>5</v>
      </c>
      <c r="F3" s="168" t="s">
        <v>287</v>
      </c>
      <c r="G3" s="168" t="s">
        <v>7</v>
      </c>
      <c r="H3" s="65" t="s">
        <v>8</v>
      </c>
      <c r="I3" s="66" t="s">
        <v>288</v>
      </c>
      <c r="J3" s="64" t="s">
        <v>289</v>
      </c>
      <c r="K3" s="67" t="s">
        <v>1827</v>
      </c>
    </row>
    <row r="4" spans="1:11">
      <c r="A4" s="34" cm="1">
        <f t="array" ref="A4:K4">_xlfn._xlws.FILTER(Nickels!A:K,Nickels!A:A=B1,"Not Found")</f>
        <v>1901</v>
      </c>
      <c r="B4" s="35">
        <v>0</v>
      </c>
      <c r="C4" s="34" t="str">
        <v>Nickel</v>
      </c>
      <c r="D4" s="34" t="str">
        <v>LIB1901NIC-AA</v>
      </c>
      <c r="E4" s="34" t="str">
        <v xml:space="preserve">LIBERTY   V   NICKEL </v>
      </c>
      <c r="F4" s="167" t="str">
        <v xml:space="preserve">F-12 FINE </v>
      </c>
      <c r="G4" s="167">
        <v>0.5</v>
      </c>
      <c r="H4" s="34">
        <v>0.5</v>
      </c>
      <c r="I4" s="34">
        <v>1</v>
      </c>
      <c r="J4" s="34">
        <v>0</v>
      </c>
      <c r="K4" s="34">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3A1D5-4B75-4A5C-8BC1-715A5BAAC031}">
  <sheetPr codeName="Sheet16">
    <tabColor theme="7" tint="0.79998168889431442"/>
  </sheetPr>
  <dimension ref="A1:AB300"/>
  <sheetViews>
    <sheetView workbookViewId="0"/>
  </sheetViews>
  <sheetFormatPr defaultColWidth="8.85546875" defaultRowHeight="15"/>
  <cols>
    <col min="1" max="1" width="6.28515625" style="73" customWidth="1"/>
    <col min="2" max="2" width="6.42578125" style="76" customWidth="1"/>
    <col min="3" max="3" width="9.85546875" style="73" bestFit="1" customWidth="1"/>
    <col min="4" max="4" width="21.140625" style="73" customWidth="1"/>
    <col min="5" max="5" width="16.85546875" style="73" customWidth="1"/>
    <col min="6" max="6" width="10.7109375" style="77" customWidth="1"/>
    <col min="7" max="7" width="12.7109375" style="77" customWidth="1"/>
    <col min="8" max="13" width="8.85546875" style="73"/>
    <col min="14" max="14" width="9" style="74" customWidth="1"/>
    <col min="15" max="19" width="8.85546875" style="73"/>
    <col min="20" max="20" width="6.28515625" style="76" customWidth="1"/>
    <col min="21" max="21" width="15.7109375" style="73" customWidth="1"/>
    <col min="22" max="22" width="14.7109375" style="73" customWidth="1"/>
    <col min="23" max="23" width="16.28515625" style="73" customWidth="1"/>
    <col min="24" max="16384" width="8.85546875" style="73"/>
  </cols>
  <sheetData>
    <row r="1" spans="1:28">
      <c r="A1" s="71" t="s">
        <v>0</v>
      </c>
      <c r="B1" s="71" t="s">
        <v>1</v>
      </c>
      <c r="C1" s="71" t="s">
        <v>1960</v>
      </c>
      <c r="D1" s="71" t="s">
        <v>2</v>
      </c>
      <c r="E1" s="71" t="s">
        <v>286</v>
      </c>
      <c r="F1" s="71" t="s">
        <v>5</v>
      </c>
      <c r="G1" s="71" t="s">
        <v>6</v>
      </c>
      <c r="H1" s="71" t="s">
        <v>7</v>
      </c>
      <c r="I1" s="71" t="s">
        <v>8</v>
      </c>
      <c r="J1" s="71" t="s">
        <v>1957</v>
      </c>
      <c r="K1" s="71" t="s">
        <v>3</v>
      </c>
      <c r="L1" s="71" t="s">
        <v>1964</v>
      </c>
      <c r="M1" s="71"/>
      <c r="N1" s="72" t="str">
        <f>"Paid "&amp;DOLLAR(SUM(F2:F2082))</f>
        <v>Paid $0.00</v>
      </c>
      <c r="O1" s="71"/>
      <c r="P1" s="73">
        <f>SUM(H2:H299)</f>
        <v>30.110000000000067</v>
      </c>
      <c r="Q1" s="74"/>
      <c r="T1" s="73"/>
      <c r="U1" s="73" t="s">
        <v>983</v>
      </c>
      <c r="V1" s="75">
        <v>2012</v>
      </c>
      <c r="W1" s="76" t="s">
        <v>984</v>
      </c>
    </row>
    <row r="2" spans="1:28">
      <c r="A2" s="74">
        <v>1939</v>
      </c>
      <c r="C2" s="76" t="s">
        <v>1963</v>
      </c>
      <c r="D2" s="73" t="s">
        <v>985</v>
      </c>
      <c r="E2" s="73" t="s">
        <v>986</v>
      </c>
      <c r="F2" s="73" t="s">
        <v>18</v>
      </c>
      <c r="G2" s="77">
        <v>0.1</v>
      </c>
      <c r="H2" s="77">
        <v>0.1</v>
      </c>
      <c r="I2" s="76">
        <v>1</v>
      </c>
      <c r="J2" s="76"/>
      <c r="K2" s="76"/>
      <c r="L2" s="76"/>
      <c r="M2" s="76"/>
      <c r="N2" s="78" t="str">
        <f>"Book = "&amp;DOLLAR(SUM(G2:G2082))</f>
        <v>Book = $15.55</v>
      </c>
      <c r="O2" s="76"/>
      <c r="Q2" s="74">
        <v>1939</v>
      </c>
      <c r="T2" s="73"/>
      <c r="U2" s="73" t="str">
        <f>U1&amp;V1&amp;W1&amp;Y1&amp;"-"</f>
        <v>ROS2012DIM-</v>
      </c>
      <c r="W2" s="76"/>
      <c r="Z2" s="73" t="s">
        <v>985</v>
      </c>
      <c r="AA2" s="73" t="e">
        <f t="shared" ref="AA2:AA37" si="0">MATCH(Z2,$C$1:$C$1069,0)</f>
        <v>#N/A</v>
      </c>
      <c r="AB2" s="73" t="e">
        <f t="shared" ref="AB2:AB37" si="1">MATCH(D2,$W$2:$W$270,0)</f>
        <v>#N/A</v>
      </c>
    </row>
    <row r="3" spans="1:28">
      <c r="A3" s="74">
        <v>1941</v>
      </c>
      <c r="C3" s="76" t="s">
        <v>1963</v>
      </c>
      <c r="D3" s="73" t="s">
        <v>987</v>
      </c>
      <c r="E3" s="73" t="s">
        <v>986</v>
      </c>
      <c r="F3" s="73" t="s">
        <v>16</v>
      </c>
      <c r="G3" s="77">
        <v>0.1</v>
      </c>
      <c r="H3" s="77">
        <v>0.1</v>
      </c>
      <c r="I3" s="76">
        <v>1</v>
      </c>
      <c r="J3" s="76"/>
      <c r="K3" s="76"/>
      <c r="L3" s="76"/>
      <c r="M3" s="76"/>
      <c r="N3" s="72" t="str">
        <f>"Qty = "&amp;SUM(H2:H2082)</f>
        <v>Qty = 30.1100000000001</v>
      </c>
      <c r="O3" s="76"/>
      <c r="Q3" s="74">
        <v>1941</v>
      </c>
      <c r="T3" s="76" t="e">
        <f>"A"&amp;U3</f>
        <v>#N/A</v>
      </c>
      <c r="U3" s="73" t="e">
        <f t="shared" ref="U3:U24" si="2">MATCH($U$2&amp;V3,$C:$C,0)</f>
        <v>#N/A</v>
      </c>
      <c r="V3" s="76" t="s">
        <v>303</v>
      </c>
      <c r="W3" s="76" t="e">
        <f t="shared" ref="W3:W28" si="3">INDEX($A$1:$E$1056,U3,2)</f>
        <v>#N/A</v>
      </c>
      <c r="X3" s="73" t="e">
        <f t="shared" ref="X3:X28" si="4">INDEX($A$1:$E$1056,U3,4)</f>
        <v>#N/A</v>
      </c>
      <c r="Y3" s="73" t="e">
        <f t="shared" ref="Y3:Y28" si="5">INDEX($A$1:$E$1056,U3,5)</f>
        <v>#N/A</v>
      </c>
      <c r="Z3" s="73" t="s">
        <v>987</v>
      </c>
      <c r="AA3" s="73" t="e">
        <f t="shared" si="0"/>
        <v>#N/A</v>
      </c>
      <c r="AB3" s="73" t="e">
        <f t="shared" si="1"/>
        <v>#N/A</v>
      </c>
    </row>
    <row r="4" spans="1:28">
      <c r="A4" s="74">
        <v>1942</v>
      </c>
      <c r="C4" s="76" t="s">
        <v>1963</v>
      </c>
      <c r="D4" s="73" t="s">
        <v>988</v>
      </c>
      <c r="E4" s="73" t="s">
        <v>986</v>
      </c>
      <c r="F4" s="73" t="s">
        <v>14</v>
      </c>
      <c r="G4" s="77">
        <v>0.1</v>
      </c>
      <c r="H4" s="77">
        <v>0.1</v>
      </c>
      <c r="I4" s="76">
        <v>1</v>
      </c>
      <c r="J4" s="76"/>
      <c r="K4" s="76"/>
      <c r="L4" s="76"/>
      <c r="M4" s="76"/>
      <c r="N4" s="76"/>
      <c r="O4" s="76"/>
      <c r="Q4" s="74">
        <v>1942</v>
      </c>
      <c r="T4" s="73"/>
      <c r="U4" s="73" t="e">
        <f t="shared" si="2"/>
        <v>#N/A</v>
      </c>
      <c r="V4" s="76" t="s">
        <v>309</v>
      </c>
      <c r="W4" s="76" t="e">
        <f t="shared" si="3"/>
        <v>#N/A</v>
      </c>
      <c r="X4" s="73" t="e">
        <f t="shared" si="4"/>
        <v>#N/A</v>
      </c>
      <c r="Y4" s="73" t="e">
        <f t="shared" si="5"/>
        <v>#N/A</v>
      </c>
      <c r="Z4" s="73" t="s">
        <v>988</v>
      </c>
      <c r="AA4" s="73" t="e">
        <f t="shared" si="0"/>
        <v>#N/A</v>
      </c>
      <c r="AB4" s="73" t="e">
        <f t="shared" si="1"/>
        <v>#N/A</v>
      </c>
    </row>
    <row r="5" spans="1:28">
      <c r="A5" s="74">
        <v>1946</v>
      </c>
      <c r="B5" s="76" t="s">
        <v>13</v>
      </c>
      <c r="C5" s="76" t="s">
        <v>1963</v>
      </c>
      <c r="D5" s="73" t="s">
        <v>989</v>
      </c>
      <c r="E5" s="73" t="s">
        <v>990</v>
      </c>
      <c r="F5" s="73" t="s">
        <v>15</v>
      </c>
      <c r="G5" s="77">
        <v>0.1</v>
      </c>
      <c r="H5" s="77">
        <v>1.22</v>
      </c>
      <c r="I5" s="76">
        <v>1</v>
      </c>
      <c r="J5" s="76"/>
      <c r="K5" s="76"/>
      <c r="L5" s="76"/>
      <c r="M5" s="76"/>
      <c r="N5" s="76"/>
      <c r="O5" s="76"/>
      <c r="Q5" s="74" t="s">
        <v>147</v>
      </c>
      <c r="T5" s="73"/>
      <c r="U5" s="73" t="e">
        <f t="shared" si="2"/>
        <v>#N/A</v>
      </c>
      <c r="V5" s="76" t="s">
        <v>313</v>
      </c>
      <c r="W5" s="76" t="e">
        <f t="shared" si="3"/>
        <v>#N/A</v>
      </c>
      <c r="X5" s="73" t="e">
        <f t="shared" si="4"/>
        <v>#N/A</v>
      </c>
      <c r="Y5" s="73" t="e">
        <f t="shared" si="5"/>
        <v>#N/A</v>
      </c>
      <c r="Z5" s="73" t="s">
        <v>989</v>
      </c>
      <c r="AA5" s="73" t="e">
        <f t="shared" si="0"/>
        <v>#N/A</v>
      </c>
      <c r="AB5" s="73" t="e">
        <f t="shared" si="1"/>
        <v>#N/A</v>
      </c>
    </row>
    <row r="6" spans="1:28">
      <c r="A6" s="74">
        <v>1946</v>
      </c>
      <c r="C6" s="76" t="s">
        <v>1963</v>
      </c>
      <c r="D6" s="73" t="s">
        <v>991</v>
      </c>
      <c r="E6" s="73" t="s">
        <v>990</v>
      </c>
      <c r="F6" s="73" t="s">
        <v>18</v>
      </c>
      <c r="G6" s="77">
        <v>0.1</v>
      </c>
      <c r="H6" s="77">
        <v>0.1</v>
      </c>
      <c r="I6" s="76">
        <v>1</v>
      </c>
      <c r="J6" s="76"/>
      <c r="K6" s="76"/>
      <c r="L6" s="76"/>
      <c r="M6" s="76"/>
      <c r="N6" s="76"/>
      <c r="O6" s="76"/>
      <c r="Q6" s="74" t="s">
        <v>992</v>
      </c>
      <c r="T6" s="73"/>
      <c r="U6" s="73" t="e">
        <f t="shared" si="2"/>
        <v>#N/A</v>
      </c>
      <c r="V6" s="76" t="s">
        <v>317</v>
      </c>
      <c r="W6" s="76" t="e">
        <f t="shared" si="3"/>
        <v>#N/A</v>
      </c>
      <c r="X6" s="73" t="e">
        <f t="shared" si="4"/>
        <v>#N/A</v>
      </c>
      <c r="Y6" s="73" t="e">
        <f t="shared" si="5"/>
        <v>#N/A</v>
      </c>
      <c r="Z6" s="73" t="s">
        <v>991</v>
      </c>
      <c r="AA6" s="73" t="e">
        <f t="shared" si="0"/>
        <v>#N/A</v>
      </c>
      <c r="AB6" s="73" t="e">
        <f t="shared" si="1"/>
        <v>#N/A</v>
      </c>
    </row>
    <row r="7" spans="1:28">
      <c r="A7" s="74">
        <v>1951</v>
      </c>
      <c r="C7" s="76" t="s">
        <v>1963</v>
      </c>
      <c r="D7" s="73" t="s">
        <v>993</v>
      </c>
      <c r="E7" s="73" t="s">
        <v>990</v>
      </c>
      <c r="F7" s="73" t="s">
        <v>18</v>
      </c>
      <c r="G7" s="77">
        <v>0.1</v>
      </c>
      <c r="H7" s="77">
        <v>0.1</v>
      </c>
      <c r="I7" s="76">
        <v>1</v>
      </c>
      <c r="J7" s="76"/>
      <c r="K7" s="76"/>
      <c r="L7" s="76"/>
      <c r="M7" s="76"/>
      <c r="N7" s="76"/>
      <c r="O7" s="76"/>
      <c r="Q7" s="74" t="s">
        <v>994</v>
      </c>
      <c r="T7" s="73"/>
      <c r="U7" s="73" t="e">
        <f t="shared" si="2"/>
        <v>#N/A</v>
      </c>
      <c r="V7" s="76" t="s">
        <v>322</v>
      </c>
      <c r="W7" s="76" t="e">
        <f t="shared" si="3"/>
        <v>#N/A</v>
      </c>
      <c r="X7" s="73" t="e">
        <f t="shared" si="4"/>
        <v>#N/A</v>
      </c>
      <c r="Y7" s="73" t="e">
        <f t="shared" si="5"/>
        <v>#N/A</v>
      </c>
      <c r="Z7" s="73" t="s">
        <v>993</v>
      </c>
      <c r="AA7" s="73" t="e">
        <f t="shared" si="0"/>
        <v>#N/A</v>
      </c>
      <c r="AB7" s="73" t="e">
        <f t="shared" si="1"/>
        <v>#N/A</v>
      </c>
    </row>
    <row r="8" spans="1:28">
      <c r="A8" s="74">
        <v>1954</v>
      </c>
      <c r="C8" s="76" t="s">
        <v>1963</v>
      </c>
      <c r="D8" s="73" t="s">
        <v>995</v>
      </c>
      <c r="E8" s="73" t="s">
        <v>990</v>
      </c>
      <c r="F8" s="73" t="s">
        <v>996</v>
      </c>
      <c r="G8" s="77">
        <v>0.1</v>
      </c>
      <c r="H8" s="77">
        <v>1.22</v>
      </c>
      <c r="I8" s="76">
        <v>1</v>
      </c>
      <c r="J8" s="76"/>
      <c r="K8" s="76"/>
      <c r="L8" s="76"/>
      <c r="M8" s="76"/>
      <c r="N8" s="76"/>
      <c r="O8" s="76"/>
      <c r="Q8" s="74" t="s">
        <v>997</v>
      </c>
      <c r="T8" s="73"/>
      <c r="U8" s="73" t="e">
        <f t="shared" si="2"/>
        <v>#N/A</v>
      </c>
      <c r="V8" s="76" t="s">
        <v>325</v>
      </c>
      <c r="W8" s="76" t="e">
        <f t="shared" si="3"/>
        <v>#N/A</v>
      </c>
      <c r="X8" s="73" t="e">
        <f t="shared" si="4"/>
        <v>#N/A</v>
      </c>
      <c r="Y8" s="73" t="e">
        <f t="shared" si="5"/>
        <v>#N/A</v>
      </c>
      <c r="Z8" s="73" t="s">
        <v>995</v>
      </c>
      <c r="AA8" s="73" t="e">
        <f t="shared" si="0"/>
        <v>#N/A</v>
      </c>
      <c r="AB8" s="73" t="e">
        <f t="shared" si="1"/>
        <v>#N/A</v>
      </c>
    </row>
    <row r="9" spans="1:28">
      <c r="A9" s="74">
        <v>1957</v>
      </c>
      <c r="C9" s="76" t="s">
        <v>1963</v>
      </c>
      <c r="D9" s="73" t="s">
        <v>998</v>
      </c>
      <c r="E9" s="73" t="s">
        <v>990</v>
      </c>
      <c r="F9" s="73" t="s">
        <v>16</v>
      </c>
      <c r="G9" s="77">
        <v>0.1</v>
      </c>
      <c r="H9" s="77">
        <v>0.1</v>
      </c>
      <c r="I9" s="76">
        <v>1</v>
      </c>
      <c r="J9" s="76"/>
      <c r="K9" s="76"/>
      <c r="L9" s="76"/>
      <c r="M9" s="76"/>
      <c r="N9" s="76"/>
      <c r="O9" s="76"/>
      <c r="Q9" s="74" t="s">
        <v>508</v>
      </c>
      <c r="T9" s="73"/>
      <c r="U9" s="73" t="e">
        <f t="shared" si="2"/>
        <v>#N/A</v>
      </c>
      <c r="V9" s="76" t="s">
        <v>328</v>
      </c>
      <c r="W9" s="76" t="e">
        <f t="shared" si="3"/>
        <v>#N/A</v>
      </c>
      <c r="X9" s="73" t="e">
        <f t="shared" si="4"/>
        <v>#N/A</v>
      </c>
      <c r="Y9" s="73" t="e">
        <f t="shared" si="5"/>
        <v>#N/A</v>
      </c>
      <c r="Z9" s="73" t="s">
        <v>998</v>
      </c>
      <c r="AA9" s="73" t="e">
        <f t="shared" si="0"/>
        <v>#N/A</v>
      </c>
      <c r="AB9" s="73" t="e">
        <f t="shared" si="1"/>
        <v>#N/A</v>
      </c>
    </row>
    <row r="10" spans="1:28">
      <c r="A10" s="74">
        <v>1960</v>
      </c>
      <c r="C10" s="76" t="s">
        <v>1963</v>
      </c>
      <c r="D10" s="73" t="s">
        <v>999</v>
      </c>
      <c r="E10" s="73" t="s">
        <v>990</v>
      </c>
      <c r="F10" s="73" t="s">
        <v>16</v>
      </c>
      <c r="G10" s="77">
        <v>0.1</v>
      </c>
      <c r="H10" s="77">
        <v>0.1</v>
      </c>
      <c r="I10" s="76">
        <v>1</v>
      </c>
      <c r="J10" s="76"/>
      <c r="K10" s="76"/>
      <c r="L10" s="76"/>
      <c r="M10" s="76"/>
      <c r="N10" s="76"/>
      <c r="O10" s="76"/>
      <c r="Q10" s="74" t="s">
        <v>1000</v>
      </c>
      <c r="T10" s="73"/>
      <c r="U10" s="73" t="e">
        <f t="shared" si="2"/>
        <v>#N/A</v>
      </c>
      <c r="V10" s="76" t="s">
        <v>334</v>
      </c>
      <c r="W10" s="76" t="e">
        <f t="shared" si="3"/>
        <v>#N/A</v>
      </c>
      <c r="X10" s="73" t="e">
        <f t="shared" si="4"/>
        <v>#N/A</v>
      </c>
      <c r="Y10" s="73" t="e">
        <f t="shared" si="5"/>
        <v>#N/A</v>
      </c>
      <c r="Z10" s="73" t="s">
        <v>999</v>
      </c>
      <c r="AA10" s="73" t="e">
        <f t="shared" si="0"/>
        <v>#N/A</v>
      </c>
      <c r="AB10" s="73" t="e">
        <f t="shared" si="1"/>
        <v>#N/A</v>
      </c>
    </row>
    <row r="11" spans="1:28">
      <c r="A11" s="74">
        <v>1963</v>
      </c>
      <c r="B11" s="76" t="s">
        <v>25</v>
      </c>
      <c r="C11" s="76" t="s">
        <v>1963</v>
      </c>
      <c r="D11" s="73" t="s">
        <v>1001</v>
      </c>
      <c r="E11" s="73" t="s">
        <v>990</v>
      </c>
      <c r="F11" s="73" t="s">
        <v>16</v>
      </c>
      <c r="G11" s="77">
        <v>0.1</v>
      </c>
      <c r="H11" s="77">
        <v>0.1</v>
      </c>
      <c r="I11" s="76">
        <v>1</v>
      </c>
      <c r="J11" s="76"/>
      <c r="K11" s="76"/>
      <c r="L11" s="76"/>
      <c r="M11" s="76"/>
      <c r="N11" s="76"/>
      <c r="O11" s="76"/>
      <c r="Q11" s="74" t="s">
        <v>1002</v>
      </c>
      <c r="T11" s="73"/>
      <c r="U11" s="73" t="e">
        <f t="shared" si="2"/>
        <v>#N/A</v>
      </c>
      <c r="V11" s="76" t="s">
        <v>339</v>
      </c>
      <c r="W11" s="76" t="e">
        <f t="shared" si="3"/>
        <v>#N/A</v>
      </c>
      <c r="X11" s="73" t="e">
        <f t="shared" si="4"/>
        <v>#N/A</v>
      </c>
      <c r="Y11" s="73" t="e">
        <f t="shared" si="5"/>
        <v>#N/A</v>
      </c>
      <c r="Z11" s="73" t="s">
        <v>1001</v>
      </c>
      <c r="AA11" s="73" t="e">
        <f t="shared" si="0"/>
        <v>#N/A</v>
      </c>
      <c r="AB11" s="73" t="e">
        <f t="shared" si="1"/>
        <v>#N/A</v>
      </c>
    </row>
    <row r="12" spans="1:28">
      <c r="A12" s="74">
        <v>1964</v>
      </c>
      <c r="B12" s="76" t="s">
        <v>13</v>
      </c>
      <c r="C12" s="76" t="s">
        <v>1963</v>
      </c>
      <c r="D12" s="73" t="s">
        <v>1003</v>
      </c>
      <c r="E12" s="73" t="s">
        <v>990</v>
      </c>
      <c r="F12" s="73" t="s">
        <v>18</v>
      </c>
      <c r="G12" s="77">
        <v>0.1</v>
      </c>
      <c r="H12" s="77">
        <v>1.22</v>
      </c>
      <c r="I12" s="76">
        <v>1</v>
      </c>
      <c r="J12" s="76"/>
      <c r="K12" s="76"/>
      <c r="L12" s="76"/>
      <c r="M12" s="76"/>
      <c r="N12" s="76"/>
      <c r="O12" s="76"/>
      <c r="Q12" s="74" t="s">
        <v>554</v>
      </c>
      <c r="T12" s="73"/>
      <c r="U12" s="73" t="e">
        <f t="shared" si="2"/>
        <v>#N/A</v>
      </c>
      <c r="V12" s="76" t="s">
        <v>343</v>
      </c>
      <c r="W12" s="76" t="e">
        <f t="shared" si="3"/>
        <v>#N/A</v>
      </c>
      <c r="X12" s="73" t="e">
        <f t="shared" si="4"/>
        <v>#N/A</v>
      </c>
      <c r="Y12" s="73" t="e">
        <f t="shared" si="5"/>
        <v>#N/A</v>
      </c>
      <c r="Z12" s="73" t="s">
        <v>1003</v>
      </c>
      <c r="AA12" s="73" t="e">
        <f t="shared" si="0"/>
        <v>#N/A</v>
      </c>
      <c r="AB12" s="73" t="e">
        <f t="shared" si="1"/>
        <v>#N/A</v>
      </c>
    </row>
    <row r="13" spans="1:28">
      <c r="A13" s="74">
        <v>1965</v>
      </c>
      <c r="C13" s="76" t="s">
        <v>1963</v>
      </c>
      <c r="D13" s="73" t="s">
        <v>1004</v>
      </c>
      <c r="E13" s="73" t="s">
        <v>990</v>
      </c>
      <c r="F13" s="73" t="s">
        <v>18</v>
      </c>
      <c r="G13" s="77">
        <v>0.1</v>
      </c>
      <c r="H13" s="77">
        <v>0.1</v>
      </c>
      <c r="I13" s="76">
        <v>1</v>
      </c>
      <c r="J13" s="76"/>
      <c r="K13" s="76"/>
      <c r="L13" s="76"/>
      <c r="M13" s="76"/>
      <c r="N13" s="76"/>
      <c r="O13" s="76"/>
      <c r="Q13" s="74" t="s">
        <v>567</v>
      </c>
      <c r="T13" s="73"/>
      <c r="U13" s="73" t="e">
        <f t="shared" si="2"/>
        <v>#N/A</v>
      </c>
      <c r="V13" s="76" t="s">
        <v>347</v>
      </c>
      <c r="W13" s="76" t="e">
        <f t="shared" si="3"/>
        <v>#N/A</v>
      </c>
      <c r="X13" s="73" t="e">
        <f t="shared" si="4"/>
        <v>#N/A</v>
      </c>
      <c r="Y13" s="73" t="e">
        <f t="shared" si="5"/>
        <v>#N/A</v>
      </c>
      <c r="Z13" s="73" t="s">
        <v>1004</v>
      </c>
      <c r="AA13" s="73" t="e">
        <f t="shared" si="0"/>
        <v>#N/A</v>
      </c>
      <c r="AB13" s="73" t="e">
        <f t="shared" si="1"/>
        <v>#N/A</v>
      </c>
    </row>
    <row r="14" spans="1:28">
      <c r="A14" s="74">
        <v>1965</v>
      </c>
      <c r="C14" s="76" t="s">
        <v>1963</v>
      </c>
      <c r="D14" s="73" t="s">
        <v>1005</v>
      </c>
      <c r="E14" s="73" t="s">
        <v>990</v>
      </c>
      <c r="F14" s="73" t="s">
        <v>18</v>
      </c>
      <c r="G14" s="77">
        <v>0.1</v>
      </c>
      <c r="H14" s="77">
        <v>0.1</v>
      </c>
      <c r="I14" s="76">
        <v>1</v>
      </c>
      <c r="J14" s="76"/>
      <c r="K14" s="76"/>
      <c r="L14" s="76"/>
      <c r="M14" s="76"/>
      <c r="N14" s="76"/>
      <c r="O14" s="76"/>
      <c r="Q14" s="74" t="s">
        <v>567</v>
      </c>
      <c r="T14" s="73"/>
      <c r="U14" s="73" t="e">
        <f t="shared" si="2"/>
        <v>#N/A</v>
      </c>
      <c r="V14" s="76" t="s">
        <v>351</v>
      </c>
      <c r="W14" s="76" t="e">
        <f t="shared" si="3"/>
        <v>#N/A</v>
      </c>
      <c r="X14" s="73" t="e">
        <f t="shared" si="4"/>
        <v>#N/A</v>
      </c>
      <c r="Y14" s="73" t="e">
        <f t="shared" si="5"/>
        <v>#N/A</v>
      </c>
      <c r="Z14" s="73" t="s">
        <v>1005</v>
      </c>
      <c r="AA14" s="73" t="e">
        <f t="shared" si="0"/>
        <v>#N/A</v>
      </c>
      <c r="AB14" s="73" t="e">
        <f t="shared" si="1"/>
        <v>#N/A</v>
      </c>
    </row>
    <row r="15" spans="1:28">
      <c r="A15" s="74">
        <v>1966</v>
      </c>
      <c r="C15" s="76" t="s">
        <v>1963</v>
      </c>
      <c r="D15" s="73" t="s">
        <v>1006</v>
      </c>
      <c r="E15" s="73" t="s">
        <v>990</v>
      </c>
      <c r="F15" s="73" t="s">
        <v>18</v>
      </c>
      <c r="G15" s="77">
        <v>0.1</v>
      </c>
      <c r="H15" s="77">
        <v>0.1</v>
      </c>
      <c r="I15" s="76">
        <v>1</v>
      </c>
      <c r="J15" s="76"/>
      <c r="K15" s="76"/>
      <c r="L15" s="76"/>
      <c r="M15" s="76"/>
      <c r="N15" s="76"/>
      <c r="O15" s="76"/>
      <c r="Q15" s="74" t="s">
        <v>569</v>
      </c>
      <c r="T15" s="73"/>
      <c r="U15" s="73" t="e">
        <f t="shared" si="2"/>
        <v>#N/A</v>
      </c>
      <c r="V15" s="76" t="s">
        <v>354</v>
      </c>
      <c r="W15" s="76" t="e">
        <f t="shared" si="3"/>
        <v>#N/A</v>
      </c>
      <c r="X15" s="73" t="e">
        <f t="shared" si="4"/>
        <v>#N/A</v>
      </c>
      <c r="Y15" s="73" t="e">
        <f t="shared" si="5"/>
        <v>#N/A</v>
      </c>
      <c r="Z15" s="73" t="s">
        <v>1006</v>
      </c>
      <c r="AA15" s="73" t="e">
        <f t="shared" si="0"/>
        <v>#N/A</v>
      </c>
      <c r="AB15" s="73" t="e">
        <f t="shared" si="1"/>
        <v>#N/A</v>
      </c>
    </row>
    <row r="16" spans="1:28">
      <c r="A16" s="74">
        <v>1966</v>
      </c>
      <c r="C16" s="76" t="s">
        <v>1963</v>
      </c>
      <c r="D16" s="73" t="s">
        <v>1007</v>
      </c>
      <c r="E16" s="73" t="s">
        <v>990</v>
      </c>
      <c r="F16" s="73" t="s">
        <v>18</v>
      </c>
      <c r="G16" s="77">
        <v>0.1</v>
      </c>
      <c r="H16" s="77">
        <v>0.1</v>
      </c>
      <c r="I16" s="76">
        <v>1</v>
      </c>
      <c r="J16" s="76"/>
      <c r="K16" s="76"/>
      <c r="L16" s="76"/>
      <c r="M16" s="76"/>
      <c r="N16" s="76"/>
      <c r="O16" s="76"/>
      <c r="Q16" s="74" t="s">
        <v>569</v>
      </c>
      <c r="T16" s="73"/>
      <c r="U16" s="73" t="e">
        <f t="shared" si="2"/>
        <v>#N/A</v>
      </c>
      <c r="V16" s="76" t="s">
        <v>359</v>
      </c>
      <c r="W16" s="76" t="e">
        <f t="shared" si="3"/>
        <v>#N/A</v>
      </c>
      <c r="X16" s="73" t="e">
        <f t="shared" si="4"/>
        <v>#N/A</v>
      </c>
      <c r="Y16" s="73" t="e">
        <f t="shared" si="5"/>
        <v>#N/A</v>
      </c>
      <c r="Z16" s="73" t="s">
        <v>1007</v>
      </c>
      <c r="AA16" s="73" t="e">
        <f t="shared" si="0"/>
        <v>#N/A</v>
      </c>
      <c r="AB16" s="73" t="e">
        <f t="shared" si="1"/>
        <v>#N/A</v>
      </c>
    </row>
    <row r="17" spans="1:28">
      <c r="A17" s="74">
        <v>1967</v>
      </c>
      <c r="C17" s="76" t="s">
        <v>1963</v>
      </c>
      <c r="D17" s="73" t="s">
        <v>1008</v>
      </c>
      <c r="E17" s="73" t="s">
        <v>990</v>
      </c>
      <c r="F17" s="73" t="s">
        <v>18</v>
      </c>
      <c r="G17" s="77">
        <v>0.1</v>
      </c>
      <c r="H17" s="77">
        <v>0.1</v>
      </c>
      <c r="I17" s="76">
        <v>1</v>
      </c>
      <c r="J17" s="76"/>
      <c r="K17" s="76"/>
      <c r="L17" s="76"/>
      <c r="M17" s="76"/>
      <c r="N17" s="76"/>
      <c r="O17" s="76"/>
      <c r="Q17" s="74" t="s">
        <v>572</v>
      </c>
      <c r="T17" s="73"/>
      <c r="U17" s="73" t="e">
        <f t="shared" si="2"/>
        <v>#N/A</v>
      </c>
      <c r="V17" s="76" t="s">
        <v>363</v>
      </c>
      <c r="W17" s="76" t="e">
        <f t="shared" si="3"/>
        <v>#N/A</v>
      </c>
      <c r="X17" s="73" t="e">
        <f t="shared" si="4"/>
        <v>#N/A</v>
      </c>
      <c r="Y17" s="73" t="e">
        <f t="shared" si="5"/>
        <v>#N/A</v>
      </c>
      <c r="Z17" s="73" t="s">
        <v>1008</v>
      </c>
      <c r="AA17" s="73" t="e">
        <f t="shared" si="0"/>
        <v>#N/A</v>
      </c>
      <c r="AB17" s="73" t="e">
        <f t="shared" si="1"/>
        <v>#N/A</v>
      </c>
    </row>
    <row r="18" spans="1:28">
      <c r="A18" s="74">
        <v>1967</v>
      </c>
      <c r="C18" s="76" t="s">
        <v>1963</v>
      </c>
      <c r="D18" s="73" t="s">
        <v>1009</v>
      </c>
      <c r="E18" s="73" t="s">
        <v>990</v>
      </c>
      <c r="F18" s="73" t="s">
        <v>18</v>
      </c>
      <c r="G18" s="77">
        <v>0.1</v>
      </c>
      <c r="H18" s="77">
        <v>0.1</v>
      </c>
      <c r="I18" s="76">
        <v>1</v>
      </c>
      <c r="J18" s="76"/>
      <c r="K18" s="76"/>
      <c r="L18" s="76"/>
      <c r="M18" s="76"/>
      <c r="N18" s="76"/>
      <c r="O18" s="76"/>
      <c r="Q18" s="74" t="s">
        <v>572</v>
      </c>
      <c r="T18" s="73"/>
      <c r="U18" s="73" t="e">
        <f t="shared" si="2"/>
        <v>#N/A</v>
      </c>
      <c r="V18" s="76" t="s">
        <v>368</v>
      </c>
      <c r="W18" s="76" t="e">
        <f t="shared" si="3"/>
        <v>#N/A</v>
      </c>
      <c r="X18" s="73" t="e">
        <f t="shared" si="4"/>
        <v>#N/A</v>
      </c>
      <c r="Y18" s="73" t="e">
        <f t="shared" si="5"/>
        <v>#N/A</v>
      </c>
      <c r="Z18" s="73" t="s">
        <v>1009</v>
      </c>
      <c r="AA18" s="73" t="e">
        <f t="shared" si="0"/>
        <v>#N/A</v>
      </c>
      <c r="AB18" s="73" t="e">
        <f t="shared" si="1"/>
        <v>#N/A</v>
      </c>
    </row>
    <row r="19" spans="1:28">
      <c r="A19" s="74">
        <v>1967</v>
      </c>
      <c r="C19" s="76" t="s">
        <v>1963</v>
      </c>
      <c r="D19" s="73" t="s">
        <v>1010</v>
      </c>
      <c r="E19" s="73" t="s">
        <v>990</v>
      </c>
      <c r="F19" s="73" t="s">
        <v>18</v>
      </c>
      <c r="G19" s="77">
        <v>0.1</v>
      </c>
      <c r="H19" s="77">
        <v>0.1</v>
      </c>
      <c r="I19" s="76">
        <v>1</v>
      </c>
      <c r="J19" s="76"/>
      <c r="K19" s="76"/>
      <c r="L19" s="76"/>
      <c r="M19" s="76"/>
      <c r="N19" s="76"/>
      <c r="O19" s="76"/>
      <c r="Q19" s="74" t="str">
        <f>IF(A19="",A19,A19&amp;" "&amp;B19)</f>
        <v xml:space="preserve">1967 </v>
      </c>
      <c r="T19" s="73"/>
      <c r="U19" s="73" t="e">
        <f t="shared" si="2"/>
        <v>#N/A</v>
      </c>
      <c r="V19" s="76" t="s">
        <v>371</v>
      </c>
      <c r="W19" s="76" t="e">
        <f t="shared" si="3"/>
        <v>#N/A</v>
      </c>
      <c r="X19" s="73" t="e">
        <f t="shared" si="4"/>
        <v>#N/A</v>
      </c>
      <c r="Y19" s="73" t="e">
        <f t="shared" si="5"/>
        <v>#N/A</v>
      </c>
      <c r="Z19" s="73" t="s">
        <v>1010</v>
      </c>
      <c r="AA19" s="73" t="e">
        <f t="shared" si="0"/>
        <v>#N/A</v>
      </c>
      <c r="AB19" s="73" t="e">
        <f t="shared" si="1"/>
        <v>#N/A</v>
      </c>
    </row>
    <row r="20" spans="1:28">
      <c r="A20" s="74">
        <v>1969</v>
      </c>
      <c r="C20" s="76" t="s">
        <v>1963</v>
      </c>
      <c r="D20" s="73" t="s">
        <v>1011</v>
      </c>
      <c r="E20" s="73" t="s">
        <v>990</v>
      </c>
      <c r="F20" s="73" t="s">
        <v>18</v>
      </c>
      <c r="G20" s="77">
        <v>0.1</v>
      </c>
      <c r="H20" s="77">
        <v>0.1</v>
      </c>
      <c r="I20" s="76">
        <v>1</v>
      </c>
      <c r="J20" s="76"/>
      <c r="K20" s="76"/>
      <c r="L20" s="76"/>
      <c r="M20" s="76"/>
      <c r="N20" s="76"/>
      <c r="O20" s="76"/>
      <c r="Q20" s="74" t="str">
        <f>IF(A20="",A20,A20&amp;" "&amp;B20)</f>
        <v xml:space="preserve">1969 </v>
      </c>
      <c r="T20" s="73"/>
      <c r="U20" s="73" t="e">
        <f t="shared" si="2"/>
        <v>#N/A</v>
      </c>
      <c r="V20" s="76" t="s">
        <v>373</v>
      </c>
      <c r="W20" s="76" t="e">
        <f t="shared" si="3"/>
        <v>#N/A</v>
      </c>
      <c r="X20" s="73" t="e">
        <f t="shared" si="4"/>
        <v>#N/A</v>
      </c>
      <c r="Y20" s="73" t="e">
        <f t="shared" si="5"/>
        <v>#N/A</v>
      </c>
      <c r="Z20" s="73" t="s">
        <v>1011</v>
      </c>
      <c r="AA20" s="73" t="e">
        <f t="shared" si="0"/>
        <v>#N/A</v>
      </c>
      <c r="AB20" s="73" t="e">
        <f t="shared" si="1"/>
        <v>#N/A</v>
      </c>
    </row>
    <row r="21" spans="1:28">
      <c r="A21" s="74">
        <v>1969</v>
      </c>
      <c r="B21" s="76" t="s">
        <v>13</v>
      </c>
      <c r="C21" s="76" t="s">
        <v>1963</v>
      </c>
      <c r="D21" s="73" t="s">
        <v>1012</v>
      </c>
      <c r="E21" s="73" t="s">
        <v>990</v>
      </c>
      <c r="F21" s="73" t="s">
        <v>18</v>
      </c>
      <c r="G21" s="77">
        <v>0.1</v>
      </c>
      <c r="H21" s="77">
        <v>0.1</v>
      </c>
      <c r="I21" s="76">
        <v>1</v>
      </c>
      <c r="J21" s="76"/>
      <c r="K21" s="76"/>
      <c r="L21" s="76"/>
      <c r="M21" s="76"/>
      <c r="N21" s="76"/>
      <c r="O21" s="76"/>
      <c r="Q21" s="74" t="str">
        <f>IF(A21="",A21,A21&amp;" "&amp;B21)</f>
        <v>1969 D</v>
      </c>
      <c r="T21" s="73"/>
      <c r="U21" s="73" t="e">
        <f t="shared" si="2"/>
        <v>#N/A</v>
      </c>
      <c r="V21" s="76" t="s">
        <v>376</v>
      </c>
      <c r="W21" s="76" t="e">
        <f t="shared" si="3"/>
        <v>#N/A</v>
      </c>
      <c r="X21" s="73" t="e">
        <f t="shared" si="4"/>
        <v>#N/A</v>
      </c>
      <c r="Y21" s="73" t="e">
        <f t="shared" si="5"/>
        <v>#N/A</v>
      </c>
      <c r="Z21" s="73" t="s">
        <v>1012</v>
      </c>
      <c r="AA21" s="73" t="e">
        <f t="shared" si="0"/>
        <v>#N/A</v>
      </c>
      <c r="AB21" s="73" t="e">
        <f t="shared" si="1"/>
        <v>#N/A</v>
      </c>
    </row>
    <row r="22" spans="1:28">
      <c r="A22" s="74">
        <v>1970</v>
      </c>
      <c r="C22" s="76" t="s">
        <v>1963</v>
      </c>
      <c r="D22" s="73" t="s">
        <v>1013</v>
      </c>
      <c r="E22" s="73" t="s">
        <v>990</v>
      </c>
      <c r="F22" s="73" t="s">
        <v>18</v>
      </c>
      <c r="G22" s="77">
        <v>0.1</v>
      </c>
      <c r="H22" s="77">
        <v>0.1</v>
      </c>
      <c r="I22" s="76">
        <v>1</v>
      </c>
      <c r="J22" s="76"/>
      <c r="K22" s="76"/>
      <c r="L22" s="76"/>
      <c r="M22" s="76"/>
      <c r="N22" s="76"/>
      <c r="O22" s="76"/>
      <c r="Q22" s="74">
        <v>1970</v>
      </c>
      <c r="T22" s="73"/>
      <c r="U22" s="73" t="e">
        <f t="shared" si="2"/>
        <v>#N/A</v>
      </c>
      <c r="V22" s="76" t="s">
        <v>378</v>
      </c>
      <c r="W22" s="76" t="e">
        <f t="shared" si="3"/>
        <v>#N/A</v>
      </c>
      <c r="X22" s="73" t="e">
        <f t="shared" si="4"/>
        <v>#N/A</v>
      </c>
      <c r="Y22" s="73" t="e">
        <f t="shared" si="5"/>
        <v>#N/A</v>
      </c>
      <c r="Z22" s="73" t="s">
        <v>1013</v>
      </c>
      <c r="AA22" s="73" t="e">
        <f t="shared" si="0"/>
        <v>#N/A</v>
      </c>
      <c r="AB22" s="73" t="e">
        <f t="shared" si="1"/>
        <v>#N/A</v>
      </c>
    </row>
    <row r="23" spans="1:28">
      <c r="A23" s="74">
        <v>1970</v>
      </c>
      <c r="B23" s="76" t="s">
        <v>13</v>
      </c>
      <c r="C23" s="76" t="s">
        <v>1963</v>
      </c>
      <c r="D23" s="73" t="s">
        <v>1014</v>
      </c>
      <c r="E23" s="73" t="s">
        <v>990</v>
      </c>
      <c r="F23" s="73" t="s">
        <v>18</v>
      </c>
      <c r="G23" s="77">
        <v>0.1</v>
      </c>
      <c r="H23" s="77">
        <v>0.1</v>
      </c>
      <c r="I23" s="76">
        <v>1</v>
      </c>
      <c r="J23" s="76"/>
      <c r="K23" s="76"/>
      <c r="L23" s="76"/>
      <c r="M23" s="76"/>
      <c r="N23" s="76"/>
      <c r="O23" s="76"/>
      <c r="Q23" s="74" t="str">
        <f t="shared" ref="Q23:Q28" si="6">IF(A23="",A23,A23&amp;" "&amp;B23)</f>
        <v>1970 D</v>
      </c>
      <c r="T23" s="73"/>
      <c r="U23" s="73" t="e">
        <f t="shared" si="2"/>
        <v>#N/A</v>
      </c>
      <c r="V23" s="76" t="s">
        <v>23</v>
      </c>
      <c r="W23" s="76" t="e">
        <f t="shared" si="3"/>
        <v>#N/A</v>
      </c>
      <c r="X23" s="73" t="e">
        <f t="shared" si="4"/>
        <v>#N/A</v>
      </c>
      <c r="Y23" s="73" t="e">
        <f t="shared" si="5"/>
        <v>#N/A</v>
      </c>
      <c r="Z23" s="73" t="s">
        <v>1014</v>
      </c>
      <c r="AA23" s="73" t="e">
        <f t="shared" si="0"/>
        <v>#N/A</v>
      </c>
      <c r="AB23" s="73" t="e">
        <f t="shared" si="1"/>
        <v>#N/A</v>
      </c>
    </row>
    <row r="24" spans="1:28">
      <c r="A24" s="74">
        <v>1974</v>
      </c>
      <c r="C24" s="76" t="s">
        <v>1963</v>
      </c>
      <c r="D24" s="73" t="s">
        <v>1015</v>
      </c>
      <c r="E24" s="73" t="s">
        <v>990</v>
      </c>
      <c r="F24" s="73" t="s">
        <v>16</v>
      </c>
      <c r="G24" s="77">
        <v>0.1</v>
      </c>
      <c r="H24" s="77">
        <v>0.1</v>
      </c>
      <c r="I24" s="76">
        <v>1</v>
      </c>
      <c r="J24" s="76"/>
      <c r="K24" s="76"/>
      <c r="L24" s="76"/>
      <c r="M24" s="76"/>
      <c r="N24" s="76"/>
      <c r="O24" s="76"/>
      <c r="Q24" s="74" t="str">
        <f t="shared" si="6"/>
        <v xml:space="preserve">1974 </v>
      </c>
      <c r="T24" s="73"/>
      <c r="U24" s="73" t="e">
        <f t="shared" si="2"/>
        <v>#N/A</v>
      </c>
      <c r="V24" s="76" t="s">
        <v>382</v>
      </c>
      <c r="W24" s="76" t="e">
        <f t="shared" si="3"/>
        <v>#N/A</v>
      </c>
      <c r="X24" s="73" t="e">
        <f t="shared" si="4"/>
        <v>#N/A</v>
      </c>
      <c r="Y24" s="73" t="e">
        <f t="shared" si="5"/>
        <v>#N/A</v>
      </c>
      <c r="Z24" s="73" t="s">
        <v>1015</v>
      </c>
      <c r="AA24" s="73" t="e">
        <f t="shared" si="0"/>
        <v>#N/A</v>
      </c>
      <c r="AB24" s="73" t="e">
        <f t="shared" si="1"/>
        <v>#N/A</v>
      </c>
    </row>
    <row r="25" spans="1:28">
      <c r="A25" s="74">
        <v>1975</v>
      </c>
      <c r="C25" s="76" t="s">
        <v>1963</v>
      </c>
      <c r="D25" s="73" t="s">
        <v>1016</v>
      </c>
      <c r="E25" s="73" t="s">
        <v>990</v>
      </c>
      <c r="F25" s="73" t="s">
        <v>16</v>
      </c>
      <c r="G25" s="77">
        <v>0.1</v>
      </c>
      <c r="H25" s="77">
        <v>0.1</v>
      </c>
      <c r="I25" s="76">
        <v>1</v>
      </c>
      <c r="J25" s="76"/>
      <c r="K25" s="76"/>
      <c r="L25" s="76"/>
      <c r="M25" s="76"/>
      <c r="N25" s="76"/>
      <c r="O25" s="76"/>
      <c r="Q25" s="74" t="str">
        <f t="shared" si="6"/>
        <v xml:space="preserve">1975 </v>
      </c>
      <c r="T25" s="73"/>
      <c r="U25" s="73" t="e">
        <f>MATCH($U$2&amp;V24,$C:$C,0)</f>
        <v>#N/A</v>
      </c>
      <c r="V25" s="76" t="s">
        <v>385</v>
      </c>
      <c r="W25" s="76" t="e">
        <f t="shared" si="3"/>
        <v>#N/A</v>
      </c>
      <c r="X25" s="73" t="e">
        <f t="shared" si="4"/>
        <v>#N/A</v>
      </c>
      <c r="Y25" s="73" t="e">
        <f t="shared" si="5"/>
        <v>#N/A</v>
      </c>
      <c r="Z25" s="73" t="s">
        <v>1016</v>
      </c>
      <c r="AA25" s="73" t="e">
        <f t="shared" si="0"/>
        <v>#N/A</v>
      </c>
      <c r="AB25" s="73" t="e">
        <f t="shared" si="1"/>
        <v>#N/A</v>
      </c>
    </row>
    <row r="26" spans="1:28">
      <c r="A26" s="74">
        <v>1977</v>
      </c>
      <c r="B26" s="76" t="s">
        <v>13</v>
      </c>
      <c r="C26" s="76" t="s">
        <v>1963</v>
      </c>
      <c r="D26" s="73" t="s">
        <v>1017</v>
      </c>
      <c r="E26" s="73" t="s">
        <v>990</v>
      </c>
      <c r="F26" s="73" t="s">
        <v>18</v>
      </c>
      <c r="G26" s="77">
        <v>0.1</v>
      </c>
      <c r="H26" s="77">
        <v>0.1</v>
      </c>
      <c r="I26" s="76">
        <v>1</v>
      </c>
      <c r="J26" s="76"/>
      <c r="K26" s="76"/>
      <c r="L26" s="76"/>
      <c r="M26" s="76"/>
      <c r="N26" s="76"/>
      <c r="O26" s="76"/>
      <c r="Q26" s="74" t="str">
        <f t="shared" si="6"/>
        <v>1977 D</v>
      </c>
      <c r="T26" s="73"/>
      <c r="U26" s="73" t="e">
        <f>MATCH($U$2&amp;V25,$C:$C,0)</f>
        <v>#N/A</v>
      </c>
      <c r="V26" s="76" t="s">
        <v>387</v>
      </c>
      <c r="W26" s="76" t="e">
        <f t="shared" si="3"/>
        <v>#N/A</v>
      </c>
      <c r="X26" s="73" t="e">
        <f t="shared" si="4"/>
        <v>#N/A</v>
      </c>
      <c r="Y26" s="73" t="e">
        <f t="shared" si="5"/>
        <v>#N/A</v>
      </c>
      <c r="Z26" s="73" t="s">
        <v>1017</v>
      </c>
      <c r="AA26" s="73" t="e">
        <f t="shared" si="0"/>
        <v>#N/A</v>
      </c>
      <c r="AB26" s="73" t="e">
        <f t="shared" si="1"/>
        <v>#N/A</v>
      </c>
    </row>
    <row r="27" spans="1:28">
      <c r="A27" s="74">
        <v>1977</v>
      </c>
      <c r="C27" s="76" t="s">
        <v>1963</v>
      </c>
      <c r="D27" s="73" t="s">
        <v>1018</v>
      </c>
      <c r="E27" s="73" t="s">
        <v>990</v>
      </c>
      <c r="F27" s="73" t="s">
        <v>1019</v>
      </c>
      <c r="G27" s="77">
        <v>0.1</v>
      </c>
      <c r="H27" s="77">
        <v>0.1</v>
      </c>
      <c r="I27" s="76">
        <v>1</v>
      </c>
      <c r="J27" s="76"/>
      <c r="K27" s="76"/>
      <c r="L27" s="76"/>
      <c r="M27" s="76"/>
      <c r="N27" s="76"/>
      <c r="O27" s="76"/>
      <c r="Q27" s="74" t="str">
        <f t="shared" si="6"/>
        <v xml:space="preserve">1977 </v>
      </c>
      <c r="T27" s="73"/>
      <c r="U27" s="73" t="e">
        <f>MATCH($U$2&amp;V26,$C:$C,0)</f>
        <v>#N/A</v>
      </c>
      <c r="V27" s="76" t="s">
        <v>389</v>
      </c>
      <c r="W27" s="76" t="e">
        <f t="shared" si="3"/>
        <v>#N/A</v>
      </c>
      <c r="X27" s="73" t="e">
        <f t="shared" si="4"/>
        <v>#N/A</v>
      </c>
      <c r="Y27" s="73" t="e">
        <f t="shared" si="5"/>
        <v>#N/A</v>
      </c>
      <c r="Z27" s="73" t="s">
        <v>1020</v>
      </c>
      <c r="AA27" s="73" t="e">
        <f t="shared" si="0"/>
        <v>#N/A</v>
      </c>
      <c r="AB27" s="73" t="e">
        <f t="shared" si="1"/>
        <v>#N/A</v>
      </c>
    </row>
    <row r="28" spans="1:28">
      <c r="A28" s="74">
        <v>1981</v>
      </c>
      <c r="B28" s="76" t="s">
        <v>25</v>
      </c>
      <c r="C28" s="76" t="s">
        <v>1963</v>
      </c>
      <c r="D28" s="73" t="s">
        <v>1020</v>
      </c>
      <c r="E28" s="73" t="s">
        <v>990</v>
      </c>
      <c r="F28" s="73" t="s">
        <v>18</v>
      </c>
      <c r="G28" s="77">
        <v>0.1</v>
      </c>
      <c r="H28" s="77">
        <v>0.1</v>
      </c>
      <c r="I28" s="76">
        <v>1</v>
      </c>
      <c r="J28" s="76"/>
      <c r="K28" s="76"/>
      <c r="L28" s="76"/>
      <c r="M28" s="76"/>
      <c r="N28" s="76"/>
      <c r="O28" s="76"/>
      <c r="Q28" s="74" t="str">
        <f t="shared" si="6"/>
        <v>1981 P</v>
      </c>
      <c r="T28" s="73"/>
      <c r="U28" s="73" t="e">
        <f>MATCH($U$2&amp;V27,$C:$C,0)</f>
        <v>#N/A</v>
      </c>
      <c r="V28" s="76" t="s">
        <v>392</v>
      </c>
      <c r="W28" s="76" t="e">
        <f t="shared" si="3"/>
        <v>#N/A</v>
      </c>
      <c r="X28" s="73" t="e">
        <f t="shared" si="4"/>
        <v>#N/A</v>
      </c>
      <c r="Y28" s="73" t="e">
        <f t="shared" si="5"/>
        <v>#N/A</v>
      </c>
      <c r="Z28" s="73" t="s">
        <v>1021</v>
      </c>
      <c r="AA28" s="73" t="e">
        <f t="shared" si="0"/>
        <v>#N/A</v>
      </c>
      <c r="AB28" s="73" t="e">
        <f t="shared" si="1"/>
        <v>#N/A</v>
      </c>
    </row>
    <row r="29" spans="1:28">
      <c r="A29" s="74">
        <v>1981</v>
      </c>
      <c r="B29" s="76" t="s">
        <v>13</v>
      </c>
      <c r="C29" s="76" t="s">
        <v>1963</v>
      </c>
      <c r="D29" s="73" t="s">
        <v>1021</v>
      </c>
      <c r="E29" s="73" t="s">
        <v>990</v>
      </c>
      <c r="F29" s="73" t="s">
        <v>18</v>
      </c>
      <c r="G29" s="77">
        <v>0.1</v>
      </c>
      <c r="H29" s="77">
        <v>0.1</v>
      </c>
      <c r="I29" s="76">
        <v>1</v>
      </c>
      <c r="J29" s="76"/>
      <c r="K29" s="76"/>
      <c r="L29" s="76"/>
      <c r="M29" s="76"/>
      <c r="N29" s="76"/>
      <c r="O29" s="76"/>
      <c r="Q29" s="74" t="s">
        <v>245</v>
      </c>
      <c r="T29" s="73"/>
      <c r="W29" s="76"/>
      <c r="Z29" s="73" t="s">
        <v>1022</v>
      </c>
      <c r="AA29" s="73" t="e">
        <f t="shared" si="0"/>
        <v>#N/A</v>
      </c>
      <c r="AB29" s="73" t="e">
        <f t="shared" si="1"/>
        <v>#N/A</v>
      </c>
    </row>
    <row r="30" spans="1:28">
      <c r="A30" s="74">
        <v>1981</v>
      </c>
      <c r="B30" s="76" t="s">
        <v>25</v>
      </c>
      <c r="C30" s="76" t="s">
        <v>1963</v>
      </c>
      <c r="D30" s="73" t="s">
        <v>1022</v>
      </c>
      <c r="E30" s="73" t="s">
        <v>990</v>
      </c>
      <c r="F30" s="73" t="s">
        <v>18</v>
      </c>
      <c r="G30" s="77">
        <v>0.1</v>
      </c>
      <c r="H30" s="77">
        <v>0.1</v>
      </c>
      <c r="I30" s="76">
        <v>1</v>
      </c>
      <c r="J30" s="76"/>
      <c r="K30" s="76"/>
      <c r="L30" s="76"/>
      <c r="M30" s="76"/>
      <c r="N30" s="76"/>
      <c r="O30" s="76"/>
      <c r="Q30" s="74" t="str">
        <f t="shared" ref="Q30:Q36" si="7">IF(A30="",A30,A30&amp;" "&amp;B30)</f>
        <v>1981 P</v>
      </c>
      <c r="T30" s="73"/>
      <c r="W30" s="76"/>
      <c r="Z30" s="73" t="s">
        <v>1023</v>
      </c>
      <c r="AA30" s="73" t="e">
        <f t="shared" si="0"/>
        <v>#N/A</v>
      </c>
      <c r="AB30" s="73" t="e">
        <f t="shared" si="1"/>
        <v>#N/A</v>
      </c>
    </row>
    <row r="31" spans="1:28">
      <c r="A31" s="74">
        <v>1982</v>
      </c>
      <c r="B31" s="76" t="s">
        <v>25</v>
      </c>
      <c r="C31" s="76" t="s">
        <v>1963</v>
      </c>
      <c r="D31" s="73" t="s">
        <v>1023</v>
      </c>
      <c r="E31" s="73" t="s">
        <v>990</v>
      </c>
      <c r="F31" s="73" t="s">
        <v>18</v>
      </c>
      <c r="G31" s="77">
        <v>0.1</v>
      </c>
      <c r="H31" s="77">
        <v>0.1</v>
      </c>
      <c r="I31" s="76">
        <v>1</v>
      </c>
      <c r="J31" s="76"/>
      <c r="K31" s="76"/>
      <c r="L31" s="76"/>
      <c r="M31" s="76"/>
      <c r="N31" s="76"/>
      <c r="O31" s="76"/>
      <c r="Q31" s="74" t="str">
        <f t="shared" si="7"/>
        <v>1982 P</v>
      </c>
      <c r="T31" s="73"/>
      <c r="W31" s="76"/>
      <c r="Z31" s="73" t="s">
        <v>1024</v>
      </c>
      <c r="AA31" s="73" t="e">
        <f t="shared" si="0"/>
        <v>#N/A</v>
      </c>
      <c r="AB31" s="73" t="e">
        <f t="shared" si="1"/>
        <v>#N/A</v>
      </c>
    </row>
    <row r="32" spans="1:28">
      <c r="A32" s="74">
        <v>1983</v>
      </c>
      <c r="B32" s="76" t="s">
        <v>13</v>
      </c>
      <c r="C32" s="76" t="s">
        <v>1963</v>
      </c>
      <c r="D32" s="73" t="s">
        <v>1024</v>
      </c>
      <c r="E32" s="73" t="s">
        <v>990</v>
      </c>
      <c r="F32" s="73" t="s">
        <v>16</v>
      </c>
      <c r="G32" s="77">
        <v>0.1</v>
      </c>
      <c r="H32" s="77">
        <v>0.1</v>
      </c>
      <c r="I32" s="76">
        <v>1</v>
      </c>
      <c r="J32" s="76"/>
      <c r="K32" s="76"/>
      <c r="L32" s="76"/>
      <c r="M32" s="76"/>
      <c r="N32" s="76"/>
      <c r="O32" s="76"/>
      <c r="Q32" s="74" t="str">
        <f t="shared" si="7"/>
        <v>1983 D</v>
      </c>
      <c r="T32" s="73"/>
      <c r="W32" s="76"/>
      <c r="Z32" s="73" t="s">
        <v>1025</v>
      </c>
      <c r="AA32" s="73" t="e">
        <f t="shared" si="0"/>
        <v>#N/A</v>
      </c>
      <c r="AB32" s="73" t="e">
        <f t="shared" si="1"/>
        <v>#N/A</v>
      </c>
    </row>
    <row r="33" spans="1:28">
      <c r="A33" s="74">
        <v>1985</v>
      </c>
      <c r="B33" s="76" t="s">
        <v>25</v>
      </c>
      <c r="C33" s="76" t="s">
        <v>1963</v>
      </c>
      <c r="D33" s="73" t="s">
        <v>1025</v>
      </c>
      <c r="E33" s="73" t="s">
        <v>990</v>
      </c>
      <c r="F33" s="73" t="s">
        <v>18</v>
      </c>
      <c r="G33" s="77">
        <v>0.1</v>
      </c>
      <c r="H33" s="77">
        <v>0.1</v>
      </c>
      <c r="I33" s="76">
        <v>1</v>
      </c>
      <c r="J33" s="76"/>
      <c r="K33" s="76"/>
      <c r="L33" s="76"/>
      <c r="M33" s="76"/>
      <c r="N33" s="76"/>
      <c r="O33" s="76"/>
      <c r="Q33" s="74" t="str">
        <f t="shared" si="7"/>
        <v>1985 P</v>
      </c>
      <c r="T33" s="73"/>
      <c r="W33" s="76"/>
      <c r="Z33" s="73" t="s">
        <v>1026</v>
      </c>
      <c r="AA33" s="73" t="e">
        <f t="shared" si="0"/>
        <v>#N/A</v>
      </c>
      <c r="AB33" s="73" t="e">
        <f t="shared" si="1"/>
        <v>#N/A</v>
      </c>
    </row>
    <row r="34" spans="1:28">
      <c r="A34" s="74">
        <v>1985</v>
      </c>
      <c r="B34" s="76" t="s">
        <v>13</v>
      </c>
      <c r="C34" s="76" t="s">
        <v>1963</v>
      </c>
      <c r="D34" s="73" t="s">
        <v>1026</v>
      </c>
      <c r="E34" s="73" t="s">
        <v>990</v>
      </c>
      <c r="F34" s="73" t="s">
        <v>18</v>
      </c>
      <c r="G34" s="77">
        <v>0.1</v>
      </c>
      <c r="H34" s="77">
        <v>0.1</v>
      </c>
      <c r="I34" s="76">
        <v>1</v>
      </c>
      <c r="J34" s="76"/>
      <c r="K34" s="76"/>
      <c r="L34" s="76"/>
      <c r="M34" s="76"/>
      <c r="N34" s="76"/>
      <c r="O34" s="76"/>
      <c r="Q34" s="74" t="str">
        <f t="shared" si="7"/>
        <v>1985 D</v>
      </c>
      <c r="T34" s="73"/>
      <c r="W34" s="76"/>
      <c r="Z34" s="73" t="s">
        <v>1027</v>
      </c>
      <c r="AA34" s="73" t="e">
        <f t="shared" si="0"/>
        <v>#N/A</v>
      </c>
      <c r="AB34" s="73" t="e">
        <f t="shared" si="1"/>
        <v>#N/A</v>
      </c>
    </row>
    <row r="35" spans="1:28">
      <c r="A35" s="74">
        <v>1985</v>
      </c>
      <c r="B35" s="76" t="s">
        <v>25</v>
      </c>
      <c r="C35" s="76" t="s">
        <v>1963</v>
      </c>
      <c r="D35" s="73" t="s">
        <v>1027</v>
      </c>
      <c r="E35" s="73" t="s">
        <v>990</v>
      </c>
      <c r="F35" s="73" t="s">
        <v>18</v>
      </c>
      <c r="G35" s="77">
        <v>0.1</v>
      </c>
      <c r="H35" s="77">
        <v>0.1</v>
      </c>
      <c r="I35" s="76">
        <v>1</v>
      </c>
      <c r="J35" s="76"/>
      <c r="K35" s="76"/>
      <c r="L35" s="76"/>
      <c r="M35" s="76"/>
      <c r="N35" s="76"/>
      <c r="O35" s="76"/>
      <c r="Q35" s="74" t="str">
        <f t="shared" si="7"/>
        <v>1985 P</v>
      </c>
      <c r="T35" s="73"/>
      <c r="W35" s="76"/>
      <c r="Z35" s="73" t="s">
        <v>1028</v>
      </c>
      <c r="AA35" s="73" t="e">
        <f t="shared" si="0"/>
        <v>#N/A</v>
      </c>
      <c r="AB35" s="73" t="e">
        <f t="shared" si="1"/>
        <v>#N/A</v>
      </c>
    </row>
    <row r="36" spans="1:28">
      <c r="A36" s="74">
        <v>1985</v>
      </c>
      <c r="B36" s="76" t="s">
        <v>25</v>
      </c>
      <c r="C36" s="76" t="s">
        <v>1963</v>
      </c>
      <c r="D36" s="73" t="s">
        <v>1028</v>
      </c>
      <c r="E36" s="73" t="s">
        <v>990</v>
      </c>
      <c r="F36" s="73" t="s">
        <v>18</v>
      </c>
      <c r="G36" s="77">
        <v>0.1</v>
      </c>
      <c r="H36" s="77">
        <v>0.1</v>
      </c>
      <c r="I36" s="76">
        <v>1</v>
      </c>
      <c r="J36" s="76"/>
      <c r="K36" s="76"/>
      <c r="L36" s="76"/>
      <c r="M36" s="76"/>
      <c r="N36" s="76"/>
      <c r="O36" s="76"/>
      <c r="Q36" s="74" t="str">
        <f t="shared" si="7"/>
        <v>1985 P</v>
      </c>
      <c r="T36" s="73"/>
      <c r="W36" s="76"/>
      <c r="Z36" s="73" t="s">
        <v>1029</v>
      </c>
      <c r="AA36" s="73" t="e">
        <f t="shared" si="0"/>
        <v>#N/A</v>
      </c>
      <c r="AB36" s="73" t="e">
        <f t="shared" si="1"/>
        <v>#N/A</v>
      </c>
    </row>
    <row r="37" spans="1:28">
      <c r="A37" s="74">
        <v>1986</v>
      </c>
      <c r="B37" s="76" t="s">
        <v>25</v>
      </c>
      <c r="C37" s="76" t="s">
        <v>1963</v>
      </c>
      <c r="D37" s="73" t="s">
        <v>1029</v>
      </c>
      <c r="E37" s="73" t="s">
        <v>990</v>
      </c>
      <c r="F37" s="73" t="s">
        <v>18</v>
      </c>
      <c r="G37" s="77">
        <v>0.1</v>
      </c>
      <c r="H37" s="77">
        <v>0.1</v>
      </c>
      <c r="I37" s="76">
        <v>1</v>
      </c>
      <c r="J37" s="76"/>
      <c r="K37" s="76"/>
      <c r="L37" s="76"/>
      <c r="M37" s="76"/>
      <c r="N37" s="76"/>
      <c r="O37" s="76"/>
      <c r="Q37" s="74" t="s">
        <v>257</v>
      </c>
      <c r="T37" s="73"/>
      <c r="W37" s="76"/>
      <c r="Z37" s="73" t="s">
        <v>1030</v>
      </c>
      <c r="AA37" s="73" t="e">
        <f t="shared" si="0"/>
        <v>#N/A</v>
      </c>
      <c r="AB37" s="73" t="e">
        <f t="shared" si="1"/>
        <v>#N/A</v>
      </c>
    </row>
    <row r="38" spans="1:28">
      <c r="A38" s="74">
        <v>1986</v>
      </c>
      <c r="B38" s="76" t="s">
        <v>25</v>
      </c>
      <c r="C38" s="76" t="s">
        <v>1963</v>
      </c>
      <c r="D38" s="73" t="s">
        <v>1030</v>
      </c>
      <c r="E38" s="73" t="s">
        <v>990</v>
      </c>
      <c r="F38" s="73" t="s">
        <v>16</v>
      </c>
      <c r="G38" s="77">
        <v>0.1</v>
      </c>
      <c r="H38" s="77">
        <v>0.1</v>
      </c>
      <c r="I38" s="76">
        <v>1</v>
      </c>
      <c r="J38" s="76"/>
      <c r="K38" s="76"/>
      <c r="L38" s="76"/>
      <c r="M38" s="76"/>
      <c r="N38" s="76"/>
      <c r="O38" s="76"/>
      <c r="Q38" s="74" t="s">
        <v>257</v>
      </c>
      <c r="T38" s="73"/>
      <c r="W38" s="76"/>
    </row>
    <row r="39" spans="1:28">
      <c r="A39" s="74">
        <v>1986</v>
      </c>
      <c r="B39" s="76" t="s">
        <v>25</v>
      </c>
      <c r="C39" s="76" t="s">
        <v>1963</v>
      </c>
      <c r="D39" s="73" t="s">
        <v>1031</v>
      </c>
      <c r="E39" s="73" t="s">
        <v>990</v>
      </c>
      <c r="F39" s="73" t="s">
        <v>18</v>
      </c>
      <c r="G39" s="77">
        <v>0.1</v>
      </c>
      <c r="H39" s="77">
        <v>1.5</v>
      </c>
      <c r="I39" s="76">
        <v>1</v>
      </c>
      <c r="J39" s="76"/>
      <c r="K39" s="76"/>
      <c r="L39" s="76"/>
      <c r="M39" s="76"/>
      <c r="N39" s="76"/>
      <c r="O39" s="76"/>
      <c r="Q39" s="74" t="str">
        <f t="shared" ref="Q39:Q45" si="8">IF(A39="",A39,A39&amp;" "&amp;B39)</f>
        <v>1986 P</v>
      </c>
      <c r="T39" s="73"/>
      <c r="W39" s="76"/>
      <c r="Z39" s="73" t="s">
        <v>1032</v>
      </c>
      <c r="AA39" s="73" t="e">
        <f t="shared" ref="AA39:AA49" si="9">MATCH(Z39,$C$1:$C$1069,0)</f>
        <v>#N/A</v>
      </c>
      <c r="AB39" s="73" t="e">
        <f>MATCH(D39,$W$2:$W$270,0)</f>
        <v>#N/A</v>
      </c>
    </row>
    <row r="40" spans="1:28">
      <c r="A40" s="74">
        <v>1987</v>
      </c>
      <c r="B40" s="76" t="s">
        <v>13</v>
      </c>
      <c r="C40" s="76" t="s">
        <v>1963</v>
      </c>
      <c r="D40" s="73" t="s">
        <v>1032</v>
      </c>
      <c r="E40" s="73" t="s">
        <v>990</v>
      </c>
      <c r="F40" s="73" t="s">
        <v>18</v>
      </c>
      <c r="G40" s="77">
        <v>0.1</v>
      </c>
      <c r="H40" s="77">
        <v>0.1</v>
      </c>
      <c r="I40" s="76">
        <v>1</v>
      </c>
      <c r="J40" s="76"/>
      <c r="K40" s="76"/>
      <c r="L40" s="76"/>
      <c r="M40" s="76"/>
      <c r="N40" s="76"/>
      <c r="O40" s="76"/>
      <c r="Q40" s="74" t="str">
        <f t="shared" si="8"/>
        <v>1987 D</v>
      </c>
      <c r="T40" s="73"/>
      <c r="W40" s="76"/>
      <c r="Z40" s="73" t="s">
        <v>1033</v>
      </c>
      <c r="AA40" s="73" t="e">
        <f t="shared" si="9"/>
        <v>#N/A</v>
      </c>
      <c r="AB40" s="73" t="e">
        <f>MATCH(D40,$W$2:$W$270,0)</f>
        <v>#N/A</v>
      </c>
    </row>
    <row r="41" spans="1:28">
      <c r="A41" s="74">
        <v>1988</v>
      </c>
      <c r="B41" s="76" t="s">
        <v>13</v>
      </c>
      <c r="C41" s="76" t="s">
        <v>1963</v>
      </c>
      <c r="D41" s="73" t="s">
        <v>1033</v>
      </c>
      <c r="E41" s="73" t="s">
        <v>990</v>
      </c>
      <c r="F41" s="73" t="s">
        <v>18</v>
      </c>
      <c r="G41" s="77">
        <v>0.1</v>
      </c>
      <c r="H41" s="77">
        <v>0.1</v>
      </c>
      <c r="I41" s="76">
        <v>1</v>
      </c>
      <c r="J41" s="76"/>
      <c r="K41" s="76"/>
      <c r="L41" s="76"/>
      <c r="M41" s="76"/>
      <c r="N41" s="76"/>
      <c r="O41" s="76"/>
      <c r="Q41" s="74" t="str">
        <f t="shared" si="8"/>
        <v>1988 D</v>
      </c>
      <c r="T41" s="73"/>
      <c r="W41" s="76"/>
      <c r="Z41" s="73" t="s">
        <v>1034</v>
      </c>
      <c r="AA41" s="73" t="e">
        <f t="shared" si="9"/>
        <v>#N/A</v>
      </c>
      <c r="AB41" s="73" t="e">
        <f>MATCH(D41,$W$2:$W$270,0)</f>
        <v>#N/A</v>
      </c>
    </row>
    <row r="42" spans="1:28">
      <c r="A42" s="74">
        <v>1988</v>
      </c>
      <c r="B42" s="76" t="s">
        <v>13</v>
      </c>
      <c r="C42" s="76" t="s">
        <v>1963</v>
      </c>
      <c r="D42" s="73" t="s">
        <v>1034</v>
      </c>
      <c r="E42" s="73" t="s">
        <v>990</v>
      </c>
      <c r="F42" s="73" t="s">
        <v>18</v>
      </c>
      <c r="G42" s="77">
        <v>0.1</v>
      </c>
      <c r="H42" s="77">
        <v>0.1</v>
      </c>
      <c r="I42" s="76">
        <v>1</v>
      </c>
      <c r="J42" s="76"/>
      <c r="K42" s="76"/>
      <c r="L42" s="76"/>
      <c r="M42" s="76"/>
      <c r="N42" s="76"/>
      <c r="O42" s="76"/>
      <c r="Q42" s="74" t="str">
        <f t="shared" si="8"/>
        <v>1988 D</v>
      </c>
      <c r="T42" s="73"/>
      <c r="W42" s="76"/>
      <c r="Z42" s="73" t="s">
        <v>1035</v>
      </c>
      <c r="AA42" s="73" t="e">
        <f t="shared" si="9"/>
        <v>#N/A</v>
      </c>
      <c r="AB42" s="73" t="e">
        <f>MATCH(D42,$W$2:$W$270,0)</f>
        <v>#N/A</v>
      </c>
    </row>
    <row r="43" spans="1:28">
      <c r="A43" s="74">
        <v>1989</v>
      </c>
      <c r="B43" s="76" t="s">
        <v>25</v>
      </c>
      <c r="C43" s="76" t="s">
        <v>1963</v>
      </c>
      <c r="D43" s="73" t="s">
        <v>1035</v>
      </c>
      <c r="E43" s="73" t="s">
        <v>990</v>
      </c>
      <c r="F43" s="73" t="s">
        <v>16</v>
      </c>
      <c r="G43" s="77">
        <v>0.1</v>
      </c>
      <c r="H43" s="77">
        <v>0.1</v>
      </c>
      <c r="I43" s="76">
        <v>1</v>
      </c>
      <c r="J43" s="76"/>
      <c r="K43" s="76"/>
      <c r="L43" s="76"/>
      <c r="M43" s="76"/>
      <c r="N43" s="76"/>
      <c r="O43" s="76"/>
      <c r="Q43" s="74" t="str">
        <f t="shared" si="8"/>
        <v>1989 P</v>
      </c>
      <c r="T43" s="73"/>
      <c r="W43" s="76"/>
      <c r="Z43" s="73" t="s">
        <v>1036</v>
      </c>
      <c r="AA43" s="73" t="e">
        <f t="shared" si="9"/>
        <v>#N/A</v>
      </c>
      <c r="AB43" s="73" t="e">
        <f>MATCH(D43,$W$2:$W$270,0)</f>
        <v>#N/A</v>
      </c>
    </row>
    <row r="44" spans="1:28">
      <c r="A44" s="74">
        <v>1989</v>
      </c>
      <c r="B44" s="76" t="s">
        <v>25</v>
      </c>
      <c r="C44" s="76" t="s">
        <v>1963</v>
      </c>
      <c r="D44" s="73" t="s">
        <v>1037</v>
      </c>
      <c r="E44" s="73" t="s">
        <v>990</v>
      </c>
      <c r="F44" s="73" t="s">
        <v>1019</v>
      </c>
      <c r="G44" s="77">
        <v>0.1</v>
      </c>
      <c r="H44" s="77">
        <v>0.1</v>
      </c>
      <c r="I44" s="76">
        <v>1</v>
      </c>
      <c r="J44" s="76"/>
      <c r="K44" s="76"/>
      <c r="L44" s="76"/>
      <c r="M44" s="76"/>
      <c r="N44" s="76"/>
      <c r="O44" s="76"/>
      <c r="Q44" s="74" t="str">
        <f t="shared" si="8"/>
        <v>1989 P</v>
      </c>
      <c r="T44" s="73"/>
      <c r="W44" s="76"/>
      <c r="Z44" s="73" t="s">
        <v>1036</v>
      </c>
      <c r="AA44" s="73" t="e">
        <f t="shared" si="9"/>
        <v>#N/A</v>
      </c>
    </row>
    <row r="45" spans="1:28">
      <c r="A45" s="74">
        <v>1990</v>
      </c>
      <c r="B45" s="76" t="s">
        <v>25</v>
      </c>
      <c r="C45" s="76" t="s">
        <v>1963</v>
      </c>
      <c r="D45" s="73" t="s">
        <v>1036</v>
      </c>
      <c r="E45" s="73" t="s">
        <v>990</v>
      </c>
      <c r="F45" s="73" t="s">
        <v>18</v>
      </c>
      <c r="G45" s="77">
        <v>0.1</v>
      </c>
      <c r="H45" s="77">
        <v>0.1</v>
      </c>
      <c r="I45" s="76">
        <v>1</v>
      </c>
      <c r="J45" s="76"/>
      <c r="K45" s="76"/>
      <c r="L45" s="76"/>
      <c r="M45" s="76"/>
      <c r="N45" s="76"/>
      <c r="O45" s="76"/>
      <c r="Q45" s="74" t="str">
        <f t="shared" si="8"/>
        <v>1990 P</v>
      </c>
      <c r="T45" s="73"/>
      <c r="W45" s="76"/>
      <c r="Z45" s="73" t="s">
        <v>1036</v>
      </c>
      <c r="AA45" s="73" t="e">
        <f t="shared" si="9"/>
        <v>#N/A</v>
      </c>
      <c r="AB45" s="73" t="e">
        <f>MATCH(D45,$W$2:$W$270,0)</f>
        <v>#N/A</v>
      </c>
    </row>
    <row r="46" spans="1:28">
      <c r="A46" s="74">
        <v>1991</v>
      </c>
      <c r="B46" s="76" t="s">
        <v>25</v>
      </c>
      <c r="C46" s="76" t="s">
        <v>1963</v>
      </c>
      <c r="D46" s="73" t="s">
        <v>1038</v>
      </c>
      <c r="E46" s="73" t="s">
        <v>990</v>
      </c>
      <c r="F46" s="73" t="s">
        <v>18</v>
      </c>
      <c r="G46" s="77">
        <v>0.1</v>
      </c>
      <c r="H46" s="77">
        <v>0.1</v>
      </c>
      <c r="I46" s="76">
        <v>1</v>
      </c>
      <c r="J46" s="76"/>
      <c r="K46" s="76"/>
      <c r="L46" s="76"/>
      <c r="M46" s="76"/>
      <c r="N46" s="76"/>
      <c r="O46" s="76"/>
      <c r="Q46" s="74">
        <v>1992</v>
      </c>
      <c r="T46" s="73"/>
      <c r="W46" s="76"/>
      <c r="Z46" s="73" t="s">
        <v>1036</v>
      </c>
      <c r="AA46" s="73" t="e">
        <f t="shared" si="9"/>
        <v>#N/A</v>
      </c>
    </row>
    <row r="47" spans="1:28">
      <c r="A47" s="74">
        <v>1992</v>
      </c>
      <c r="B47" s="76" t="s">
        <v>25</v>
      </c>
      <c r="C47" s="76" t="s">
        <v>1963</v>
      </c>
      <c r="D47" s="73" t="s">
        <v>1039</v>
      </c>
      <c r="E47" s="73" t="s">
        <v>990</v>
      </c>
      <c r="F47" s="73" t="s">
        <v>18</v>
      </c>
      <c r="G47" s="77">
        <v>0.1</v>
      </c>
      <c r="H47" s="77">
        <v>0.1</v>
      </c>
      <c r="I47" s="76">
        <v>1</v>
      </c>
      <c r="J47" s="76"/>
      <c r="K47" s="76"/>
      <c r="L47" s="76"/>
      <c r="M47" s="76"/>
      <c r="N47" s="76"/>
      <c r="O47" s="76"/>
      <c r="Q47" s="74" t="str">
        <f>IF(A47="",A47,A47&amp;" "&amp;B47)</f>
        <v>1992 P</v>
      </c>
      <c r="T47" s="73"/>
      <c r="W47" s="76"/>
      <c r="Z47" s="73" t="s">
        <v>1040</v>
      </c>
      <c r="AA47" s="73" t="e">
        <f t="shared" si="9"/>
        <v>#N/A</v>
      </c>
      <c r="AB47" s="73" t="e">
        <f>MATCH(D47,$W$2:$W$270,0)</f>
        <v>#N/A</v>
      </c>
    </row>
    <row r="48" spans="1:28">
      <c r="A48" s="74">
        <v>1992</v>
      </c>
      <c r="B48" s="76" t="s">
        <v>13</v>
      </c>
      <c r="C48" s="76" t="s">
        <v>1963</v>
      </c>
      <c r="D48" s="73" t="s">
        <v>1041</v>
      </c>
      <c r="E48" s="73" t="s">
        <v>990</v>
      </c>
      <c r="F48" s="73" t="s">
        <v>18</v>
      </c>
      <c r="G48" s="77">
        <v>0.1</v>
      </c>
      <c r="H48" s="77">
        <v>0.1</v>
      </c>
      <c r="I48" s="76">
        <v>1</v>
      </c>
      <c r="J48" s="76"/>
      <c r="K48" s="76"/>
      <c r="L48" s="76"/>
      <c r="M48" s="76"/>
      <c r="N48" s="76"/>
      <c r="O48" s="76"/>
      <c r="Q48" s="74" t="str">
        <f>IF(A48="",A48,A48&amp;" "&amp;B48)</f>
        <v>1992 D</v>
      </c>
      <c r="T48" s="73"/>
      <c r="W48" s="76"/>
      <c r="Z48" s="73" t="s">
        <v>1042</v>
      </c>
      <c r="AA48" s="73" t="e">
        <f t="shared" si="9"/>
        <v>#N/A</v>
      </c>
      <c r="AB48" s="73" t="e">
        <f>MATCH(D48,$W$2:$W$270,0)</f>
        <v>#N/A</v>
      </c>
    </row>
    <row r="49" spans="1:28">
      <c r="A49" s="74">
        <v>1993</v>
      </c>
      <c r="B49" s="76" t="s">
        <v>25</v>
      </c>
      <c r="C49" s="76" t="s">
        <v>1963</v>
      </c>
      <c r="D49" s="73" t="s">
        <v>1040</v>
      </c>
      <c r="E49" s="73" t="s">
        <v>990</v>
      </c>
      <c r="F49" s="73" t="s">
        <v>18</v>
      </c>
      <c r="G49" s="77">
        <v>0.1</v>
      </c>
      <c r="H49" s="77">
        <v>0.1</v>
      </c>
      <c r="I49" s="76">
        <v>1</v>
      </c>
      <c r="J49" s="76"/>
      <c r="K49" s="76"/>
      <c r="L49" s="76"/>
      <c r="M49" s="76"/>
      <c r="N49" s="76"/>
      <c r="O49" s="76"/>
      <c r="Q49" s="74" t="str">
        <f>IF(A49="",A49,A49&amp;" "&amp;B49)</f>
        <v>1993 P</v>
      </c>
      <c r="T49" s="73"/>
      <c r="W49" s="76"/>
      <c r="Z49" s="73" t="s">
        <v>1043</v>
      </c>
      <c r="AA49" s="73" t="e">
        <f t="shared" si="9"/>
        <v>#N/A</v>
      </c>
      <c r="AB49" s="73" t="e">
        <f>MATCH(D49,$W$2:$W$270,0)</f>
        <v>#N/A</v>
      </c>
    </row>
    <row r="50" spans="1:28">
      <c r="A50" s="74">
        <v>1993</v>
      </c>
      <c r="B50" s="76" t="s">
        <v>25</v>
      </c>
      <c r="C50" s="76" t="s">
        <v>1963</v>
      </c>
      <c r="D50" s="73" t="s">
        <v>1042</v>
      </c>
      <c r="E50" s="73" t="s">
        <v>990</v>
      </c>
      <c r="F50" s="73" t="s">
        <v>18</v>
      </c>
      <c r="G50" s="77">
        <v>0.1</v>
      </c>
      <c r="H50" s="77">
        <v>0.1</v>
      </c>
      <c r="I50" s="76">
        <v>1</v>
      </c>
      <c r="J50" s="76"/>
      <c r="K50" s="76"/>
      <c r="L50" s="76"/>
      <c r="M50" s="76"/>
      <c r="N50" s="76"/>
      <c r="O50" s="76"/>
      <c r="Q50" s="74" t="s">
        <v>277</v>
      </c>
      <c r="T50" s="73"/>
      <c r="W50" s="76"/>
    </row>
    <row r="51" spans="1:28">
      <c r="A51" s="74">
        <v>1993</v>
      </c>
      <c r="B51" s="76" t="s">
        <v>25</v>
      </c>
      <c r="C51" s="76" t="s">
        <v>1963</v>
      </c>
      <c r="D51" s="73" t="s">
        <v>1043</v>
      </c>
      <c r="E51" s="73" t="s">
        <v>990</v>
      </c>
      <c r="F51" s="73" t="s">
        <v>18</v>
      </c>
      <c r="G51" s="77">
        <v>0.1</v>
      </c>
      <c r="H51" s="77">
        <v>0.1</v>
      </c>
      <c r="I51" s="76">
        <v>1</v>
      </c>
      <c r="J51" s="76"/>
      <c r="K51" s="76"/>
      <c r="L51" s="76"/>
      <c r="M51" s="76"/>
      <c r="N51" s="76"/>
      <c r="O51" s="76"/>
      <c r="Q51" s="74" t="str">
        <f t="shared" ref="Q51:Q61" si="10">IF(A51="",A51,A51&amp;" "&amp;B51)</f>
        <v>1993 P</v>
      </c>
      <c r="T51" s="73"/>
      <c r="W51" s="76"/>
      <c r="Z51" s="73" t="s">
        <v>1044</v>
      </c>
      <c r="AA51" s="73" t="e">
        <f t="shared" ref="AA51:AA81" si="11">MATCH(Z51,$C$1:$C$1069,0)</f>
        <v>#N/A</v>
      </c>
      <c r="AB51" s="73" t="e">
        <f t="shared" ref="AB51:AB70" si="12">MATCH(D51,$W$2:$W$270,0)</f>
        <v>#N/A</v>
      </c>
    </row>
    <row r="52" spans="1:28">
      <c r="A52" s="74">
        <v>1993</v>
      </c>
      <c r="B52" s="76" t="s">
        <v>13</v>
      </c>
      <c r="C52" s="76" t="s">
        <v>1963</v>
      </c>
      <c r="D52" s="73" t="s">
        <v>1045</v>
      </c>
      <c r="E52" s="73" t="s">
        <v>990</v>
      </c>
      <c r="F52" s="73" t="s">
        <v>18</v>
      </c>
      <c r="G52" s="77">
        <v>0.1</v>
      </c>
      <c r="H52" s="77">
        <v>1.5</v>
      </c>
      <c r="I52" s="76">
        <v>1</v>
      </c>
      <c r="J52" s="76"/>
      <c r="K52" s="76"/>
      <c r="L52" s="76"/>
      <c r="M52" s="76"/>
      <c r="N52" s="76"/>
      <c r="O52" s="76"/>
      <c r="Q52" s="74" t="str">
        <f t="shared" si="10"/>
        <v>1993 D</v>
      </c>
      <c r="T52" s="73"/>
      <c r="W52" s="76"/>
      <c r="Z52" s="73" t="s">
        <v>1046</v>
      </c>
      <c r="AA52" s="73" t="e">
        <f t="shared" si="11"/>
        <v>#N/A</v>
      </c>
      <c r="AB52" s="73" t="e">
        <f t="shared" si="12"/>
        <v>#N/A</v>
      </c>
    </row>
    <row r="53" spans="1:28">
      <c r="A53" s="74">
        <v>1994</v>
      </c>
      <c r="B53" s="76" t="s">
        <v>13</v>
      </c>
      <c r="C53" s="76" t="s">
        <v>1963</v>
      </c>
      <c r="D53" s="73" t="s">
        <v>1044</v>
      </c>
      <c r="E53" s="73" t="s">
        <v>990</v>
      </c>
      <c r="F53" s="73" t="s">
        <v>18</v>
      </c>
      <c r="G53" s="77">
        <v>0.1</v>
      </c>
      <c r="H53" s="77">
        <v>0.1</v>
      </c>
      <c r="I53" s="76">
        <v>1</v>
      </c>
      <c r="J53" s="76"/>
      <c r="K53" s="76"/>
      <c r="L53" s="76"/>
      <c r="M53" s="76"/>
      <c r="N53" s="76"/>
      <c r="O53" s="76"/>
      <c r="Q53" s="74" t="str">
        <f t="shared" si="10"/>
        <v>1994 D</v>
      </c>
      <c r="T53" s="73"/>
      <c r="W53" s="76"/>
      <c r="Z53" s="73" t="s">
        <v>1047</v>
      </c>
      <c r="AA53" s="73" t="e">
        <f t="shared" si="11"/>
        <v>#N/A</v>
      </c>
      <c r="AB53" s="73" t="e">
        <f t="shared" si="12"/>
        <v>#N/A</v>
      </c>
    </row>
    <row r="54" spans="1:28">
      <c r="A54" s="74">
        <v>1994</v>
      </c>
      <c r="B54" s="76" t="s">
        <v>13</v>
      </c>
      <c r="C54" s="76" t="s">
        <v>1963</v>
      </c>
      <c r="D54" s="73" t="s">
        <v>1046</v>
      </c>
      <c r="E54" s="73" t="s">
        <v>990</v>
      </c>
      <c r="F54" s="73" t="s">
        <v>1048</v>
      </c>
      <c r="G54" s="77">
        <v>0.1</v>
      </c>
      <c r="H54" s="77">
        <v>0.1</v>
      </c>
      <c r="I54" s="76">
        <v>1</v>
      </c>
      <c r="J54" s="76"/>
      <c r="K54" s="76"/>
      <c r="L54" s="76"/>
      <c r="M54" s="76"/>
      <c r="N54" s="76"/>
      <c r="O54" s="76"/>
      <c r="Q54" s="74" t="str">
        <f t="shared" si="10"/>
        <v>1994 D</v>
      </c>
      <c r="T54" s="73"/>
      <c r="W54" s="76"/>
      <c r="Z54" s="73" t="s">
        <v>1049</v>
      </c>
      <c r="AA54" s="73" t="e">
        <f t="shared" si="11"/>
        <v>#N/A</v>
      </c>
      <c r="AB54" s="73" t="e">
        <f t="shared" si="12"/>
        <v>#N/A</v>
      </c>
    </row>
    <row r="55" spans="1:28">
      <c r="A55" s="74">
        <v>1994</v>
      </c>
      <c r="B55" s="76" t="s">
        <v>25</v>
      </c>
      <c r="C55" s="76" t="s">
        <v>1963</v>
      </c>
      <c r="D55" s="73" t="s">
        <v>1047</v>
      </c>
      <c r="E55" s="73" t="s">
        <v>990</v>
      </c>
      <c r="F55" s="73" t="s">
        <v>18</v>
      </c>
      <c r="G55" s="77">
        <v>0.1</v>
      </c>
      <c r="H55" s="77">
        <v>0.1</v>
      </c>
      <c r="I55" s="76">
        <v>1</v>
      </c>
      <c r="J55" s="76"/>
      <c r="K55" s="76"/>
      <c r="L55" s="76"/>
      <c r="M55" s="76"/>
      <c r="N55" s="76"/>
      <c r="O55" s="76"/>
      <c r="Q55" s="74" t="str">
        <f t="shared" si="10"/>
        <v>1994 P</v>
      </c>
      <c r="T55" s="73"/>
      <c r="W55" s="76"/>
      <c r="Z55" s="73" t="s">
        <v>1050</v>
      </c>
      <c r="AA55" s="73" t="e">
        <f t="shared" si="11"/>
        <v>#N/A</v>
      </c>
      <c r="AB55" s="73" t="e">
        <f t="shared" si="12"/>
        <v>#N/A</v>
      </c>
    </row>
    <row r="56" spans="1:28">
      <c r="A56" s="74">
        <v>1994</v>
      </c>
      <c r="B56" s="76" t="s">
        <v>13</v>
      </c>
      <c r="C56" s="76" t="s">
        <v>1963</v>
      </c>
      <c r="D56" s="73" t="s">
        <v>1049</v>
      </c>
      <c r="E56" s="73" t="s">
        <v>990</v>
      </c>
      <c r="F56" s="73" t="s">
        <v>18</v>
      </c>
      <c r="G56" s="77">
        <v>0.1</v>
      </c>
      <c r="H56" s="77">
        <v>0.1</v>
      </c>
      <c r="I56" s="76">
        <v>1</v>
      </c>
      <c r="J56" s="76"/>
      <c r="K56" s="76"/>
      <c r="L56" s="76"/>
      <c r="M56" s="76"/>
      <c r="N56" s="76"/>
      <c r="O56" s="76"/>
      <c r="Q56" s="74" t="str">
        <f t="shared" si="10"/>
        <v>1994 D</v>
      </c>
      <c r="T56" s="73"/>
      <c r="W56" s="76"/>
      <c r="Z56" s="73" t="s">
        <v>1051</v>
      </c>
      <c r="AA56" s="73" t="e">
        <f t="shared" si="11"/>
        <v>#N/A</v>
      </c>
      <c r="AB56" s="73" t="e">
        <f t="shared" si="12"/>
        <v>#N/A</v>
      </c>
    </row>
    <row r="57" spans="1:28">
      <c r="A57" s="74">
        <v>1994</v>
      </c>
      <c r="B57" s="76" t="s">
        <v>25</v>
      </c>
      <c r="C57" s="76" t="s">
        <v>1963</v>
      </c>
      <c r="D57" s="73" t="s">
        <v>1050</v>
      </c>
      <c r="E57" s="73" t="s">
        <v>990</v>
      </c>
      <c r="F57" s="73" t="s">
        <v>18</v>
      </c>
      <c r="G57" s="77">
        <v>0.1</v>
      </c>
      <c r="H57" s="77">
        <v>0.1</v>
      </c>
      <c r="I57" s="76">
        <v>1</v>
      </c>
      <c r="J57" s="76"/>
      <c r="K57" s="76"/>
      <c r="L57" s="76"/>
      <c r="M57" s="76"/>
      <c r="N57" s="76"/>
      <c r="O57" s="76"/>
      <c r="Q57" s="74" t="str">
        <f t="shared" si="10"/>
        <v>1994 P</v>
      </c>
      <c r="T57" s="73"/>
      <c r="W57" s="76"/>
      <c r="Z57" s="73" t="s">
        <v>1052</v>
      </c>
      <c r="AA57" s="73" t="e">
        <f t="shared" si="11"/>
        <v>#N/A</v>
      </c>
      <c r="AB57" s="73" t="e">
        <f t="shared" si="12"/>
        <v>#N/A</v>
      </c>
    </row>
    <row r="58" spans="1:28">
      <c r="A58" s="74">
        <v>1995</v>
      </c>
      <c r="B58" s="76" t="s">
        <v>25</v>
      </c>
      <c r="C58" s="76" t="s">
        <v>1963</v>
      </c>
      <c r="D58" s="73" t="s">
        <v>1051</v>
      </c>
      <c r="E58" s="73" t="s">
        <v>990</v>
      </c>
      <c r="F58" s="73" t="s">
        <v>18</v>
      </c>
      <c r="G58" s="77">
        <v>0.1</v>
      </c>
      <c r="H58" s="77">
        <v>0.1</v>
      </c>
      <c r="I58" s="76">
        <v>1</v>
      </c>
      <c r="J58" s="76"/>
      <c r="K58" s="76"/>
      <c r="L58" s="76"/>
      <c r="M58" s="76"/>
      <c r="N58" s="76"/>
      <c r="O58" s="76"/>
      <c r="Q58" s="74" t="str">
        <f t="shared" si="10"/>
        <v>1995 P</v>
      </c>
      <c r="T58" s="73"/>
      <c r="W58" s="76"/>
      <c r="Z58" s="73" t="s">
        <v>1053</v>
      </c>
      <c r="AA58" s="73" t="e">
        <f t="shared" si="11"/>
        <v>#N/A</v>
      </c>
      <c r="AB58" s="73" t="e">
        <f t="shared" si="12"/>
        <v>#N/A</v>
      </c>
    </row>
    <row r="59" spans="1:28">
      <c r="A59" s="74">
        <v>1995</v>
      </c>
      <c r="B59" s="76" t="s">
        <v>25</v>
      </c>
      <c r="C59" s="76" t="s">
        <v>1963</v>
      </c>
      <c r="D59" s="73" t="s">
        <v>1052</v>
      </c>
      <c r="E59" s="73" t="s">
        <v>990</v>
      </c>
      <c r="F59" s="73" t="s">
        <v>18</v>
      </c>
      <c r="G59" s="77">
        <v>0.1</v>
      </c>
      <c r="H59" s="77">
        <v>0.1</v>
      </c>
      <c r="I59" s="76">
        <v>1</v>
      </c>
      <c r="J59" s="76"/>
      <c r="K59" s="76"/>
      <c r="L59" s="76"/>
      <c r="M59" s="76"/>
      <c r="N59" s="76"/>
      <c r="O59" s="76"/>
      <c r="Q59" s="74" t="str">
        <f t="shared" si="10"/>
        <v>1995 P</v>
      </c>
      <c r="T59" s="73"/>
      <c r="W59" s="76"/>
      <c r="Z59" s="73" t="s">
        <v>1054</v>
      </c>
      <c r="AA59" s="73" t="e">
        <f t="shared" si="11"/>
        <v>#N/A</v>
      </c>
      <c r="AB59" s="73" t="e">
        <f t="shared" si="12"/>
        <v>#N/A</v>
      </c>
    </row>
    <row r="60" spans="1:28">
      <c r="A60" s="74">
        <v>1996</v>
      </c>
      <c r="B60" s="76" t="s">
        <v>25</v>
      </c>
      <c r="C60" s="76" t="s">
        <v>1963</v>
      </c>
      <c r="D60" s="73" t="s">
        <v>1053</v>
      </c>
      <c r="E60" s="73" t="s">
        <v>990</v>
      </c>
      <c r="F60" s="73" t="s">
        <v>1019</v>
      </c>
      <c r="G60" s="77">
        <v>0.1</v>
      </c>
      <c r="H60" s="77">
        <v>0.1</v>
      </c>
      <c r="I60" s="76">
        <v>1</v>
      </c>
      <c r="J60" s="76"/>
      <c r="K60" s="76"/>
      <c r="L60" s="76"/>
      <c r="M60" s="76"/>
      <c r="N60" s="76"/>
      <c r="O60" s="76"/>
      <c r="Q60" s="74" t="str">
        <f t="shared" si="10"/>
        <v>1996 P</v>
      </c>
      <c r="T60" s="73"/>
      <c r="W60" s="76"/>
      <c r="Z60" s="73" t="s">
        <v>1055</v>
      </c>
      <c r="AA60" s="73" t="e">
        <f t="shared" si="11"/>
        <v>#N/A</v>
      </c>
      <c r="AB60" s="73" t="e">
        <f t="shared" si="12"/>
        <v>#N/A</v>
      </c>
    </row>
    <row r="61" spans="1:28">
      <c r="A61" s="74">
        <v>1996</v>
      </c>
      <c r="B61" s="76" t="s">
        <v>25</v>
      </c>
      <c r="C61" s="76" t="s">
        <v>1963</v>
      </c>
      <c r="D61" s="73" t="s">
        <v>1054</v>
      </c>
      <c r="E61" s="73" t="s">
        <v>990</v>
      </c>
      <c r="F61" s="73" t="s">
        <v>18</v>
      </c>
      <c r="G61" s="77">
        <v>0.1</v>
      </c>
      <c r="H61" s="77">
        <v>0.1</v>
      </c>
      <c r="I61" s="76">
        <v>1</v>
      </c>
      <c r="J61" s="76"/>
      <c r="K61" s="76"/>
      <c r="L61" s="76"/>
      <c r="M61" s="76"/>
      <c r="N61" s="76"/>
      <c r="O61" s="76"/>
      <c r="Q61" s="74" t="str">
        <f t="shared" si="10"/>
        <v>1996 P</v>
      </c>
      <c r="T61" s="73"/>
      <c r="W61" s="76"/>
      <c r="Z61" s="73" t="s">
        <v>1056</v>
      </c>
      <c r="AA61" s="73" t="e">
        <f t="shared" si="11"/>
        <v>#N/A</v>
      </c>
      <c r="AB61" s="73" t="e">
        <f t="shared" si="12"/>
        <v>#N/A</v>
      </c>
    </row>
    <row r="62" spans="1:28">
      <c r="A62" s="74">
        <v>1996</v>
      </c>
      <c r="B62" s="76" t="s">
        <v>25</v>
      </c>
      <c r="C62" s="76" t="s">
        <v>1963</v>
      </c>
      <c r="D62" s="73" t="s">
        <v>1055</v>
      </c>
      <c r="E62" s="73" t="s">
        <v>990</v>
      </c>
      <c r="F62" s="73" t="s">
        <v>18</v>
      </c>
      <c r="G62" s="77">
        <v>0.1</v>
      </c>
      <c r="H62" s="77">
        <v>0.1</v>
      </c>
      <c r="I62" s="76">
        <v>1</v>
      </c>
      <c r="J62" s="76"/>
      <c r="K62" s="76"/>
      <c r="L62" s="76"/>
      <c r="M62" s="76"/>
      <c r="N62" s="76"/>
      <c r="O62" s="76"/>
      <c r="Q62" s="74" t="s">
        <v>115</v>
      </c>
      <c r="T62" s="73"/>
      <c r="W62" s="76"/>
      <c r="Z62" s="73" t="s">
        <v>1056</v>
      </c>
      <c r="AA62" s="73" t="e">
        <f t="shared" si="11"/>
        <v>#N/A</v>
      </c>
      <c r="AB62" s="73" t="e">
        <f t="shared" si="12"/>
        <v>#N/A</v>
      </c>
    </row>
    <row r="63" spans="1:28">
      <c r="A63" s="74">
        <v>1996</v>
      </c>
      <c r="B63" s="76" t="s">
        <v>13</v>
      </c>
      <c r="C63" s="76" t="s">
        <v>1963</v>
      </c>
      <c r="D63" s="73" t="s">
        <v>1056</v>
      </c>
      <c r="E63" s="73" t="s">
        <v>990</v>
      </c>
      <c r="F63" s="73" t="s">
        <v>16</v>
      </c>
      <c r="G63" s="77">
        <v>0.1</v>
      </c>
      <c r="H63" s="77">
        <v>0.1</v>
      </c>
      <c r="I63" s="76">
        <v>1</v>
      </c>
      <c r="J63" s="76"/>
      <c r="K63" s="76"/>
      <c r="L63" s="76"/>
      <c r="M63" s="76"/>
      <c r="N63" s="76"/>
      <c r="O63" s="76"/>
      <c r="Q63" s="74" t="s">
        <v>115</v>
      </c>
      <c r="T63" s="73"/>
      <c r="W63" s="76"/>
      <c r="Z63" s="73" t="s">
        <v>1056</v>
      </c>
      <c r="AA63" s="73" t="e">
        <f t="shared" si="11"/>
        <v>#N/A</v>
      </c>
      <c r="AB63" s="73" t="e">
        <f t="shared" si="12"/>
        <v>#N/A</v>
      </c>
    </row>
    <row r="64" spans="1:28">
      <c r="A64" s="74">
        <v>1996</v>
      </c>
      <c r="B64" s="76" t="s">
        <v>13</v>
      </c>
      <c r="C64" s="76" t="s">
        <v>1963</v>
      </c>
      <c r="D64" s="73" t="s">
        <v>1057</v>
      </c>
      <c r="E64" s="73" t="s">
        <v>990</v>
      </c>
      <c r="F64" s="73" t="s">
        <v>18</v>
      </c>
      <c r="G64" s="77">
        <v>0.1</v>
      </c>
      <c r="H64" s="77">
        <v>0.1</v>
      </c>
      <c r="I64" s="76">
        <v>1</v>
      </c>
      <c r="J64" s="76"/>
      <c r="K64" s="76"/>
      <c r="L64" s="76"/>
      <c r="M64" s="76"/>
      <c r="N64" s="76"/>
      <c r="O64" s="76"/>
      <c r="Q64" s="74" t="str">
        <f t="shared" ref="Q64:Q70" si="13">IF(A64="",A64,A64&amp;" "&amp;B64)</f>
        <v>1996 D</v>
      </c>
      <c r="T64" s="73"/>
      <c r="W64" s="76"/>
      <c r="Z64" s="73" t="s">
        <v>1058</v>
      </c>
      <c r="AA64" s="73" t="e">
        <f t="shared" si="11"/>
        <v>#N/A</v>
      </c>
      <c r="AB64" s="73" t="e">
        <f t="shared" si="12"/>
        <v>#N/A</v>
      </c>
    </row>
    <row r="65" spans="1:28">
      <c r="A65" s="74">
        <v>1996</v>
      </c>
      <c r="B65" s="76" t="s">
        <v>13</v>
      </c>
      <c r="C65" s="76" t="s">
        <v>1963</v>
      </c>
      <c r="D65" s="73" t="s">
        <v>1059</v>
      </c>
      <c r="E65" s="73" t="s">
        <v>990</v>
      </c>
      <c r="F65" s="73" t="s">
        <v>18</v>
      </c>
      <c r="G65" s="77">
        <v>0.1</v>
      </c>
      <c r="H65" s="77">
        <v>0.1</v>
      </c>
      <c r="I65" s="76">
        <v>1</v>
      </c>
      <c r="J65" s="76"/>
      <c r="K65" s="76"/>
      <c r="L65" s="76"/>
      <c r="M65" s="76"/>
      <c r="N65" s="76"/>
      <c r="O65" s="76"/>
      <c r="Q65" s="74" t="str">
        <f t="shared" si="13"/>
        <v>1996 D</v>
      </c>
      <c r="T65" s="73"/>
      <c r="W65" s="76"/>
      <c r="Z65" s="73" t="s">
        <v>1060</v>
      </c>
      <c r="AA65" s="73" t="e">
        <f t="shared" si="11"/>
        <v>#N/A</v>
      </c>
      <c r="AB65" s="73" t="e">
        <f t="shared" si="12"/>
        <v>#N/A</v>
      </c>
    </row>
    <row r="66" spans="1:28">
      <c r="A66" s="74">
        <v>1997</v>
      </c>
      <c r="B66" s="76" t="s">
        <v>25</v>
      </c>
      <c r="C66" s="76" t="s">
        <v>1963</v>
      </c>
      <c r="D66" s="73" t="s">
        <v>1058</v>
      </c>
      <c r="E66" s="73" t="s">
        <v>990</v>
      </c>
      <c r="F66" s="73" t="s">
        <v>18</v>
      </c>
      <c r="G66" s="77">
        <v>0.1</v>
      </c>
      <c r="H66" s="77">
        <v>0.1</v>
      </c>
      <c r="I66" s="76">
        <v>1</v>
      </c>
      <c r="J66" s="76"/>
      <c r="K66" s="76"/>
      <c r="L66" s="76"/>
      <c r="M66" s="76"/>
      <c r="N66" s="76"/>
      <c r="O66" s="76"/>
      <c r="Q66" s="74" t="str">
        <f t="shared" si="13"/>
        <v>1997 P</v>
      </c>
      <c r="T66" s="73"/>
      <c r="W66" s="76"/>
      <c r="Z66" s="73" t="s">
        <v>1061</v>
      </c>
      <c r="AA66" s="73" t="e">
        <f t="shared" si="11"/>
        <v>#N/A</v>
      </c>
      <c r="AB66" s="73" t="e">
        <f t="shared" si="12"/>
        <v>#N/A</v>
      </c>
    </row>
    <row r="67" spans="1:28">
      <c r="A67" s="74">
        <v>1997</v>
      </c>
      <c r="B67" s="76" t="s">
        <v>25</v>
      </c>
      <c r="C67" s="76" t="s">
        <v>1963</v>
      </c>
      <c r="D67" s="73" t="s">
        <v>1060</v>
      </c>
      <c r="E67" s="73" t="s">
        <v>990</v>
      </c>
      <c r="F67" s="73" t="s">
        <v>1019</v>
      </c>
      <c r="G67" s="77">
        <v>0.1</v>
      </c>
      <c r="H67" s="77">
        <v>0.1</v>
      </c>
      <c r="I67" s="76">
        <v>1</v>
      </c>
      <c r="J67" s="76"/>
      <c r="K67" s="76"/>
      <c r="L67" s="76"/>
      <c r="M67" s="76"/>
      <c r="N67" s="76"/>
      <c r="O67" s="76"/>
      <c r="Q67" s="74" t="str">
        <f t="shared" si="13"/>
        <v>1997 P</v>
      </c>
      <c r="T67" s="73"/>
      <c r="W67" s="76"/>
      <c r="Z67" s="73" t="s">
        <v>1062</v>
      </c>
      <c r="AA67" s="73" t="e">
        <f t="shared" si="11"/>
        <v>#N/A</v>
      </c>
      <c r="AB67" s="73" t="e">
        <f t="shared" si="12"/>
        <v>#N/A</v>
      </c>
    </row>
    <row r="68" spans="1:28">
      <c r="A68" s="74">
        <v>1997</v>
      </c>
      <c r="B68" s="76" t="s">
        <v>13</v>
      </c>
      <c r="C68" s="76" t="s">
        <v>1963</v>
      </c>
      <c r="D68" s="73" t="s">
        <v>1061</v>
      </c>
      <c r="E68" s="73" t="s">
        <v>990</v>
      </c>
      <c r="F68" s="73" t="s">
        <v>1019</v>
      </c>
      <c r="G68" s="77">
        <v>0.1</v>
      </c>
      <c r="H68" s="77">
        <v>0.1</v>
      </c>
      <c r="I68" s="76">
        <v>1</v>
      </c>
      <c r="J68" s="76"/>
      <c r="K68" s="76"/>
      <c r="L68" s="76"/>
      <c r="M68" s="76"/>
      <c r="N68" s="76"/>
      <c r="O68" s="76"/>
      <c r="Q68" s="74" t="str">
        <f t="shared" si="13"/>
        <v>1997 D</v>
      </c>
      <c r="T68" s="73"/>
      <c r="W68" s="76"/>
      <c r="Z68" s="73" t="s">
        <v>1063</v>
      </c>
      <c r="AA68" s="73" t="e">
        <f t="shared" si="11"/>
        <v>#N/A</v>
      </c>
      <c r="AB68" s="73" t="e">
        <f t="shared" si="12"/>
        <v>#N/A</v>
      </c>
    </row>
    <row r="69" spans="1:28">
      <c r="A69" s="74">
        <v>1997</v>
      </c>
      <c r="B69" s="76" t="s">
        <v>13</v>
      </c>
      <c r="C69" s="76" t="s">
        <v>1963</v>
      </c>
      <c r="D69" s="73" t="s">
        <v>1062</v>
      </c>
      <c r="E69" s="73" t="s">
        <v>990</v>
      </c>
      <c r="F69" s="73" t="s">
        <v>1019</v>
      </c>
      <c r="G69" s="77">
        <v>0.1</v>
      </c>
      <c r="H69" s="77">
        <v>0.1</v>
      </c>
      <c r="I69" s="76">
        <v>1</v>
      </c>
      <c r="J69" s="76"/>
      <c r="K69" s="76"/>
      <c r="L69" s="76"/>
      <c r="M69" s="76"/>
      <c r="N69" s="76"/>
      <c r="O69" s="76"/>
      <c r="Q69" s="74" t="str">
        <f t="shared" si="13"/>
        <v>1997 D</v>
      </c>
      <c r="T69" s="73"/>
      <c r="W69" s="76"/>
      <c r="Z69" s="73" t="s">
        <v>1064</v>
      </c>
      <c r="AA69" s="73" t="e">
        <f t="shared" si="11"/>
        <v>#N/A</v>
      </c>
      <c r="AB69" s="73" t="e">
        <f t="shared" si="12"/>
        <v>#N/A</v>
      </c>
    </row>
    <row r="70" spans="1:28">
      <c r="A70" s="74">
        <v>1998</v>
      </c>
      <c r="B70" s="76" t="s">
        <v>13</v>
      </c>
      <c r="C70" s="76" t="s">
        <v>1963</v>
      </c>
      <c r="D70" s="73" t="s">
        <v>1063</v>
      </c>
      <c r="E70" s="73" t="s">
        <v>990</v>
      </c>
      <c r="F70" s="73" t="s">
        <v>1019</v>
      </c>
      <c r="G70" s="77">
        <v>0.1</v>
      </c>
      <c r="H70" s="77">
        <v>0.1</v>
      </c>
      <c r="I70" s="76">
        <v>1</v>
      </c>
      <c r="J70" s="76"/>
      <c r="K70" s="76"/>
      <c r="L70" s="76"/>
      <c r="M70" s="76"/>
      <c r="N70" s="76"/>
      <c r="O70" s="76"/>
      <c r="Q70" s="74" t="str">
        <f t="shared" si="13"/>
        <v>1998 D</v>
      </c>
      <c r="T70" s="73"/>
      <c r="W70" s="76"/>
      <c r="Z70" s="73" t="s">
        <v>1065</v>
      </c>
      <c r="AA70" s="73" t="e">
        <f t="shared" si="11"/>
        <v>#N/A</v>
      </c>
      <c r="AB70" s="73" t="e">
        <f t="shared" si="12"/>
        <v>#N/A</v>
      </c>
    </row>
    <row r="71" spans="1:28">
      <c r="A71" s="74">
        <v>1998</v>
      </c>
      <c r="B71" s="76" t="s">
        <v>13</v>
      </c>
      <c r="C71" s="76" t="s">
        <v>1963</v>
      </c>
      <c r="D71" s="73" t="s">
        <v>1064</v>
      </c>
      <c r="E71" s="73" t="s">
        <v>990</v>
      </c>
      <c r="F71" s="73" t="s">
        <v>18</v>
      </c>
      <c r="G71" s="77">
        <v>0.1</v>
      </c>
      <c r="H71" s="77">
        <v>0.1</v>
      </c>
      <c r="I71" s="76">
        <v>1</v>
      </c>
      <c r="J71" s="76"/>
      <c r="K71" s="76"/>
      <c r="L71" s="76"/>
      <c r="M71" s="76"/>
      <c r="N71" s="76"/>
      <c r="O71" s="76"/>
      <c r="Q71" s="74" t="s">
        <v>725</v>
      </c>
      <c r="T71" s="73"/>
      <c r="W71" s="76"/>
      <c r="Z71" s="73" t="s">
        <v>1065</v>
      </c>
      <c r="AA71" s="73" t="e">
        <f t="shared" si="11"/>
        <v>#N/A</v>
      </c>
    </row>
    <row r="72" spans="1:28">
      <c r="A72" s="74">
        <v>1998</v>
      </c>
      <c r="B72" s="76" t="s">
        <v>25</v>
      </c>
      <c r="C72" s="76" t="s">
        <v>1963</v>
      </c>
      <c r="D72" s="73" t="s">
        <v>1065</v>
      </c>
      <c r="E72" s="73" t="s">
        <v>990</v>
      </c>
      <c r="F72" s="73" t="s">
        <v>18</v>
      </c>
      <c r="G72" s="77">
        <v>0.1</v>
      </c>
      <c r="H72" s="77">
        <v>0.1</v>
      </c>
      <c r="I72" s="76">
        <v>1</v>
      </c>
      <c r="J72" s="76"/>
      <c r="K72" s="76"/>
      <c r="L72" s="76"/>
      <c r="M72" s="76"/>
      <c r="N72" s="76"/>
      <c r="O72" s="76"/>
      <c r="Q72" s="74" t="str">
        <f t="shared" ref="Q72:Q81" si="14">IF(A72="",A72,A72&amp;" "&amp;B72)</f>
        <v>1998 P</v>
      </c>
      <c r="T72" s="73"/>
      <c r="W72" s="76"/>
      <c r="Z72" s="73" t="s">
        <v>1066</v>
      </c>
      <c r="AA72" s="73" t="e">
        <f t="shared" si="11"/>
        <v>#N/A</v>
      </c>
      <c r="AB72" s="73" t="e">
        <f t="shared" ref="AB72:AB81" si="15">MATCH(D72,$W$2:$W$270,0)</f>
        <v>#N/A</v>
      </c>
    </row>
    <row r="73" spans="1:28">
      <c r="A73" s="74">
        <v>1998</v>
      </c>
      <c r="B73" s="76" t="s">
        <v>13</v>
      </c>
      <c r="C73" s="76" t="s">
        <v>1963</v>
      </c>
      <c r="D73" s="73" t="s">
        <v>1067</v>
      </c>
      <c r="E73" s="73" t="s">
        <v>990</v>
      </c>
      <c r="F73" s="73" t="s">
        <v>18</v>
      </c>
      <c r="G73" s="77">
        <v>0.1</v>
      </c>
      <c r="H73" s="77">
        <v>0.1</v>
      </c>
      <c r="I73" s="76">
        <v>1</v>
      </c>
      <c r="J73" s="76"/>
      <c r="K73" s="76"/>
      <c r="L73" s="76"/>
      <c r="M73" s="76"/>
      <c r="N73" s="76"/>
      <c r="O73" s="76"/>
      <c r="Q73" s="74" t="str">
        <f t="shared" si="14"/>
        <v>1998 D</v>
      </c>
      <c r="T73" s="73"/>
      <c r="W73" s="76"/>
      <c r="Z73" s="73" t="s">
        <v>1068</v>
      </c>
      <c r="AA73" s="73" t="e">
        <f t="shared" si="11"/>
        <v>#N/A</v>
      </c>
      <c r="AB73" s="73" t="e">
        <f t="shared" si="15"/>
        <v>#N/A</v>
      </c>
    </row>
    <row r="74" spans="1:28">
      <c r="A74" s="74">
        <v>1999</v>
      </c>
      <c r="B74" s="76" t="s">
        <v>13</v>
      </c>
      <c r="C74" s="76" t="s">
        <v>1963</v>
      </c>
      <c r="D74" s="73" t="s">
        <v>1066</v>
      </c>
      <c r="E74" s="73" t="s">
        <v>990</v>
      </c>
      <c r="F74" s="73" t="s">
        <v>1019</v>
      </c>
      <c r="G74" s="77">
        <v>0.1</v>
      </c>
      <c r="H74" s="77">
        <v>0.1</v>
      </c>
      <c r="I74" s="76">
        <v>1</v>
      </c>
      <c r="J74" s="76"/>
      <c r="K74" s="76"/>
      <c r="L74" s="76"/>
      <c r="M74" s="76"/>
      <c r="N74" s="76"/>
      <c r="O74" s="76"/>
      <c r="Q74" s="74" t="str">
        <f t="shared" si="14"/>
        <v>1999 D</v>
      </c>
      <c r="T74" s="73"/>
      <c r="W74" s="76"/>
      <c r="Z74" s="73" t="s">
        <v>1069</v>
      </c>
      <c r="AA74" s="73" t="e">
        <f t="shared" si="11"/>
        <v>#N/A</v>
      </c>
      <c r="AB74" s="73" t="e">
        <f t="shared" si="15"/>
        <v>#N/A</v>
      </c>
    </row>
    <row r="75" spans="1:28">
      <c r="A75" s="74">
        <v>1999</v>
      </c>
      <c r="B75" s="76" t="s">
        <v>25</v>
      </c>
      <c r="C75" s="76" t="s">
        <v>1963</v>
      </c>
      <c r="D75" s="73" t="s">
        <v>1068</v>
      </c>
      <c r="E75" s="73" t="s">
        <v>990</v>
      </c>
      <c r="F75" s="73" t="s">
        <v>1019</v>
      </c>
      <c r="G75" s="77">
        <v>0.1</v>
      </c>
      <c r="H75" s="77">
        <v>0.1</v>
      </c>
      <c r="I75" s="76">
        <v>1</v>
      </c>
      <c r="J75" s="76"/>
      <c r="K75" s="76"/>
      <c r="L75" s="76"/>
      <c r="M75" s="76"/>
      <c r="N75" s="76"/>
      <c r="O75" s="76"/>
      <c r="Q75" s="74" t="str">
        <f t="shared" si="14"/>
        <v>1999 P</v>
      </c>
      <c r="T75" s="73"/>
      <c r="W75" s="76"/>
      <c r="Z75" s="73" t="s">
        <v>1070</v>
      </c>
      <c r="AA75" s="73" t="e">
        <f t="shared" si="11"/>
        <v>#N/A</v>
      </c>
      <c r="AB75" s="73" t="e">
        <f t="shared" si="15"/>
        <v>#N/A</v>
      </c>
    </row>
    <row r="76" spans="1:28">
      <c r="A76" s="74">
        <v>1999</v>
      </c>
      <c r="B76" s="76" t="s">
        <v>25</v>
      </c>
      <c r="C76" s="76" t="s">
        <v>1963</v>
      </c>
      <c r="D76" s="73" t="s">
        <v>1069</v>
      </c>
      <c r="E76" s="73" t="s">
        <v>990</v>
      </c>
      <c r="F76" s="73" t="s">
        <v>18</v>
      </c>
      <c r="G76" s="77">
        <v>0.1</v>
      </c>
      <c r="H76" s="77">
        <v>0.1</v>
      </c>
      <c r="I76" s="76">
        <v>1</v>
      </c>
      <c r="J76" s="76"/>
      <c r="K76" s="76"/>
      <c r="L76" s="76"/>
      <c r="M76" s="76"/>
      <c r="N76" s="76"/>
      <c r="O76" s="76"/>
      <c r="Q76" s="74" t="str">
        <f t="shared" si="14"/>
        <v>1999 P</v>
      </c>
      <c r="T76" s="73"/>
      <c r="W76" s="76"/>
      <c r="Z76" s="73" t="s">
        <v>1071</v>
      </c>
      <c r="AA76" s="73" t="e">
        <f t="shared" si="11"/>
        <v>#N/A</v>
      </c>
      <c r="AB76" s="73" t="e">
        <f t="shared" si="15"/>
        <v>#N/A</v>
      </c>
    </row>
    <row r="77" spans="1:28">
      <c r="A77" s="74">
        <v>1999</v>
      </c>
      <c r="B77" s="76" t="s">
        <v>13</v>
      </c>
      <c r="C77" s="76" t="s">
        <v>1963</v>
      </c>
      <c r="D77" s="73" t="s">
        <v>1070</v>
      </c>
      <c r="E77" s="73" t="s">
        <v>990</v>
      </c>
      <c r="F77" s="73" t="s">
        <v>18</v>
      </c>
      <c r="G77" s="77">
        <v>0.1</v>
      </c>
      <c r="H77" s="77">
        <v>0.1</v>
      </c>
      <c r="I77" s="76">
        <v>1</v>
      </c>
      <c r="J77" s="76"/>
      <c r="K77" s="76"/>
      <c r="L77" s="76"/>
      <c r="M77" s="76"/>
      <c r="N77" s="76"/>
      <c r="O77" s="76"/>
      <c r="Q77" s="74" t="str">
        <f t="shared" si="14"/>
        <v>1999 D</v>
      </c>
      <c r="T77" s="73"/>
      <c r="W77" s="76"/>
      <c r="Z77" s="73" t="s">
        <v>1072</v>
      </c>
      <c r="AA77" s="73" t="e">
        <f t="shared" si="11"/>
        <v>#N/A</v>
      </c>
      <c r="AB77" s="73" t="e">
        <f t="shared" si="15"/>
        <v>#N/A</v>
      </c>
    </row>
    <row r="78" spans="1:28">
      <c r="A78" s="74">
        <v>2000</v>
      </c>
      <c r="B78" s="76" t="s">
        <v>13</v>
      </c>
      <c r="C78" s="76" t="s">
        <v>1963</v>
      </c>
      <c r="D78" s="73" t="s">
        <v>1071</v>
      </c>
      <c r="E78" s="73" t="s">
        <v>990</v>
      </c>
      <c r="F78" s="73" t="s">
        <v>1019</v>
      </c>
      <c r="G78" s="77">
        <v>0.1</v>
      </c>
      <c r="H78" s="77">
        <v>0.1</v>
      </c>
      <c r="I78" s="76">
        <v>1</v>
      </c>
      <c r="J78" s="76"/>
      <c r="K78" s="76"/>
      <c r="L78" s="76"/>
      <c r="M78" s="76"/>
      <c r="N78" s="76"/>
      <c r="O78" s="76"/>
      <c r="Q78" s="74" t="str">
        <f t="shared" si="14"/>
        <v>2000 D</v>
      </c>
      <c r="T78" s="73"/>
      <c r="W78" s="76"/>
      <c r="Z78" s="73" t="s">
        <v>1073</v>
      </c>
      <c r="AA78" s="73" t="e">
        <f t="shared" si="11"/>
        <v>#N/A</v>
      </c>
      <c r="AB78" s="73" t="e">
        <f t="shared" si="15"/>
        <v>#N/A</v>
      </c>
    </row>
    <row r="79" spans="1:28">
      <c r="A79" s="74">
        <v>2000</v>
      </c>
      <c r="B79" s="76" t="s">
        <v>13</v>
      </c>
      <c r="C79" s="76" t="s">
        <v>1963</v>
      </c>
      <c r="D79" s="73" t="s">
        <v>1072</v>
      </c>
      <c r="E79" s="73" t="s">
        <v>990</v>
      </c>
      <c r="F79" s="73" t="s">
        <v>1019</v>
      </c>
      <c r="G79" s="77">
        <v>0.1</v>
      </c>
      <c r="H79" s="77">
        <v>0.1</v>
      </c>
      <c r="I79" s="76">
        <v>1</v>
      </c>
      <c r="J79" s="76"/>
      <c r="K79" s="76"/>
      <c r="L79" s="76"/>
      <c r="M79" s="76"/>
      <c r="N79" s="76"/>
      <c r="O79" s="76"/>
      <c r="Q79" s="74" t="str">
        <f t="shared" si="14"/>
        <v>2000 D</v>
      </c>
      <c r="T79" s="73"/>
      <c r="W79" s="76"/>
      <c r="Z79" s="73" t="s">
        <v>1074</v>
      </c>
      <c r="AA79" s="73" t="e">
        <f t="shared" si="11"/>
        <v>#N/A</v>
      </c>
      <c r="AB79" s="73" t="e">
        <f t="shared" si="15"/>
        <v>#N/A</v>
      </c>
    </row>
    <row r="80" spans="1:28">
      <c r="A80" s="74">
        <v>2001</v>
      </c>
      <c r="B80" s="76" t="s">
        <v>13</v>
      </c>
      <c r="C80" s="76" t="s">
        <v>1963</v>
      </c>
      <c r="D80" s="73" t="s">
        <v>1073</v>
      </c>
      <c r="E80" s="73" t="s">
        <v>990</v>
      </c>
      <c r="F80" s="73" t="s">
        <v>1019</v>
      </c>
      <c r="G80" s="77">
        <v>0.1</v>
      </c>
      <c r="H80" s="77">
        <v>0.1</v>
      </c>
      <c r="I80" s="76">
        <v>1</v>
      </c>
      <c r="J80" s="76"/>
      <c r="K80" s="76"/>
      <c r="L80" s="76"/>
      <c r="M80" s="76"/>
      <c r="N80" s="76"/>
      <c r="O80" s="76"/>
      <c r="Q80" s="74" t="str">
        <f t="shared" si="14"/>
        <v>2001 D</v>
      </c>
      <c r="T80" s="73"/>
      <c r="W80" s="76"/>
      <c r="Z80" s="73" t="s">
        <v>1075</v>
      </c>
      <c r="AA80" s="73" t="e">
        <f t="shared" si="11"/>
        <v>#N/A</v>
      </c>
      <c r="AB80" s="73" t="e">
        <f t="shared" si="15"/>
        <v>#N/A</v>
      </c>
    </row>
    <row r="81" spans="1:28">
      <c r="A81" s="74">
        <v>2001</v>
      </c>
      <c r="B81" s="76" t="s">
        <v>13</v>
      </c>
      <c r="C81" s="76" t="s">
        <v>1963</v>
      </c>
      <c r="D81" s="73" t="s">
        <v>1076</v>
      </c>
      <c r="E81" s="73" t="s">
        <v>990</v>
      </c>
      <c r="F81" s="73" t="s">
        <v>1019</v>
      </c>
      <c r="G81" s="77">
        <v>0.1</v>
      </c>
      <c r="H81" s="77">
        <v>0.1</v>
      </c>
      <c r="I81" s="76">
        <v>1</v>
      </c>
      <c r="J81" s="76"/>
      <c r="K81" s="76"/>
      <c r="L81" s="76"/>
      <c r="M81" s="76"/>
      <c r="N81" s="76"/>
      <c r="O81" s="76"/>
      <c r="Q81" s="74" t="str">
        <f t="shared" si="14"/>
        <v>2001 D</v>
      </c>
      <c r="T81" s="73"/>
      <c r="W81" s="76"/>
      <c r="Z81" s="73" t="s">
        <v>1077</v>
      </c>
      <c r="AA81" s="73" t="e">
        <f t="shared" si="11"/>
        <v>#N/A</v>
      </c>
      <c r="AB81" s="73" t="e">
        <f t="shared" si="15"/>
        <v>#N/A</v>
      </c>
    </row>
    <row r="82" spans="1:28">
      <c r="A82" s="74">
        <v>2002</v>
      </c>
      <c r="B82" s="76" t="s">
        <v>13</v>
      </c>
      <c r="C82" s="76" t="s">
        <v>1963</v>
      </c>
      <c r="D82" s="73" t="s">
        <v>1074</v>
      </c>
      <c r="E82" s="73" t="s">
        <v>990</v>
      </c>
      <c r="F82" s="73" t="s">
        <v>1019</v>
      </c>
      <c r="G82" s="77">
        <v>0.1</v>
      </c>
      <c r="H82" s="77">
        <v>0.1</v>
      </c>
      <c r="I82" s="76">
        <v>1</v>
      </c>
      <c r="J82" s="76"/>
      <c r="K82" s="76"/>
      <c r="L82" s="76"/>
      <c r="M82" s="76"/>
      <c r="N82" s="76"/>
      <c r="O82" s="76"/>
      <c r="Q82" s="74" t="s">
        <v>154</v>
      </c>
      <c r="T82" s="73"/>
      <c r="W82" s="76"/>
    </row>
    <row r="83" spans="1:28">
      <c r="A83" s="74">
        <v>2003</v>
      </c>
      <c r="B83" s="76" t="s">
        <v>25</v>
      </c>
      <c r="C83" s="76" t="s">
        <v>1963</v>
      </c>
      <c r="D83" s="73" t="s">
        <v>1077</v>
      </c>
      <c r="E83" s="73" t="s">
        <v>990</v>
      </c>
      <c r="F83" s="73" t="s">
        <v>1019</v>
      </c>
      <c r="G83" s="77">
        <v>0.1</v>
      </c>
      <c r="H83" s="77">
        <v>0.1</v>
      </c>
      <c r="I83" s="76">
        <v>1</v>
      </c>
      <c r="J83" s="76"/>
      <c r="K83" s="76"/>
      <c r="L83" s="76"/>
      <c r="M83" s="76"/>
      <c r="N83" s="76"/>
      <c r="O83" s="76"/>
      <c r="Q83" s="74" t="str">
        <f>IF(A83="",A83,A83&amp;" "&amp;B83)</f>
        <v>2003 P</v>
      </c>
      <c r="T83" s="73"/>
      <c r="W83" s="76"/>
      <c r="Z83" s="73" t="s">
        <v>1078</v>
      </c>
      <c r="AA83" s="73" t="e">
        <f>MATCH(Z83,$C$1:$C$1069,0)</f>
        <v>#N/A</v>
      </c>
      <c r="AB83" s="73" t="e">
        <f>MATCH(D83,$W$2:$W$270,0)</f>
        <v>#N/A</v>
      </c>
    </row>
    <row r="84" spans="1:28">
      <c r="A84" s="74">
        <v>2003</v>
      </c>
      <c r="B84" s="76" t="s">
        <v>25</v>
      </c>
      <c r="C84" s="76" t="s">
        <v>1963</v>
      </c>
      <c r="D84" s="73" t="s">
        <v>1079</v>
      </c>
      <c r="E84" s="73" t="s">
        <v>990</v>
      </c>
      <c r="F84" s="73" t="s">
        <v>1019</v>
      </c>
      <c r="G84" s="77">
        <v>0.1</v>
      </c>
      <c r="H84" s="77">
        <v>1.5</v>
      </c>
      <c r="I84" s="76">
        <v>1</v>
      </c>
      <c r="J84" s="76"/>
      <c r="K84" s="76"/>
      <c r="L84" s="76"/>
      <c r="M84" s="76"/>
      <c r="N84" s="76"/>
      <c r="O84" s="76"/>
      <c r="Q84" s="74" t="str">
        <f>IF(A84="",A84,A84&amp;" "&amp;B84)</f>
        <v>2003 P</v>
      </c>
      <c r="T84" s="73"/>
      <c r="W84" s="76"/>
      <c r="Z84" s="73" t="s">
        <v>1080</v>
      </c>
      <c r="AA84" s="73" t="e">
        <f>MATCH(Z84,$C$1:$C$1069,0)</f>
        <v>#N/A</v>
      </c>
      <c r="AB84" s="73" t="e">
        <f>MATCH(D84,$W$2:$W$270,0)</f>
        <v>#N/A</v>
      </c>
    </row>
    <row r="85" spans="1:28">
      <c r="A85" s="74">
        <v>2003</v>
      </c>
      <c r="B85" s="76" t="s">
        <v>25</v>
      </c>
      <c r="C85" s="76" t="s">
        <v>1963</v>
      </c>
      <c r="D85" s="73" t="s">
        <v>1075</v>
      </c>
      <c r="E85" s="73" t="s">
        <v>990</v>
      </c>
      <c r="F85" s="73" t="s">
        <v>1019</v>
      </c>
      <c r="G85" s="77">
        <v>0.1</v>
      </c>
      <c r="H85" s="77">
        <v>0.1</v>
      </c>
      <c r="I85" s="76">
        <v>1</v>
      </c>
      <c r="J85" s="76"/>
      <c r="K85" s="76"/>
      <c r="L85" s="76"/>
      <c r="M85" s="76"/>
      <c r="N85" s="76"/>
      <c r="O85" s="76"/>
      <c r="Q85" s="74" t="s">
        <v>742</v>
      </c>
      <c r="T85" s="73"/>
      <c r="W85" s="76"/>
    </row>
    <row r="86" spans="1:28">
      <c r="A86" s="74">
        <v>2004</v>
      </c>
      <c r="B86" s="76" t="s">
        <v>25</v>
      </c>
      <c r="C86" s="76" t="s">
        <v>1963</v>
      </c>
      <c r="D86" s="73" t="s">
        <v>1078</v>
      </c>
      <c r="E86" s="73" t="s">
        <v>990</v>
      </c>
      <c r="F86" s="73" t="s">
        <v>1019</v>
      </c>
      <c r="G86" s="77">
        <v>0.1</v>
      </c>
      <c r="H86" s="77">
        <v>0.1</v>
      </c>
      <c r="I86" s="76">
        <v>1</v>
      </c>
      <c r="J86" s="76"/>
      <c r="K86" s="76"/>
      <c r="L86" s="76"/>
      <c r="M86" s="76"/>
      <c r="N86" s="76"/>
      <c r="O86" s="76"/>
      <c r="Q86" s="74" t="str">
        <f t="shared" ref="Q86:Q93" si="16">IF(A86="",A86,A86&amp;" "&amp;B86)</f>
        <v>2004 P</v>
      </c>
      <c r="T86" s="73"/>
      <c r="W86" s="76"/>
      <c r="Z86" s="73" t="s">
        <v>1081</v>
      </c>
      <c r="AA86" s="73" t="e">
        <f t="shared" ref="AA86:AA120" si="17">MATCH(Z86,$C$1:$C$1069,0)</f>
        <v>#N/A</v>
      </c>
      <c r="AB86" s="73" t="e">
        <f t="shared" ref="AB86:AB120" si="18">MATCH(D86,$W$2:$W$270,0)</f>
        <v>#N/A</v>
      </c>
    </row>
    <row r="87" spans="1:28">
      <c r="A87" s="74">
        <v>2004</v>
      </c>
      <c r="B87" s="76" t="s">
        <v>25</v>
      </c>
      <c r="C87" s="76" t="s">
        <v>1963</v>
      </c>
      <c r="D87" s="73" t="s">
        <v>1080</v>
      </c>
      <c r="E87" s="73" t="s">
        <v>990</v>
      </c>
      <c r="F87" s="73" t="s">
        <v>1019</v>
      </c>
      <c r="G87" s="77">
        <v>0.1</v>
      </c>
      <c r="H87" s="77">
        <v>0.1</v>
      </c>
      <c r="I87" s="76">
        <v>1</v>
      </c>
      <c r="J87" s="76"/>
      <c r="K87" s="76"/>
      <c r="L87" s="76"/>
      <c r="M87" s="76"/>
      <c r="N87" s="76"/>
      <c r="O87" s="76"/>
      <c r="Q87" s="74" t="str">
        <f t="shared" si="16"/>
        <v>2004 P</v>
      </c>
      <c r="T87" s="73"/>
      <c r="W87" s="76"/>
      <c r="Z87" s="73" t="s">
        <v>1082</v>
      </c>
      <c r="AA87" s="73" t="e">
        <f t="shared" si="17"/>
        <v>#N/A</v>
      </c>
      <c r="AB87" s="73" t="e">
        <f t="shared" si="18"/>
        <v>#N/A</v>
      </c>
    </row>
    <row r="88" spans="1:28">
      <c r="A88" s="74">
        <v>2004</v>
      </c>
      <c r="B88" s="76" t="s">
        <v>25</v>
      </c>
      <c r="C88" s="76" t="s">
        <v>1963</v>
      </c>
      <c r="D88" s="73" t="s">
        <v>1083</v>
      </c>
      <c r="E88" s="73" t="s">
        <v>990</v>
      </c>
      <c r="F88" s="73" t="s">
        <v>1019</v>
      </c>
      <c r="G88" s="77">
        <v>0.1</v>
      </c>
      <c r="H88" s="77">
        <v>1.5</v>
      </c>
      <c r="I88" s="76">
        <v>1</v>
      </c>
      <c r="J88" s="76"/>
      <c r="K88" s="76"/>
      <c r="L88" s="76"/>
      <c r="M88" s="76"/>
      <c r="N88" s="76"/>
      <c r="O88" s="76"/>
      <c r="Q88" s="74" t="str">
        <f t="shared" si="16"/>
        <v>2004 P</v>
      </c>
      <c r="T88" s="73"/>
      <c r="W88" s="76"/>
      <c r="Z88" s="73" t="s">
        <v>1084</v>
      </c>
      <c r="AA88" s="73" t="e">
        <f t="shared" si="17"/>
        <v>#N/A</v>
      </c>
      <c r="AB88" s="73" t="e">
        <f t="shared" si="18"/>
        <v>#N/A</v>
      </c>
    </row>
    <row r="89" spans="1:28">
      <c r="A89" s="74">
        <v>2005</v>
      </c>
      <c r="B89" s="76" t="s">
        <v>25</v>
      </c>
      <c r="C89" s="76" t="s">
        <v>1963</v>
      </c>
      <c r="D89" s="73" t="s">
        <v>1081</v>
      </c>
      <c r="E89" s="73" t="s">
        <v>990</v>
      </c>
      <c r="F89" s="73" t="s">
        <v>1019</v>
      </c>
      <c r="G89" s="77">
        <v>0.1</v>
      </c>
      <c r="H89" s="77">
        <v>0.1</v>
      </c>
      <c r="I89" s="76">
        <v>1</v>
      </c>
      <c r="J89" s="76"/>
      <c r="K89" s="76"/>
      <c r="L89" s="76"/>
      <c r="M89" s="76"/>
      <c r="N89" s="76"/>
      <c r="O89" s="76"/>
      <c r="Q89" s="74" t="str">
        <f t="shared" si="16"/>
        <v>2005 P</v>
      </c>
      <c r="T89" s="73"/>
      <c r="W89" s="76"/>
      <c r="Z89" s="73" t="s">
        <v>1085</v>
      </c>
      <c r="AA89" s="73" t="e">
        <f t="shared" si="17"/>
        <v>#N/A</v>
      </c>
      <c r="AB89" s="73" t="e">
        <f t="shared" si="18"/>
        <v>#N/A</v>
      </c>
    </row>
    <row r="90" spans="1:28">
      <c r="A90" s="74">
        <v>2005</v>
      </c>
      <c r="B90" s="76" t="s">
        <v>25</v>
      </c>
      <c r="C90" s="76" t="s">
        <v>1963</v>
      </c>
      <c r="D90" s="73" t="s">
        <v>1082</v>
      </c>
      <c r="E90" s="73" t="s">
        <v>990</v>
      </c>
      <c r="F90" s="73" t="s">
        <v>1019</v>
      </c>
      <c r="G90" s="77">
        <v>0.1</v>
      </c>
      <c r="H90" s="77">
        <v>0.1</v>
      </c>
      <c r="I90" s="76">
        <v>1</v>
      </c>
      <c r="J90" s="76"/>
      <c r="K90" s="76"/>
      <c r="L90" s="76"/>
      <c r="M90" s="76"/>
      <c r="N90" s="76"/>
      <c r="O90" s="76"/>
      <c r="Q90" s="74" t="str">
        <f t="shared" si="16"/>
        <v>2005 P</v>
      </c>
      <c r="T90" s="73"/>
      <c r="W90" s="76"/>
      <c r="Z90" s="73" t="s">
        <v>1086</v>
      </c>
      <c r="AA90" s="73" t="e">
        <f t="shared" si="17"/>
        <v>#N/A</v>
      </c>
      <c r="AB90" s="73" t="e">
        <f t="shared" si="18"/>
        <v>#N/A</v>
      </c>
    </row>
    <row r="91" spans="1:28">
      <c r="A91" s="74">
        <v>2006</v>
      </c>
      <c r="B91" s="76" t="s">
        <v>25</v>
      </c>
      <c r="C91" s="76" t="s">
        <v>1963</v>
      </c>
      <c r="D91" s="73" t="s">
        <v>1084</v>
      </c>
      <c r="E91" s="73" t="s">
        <v>990</v>
      </c>
      <c r="F91" s="73" t="s">
        <v>18</v>
      </c>
      <c r="G91" s="77">
        <v>0.1</v>
      </c>
      <c r="H91" s="77">
        <v>0.1</v>
      </c>
      <c r="I91" s="76">
        <v>1</v>
      </c>
      <c r="J91" s="76"/>
      <c r="K91" s="76"/>
      <c r="L91" s="76"/>
      <c r="M91" s="76"/>
      <c r="N91" s="76"/>
      <c r="O91" s="76"/>
      <c r="Q91" s="74" t="str">
        <f t="shared" si="16"/>
        <v>2006 P</v>
      </c>
      <c r="T91" s="73"/>
      <c r="W91" s="76"/>
      <c r="Z91" s="73" t="s">
        <v>1087</v>
      </c>
      <c r="AA91" s="73" t="e">
        <f t="shared" si="17"/>
        <v>#N/A</v>
      </c>
      <c r="AB91" s="73" t="e">
        <f t="shared" si="18"/>
        <v>#N/A</v>
      </c>
    </row>
    <row r="92" spans="1:28">
      <c r="A92" s="74">
        <v>2007</v>
      </c>
      <c r="B92" s="76" t="s">
        <v>25</v>
      </c>
      <c r="C92" s="76" t="s">
        <v>1963</v>
      </c>
      <c r="D92" s="73" t="s">
        <v>1085</v>
      </c>
      <c r="E92" s="73" t="s">
        <v>990</v>
      </c>
      <c r="F92" s="73" t="s">
        <v>1019</v>
      </c>
      <c r="G92" s="77">
        <v>0.1</v>
      </c>
      <c r="H92" s="77">
        <v>0.1</v>
      </c>
      <c r="I92" s="76">
        <v>1</v>
      </c>
      <c r="J92" s="76"/>
      <c r="K92" s="76"/>
      <c r="L92" s="76"/>
      <c r="M92" s="76"/>
      <c r="N92" s="76"/>
      <c r="O92" s="76"/>
      <c r="Q92" s="74" t="str">
        <f t="shared" si="16"/>
        <v>2007 P</v>
      </c>
      <c r="T92" s="73"/>
      <c r="W92" s="76"/>
      <c r="Z92" s="73" t="s">
        <v>1088</v>
      </c>
      <c r="AA92" s="73" t="e">
        <f t="shared" si="17"/>
        <v>#N/A</v>
      </c>
      <c r="AB92" s="73" t="e">
        <f t="shared" si="18"/>
        <v>#N/A</v>
      </c>
    </row>
    <row r="93" spans="1:28">
      <c r="A93" s="74">
        <v>2007</v>
      </c>
      <c r="B93" s="76" t="s">
        <v>25</v>
      </c>
      <c r="C93" s="76" t="s">
        <v>1963</v>
      </c>
      <c r="D93" s="73" t="s">
        <v>1086</v>
      </c>
      <c r="E93" s="73" t="s">
        <v>990</v>
      </c>
      <c r="F93" s="73" t="s">
        <v>1019</v>
      </c>
      <c r="G93" s="77">
        <v>0.1</v>
      </c>
      <c r="H93" s="77">
        <v>0.1</v>
      </c>
      <c r="I93" s="76">
        <v>1</v>
      </c>
      <c r="J93" s="76"/>
      <c r="K93" s="76"/>
      <c r="L93" s="76"/>
      <c r="M93" s="76"/>
      <c r="N93" s="76"/>
      <c r="O93" s="76"/>
      <c r="Q93" s="74" t="str">
        <f t="shared" si="16"/>
        <v>2007 P</v>
      </c>
      <c r="T93" s="73"/>
      <c r="W93" s="76"/>
      <c r="Z93" s="73" t="s">
        <v>1089</v>
      </c>
      <c r="AA93" s="73" t="e">
        <f t="shared" si="17"/>
        <v>#N/A</v>
      </c>
      <c r="AB93" s="73" t="e">
        <f t="shared" si="18"/>
        <v>#N/A</v>
      </c>
    </row>
    <row r="94" spans="1:28">
      <c r="A94" s="74">
        <v>2007</v>
      </c>
      <c r="B94" s="76" t="s">
        <v>25</v>
      </c>
      <c r="C94" s="76" t="s">
        <v>1963</v>
      </c>
      <c r="D94" s="73" t="s">
        <v>1087</v>
      </c>
      <c r="E94" s="73" t="s">
        <v>990</v>
      </c>
      <c r="F94" s="73" t="s">
        <v>1019</v>
      </c>
      <c r="G94" s="77">
        <v>0.1</v>
      </c>
      <c r="H94" s="77">
        <v>0.1</v>
      </c>
      <c r="I94" s="76">
        <v>1</v>
      </c>
      <c r="J94" s="76"/>
      <c r="K94" s="76"/>
      <c r="L94" s="76"/>
      <c r="M94" s="76"/>
      <c r="N94" s="76"/>
      <c r="O94" s="76"/>
      <c r="Q94" s="74" t="s">
        <v>214</v>
      </c>
      <c r="T94" s="73"/>
      <c r="W94" s="76"/>
      <c r="Z94" s="73" t="s">
        <v>1090</v>
      </c>
      <c r="AA94" s="73" t="e">
        <f t="shared" si="17"/>
        <v>#N/A</v>
      </c>
      <c r="AB94" s="73" t="e">
        <f t="shared" si="18"/>
        <v>#N/A</v>
      </c>
    </row>
    <row r="95" spans="1:28">
      <c r="A95" s="74">
        <v>2007</v>
      </c>
      <c r="B95" s="76" t="s">
        <v>25</v>
      </c>
      <c r="C95" s="76" t="s">
        <v>1963</v>
      </c>
      <c r="D95" s="73" t="s">
        <v>1088</v>
      </c>
      <c r="E95" s="73" t="s">
        <v>990</v>
      </c>
      <c r="F95" s="73" t="s">
        <v>1019</v>
      </c>
      <c r="G95" s="77">
        <v>0.1</v>
      </c>
      <c r="H95" s="77">
        <v>0.1</v>
      </c>
      <c r="I95" s="76">
        <v>1</v>
      </c>
      <c r="J95" s="76"/>
      <c r="K95" s="76"/>
      <c r="L95" s="76"/>
      <c r="M95" s="76"/>
      <c r="N95" s="76"/>
      <c r="O95" s="76"/>
      <c r="Q95" s="74" t="str">
        <f t="shared" ref="Q95:Q120" si="19">IF(A95="",A95,A95&amp;" "&amp;B95)</f>
        <v>2007 P</v>
      </c>
      <c r="T95" s="73"/>
      <c r="W95" s="76"/>
      <c r="Z95" s="73" t="s">
        <v>1091</v>
      </c>
      <c r="AA95" s="73" t="e">
        <f t="shared" si="17"/>
        <v>#N/A</v>
      </c>
      <c r="AB95" s="73" t="e">
        <f t="shared" si="18"/>
        <v>#N/A</v>
      </c>
    </row>
    <row r="96" spans="1:28">
      <c r="A96" s="74">
        <v>2008</v>
      </c>
      <c r="B96" s="76" t="s">
        <v>13</v>
      </c>
      <c r="C96" s="76" t="s">
        <v>1963</v>
      </c>
      <c r="D96" s="73" t="s">
        <v>1089</v>
      </c>
      <c r="E96" s="73" t="s">
        <v>990</v>
      </c>
      <c r="F96" s="73" t="s">
        <v>1019</v>
      </c>
      <c r="G96" s="77">
        <v>0.1</v>
      </c>
      <c r="H96" s="77">
        <v>0.1</v>
      </c>
      <c r="I96" s="76">
        <v>1</v>
      </c>
      <c r="J96" s="76"/>
      <c r="K96" s="76"/>
      <c r="L96" s="76"/>
      <c r="M96" s="76"/>
      <c r="N96" s="76"/>
      <c r="O96" s="76"/>
      <c r="Q96" s="74" t="str">
        <f t="shared" si="19"/>
        <v>2008 D</v>
      </c>
      <c r="T96" s="73"/>
      <c r="W96" s="76"/>
      <c r="Z96" s="73" t="s">
        <v>1092</v>
      </c>
      <c r="AA96" s="73" t="e">
        <f t="shared" si="17"/>
        <v>#N/A</v>
      </c>
      <c r="AB96" s="73" t="e">
        <f t="shared" si="18"/>
        <v>#N/A</v>
      </c>
    </row>
    <row r="97" spans="1:28">
      <c r="A97" s="74">
        <v>2008</v>
      </c>
      <c r="B97" s="76" t="s">
        <v>25</v>
      </c>
      <c r="C97" s="76" t="s">
        <v>1963</v>
      </c>
      <c r="D97" s="73" t="s">
        <v>1090</v>
      </c>
      <c r="E97" s="73" t="s">
        <v>990</v>
      </c>
      <c r="F97" s="73" t="s">
        <v>1019</v>
      </c>
      <c r="G97" s="77">
        <v>0.1</v>
      </c>
      <c r="H97" s="77">
        <v>0.1</v>
      </c>
      <c r="I97" s="76">
        <v>1</v>
      </c>
      <c r="J97" s="76"/>
      <c r="K97" s="76"/>
      <c r="L97" s="76"/>
      <c r="M97" s="76"/>
      <c r="N97" s="76"/>
      <c r="O97" s="76"/>
      <c r="Q97" s="74" t="str">
        <f t="shared" si="19"/>
        <v>2008 P</v>
      </c>
      <c r="T97" s="73"/>
      <c r="W97" s="76"/>
      <c r="Z97" s="73" t="s">
        <v>1093</v>
      </c>
      <c r="AA97" s="73" t="e">
        <f t="shared" si="17"/>
        <v>#N/A</v>
      </c>
      <c r="AB97" s="73" t="e">
        <f t="shared" si="18"/>
        <v>#N/A</v>
      </c>
    </row>
    <row r="98" spans="1:28">
      <c r="A98" s="74">
        <v>2010</v>
      </c>
      <c r="B98" s="76" t="s">
        <v>25</v>
      </c>
      <c r="C98" s="76" t="s">
        <v>1963</v>
      </c>
      <c r="D98" s="73" t="s">
        <v>1091</v>
      </c>
      <c r="E98" s="73" t="s">
        <v>990</v>
      </c>
      <c r="F98" s="73" t="s">
        <v>1019</v>
      </c>
      <c r="G98" s="77">
        <v>0.1</v>
      </c>
      <c r="H98" s="77">
        <v>0.1</v>
      </c>
      <c r="I98" s="76">
        <v>1</v>
      </c>
      <c r="J98" s="76"/>
      <c r="K98" s="76"/>
      <c r="L98" s="76"/>
      <c r="M98" s="76"/>
      <c r="N98" s="76"/>
      <c r="O98" s="76"/>
      <c r="Q98" s="74" t="str">
        <f t="shared" si="19"/>
        <v>2010 P</v>
      </c>
      <c r="T98" s="73"/>
      <c r="W98" s="76"/>
      <c r="Z98" s="73" t="s">
        <v>1094</v>
      </c>
      <c r="AA98" s="73" t="e">
        <f t="shared" si="17"/>
        <v>#N/A</v>
      </c>
      <c r="AB98" s="73" t="e">
        <f t="shared" si="18"/>
        <v>#N/A</v>
      </c>
    </row>
    <row r="99" spans="1:28">
      <c r="A99" s="74">
        <v>2010</v>
      </c>
      <c r="B99" s="76" t="s">
        <v>25</v>
      </c>
      <c r="C99" s="76" t="s">
        <v>1963</v>
      </c>
      <c r="D99" s="73" t="s">
        <v>1092</v>
      </c>
      <c r="E99" s="73" t="s">
        <v>990</v>
      </c>
      <c r="F99" s="73" t="s">
        <v>1019</v>
      </c>
      <c r="G99" s="77">
        <v>0.1</v>
      </c>
      <c r="H99" s="77">
        <v>0.1</v>
      </c>
      <c r="I99" s="76">
        <v>1</v>
      </c>
      <c r="J99" s="76"/>
      <c r="K99" s="76"/>
      <c r="L99" s="76"/>
      <c r="M99" s="76"/>
      <c r="N99" s="76"/>
      <c r="O99" s="76"/>
      <c r="Q99" s="74" t="str">
        <f t="shared" si="19"/>
        <v>2010 P</v>
      </c>
      <c r="T99" s="73"/>
      <c r="W99" s="76"/>
      <c r="Z99" s="73" t="s">
        <v>1095</v>
      </c>
      <c r="AA99" s="73" t="e">
        <f t="shared" si="17"/>
        <v>#N/A</v>
      </c>
      <c r="AB99" s="73" t="e">
        <f t="shared" si="18"/>
        <v>#N/A</v>
      </c>
    </row>
    <row r="100" spans="1:28">
      <c r="A100" s="74">
        <v>2010</v>
      </c>
      <c r="B100" s="76" t="s">
        <v>25</v>
      </c>
      <c r="C100" s="76" t="s">
        <v>1963</v>
      </c>
      <c r="D100" s="73" t="s">
        <v>1093</v>
      </c>
      <c r="E100" s="73" t="s">
        <v>990</v>
      </c>
      <c r="F100" s="73" t="s">
        <v>1019</v>
      </c>
      <c r="G100" s="77">
        <v>0.1</v>
      </c>
      <c r="H100" s="77">
        <v>0.1</v>
      </c>
      <c r="I100" s="76">
        <v>1</v>
      </c>
      <c r="J100" s="76"/>
      <c r="K100" s="76"/>
      <c r="L100" s="76"/>
      <c r="M100" s="76"/>
      <c r="N100" s="76"/>
      <c r="O100" s="76"/>
      <c r="Q100" s="74" t="str">
        <f t="shared" si="19"/>
        <v>2010 P</v>
      </c>
      <c r="T100" s="73"/>
      <c r="W100" s="76"/>
      <c r="Z100" s="73" t="s">
        <v>1096</v>
      </c>
      <c r="AA100" s="73" t="e">
        <f t="shared" si="17"/>
        <v>#N/A</v>
      </c>
      <c r="AB100" s="73" t="e">
        <f t="shared" si="18"/>
        <v>#N/A</v>
      </c>
    </row>
    <row r="101" spans="1:28">
      <c r="A101" s="74">
        <v>2010</v>
      </c>
      <c r="B101" s="76" t="s">
        <v>25</v>
      </c>
      <c r="C101" s="76" t="s">
        <v>1963</v>
      </c>
      <c r="D101" s="73" t="s">
        <v>1094</v>
      </c>
      <c r="E101" s="73" t="s">
        <v>990</v>
      </c>
      <c r="F101" s="73" t="s">
        <v>1019</v>
      </c>
      <c r="G101" s="77">
        <v>0.1</v>
      </c>
      <c r="H101" s="77">
        <v>0.1</v>
      </c>
      <c r="I101" s="76">
        <v>1</v>
      </c>
      <c r="J101" s="76"/>
      <c r="K101" s="76"/>
      <c r="L101" s="76"/>
      <c r="M101" s="76"/>
      <c r="N101" s="76"/>
      <c r="O101" s="76"/>
      <c r="Q101" s="74" t="str">
        <f t="shared" si="19"/>
        <v>2010 P</v>
      </c>
      <c r="T101" s="73"/>
      <c r="W101" s="76"/>
      <c r="Z101" s="73" t="s">
        <v>1097</v>
      </c>
      <c r="AA101" s="73" t="e">
        <f t="shared" si="17"/>
        <v>#N/A</v>
      </c>
      <c r="AB101" s="73" t="e">
        <f t="shared" si="18"/>
        <v>#N/A</v>
      </c>
    </row>
    <row r="102" spans="1:28">
      <c r="A102" s="74">
        <v>2011</v>
      </c>
      <c r="B102" s="76" t="s">
        <v>25</v>
      </c>
      <c r="C102" s="76" t="s">
        <v>1963</v>
      </c>
      <c r="D102" s="73" t="s">
        <v>1095</v>
      </c>
      <c r="E102" s="73" t="s">
        <v>990</v>
      </c>
      <c r="F102" s="73" t="s">
        <v>1019</v>
      </c>
      <c r="G102" s="77">
        <v>0.1</v>
      </c>
      <c r="H102" s="77">
        <v>0.1</v>
      </c>
      <c r="I102" s="76">
        <v>1</v>
      </c>
      <c r="J102" s="76"/>
      <c r="K102" s="76"/>
      <c r="L102" s="76"/>
      <c r="M102" s="76"/>
      <c r="N102" s="76"/>
      <c r="O102" s="76"/>
      <c r="Q102" s="74" t="str">
        <f t="shared" si="19"/>
        <v>2011 P</v>
      </c>
      <c r="T102" s="73"/>
      <c r="W102" s="76"/>
      <c r="Z102" s="73" t="s">
        <v>1098</v>
      </c>
      <c r="AA102" s="73" t="e">
        <f t="shared" si="17"/>
        <v>#N/A</v>
      </c>
      <c r="AB102" s="73" t="e">
        <f t="shared" si="18"/>
        <v>#N/A</v>
      </c>
    </row>
    <row r="103" spans="1:28">
      <c r="A103" s="74">
        <v>2011</v>
      </c>
      <c r="B103" s="76" t="s">
        <v>25</v>
      </c>
      <c r="C103" s="76" t="s">
        <v>1963</v>
      </c>
      <c r="D103" s="73" t="s">
        <v>1096</v>
      </c>
      <c r="E103" s="73" t="s">
        <v>990</v>
      </c>
      <c r="F103" s="73" t="s">
        <v>1019</v>
      </c>
      <c r="G103" s="77">
        <v>0.1</v>
      </c>
      <c r="H103" s="77">
        <v>0.1</v>
      </c>
      <c r="I103" s="76">
        <v>1</v>
      </c>
      <c r="J103" s="76"/>
      <c r="K103" s="76"/>
      <c r="L103" s="76"/>
      <c r="M103" s="76"/>
      <c r="N103" s="76"/>
      <c r="O103" s="76"/>
      <c r="Q103" s="74" t="str">
        <f t="shared" si="19"/>
        <v>2011 P</v>
      </c>
      <c r="T103" s="73"/>
      <c r="W103" s="76"/>
      <c r="Z103" s="73" t="s">
        <v>1099</v>
      </c>
      <c r="AA103" s="73" t="e">
        <f t="shared" si="17"/>
        <v>#N/A</v>
      </c>
      <c r="AB103" s="73" t="e">
        <f t="shared" si="18"/>
        <v>#N/A</v>
      </c>
    </row>
    <row r="104" spans="1:28">
      <c r="A104" s="74">
        <v>2011</v>
      </c>
      <c r="B104" s="76" t="s">
        <v>25</v>
      </c>
      <c r="C104" s="76" t="s">
        <v>1963</v>
      </c>
      <c r="D104" s="73" t="s">
        <v>1097</v>
      </c>
      <c r="E104" s="73" t="s">
        <v>990</v>
      </c>
      <c r="F104" s="73" t="s">
        <v>1019</v>
      </c>
      <c r="G104" s="77">
        <v>0.1</v>
      </c>
      <c r="H104" s="77">
        <v>0.1</v>
      </c>
      <c r="I104" s="76">
        <v>1</v>
      </c>
      <c r="J104" s="76"/>
      <c r="K104" s="76"/>
      <c r="L104" s="76"/>
      <c r="M104" s="76"/>
      <c r="N104" s="76"/>
      <c r="O104" s="76"/>
      <c r="Q104" s="74" t="str">
        <f t="shared" si="19"/>
        <v>2011 P</v>
      </c>
      <c r="T104" s="73"/>
      <c r="W104" s="76"/>
      <c r="Z104" s="73" t="s">
        <v>1100</v>
      </c>
      <c r="AA104" s="73" t="e">
        <f t="shared" si="17"/>
        <v>#N/A</v>
      </c>
      <c r="AB104" s="73" t="e">
        <f t="shared" si="18"/>
        <v>#N/A</v>
      </c>
    </row>
    <row r="105" spans="1:28">
      <c r="A105" s="74">
        <v>2011</v>
      </c>
      <c r="B105" s="76" t="s">
        <v>25</v>
      </c>
      <c r="C105" s="76" t="s">
        <v>1963</v>
      </c>
      <c r="D105" s="73" t="s">
        <v>1098</v>
      </c>
      <c r="E105" s="73" t="s">
        <v>990</v>
      </c>
      <c r="F105" s="73" t="s">
        <v>1019</v>
      </c>
      <c r="G105" s="77">
        <v>0.1</v>
      </c>
      <c r="H105" s="77">
        <v>0.1</v>
      </c>
      <c r="I105" s="76">
        <v>1</v>
      </c>
      <c r="J105" s="76"/>
      <c r="K105" s="76"/>
      <c r="L105" s="76"/>
      <c r="M105" s="76"/>
      <c r="N105" s="76"/>
      <c r="O105" s="76"/>
      <c r="Q105" s="74" t="str">
        <f t="shared" si="19"/>
        <v>2011 P</v>
      </c>
      <c r="T105" s="73"/>
      <c r="W105" s="76"/>
      <c r="Z105" s="73" t="s">
        <v>1101</v>
      </c>
      <c r="AA105" s="73" t="e">
        <f t="shared" si="17"/>
        <v>#N/A</v>
      </c>
      <c r="AB105" s="73" t="e">
        <f t="shared" si="18"/>
        <v>#N/A</v>
      </c>
    </row>
    <row r="106" spans="1:28">
      <c r="A106" s="74">
        <v>2011</v>
      </c>
      <c r="B106" s="76" t="s">
        <v>25</v>
      </c>
      <c r="C106" s="76" t="s">
        <v>1963</v>
      </c>
      <c r="D106" s="73" t="s">
        <v>1099</v>
      </c>
      <c r="E106" s="73" t="s">
        <v>990</v>
      </c>
      <c r="F106" s="73" t="s">
        <v>1019</v>
      </c>
      <c r="G106" s="77">
        <v>0.1</v>
      </c>
      <c r="H106" s="77">
        <v>0.1</v>
      </c>
      <c r="I106" s="76">
        <v>1</v>
      </c>
      <c r="J106" s="76"/>
      <c r="K106" s="76"/>
      <c r="L106" s="76"/>
      <c r="M106" s="76"/>
      <c r="N106" s="76"/>
      <c r="O106" s="76"/>
      <c r="Q106" s="74" t="str">
        <f t="shared" si="19"/>
        <v>2011 P</v>
      </c>
      <c r="T106" s="73"/>
      <c r="W106" s="76"/>
      <c r="Z106" s="73" t="s">
        <v>1102</v>
      </c>
      <c r="AA106" s="73" t="e">
        <f t="shared" si="17"/>
        <v>#N/A</v>
      </c>
      <c r="AB106" s="73" t="e">
        <f t="shared" si="18"/>
        <v>#N/A</v>
      </c>
    </row>
    <row r="107" spans="1:28">
      <c r="A107" s="74">
        <v>2011</v>
      </c>
      <c r="B107" s="76" t="s">
        <v>13</v>
      </c>
      <c r="C107" s="76" t="s">
        <v>1963</v>
      </c>
      <c r="D107" s="73" t="s">
        <v>1100</v>
      </c>
      <c r="E107" s="73" t="s">
        <v>990</v>
      </c>
      <c r="F107" s="73" t="s">
        <v>1019</v>
      </c>
      <c r="G107" s="77">
        <v>0.1</v>
      </c>
      <c r="H107" s="77">
        <v>0.1</v>
      </c>
      <c r="I107" s="76">
        <v>1</v>
      </c>
      <c r="J107" s="76"/>
      <c r="K107" s="76"/>
      <c r="L107" s="76"/>
      <c r="M107" s="76"/>
      <c r="N107" s="76"/>
      <c r="O107" s="76"/>
      <c r="Q107" s="74" t="str">
        <f t="shared" si="19"/>
        <v>2011 D</v>
      </c>
      <c r="T107" s="73"/>
      <c r="W107" s="76"/>
      <c r="Z107" s="73" t="s">
        <v>1103</v>
      </c>
      <c r="AA107" s="73" t="e">
        <f t="shared" si="17"/>
        <v>#N/A</v>
      </c>
      <c r="AB107" s="73" t="e">
        <f t="shared" si="18"/>
        <v>#N/A</v>
      </c>
    </row>
    <row r="108" spans="1:28">
      <c r="A108" s="74">
        <v>2012</v>
      </c>
      <c r="B108" s="76" t="s">
        <v>25</v>
      </c>
      <c r="C108" s="76" t="s">
        <v>1963</v>
      </c>
      <c r="D108" s="73" t="s">
        <v>1101</v>
      </c>
      <c r="E108" s="73" t="s">
        <v>990</v>
      </c>
      <c r="F108" s="73" t="s">
        <v>1019</v>
      </c>
      <c r="G108" s="77">
        <v>0.1</v>
      </c>
      <c r="H108" s="77">
        <v>0.1</v>
      </c>
      <c r="I108" s="76">
        <v>1</v>
      </c>
      <c r="J108" s="76"/>
      <c r="K108" s="76"/>
      <c r="L108" s="76"/>
      <c r="M108" s="76"/>
      <c r="N108" s="76"/>
      <c r="O108" s="76"/>
      <c r="Q108" s="74" t="str">
        <f t="shared" si="19"/>
        <v>2012 P</v>
      </c>
      <c r="T108" s="73"/>
      <c r="W108" s="76"/>
      <c r="Z108" s="73" t="s">
        <v>1104</v>
      </c>
      <c r="AA108" s="73" t="e">
        <f t="shared" si="17"/>
        <v>#N/A</v>
      </c>
      <c r="AB108" s="73" t="e">
        <f t="shared" si="18"/>
        <v>#N/A</v>
      </c>
    </row>
    <row r="109" spans="1:28">
      <c r="A109" s="74">
        <v>2012</v>
      </c>
      <c r="B109" s="76" t="s">
        <v>25</v>
      </c>
      <c r="C109" s="76" t="s">
        <v>1963</v>
      </c>
      <c r="D109" s="73" t="s">
        <v>1102</v>
      </c>
      <c r="E109" s="73" t="s">
        <v>990</v>
      </c>
      <c r="F109" s="73" t="s">
        <v>1019</v>
      </c>
      <c r="G109" s="77">
        <v>0.1</v>
      </c>
      <c r="H109" s="77">
        <v>0.1</v>
      </c>
      <c r="I109" s="76">
        <v>1</v>
      </c>
      <c r="J109" s="76"/>
      <c r="K109" s="76"/>
      <c r="L109" s="76"/>
      <c r="M109" s="76"/>
      <c r="N109" s="76"/>
      <c r="O109" s="76"/>
      <c r="Q109" s="74" t="str">
        <f t="shared" si="19"/>
        <v>2012 P</v>
      </c>
      <c r="T109" s="73"/>
      <c r="W109" s="76"/>
      <c r="Z109" s="73" t="s">
        <v>1105</v>
      </c>
      <c r="AA109" s="73" t="e">
        <f t="shared" si="17"/>
        <v>#N/A</v>
      </c>
      <c r="AB109" s="73" t="e">
        <f t="shared" si="18"/>
        <v>#N/A</v>
      </c>
    </row>
    <row r="110" spans="1:28">
      <c r="A110" s="74">
        <v>2012</v>
      </c>
      <c r="B110" s="76" t="s">
        <v>25</v>
      </c>
      <c r="C110" s="76" t="s">
        <v>1963</v>
      </c>
      <c r="D110" s="73" t="s">
        <v>1103</v>
      </c>
      <c r="E110" s="73" t="s">
        <v>990</v>
      </c>
      <c r="F110" s="73" t="s">
        <v>1019</v>
      </c>
      <c r="G110" s="77">
        <v>0.1</v>
      </c>
      <c r="H110" s="77">
        <v>0.1</v>
      </c>
      <c r="I110" s="76">
        <v>1</v>
      </c>
      <c r="J110" s="76"/>
      <c r="K110" s="76"/>
      <c r="L110" s="76"/>
      <c r="M110" s="76"/>
      <c r="N110" s="76"/>
      <c r="O110" s="76"/>
      <c r="Q110" s="74" t="str">
        <f t="shared" si="19"/>
        <v>2012 P</v>
      </c>
      <c r="T110" s="73"/>
      <c r="W110" s="76"/>
      <c r="Z110" s="73" t="s">
        <v>1106</v>
      </c>
      <c r="AA110" s="73" t="e">
        <f t="shared" si="17"/>
        <v>#N/A</v>
      </c>
      <c r="AB110" s="73" t="e">
        <f t="shared" si="18"/>
        <v>#N/A</v>
      </c>
    </row>
    <row r="111" spans="1:28">
      <c r="A111" s="74">
        <v>2012</v>
      </c>
      <c r="B111" s="76" t="s">
        <v>25</v>
      </c>
      <c r="C111" s="76" t="s">
        <v>1963</v>
      </c>
      <c r="D111" s="73" t="s">
        <v>1104</v>
      </c>
      <c r="E111" s="73" t="s">
        <v>990</v>
      </c>
      <c r="F111" s="73" t="s">
        <v>1019</v>
      </c>
      <c r="G111" s="77">
        <v>0.1</v>
      </c>
      <c r="H111" s="77">
        <v>0.1</v>
      </c>
      <c r="I111" s="76">
        <v>1</v>
      </c>
      <c r="J111" s="76"/>
      <c r="K111" s="76"/>
      <c r="L111" s="76"/>
      <c r="M111" s="76"/>
      <c r="N111" s="76"/>
      <c r="O111" s="76"/>
      <c r="Q111" s="74" t="str">
        <f t="shared" si="19"/>
        <v>2012 P</v>
      </c>
      <c r="T111" s="73"/>
      <c r="W111" s="76"/>
      <c r="Z111" s="73" t="s">
        <v>1107</v>
      </c>
      <c r="AA111" s="73" t="e">
        <f t="shared" si="17"/>
        <v>#N/A</v>
      </c>
      <c r="AB111" s="73" t="e">
        <f t="shared" si="18"/>
        <v>#N/A</v>
      </c>
    </row>
    <row r="112" spans="1:28">
      <c r="A112" s="74">
        <v>2013</v>
      </c>
      <c r="B112" s="76" t="s">
        <v>25</v>
      </c>
      <c r="C112" s="76" t="s">
        <v>1963</v>
      </c>
      <c r="D112" s="73" t="s">
        <v>1105</v>
      </c>
      <c r="E112" s="73" t="s">
        <v>990</v>
      </c>
      <c r="F112" s="73" t="s">
        <v>1019</v>
      </c>
      <c r="G112" s="77">
        <v>0.1</v>
      </c>
      <c r="H112" s="77">
        <v>0.1</v>
      </c>
      <c r="I112" s="76">
        <v>1</v>
      </c>
      <c r="J112" s="76"/>
      <c r="K112" s="76"/>
      <c r="L112" s="76"/>
      <c r="M112" s="76"/>
      <c r="N112" s="76"/>
      <c r="O112" s="76"/>
      <c r="Q112" s="74" t="str">
        <f t="shared" si="19"/>
        <v>2013 P</v>
      </c>
      <c r="T112" s="73"/>
      <c r="W112" s="76"/>
      <c r="Z112" s="73" t="s">
        <v>1108</v>
      </c>
      <c r="AA112" s="73" t="e">
        <f t="shared" si="17"/>
        <v>#N/A</v>
      </c>
      <c r="AB112" s="73" t="e">
        <f t="shared" si="18"/>
        <v>#N/A</v>
      </c>
    </row>
    <row r="113" spans="1:28">
      <c r="A113" s="74">
        <v>2013</v>
      </c>
      <c r="B113" s="76" t="s">
        <v>25</v>
      </c>
      <c r="C113" s="76" t="s">
        <v>1963</v>
      </c>
      <c r="D113" s="73" t="s">
        <v>1106</v>
      </c>
      <c r="E113" s="73" t="s">
        <v>990</v>
      </c>
      <c r="F113" s="73" t="s">
        <v>1019</v>
      </c>
      <c r="G113" s="77">
        <v>0.1</v>
      </c>
      <c r="H113" s="77">
        <v>0.1</v>
      </c>
      <c r="I113" s="76">
        <v>1</v>
      </c>
      <c r="J113" s="76"/>
      <c r="K113" s="76"/>
      <c r="L113" s="76"/>
      <c r="M113" s="76"/>
      <c r="N113" s="76"/>
      <c r="O113" s="76"/>
      <c r="Q113" s="74" t="str">
        <f t="shared" si="19"/>
        <v>2013 P</v>
      </c>
      <c r="T113" s="73"/>
      <c r="W113" s="76"/>
      <c r="Z113" s="73" t="s">
        <v>1109</v>
      </c>
      <c r="AA113" s="73" t="e">
        <f t="shared" si="17"/>
        <v>#N/A</v>
      </c>
      <c r="AB113" s="73" t="e">
        <f t="shared" si="18"/>
        <v>#N/A</v>
      </c>
    </row>
    <row r="114" spans="1:28">
      <c r="A114" s="74">
        <v>2014</v>
      </c>
      <c r="B114" s="76" t="s">
        <v>25</v>
      </c>
      <c r="C114" s="76" t="s">
        <v>1963</v>
      </c>
      <c r="D114" s="73" t="s">
        <v>1107</v>
      </c>
      <c r="E114" s="73" t="s">
        <v>990</v>
      </c>
      <c r="F114" s="73" t="s">
        <v>1019</v>
      </c>
      <c r="G114" s="77">
        <v>0.1</v>
      </c>
      <c r="H114" s="77">
        <v>0.1</v>
      </c>
      <c r="I114" s="76">
        <v>1</v>
      </c>
      <c r="J114" s="76"/>
      <c r="K114" s="76"/>
      <c r="L114" s="76"/>
      <c r="M114" s="76"/>
      <c r="N114" s="76"/>
      <c r="O114" s="76"/>
      <c r="Q114" s="74" t="str">
        <f t="shared" si="19"/>
        <v>2014 P</v>
      </c>
      <c r="T114" s="73"/>
      <c r="W114" s="76"/>
      <c r="Z114" s="73" t="s">
        <v>1110</v>
      </c>
      <c r="AA114" s="73" t="e">
        <f t="shared" si="17"/>
        <v>#N/A</v>
      </c>
      <c r="AB114" s="73" t="e">
        <f t="shared" si="18"/>
        <v>#N/A</v>
      </c>
    </row>
    <row r="115" spans="1:28">
      <c r="A115" s="74">
        <v>2014</v>
      </c>
      <c r="B115" s="76" t="s">
        <v>25</v>
      </c>
      <c r="C115" s="76" t="s">
        <v>1963</v>
      </c>
      <c r="D115" s="73" t="s">
        <v>1108</v>
      </c>
      <c r="E115" s="73" t="s">
        <v>990</v>
      </c>
      <c r="F115" s="73" t="s">
        <v>1019</v>
      </c>
      <c r="G115" s="77">
        <v>0.1</v>
      </c>
      <c r="H115" s="77">
        <v>0.1</v>
      </c>
      <c r="I115" s="76">
        <v>1</v>
      </c>
      <c r="J115" s="76"/>
      <c r="K115" s="76"/>
      <c r="L115" s="76"/>
      <c r="M115" s="76"/>
      <c r="N115" s="76"/>
      <c r="O115" s="76"/>
      <c r="Q115" s="74" t="str">
        <f t="shared" si="19"/>
        <v>2014 P</v>
      </c>
      <c r="T115" s="73"/>
      <c r="W115" s="76"/>
      <c r="Z115" s="73" t="s">
        <v>1111</v>
      </c>
      <c r="AA115" s="73" t="e">
        <f t="shared" si="17"/>
        <v>#N/A</v>
      </c>
      <c r="AB115" s="73" t="e">
        <f t="shared" si="18"/>
        <v>#N/A</v>
      </c>
    </row>
    <row r="116" spans="1:28">
      <c r="A116" s="74">
        <v>2014</v>
      </c>
      <c r="B116" s="76" t="s">
        <v>25</v>
      </c>
      <c r="C116" s="76" t="s">
        <v>1963</v>
      </c>
      <c r="D116" s="73" t="s">
        <v>1109</v>
      </c>
      <c r="E116" s="73" t="s">
        <v>990</v>
      </c>
      <c r="F116" s="73" t="s">
        <v>1019</v>
      </c>
      <c r="G116" s="77">
        <v>0.1</v>
      </c>
      <c r="H116" s="77">
        <v>0.1</v>
      </c>
      <c r="I116" s="76">
        <v>1</v>
      </c>
      <c r="J116" s="76"/>
      <c r="K116" s="76"/>
      <c r="L116" s="76"/>
      <c r="M116" s="76"/>
      <c r="N116" s="76"/>
      <c r="O116" s="76"/>
      <c r="Q116" s="74" t="str">
        <f t="shared" si="19"/>
        <v>2014 P</v>
      </c>
      <c r="T116" s="73"/>
      <c r="W116" s="76"/>
      <c r="Z116" s="73" t="s">
        <v>1112</v>
      </c>
      <c r="AA116" s="73" t="e">
        <f t="shared" si="17"/>
        <v>#N/A</v>
      </c>
      <c r="AB116" s="73" t="e">
        <f t="shared" si="18"/>
        <v>#N/A</v>
      </c>
    </row>
    <row r="117" spans="1:28">
      <c r="A117" s="74">
        <v>2014</v>
      </c>
      <c r="B117" s="76" t="s">
        <v>25</v>
      </c>
      <c r="C117" s="76" t="s">
        <v>1963</v>
      </c>
      <c r="D117" s="73" t="s">
        <v>1110</v>
      </c>
      <c r="E117" s="73" t="s">
        <v>990</v>
      </c>
      <c r="F117" s="73" t="s">
        <v>1019</v>
      </c>
      <c r="G117" s="77">
        <v>0.1</v>
      </c>
      <c r="H117" s="77">
        <v>0.1</v>
      </c>
      <c r="I117" s="76">
        <v>1</v>
      </c>
      <c r="J117" s="76"/>
      <c r="K117" s="76"/>
      <c r="L117" s="76"/>
      <c r="M117" s="76"/>
      <c r="N117" s="76"/>
      <c r="O117" s="76"/>
      <c r="Q117" s="74" t="str">
        <f t="shared" si="19"/>
        <v>2014 P</v>
      </c>
      <c r="T117" s="73"/>
      <c r="W117" s="76"/>
      <c r="Z117" s="73" t="s">
        <v>1113</v>
      </c>
      <c r="AA117" s="73" t="e">
        <f t="shared" si="17"/>
        <v>#N/A</v>
      </c>
      <c r="AB117" s="73" t="e">
        <f t="shared" si="18"/>
        <v>#N/A</v>
      </c>
    </row>
    <row r="118" spans="1:28">
      <c r="A118" s="74">
        <v>2014</v>
      </c>
      <c r="B118" s="76" t="s">
        <v>25</v>
      </c>
      <c r="C118" s="76" t="s">
        <v>1963</v>
      </c>
      <c r="D118" s="73" t="s">
        <v>1111</v>
      </c>
      <c r="E118" s="73" t="s">
        <v>990</v>
      </c>
      <c r="F118" s="73" t="s">
        <v>1019</v>
      </c>
      <c r="G118" s="77">
        <v>0.1</v>
      </c>
      <c r="H118" s="77">
        <v>0.1</v>
      </c>
      <c r="I118" s="76">
        <v>1</v>
      </c>
      <c r="J118" s="76"/>
      <c r="K118" s="76"/>
      <c r="L118" s="76"/>
      <c r="M118" s="76"/>
      <c r="N118" s="76"/>
      <c r="O118" s="76"/>
      <c r="Q118" s="74" t="str">
        <f t="shared" si="19"/>
        <v>2014 P</v>
      </c>
      <c r="T118" s="73"/>
      <c r="W118" s="76"/>
      <c r="Z118" s="73" t="s">
        <v>1114</v>
      </c>
      <c r="AA118" s="73" t="e">
        <f t="shared" si="17"/>
        <v>#N/A</v>
      </c>
      <c r="AB118" s="73" t="e">
        <f t="shared" si="18"/>
        <v>#N/A</v>
      </c>
    </row>
    <row r="119" spans="1:28">
      <c r="A119" s="74">
        <v>2014</v>
      </c>
      <c r="B119" s="76" t="s">
        <v>25</v>
      </c>
      <c r="C119" s="76" t="s">
        <v>1963</v>
      </c>
      <c r="D119" s="73" t="s">
        <v>1112</v>
      </c>
      <c r="E119" s="73" t="s">
        <v>990</v>
      </c>
      <c r="F119" s="73" t="s">
        <v>18</v>
      </c>
      <c r="G119" s="77">
        <v>0.1</v>
      </c>
      <c r="H119" s="77">
        <v>0.1</v>
      </c>
      <c r="I119" s="76">
        <v>1</v>
      </c>
      <c r="J119" s="76"/>
      <c r="K119" s="76"/>
      <c r="L119" s="76"/>
      <c r="M119" s="76"/>
      <c r="N119" s="76"/>
      <c r="O119" s="76"/>
      <c r="Q119" s="74" t="str">
        <f t="shared" si="19"/>
        <v>2014 P</v>
      </c>
      <c r="T119" s="73"/>
      <c r="W119" s="76"/>
      <c r="Z119" s="73" t="s">
        <v>1115</v>
      </c>
      <c r="AA119" s="73" t="e">
        <f t="shared" si="17"/>
        <v>#N/A</v>
      </c>
      <c r="AB119" s="73" t="e">
        <f t="shared" si="18"/>
        <v>#N/A</v>
      </c>
    </row>
    <row r="120" spans="1:28">
      <c r="A120" s="74">
        <v>2014</v>
      </c>
      <c r="B120" s="76" t="s">
        <v>25</v>
      </c>
      <c r="C120" s="76" t="s">
        <v>1963</v>
      </c>
      <c r="D120" s="73" t="s">
        <v>1113</v>
      </c>
      <c r="E120" s="73" t="s">
        <v>990</v>
      </c>
      <c r="F120" s="73" t="s">
        <v>18</v>
      </c>
      <c r="G120" s="77">
        <v>0.1</v>
      </c>
      <c r="H120" s="77">
        <v>0.1</v>
      </c>
      <c r="I120" s="76">
        <v>1</v>
      </c>
      <c r="J120" s="76"/>
      <c r="K120" s="76"/>
      <c r="L120" s="76"/>
      <c r="M120" s="76"/>
      <c r="N120" s="76"/>
      <c r="O120" s="76"/>
      <c r="Q120" s="74" t="str">
        <f t="shared" si="19"/>
        <v>2014 P</v>
      </c>
      <c r="T120" s="73"/>
      <c r="W120" s="76"/>
      <c r="Z120" s="73" t="s">
        <v>1116</v>
      </c>
      <c r="AA120" s="73" t="e">
        <f t="shared" si="17"/>
        <v>#N/A</v>
      </c>
      <c r="AB120" s="73" t="e">
        <f t="shared" si="18"/>
        <v>#N/A</v>
      </c>
    </row>
    <row r="121" spans="1:28">
      <c r="A121" s="74">
        <v>2015</v>
      </c>
      <c r="B121" s="76" t="s">
        <v>25</v>
      </c>
      <c r="C121" s="76" t="s">
        <v>1963</v>
      </c>
      <c r="D121" s="73" t="s">
        <v>1117</v>
      </c>
      <c r="E121" s="73" t="s">
        <v>990</v>
      </c>
      <c r="F121" s="73" t="s">
        <v>18</v>
      </c>
      <c r="G121" s="77">
        <v>0.1</v>
      </c>
      <c r="H121" s="77">
        <v>1.5</v>
      </c>
      <c r="I121" s="76">
        <v>1</v>
      </c>
      <c r="J121" s="76"/>
      <c r="K121" s="76"/>
      <c r="L121" s="76"/>
      <c r="M121" s="76"/>
      <c r="N121" s="76"/>
      <c r="O121" s="76"/>
      <c r="Q121" s="74" t="s">
        <v>1118</v>
      </c>
      <c r="T121" s="73"/>
      <c r="W121" s="76"/>
    </row>
    <row r="122" spans="1:28">
      <c r="A122" s="74">
        <v>2015</v>
      </c>
      <c r="B122" s="76" t="s">
        <v>25</v>
      </c>
      <c r="C122" s="76" t="s">
        <v>1963</v>
      </c>
      <c r="D122" s="73" t="s">
        <v>1114</v>
      </c>
      <c r="E122" s="73" t="s">
        <v>990</v>
      </c>
      <c r="F122" s="73" t="s">
        <v>1019</v>
      </c>
      <c r="G122" s="77">
        <v>0.1</v>
      </c>
      <c r="H122" s="77">
        <v>0.1</v>
      </c>
      <c r="I122" s="76">
        <v>1</v>
      </c>
      <c r="J122" s="76"/>
      <c r="K122" s="76"/>
      <c r="L122" s="76"/>
      <c r="M122" s="76"/>
      <c r="N122" s="76"/>
      <c r="O122" s="76"/>
      <c r="Q122" s="74" t="str">
        <f t="shared" ref="Q122:Q130" si="20">IF(A122="",A122,A122&amp;" "&amp;B122)</f>
        <v>2015 P</v>
      </c>
      <c r="T122" s="73"/>
      <c r="W122" s="76"/>
      <c r="Z122" s="73" t="s">
        <v>1119</v>
      </c>
      <c r="AA122" s="73" t="e">
        <f t="shared" ref="AA122:AA130" si="21">MATCH(Z122,$C$1:$C$1069,0)</f>
        <v>#N/A</v>
      </c>
      <c r="AB122" s="73" t="e">
        <f t="shared" ref="AB122:AB130" si="22">MATCH(D122,$W$2:$W$270,0)</f>
        <v>#N/A</v>
      </c>
    </row>
    <row r="123" spans="1:28">
      <c r="A123" s="74">
        <v>2015</v>
      </c>
      <c r="B123" s="76" t="s">
        <v>25</v>
      </c>
      <c r="C123" s="76" t="s">
        <v>1963</v>
      </c>
      <c r="D123" s="73" t="s">
        <v>1115</v>
      </c>
      <c r="E123" s="73" t="s">
        <v>990</v>
      </c>
      <c r="F123" s="73" t="s">
        <v>18</v>
      </c>
      <c r="G123" s="77">
        <v>0.1</v>
      </c>
      <c r="H123" s="77">
        <v>0.1</v>
      </c>
      <c r="I123" s="76">
        <v>1</v>
      </c>
      <c r="J123" s="76"/>
      <c r="K123" s="76"/>
      <c r="L123" s="76"/>
      <c r="M123" s="76"/>
      <c r="N123" s="76"/>
      <c r="O123" s="76"/>
      <c r="Q123" s="74" t="str">
        <f t="shared" si="20"/>
        <v>2015 P</v>
      </c>
      <c r="T123" s="73"/>
      <c r="W123" s="76"/>
      <c r="Z123" s="73" t="s">
        <v>1120</v>
      </c>
      <c r="AA123" s="73" t="e">
        <f t="shared" si="21"/>
        <v>#N/A</v>
      </c>
      <c r="AB123" s="73" t="e">
        <f t="shared" si="22"/>
        <v>#N/A</v>
      </c>
    </row>
    <row r="124" spans="1:28">
      <c r="A124" s="74">
        <v>2015</v>
      </c>
      <c r="B124" s="76" t="s">
        <v>25</v>
      </c>
      <c r="C124" s="76" t="s">
        <v>1963</v>
      </c>
      <c r="D124" s="73" t="s">
        <v>1116</v>
      </c>
      <c r="E124" s="73" t="s">
        <v>990</v>
      </c>
      <c r="F124" s="73" t="s">
        <v>18</v>
      </c>
      <c r="G124" s="77">
        <v>0.1</v>
      </c>
      <c r="H124" s="77">
        <v>0.1</v>
      </c>
      <c r="I124" s="76">
        <v>1</v>
      </c>
      <c r="J124" s="76"/>
      <c r="K124" s="76"/>
      <c r="L124" s="76"/>
      <c r="M124" s="76"/>
      <c r="N124" s="76"/>
      <c r="O124" s="76"/>
      <c r="Q124" s="74" t="str">
        <f t="shared" si="20"/>
        <v>2015 P</v>
      </c>
      <c r="T124" s="73"/>
      <c r="W124" s="76"/>
      <c r="Z124" s="73" t="s">
        <v>1121</v>
      </c>
      <c r="AA124" s="73" t="e">
        <f t="shared" si="21"/>
        <v>#N/A</v>
      </c>
      <c r="AB124" s="73" t="e">
        <f t="shared" si="22"/>
        <v>#N/A</v>
      </c>
    </row>
    <row r="125" spans="1:28">
      <c r="A125" s="74">
        <v>2016</v>
      </c>
      <c r="B125" s="76" t="s">
        <v>25</v>
      </c>
      <c r="C125" s="76" t="s">
        <v>1963</v>
      </c>
      <c r="D125" s="73" t="s">
        <v>1119</v>
      </c>
      <c r="E125" s="73" t="s">
        <v>990</v>
      </c>
      <c r="F125" s="73" t="s">
        <v>18</v>
      </c>
      <c r="G125" s="77">
        <v>0.1</v>
      </c>
      <c r="H125" s="77">
        <v>0.1</v>
      </c>
      <c r="I125" s="76">
        <v>1</v>
      </c>
      <c r="J125" s="76"/>
      <c r="K125" s="76"/>
      <c r="L125" s="76"/>
      <c r="M125" s="76"/>
      <c r="N125" s="76"/>
      <c r="O125" s="76"/>
      <c r="Q125" s="74" t="str">
        <f t="shared" si="20"/>
        <v>2016 P</v>
      </c>
      <c r="T125" s="73"/>
      <c r="W125" s="76"/>
      <c r="Z125" s="73" t="s">
        <v>1122</v>
      </c>
      <c r="AA125" s="73" t="e">
        <f t="shared" si="21"/>
        <v>#N/A</v>
      </c>
      <c r="AB125" s="73" t="e">
        <f t="shared" si="22"/>
        <v>#N/A</v>
      </c>
    </row>
    <row r="126" spans="1:28">
      <c r="A126" s="74">
        <v>2016</v>
      </c>
      <c r="B126" s="76" t="s">
        <v>25</v>
      </c>
      <c r="C126" s="76" t="s">
        <v>1963</v>
      </c>
      <c r="D126" s="73" t="s">
        <v>1121</v>
      </c>
      <c r="E126" s="73" t="s">
        <v>990</v>
      </c>
      <c r="F126" s="73" t="s">
        <v>1019</v>
      </c>
      <c r="G126" s="77">
        <v>0.1</v>
      </c>
      <c r="H126" s="77">
        <v>0.1</v>
      </c>
      <c r="I126" s="76">
        <v>1</v>
      </c>
      <c r="J126" s="76"/>
      <c r="K126" s="76"/>
      <c r="L126" s="76"/>
      <c r="M126" s="76"/>
      <c r="N126" s="76"/>
      <c r="O126" s="76"/>
      <c r="Q126" s="74" t="str">
        <f t="shared" si="20"/>
        <v>2016 P</v>
      </c>
      <c r="T126" s="73"/>
      <c r="W126" s="76"/>
      <c r="Z126" s="73" t="s">
        <v>1123</v>
      </c>
      <c r="AA126" s="73" t="e">
        <f t="shared" si="21"/>
        <v>#N/A</v>
      </c>
      <c r="AB126" s="73" t="e">
        <f t="shared" si="22"/>
        <v>#N/A</v>
      </c>
    </row>
    <row r="127" spans="1:28">
      <c r="A127" s="74">
        <v>2016</v>
      </c>
      <c r="B127" s="76" t="s">
        <v>25</v>
      </c>
      <c r="C127" s="76" t="s">
        <v>1963</v>
      </c>
      <c r="D127" s="73" t="s">
        <v>1122</v>
      </c>
      <c r="E127" s="73" t="s">
        <v>990</v>
      </c>
      <c r="F127" s="73" t="s">
        <v>18</v>
      </c>
      <c r="G127" s="77">
        <v>0.1</v>
      </c>
      <c r="H127" s="77">
        <v>0.1</v>
      </c>
      <c r="I127" s="76">
        <v>1</v>
      </c>
      <c r="J127" s="76"/>
      <c r="K127" s="76"/>
      <c r="L127" s="76"/>
      <c r="M127" s="76"/>
      <c r="N127" s="76"/>
      <c r="O127" s="76"/>
      <c r="Q127" s="74" t="str">
        <f t="shared" si="20"/>
        <v>2016 P</v>
      </c>
      <c r="T127" s="73"/>
      <c r="W127" s="76"/>
      <c r="Z127" s="73" t="s">
        <v>1124</v>
      </c>
      <c r="AA127" s="73" t="e">
        <f t="shared" si="21"/>
        <v>#N/A</v>
      </c>
      <c r="AB127" s="73" t="e">
        <f t="shared" si="22"/>
        <v>#N/A</v>
      </c>
    </row>
    <row r="128" spans="1:28">
      <c r="A128" s="74">
        <v>2016</v>
      </c>
      <c r="B128" s="76" t="s">
        <v>25</v>
      </c>
      <c r="C128" s="76" t="s">
        <v>1963</v>
      </c>
      <c r="D128" s="73" t="s">
        <v>1123</v>
      </c>
      <c r="E128" s="73" t="s">
        <v>990</v>
      </c>
      <c r="F128" s="73" t="s">
        <v>18</v>
      </c>
      <c r="G128" s="77">
        <v>0.1</v>
      </c>
      <c r="H128" s="77">
        <v>0.1</v>
      </c>
      <c r="I128" s="76">
        <v>1</v>
      </c>
      <c r="J128" s="76"/>
      <c r="K128" s="76"/>
      <c r="L128" s="76"/>
      <c r="M128" s="76"/>
      <c r="N128" s="76"/>
      <c r="O128" s="76"/>
      <c r="Q128" s="74" t="str">
        <f t="shared" si="20"/>
        <v>2016 P</v>
      </c>
      <c r="T128" s="73"/>
      <c r="W128" s="76"/>
      <c r="Z128" s="73" t="s">
        <v>1125</v>
      </c>
      <c r="AA128" s="73" t="e">
        <f t="shared" si="21"/>
        <v>#N/A</v>
      </c>
      <c r="AB128" s="73" t="e">
        <f t="shared" si="22"/>
        <v>#N/A</v>
      </c>
    </row>
    <row r="129" spans="1:28">
      <c r="A129" s="74">
        <v>2016</v>
      </c>
      <c r="B129" s="76" t="s">
        <v>13</v>
      </c>
      <c r="C129" s="76" t="s">
        <v>1963</v>
      </c>
      <c r="D129" s="73" t="s">
        <v>1124</v>
      </c>
      <c r="E129" s="73" t="s">
        <v>990</v>
      </c>
      <c r="F129" s="73" t="s">
        <v>18</v>
      </c>
      <c r="G129" s="77">
        <v>0.1</v>
      </c>
      <c r="H129" s="77">
        <v>0.1</v>
      </c>
      <c r="I129" s="76">
        <v>1</v>
      </c>
      <c r="J129" s="76"/>
      <c r="K129" s="76"/>
      <c r="L129" s="76"/>
      <c r="M129" s="76"/>
      <c r="N129" s="76"/>
      <c r="O129" s="76"/>
      <c r="Q129" s="74" t="str">
        <f t="shared" si="20"/>
        <v>2016 D</v>
      </c>
      <c r="T129" s="73"/>
      <c r="W129" s="76"/>
      <c r="Z129" s="73" t="s">
        <v>1126</v>
      </c>
      <c r="AA129" s="73" t="e">
        <f t="shared" si="21"/>
        <v>#N/A</v>
      </c>
      <c r="AB129" s="73" t="e">
        <f t="shared" si="22"/>
        <v>#N/A</v>
      </c>
    </row>
    <row r="130" spans="1:28">
      <c r="A130" s="74">
        <v>2016</v>
      </c>
      <c r="B130" s="76" t="s">
        <v>25</v>
      </c>
      <c r="C130" s="76" t="s">
        <v>1963</v>
      </c>
      <c r="D130" s="73" t="s">
        <v>1125</v>
      </c>
      <c r="E130" s="73" t="s">
        <v>990</v>
      </c>
      <c r="F130" s="73" t="s">
        <v>18</v>
      </c>
      <c r="G130" s="77">
        <v>0.1</v>
      </c>
      <c r="H130" s="77">
        <v>0.1</v>
      </c>
      <c r="I130" s="76">
        <v>1</v>
      </c>
      <c r="J130" s="76"/>
      <c r="K130" s="76"/>
      <c r="L130" s="76"/>
      <c r="M130" s="76"/>
      <c r="N130" s="76"/>
      <c r="O130" s="76"/>
      <c r="Q130" s="74" t="str">
        <f t="shared" si="20"/>
        <v>2016 P</v>
      </c>
      <c r="T130" s="73"/>
      <c r="W130" s="76"/>
      <c r="Z130" s="73" t="s">
        <v>1127</v>
      </c>
      <c r="AA130" s="73" t="e">
        <f t="shared" si="21"/>
        <v>#N/A</v>
      </c>
      <c r="AB130" s="73" t="e">
        <f t="shared" si="22"/>
        <v>#N/A</v>
      </c>
    </row>
    <row r="131" spans="1:28">
      <c r="A131" s="74">
        <v>2016</v>
      </c>
      <c r="B131" s="76" t="s">
        <v>13</v>
      </c>
      <c r="C131" s="76" t="s">
        <v>1963</v>
      </c>
      <c r="D131" s="73" t="s">
        <v>1126</v>
      </c>
      <c r="E131" s="73" t="s">
        <v>990</v>
      </c>
      <c r="F131" s="73" t="s">
        <v>18</v>
      </c>
      <c r="G131" s="77">
        <v>0.1</v>
      </c>
      <c r="H131" s="77">
        <v>0.1</v>
      </c>
      <c r="I131" s="76">
        <v>1</v>
      </c>
      <c r="J131" s="76"/>
      <c r="K131" s="76"/>
      <c r="L131" s="76"/>
      <c r="M131" s="76"/>
      <c r="N131" s="76"/>
      <c r="O131" s="76"/>
      <c r="Q131" s="74" t="s">
        <v>791</v>
      </c>
      <c r="T131" s="73"/>
      <c r="W131" s="76"/>
    </row>
    <row r="132" spans="1:28">
      <c r="A132" s="74">
        <v>2016</v>
      </c>
      <c r="B132" s="76" t="s">
        <v>25</v>
      </c>
      <c r="C132" s="76" t="s">
        <v>1963</v>
      </c>
      <c r="D132" s="73" t="s">
        <v>1127</v>
      </c>
      <c r="E132" s="73" t="s">
        <v>990</v>
      </c>
      <c r="F132" s="73" t="s">
        <v>18</v>
      </c>
      <c r="G132" s="77">
        <v>0.1</v>
      </c>
      <c r="H132" s="77">
        <v>0.1</v>
      </c>
      <c r="I132" s="76">
        <v>1</v>
      </c>
      <c r="J132" s="76"/>
      <c r="K132" s="76"/>
      <c r="L132" s="76"/>
      <c r="M132" s="76"/>
      <c r="N132" s="76"/>
      <c r="O132" s="76"/>
      <c r="Q132" s="74" t="str">
        <f t="shared" ref="Q132:Q144" si="23">IF(A132="",A132,A132&amp;" "&amp;B132)</f>
        <v>2016 P</v>
      </c>
      <c r="T132" s="73"/>
      <c r="W132" s="76"/>
      <c r="Z132" s="73" t="s">
        <v>1128</v>
      </c>
      <c r="AA132" s="73" t="e">
        <f t="shared" ref="AA132:AA145" si="24">MATCH(Z132,$C$1:$C$1069,0)</f>
        <v>#N/A</v>
      </c>
      <c r="AB132" s="73" t="e">
        <f t="shared" ref="AB132:AB145" si="25">MATCH(D132,$W$2:$W$270,0)</f>
        <v>#N/A</v>
      </c>
    </row>
    <row r="133" spans="1:28">
      <c r="A133" s="74">
        <v>2016</v>
      </c>
      <c r="B133" s="76" t="s">
        <v>25</v>
      </c>
      <c r="C133" s="76" t="s">
        <v>1963</v>
      </c>
      <c r="D133" s="73" t="s">
        <v>1129</v>
      </c>
      <c r="E133" s="73" t="s">
        <v>990</v>
      </c>
      <c r="F133" s="73" t="s">
        <v>18</v>
      </c>
      <c r="G133" s="77">
        <v>0.1</v>
      </c>
      <c r="H133" s="77">
        <v>1.5</v>
      </c>
      <c r="I133" s="76">
        <v>1</v>
      </c>
      <c r="J133" s="76"/>
      <c r="K133" s="76"/>
      <c r="L133" s="76"/>
      <c r="M133" s="76"/>
      <c r="N133" s="76"/>
      <c r="O133" s="76"/>
      <c r="Q133" s="74" t="str">
        <f t="shared" si="23"/>
        <v>2016 P</v>
      </c>
      <c r="T133" s="73"/>
      <c r="W133" s="76"/>
      <c r="Z133" s="73" t="s">
        <v>1130</v>
      </c>
      <c r="AA133" s="73" t="e">
        <f t="shared" si="24"/>
        <v>#N/A</v>
      </c>
      <c r="AB133" s="73" t="e">
        <f t="shared" si="25"/>
        <v>#N/A</v>
      </c>
    </row>
    <row r="134" spans="1:28">
      <c r="A134" s="74">
        <v>2016</v>
      </c>
      <c r="B134" s="76" t="s">
        <v>25</v>
      </c>
      <c r="C134" s="76" t="s">
        <v>1963</v>
      </c>
      <c r="D134" s="73" t="s">
        <v>1120</v>
      </c>
      <c r="E134" s="73" t="s">
        <v>990</v>
      </c>
      <c r="F134" s="73" t="s">
        <v>1019</v>
      </c>
      <c r="G134" s="77">
        <v>0.1</v>
      </c>
      <c r="H134" s="77">
        <v>0.1</v>
      </c>
      <c r="I134" s="76">
        <v>1</v>
      </c>
      <c r="J134" s="76"/>
      <c r="K134" s="76"/>
      <c r="L134" s="76"/>
      <c r="M134" s="76"/>
      <c r="N134" s="76"/>
      <c r="O134" s="76"/>
      <c r="Q134" s="74" t="str">
        <f t="shared" si="23"/>
        <v>2016 P</v>
      </c>
      <c r="T134" s="73"/>
      <c r="W134" s="76"/>
      <c r="Z134" s="73" t="s">
        <v>1131</v>
      </c>
      <c r="AA134" s="73" t="e">
        <f t="shared" si="24"/>
        <v>#N/A</v>
      </c>
      <c r="AB134" s="73" t="e">
        <f t="shared" si="25"/>
        <v>#N/A</v>
      </c>
    </row>
    <row r="135" spans="1:28">
      <c r="A135" s="74">
        <v>2017</v>
      </c>
      <c r="B135" s="76" t="s">
        <v>25</v>
      </c>
      <c r="C135" s="76" t="s">
        <v>1963</v>
      </c>
      <c r="D135" s="73" t="s">
        <v>1128</v>
      </c>
      <c r="E135" s="73" t="s">
        <v>990</v>
      </c>
      <c r="F135" s="73" t="s">
        <v>1132</v>
      </c>
      <c r="G135" s="77">
        <v>0.1</v>
      </c>
      <c r="H135" s="77">
        <v>0.1</v>
      </c>
      <c r="I135" s="76">
        <v>1</v>
      </c>
      <c r="J135" s="76"/>
      <c r="K135" s="76"/>
      <c r="L135" s="76"/>
      <c r="M135" s="76"/>
      <c r="N135" s="76"/>
      <c r="O135" s="76"/>
      <c r="Q135" s="74" t="str">
        <f t="shared" si="23"/>
        <v>2017 P</v>
      </c>
      <c r="T135" s="73"/>
      <c r="W135" s="76"/>
      <c r="Z135" s="73" t="s">
        <v>1133</v>
      </c>
      <c r="AA135" s="73" t="e">
        <f t="shared" si="24"/>
        <v>#N/A</v>
      </c>
      <c r="AB135" s="73" t="e">
        <f t="shared" si="25"/>
        <v>#N/A</v>
      </c>
    </row>
    <row r="136" spans="1:28">
      <c r="A136" s="74">
        <v>2017</v>
      </c>
      <c r="B136" s="76" t="s">
        <v>25</v>
      </c>
      <c r="C136" s="76" t="s">
        <v>1963</v>
      </c>
      <c r="D136" s="73" t="s">
        <v>1130</v>
      </c>
      <c r="E136" s="73" t="s">
        <v>990</v>
      </c>
      <c r="F136" s="73" t="s">
        <v>1019</v>
      </c>
      <c r="G136" s="77">
        <v>0.1</v>
      </c>
      <c r="H136" s="77">
        <v>0.1</v>
      </c>
      <c r="I136" s="76">
        <v>1</v>
      </c>
      <c r="J136" s="76"/>
      <c r="K136" s="76"/>
      <c r="L136" s="76"/>
      <c r="M136" s="76"/>
      <c r="N136" s="76"/>
      <c r="O136" s="76"/>
      <c r="Q136" s="74" t="str">
        <f t="shared" si="23"/>
        <v>2017 P</v>
      </c>
      <c r="T136" s="73"/>
      <c r="W136" s="76"/>
      <c r="Z136" s="73" t="s">
        <v>1134</v>
      </c>
      <c r="AA136" s="73" t="e">
        <f t="shared" si="24"/>
        <v>#N/A</v>
      </c>
      <c r="AB136" s="73" t="e">
        <f t="shared" si="25"/>
        <v>#N/A</v>
      </c>
    </row>
    <row r="137" spans="1:28">
      <c r="A137" s="74">
        <v>2017</v>
      </c>
      <c r="B137" s="76" t="s">
        <v>25</v>
      </c>
      <c r="C137" s="76" t="s">
        <v>1963</v>
      </c>
      <c r="D137" s="73" t="s">
        <v>1131</v>
      </c>
      <c r="E137" s="73" t="s">
        <v>990</v>
      </c>
      <c r="F137" s="73" t="s">
        <v>1019</v>
      </c>
      <c r="G137" s="77">
        <v>0.1</v>
      </c>
      <c r="H137" s="77">
        <v>0.1</v>
      </c>
      <c r="I137" s="76">
        <v>1</v>
      </c>
      <c r="J137" s="76"/>
      <c r="K137" s="76"/>
      <c r="L137" s="76"/>
      <c r="M137" s="76"/>
      <c r="N137" s="76"/>
      <c r="O137" s="76"/>
      <c r="Q137" s="74" t="str">
        <f t="shared" si="23"/>
        <v>2017 P</v>
      </c>
      <c r="T137" s="73"/>
      <c r="W137" s="76"/>
      <c r="Z137" s="73" t="s">
        <v>1135</v>
      </c>
      <c r="AA137" s="73" t="e">
        <f t="shared" si="24"/>
        <v>#N/A</v>
      </c>
      <c r="AB137" s="73" t="e">
        <f t="shared" si="25"/>
        <v>#N/A</v>
      </c>
    </row>
    <row r="138" spans="1:28">
      <c r="A138" s="74">
        <v>2017</v>
      </c>
      <c r="B138" s="76" t="s">
        <v>25</v>
      </c>
      <c r="C138" s="76" t="s">
        <v>1963</v>
      </c>
      <c r="D138" s="73" t="s">
        <v>1133</v>
      </c>
      <c r="E138" s="73" t="s">
        <v>990</v>
      </c>
      <c r="F138" s="73" t="s">
        <v>18</v>
      </c>
      <c r="G138" s="77">
        <v>0.25</v>
      </c>
      <c r="H138" s="77">
        <v>0.25</v>
      </c>
      <c r="I138" s="76">
        <v>1</v>
      </c>
      <c r="J138" s="76"/>
      <c r="K138" s="76"/>
      <c r="L138" s="76"/>
      <c r="M138" s="76"/>
      <c r="N138" s="76"/>
      <c r="O138" s="76"/>
      <c r="Q138" s="74" t="str">
        <f t="shared" si="23"/>
        <v>2017 P</v>
      </c>
      <c r="T138" s="73"/>
      <c r="W138" s="76"/>
      <c r="Z138" s="73" t="s">
        <v>1136</v>
      </c>
      <c r="AA138" s="73" t="e">
        <f t="shared" si="24"/>
        <v>#N/A</v>
      </c>
      <c r="AB138" s="73" t="e">
        <f t="shared" si="25"/>
        <v>#N/A</v>
      </c>
    </row>
    <row r="139" spans="1:28">
      <c r="A139" s="74">
        <v>2017</v>
      </c>
      <c r="B139" s="76" t="s">
        <v>25</v>
      </c>
      <c r="C139" s="76" t="s">
        <v>1963</v>
      </c>
      <c r="D139" s="73" t="s">
        <v>1134</v>
      </c>
      <c r="E139" s="73" t="s">
        <v>990</v>
      </c>
      <c r="F139" s="73" t="s">
        <v>18</v>
      </c>
      <c r="G139" s="77">
        <v>0.1</v>
      </c>
      <c r="H139" s="77">
        <v>0.1</v>
      </c>
      <c r="I139" s="76">
        <v>1</v>
      </c>
      <c r="J139" s="76"/>
      <c r="K139" s="76"/>
      <c r="L139" s="76"/>
      <c r="M139" s="76"/>
      <c r="N139" s="76"/>
      <c r="O139" s="76"/>
      <c r="Q139" s="74" t="str">
        <f t="shared" si="23"/>
        <v>2017 P</v>
      </c>
      <c r="T139" s="73"/>
      <c r="W139" s="76"/>
      <c r="Z139" s="73" t="s">
        <v>1137</v>
      </c>
      <c r="AA139" s="73" t="e">
        <f t="shared" si="24"/>
        <v>#N/A</v>
      </c>
      <c r="AB139" s="73" t="e">
        <f t="shared" si="25"/>
        <v>#N/A</v>
      </c>
    </row>
    <row r="140" spans="1:28">
      <c r="A140" s="74">
        <v>2018</v>
      </c>
      <c r="B140" s="76" t="s">
        <v>25</v>
      </c>
      <c r="C140" s="76" t="s">
        <v>1963</v>
      </c>
      <c r="D140" s="73" t="s">
        <v>1135</v>
      </c>
      <c r="E140" s="73" t="s">
        <v>990</v>
      </c>
      <c r="F140" s="73" t="s">
        <v>1019</v>
      </c>
      <c r="G140" s="77">
        <v>0.1</v>
      </c>
      <c r="H140" s="77">
        <v>0.1</v>
      </c>
      <c r="I140" s="76">
        <v>1</v>
      </c>
      <c r="J140" s="76"/>
      <c r="K140" s="76"/>
      <c r="L140" s="76"/>
      <c r="M140" s="76"/>
      <c r="N140" s="76"/>
      <c r="O140" s="76"/>
      <c r="Q140" s="74" t="str">
        <f t="shared" si="23"/>
        <v>2018 P</v>
      </c>
      <c r="T140" s="73"/>
      <c r="W140" s="76"/>
      <c r="Z140" s="73" t="s">
        <v>1138</v>
      </c>
      <c r="AA140" s="73" t="e">
        <f t="shared" si="24"/>
        <v>#N/A</v>
      </c>
      <c r="AB140" s="73" t="e">
        <f t="shared" si="25"/>
        <v>#N/A</v>
      </c>
    </row>
    <row r="141" spans="1:28">
      <c r="A141" s="74">
        <v>2018</v>
      </c>
      <c r="B141" s="76" t="s">
        <v>25</v>
      </c>
      <c r="C141" s="76" t="s">
        <v>1963</v>
      </c>
      <c r="D141" s="73" t="s">
        <v>1136</v>
      </c>
      <c r="E141" s="73" t="s">
        <v>990</v>
      </c>
      <c r="F141" s="73" t="s">
        <v>1019</v>
      </c>
      <c r="G141" s="77">
        <v>0.1</v>
      </c>
      <c r="H141" s="77">
        <v>0.1</v>
      </c>
      <c r="I141" s="76">
        <v>1</v>
      </c>
      <c r="J141" s="76"/>
      <c r="K141" s="76"/>
      <c r="L141" s="76"/>
      <c r="M141" s="76"/>
      <c r="N141" s="76"/>
      <c r="O141" s="76"/>
      <c r="Q141" s="74" t="str">
        <f t="shared" si="23"/>
        <v>2018 P</v>
      </c>
      <c r="T141" s="73"/>
      <c r="W141" s="76"/>
      <c r="Z141" s="73" t="s">
        <v>1139</v>
      </c>
      <c r="AA141" s="73" t="e">
        <f t="shared" si="24"/>
        <v>#N/A</v>
      </c>
      <c r="AB141" s="73" t="e">
        <f t="shared" si="25"/>
        <v>#N/A</v>
      </c>
    </row>
    <row r="142" spans="1:28">
      <c r="A142" s="74">
        <v>2018</v>
      </c>
      <c r="B142" s="76" t="s">
        <v>25</v>
      </c>
      <c r="C142" s="76" t="s">
        <v>1963</v>
      </c>
      <c r="D142" s="73" t="s">
        <v>1137</v>
      </c>
      <c r="E142" s="73" t="s">
        <v>990</v>
      </c>
      <c r="F142" s="73" t="s">
        <v>1019</v>
      </c>
      <c r="G142" s="77">
        <v>0.1</v>
      </c>
      <c r="H142" s="77">
        <v>0.1</v>
      </c>
      <c r="I142" s="76">
        <v>1</v>
      </c>
      <c r="J142" s="76"/>
      <c r="K142" s="76"/>
      <c r="L142" s="76"/>
      <c r="M142" s="76"/>
      <c r="N142" s="76"/>
      <c r="O142" s="76"/>
      <c r="Q142" s="74" t="str">
        <f t="shared" si="23"/>
        <v>2018 P</v>
      </c>
      <c r="T142" s="73"/>
      <c r="W142" s="76"/>
      <c r="Z142" s="73" t="s">
        <v>1140</v>
      </c>
      <c r="AA142" s="73" t="e">
        <f t="shared" si="24"/>
        <v>#N/A</v>
      </c>
      <c r="AB142" s="73" t="e">
        <f t="shared" si="25"/>
        <v>#N/A</v>
      </c>
    </row>
    <row r="143" spans="1:28">
      <c r="A143" s="74">
        <v>2018</v>
      </c>
      <c r="B143" s="76" t="s">
        <v>25</v>
      </c>
      <c r="C143" s="76" t="s">
        <v>1963</v>
      </c>
      <c r="D143" s="73" t="s">
        <v>1138</v>
      </c>
      <c r="E143" s="73" t="s">
        <v>990</v>
      </c>
      <c r="F143" s="73" t="s">
        <v>1019</v>
      </c>
      <c r="G143" s="77">
        <v>0.1</v>
      </c>
      <c r="H143" s="77">
        <v>0.1</v>
      </c>
      <c r="I143" s="76">
        <v>1</v>
      </c>
      <c r="J143" s="76"/>
      <c r="K143" s="76"/>
      <c r="L143" s="76"/>
      <c r="M143" s="76"/>
      <c r="N143" s="76"/>
      <c r="O143" s="76"/>
      <c r="Q143" s="74" t="str">
        <f t="shared" si="23"/>
        <v>2018 P</v>
      </c>
      <c r="T143" s="73"/>
      <c r="W143" s="76"/>
      <c r="Z143" s="73" t="s">
        <v>1141</v>
      </c>
      <c r="AA143" s="73" t="e">
        <f t="shared" si="24"/>
        <v>#N/A</v>
      </c>
      <c r="AB143" s="73" t="e">
        <f t="shared" si="25"/>
        <v>#N/A</v>
      </c>
    </row>
    <row r="144" spans="1:28">
      <c r="A144" s="74">
        <v>2019</v>
      </c>
      <c r="B144" s="76" t="s">
        <v>25</v>
      </c>
      <c r="C144" s="76" t="s">
        <v>1963</v>
      </c>
      <c r="D144" s="73" t="s">
        <v>1139</v>
      </c>
      <c r="E144" s="73" t="s">
        <v>990</v>
      </c>
      <c r="F144" s="73" t="s">
        <v>1019</v>
      </c>
      <c r="G144" s="77">
        <v>0.1</v>
      </c>
      <c r="H144" s="77">
        <v>0.1</v>
      </c>
      <c r="I144" s="76">
        <v>1</v>
      </c>
      <c r="J144" s="76"/>
      <c r="K144" s="76"/>
      <c r="L144" s="76"/>
      <c r="M144" s="76"/>
      <c r="N144" s="76"/>
      <c r="O144" s="76"/>
      <c r="Q144" s="74" t="str">
        <f t="shared" si="23"/>
        <v>2019 P</v>
      </c>
      <c r="T144" s="73"/>
      <c r="W144" s="76"/>
      <c r="Z144" s="73" t="s">
        <v>1142</v>
      </c>
      <c r="AA144" s="73" t="e">
        <f t="shared" si="24"/>
        <v>#N/A</v>
      </c>
      <c r="AB144" s="73" t="e">
        <f t="shared" si="25"/>
        <v>#N/A</v>
      </c>
    </row>
    <row r="145" spans="1:28">
      <c r="A145" s="74">
        <v>2019</v>
      </c>
      <c r="B145" s="76" t="s">
        <v>25</v>
      </c>
      <c r="C145" s="76" t="s">
        <v>1963</v>
      </c>
      <c r="D145" s="73" t="s">
        <v>1140</v>
      </c>
      <c r="E145" s="73" t="s">
        <v>990</v>
      </c>
      <c r="F145" s="73" t="s">
        <v>1019</v>
      </c>
      <c r="G145" s="77">
        <v>0.1</v>
      </c>
      <c r="H145" s="77">
        <v>0.1</v>
      </c>
      <c r="I145" s="76">
        <v>1</v>
      </c>
      <c r="J145" s="76"/>
      <c r="K145" s="76"/>
      <c r="L145" s="76"/>
      <c r="M145" s="76"/>
      <c r="N145" s="76"/>
      <c r="O145" s="76"/>
      <c r="Q145" s="74" t="s">
        <v>815</v>
      </c>
      <c r="T145" s="73"/>
      <c r="W145" s="76"/>
      <c r="Z145" s="73" t="s">
        <v>1143</v>
      </c>
      <c r="AA145" s="73" t="e">
        <f t="shared" si="24"/>
        <v>#N/A</v>
      </c>
      <c r="AB145" s="73" t="e">
        <f t="shared" si="25"/>
        <v>#N/A</v>
      </c>
    </row>
    <row r="146" spans="1:28">
      <c r="A146" s="74">
        <v>2019</v>
      </c>
      <c r="B146" s="76" t="s">
        <v>25</v>
      </c>
      <c r="C146" s="76" t="s">
        <v>1963</v>
      </c>
      <c r="D146" s="73" t="s">
        <v>1141</v>
      </c>
      <c r="E146" s="73" t="s">
        <v>990</v>
      </c>
      <c r="F146" s="73" t="s">
        <v>1019</v>
      </c>
      <c r="G146" s="77">
        <v>0.1</v>
      </c>
      <c r="H146" s="77">
        <v>0.1</v>
      </c>
      <c r="I146" s="76">
        <v>1</v>
      </c>
      <c r="J146" s="76"/>
      <c r="K146" s="76"/>
      <c r="L146" s="76"/>
      <c r="M146" s="76"/>
      <c r="N146" s="76"/>
      <c r="O146" s="76"/>
      <c r="Q146" s="74" t="s">
        <v>815</v>
      </c>
      <c r="T146" s="73"/>
      <c r="W146" s="76"/>
    </row>
    <row r="147" spans="1:28">
      <c r="A147" s="74">
        <v>2020</v>
      </c>
      <c r="B147" s="76" t="s">
        <v>25</v>
      </c>
      <c r="C147" s="76" t="s">
        <v>1963</v>
      </c>
      <c r="D147" s="73" t="s">
        <v>1142</v>
      </c>
      <c r="E147" s="73" t="s">
        <v>990</v>
      </c>
      <c r="F147" s="73" t="s">
        <v>1019</v>
      </c>
      <c r="G147" s="77">
        <v>0.1</v>
      </c>
      <c r="H147" s="77">
        <v>0.1</v>
      </c>
      <c r="I147" s="76">
        <v>1</v>
      </c>
      <c r="J147" s="76"/>
      <c r="K147" s="76"/>
      <c r="L147" s="76"/>
      <c r="M147" s="76"/>
      <c r="N147" s="76"/>
      <c r="O147" s="76"/>
      <c r="Q147" s="74" t="s">
        <v>819</v>
      </c>
      <c r="T147" s="73"/>
      <c r="W147" s="76"/>
      <c r="Z147" s="73" t="s">
        <v>1144</v>
      </c>
      <c r="AA147" s="73" t="e">
        <f>MATCH(Z147,$C$1:$C$1069,0)</f>
        <v>#N/A</v>
      </c>
      <c r="AB147" s="73" t="e">
        <f>MATCH(D147,$W$2:$W$270,0)</f>
        <v>#N/A</v>
      </c>
    </row>
    <row r="148" spans="1:28">
      <c r="A148" s="74">
        <v>2020</v>
      </c>
      <c r="B148" s="76" t="s">
        <v>25</v>
      </c>
      <c r="C148" s="76" t="s">
        <v>1963</v>
      </c>
      <c r="D148" s="73" t="s">
        <v>1143</v>
      </c>
      <c r="E148" s="73" t="s">
        <v>990</v>
      </c>
      <c r="F148" s="73" t="s">
        <v>1019</v>
      </c>
      <c r="G148" s="77">
        <v>0.1</v>
      </c>
      <c r="H148" s="77">
        <v>0.1</v>
      </c>
      <c r="I148" s="76">
        <v>1</v>
      </c>
      <c r="J148" s="76"/>
      <c r="K148" s="76"/>
      <c r="L148" s="76"/>
      <c r="M148" s="76"/>
      <c r="N148" s="76"/>
      <c r="O148" s="76"/>
      <c r="Q148" s="74" t="s">
        <v>819</v>
      </c>
      <c r="T148" s="73"/>
      <c r="W148" s="76"/>
      <c r="AA148" s="73" t="e">
        <f>MATCH(Z148,$C$1:$C$1069,0)</f>
        <v>#N/A</v>
      </c>
      <c r="AB148" s="73" t="e">
        <f>MATCH(D148,$Z$2:$Z$113,0)</f>
        <v>#N/A</v>
      </c>
    </row>
    <row r="149" spans="1:28">
      <c r="A149" s="74">
        <v>2020</v>
      </c>
      <c r="B149" s="76" t="s">
        <v>25</v>
      </c>
      <c r="C149" s="76" t="s">
        <v>1963</v>
      </c>
      <c r="D149" s="73" t="s">
        <v>1145</v>
      </c>
      <c r="E149" s="73" t="s">
        <v>990</v>
      </c>
      <c r="F149" s="73" t="s">
        <v>1019</v>
      </c>
      <c r="G149" s="77">
        <v>0.1</v>
      </c>
      <c r="H149" s="77">
        <v>0.1</v>
      </c>
      <c r="I149" s="76">
        <v>1</v>
      </c>
      <c r="J149" s="76"/>
      <c r="K149" s="76"/>
      <c r="L149" s="76"/>
      <c r="M149" s="76"/>
      <c r="N149" s="76"/>
      <c r="O149" s="76"/>
      <c r="Q149" s="74" t="s">
        <v>819</v>
      </c>
      <c r="T149" s="73"/>
      <c r="W149" s="76"/>
    </row>
    <row r="150" spans="1:28">
      <c r="A150" s="74">
        <v>2021</v>
      </c>
      <c r="B150" s="76" t="s">
        <v>25</v>
      </c>
      <c r="C150" s="76" t="s">
        <v>1963</v>
      </c>
      <c r="D150" s="73" t="s">
        <v>1144</v>
      </c>
      <c r="E150" s="73" t="s">
        <v>990</v>
      </c>
      <c r="F150" s="73" t="s">
        <v>1019</v>
      </c>
      <c r="G150" s="77">
        <v>0.1</v>
      </c>
      <c r="H150" s="77">
        <v>0.1</v>
      </c>
      <c r="I150" s="76">
        <v>1</v>
      </c>
      <c r="J150" s="76"/>
      <c r="K150" s="76"/>
      <c r="L150" s="76"/>
      <c r="M150" s="76"/>
      <c r="N150" s="76"/>
      <c r="O150" s="76"/>
      <c r="Q150" s="74" t="s">
        <v>179</v>
      </c>
      <c r="T150" s="73"/>
      <c r="W150" s="76"/>
    </row>
    <row r="151" spans="1:28">
      <c r="A151" s="74">
        <v>2021</v>
      </c>
      <c r="B151" s="76" t="s">
        <v>25</v>
      </c>
      <c r="C151" s="76" t="s">
        <v>1963</v>
      </c>
      <c r="D151" s="73" t="s">
        <v>1146</v>
      </c>
      <c r="E151" s="73" t="s">
        <v>990</v>
      </c>
      <c r="F151" s="73" t="s">
        <v>1019</v>
      </c>
      <c r="G151" s="77">
        <v>0.1</v>
      </c>
      <c r="H151" s="77">
        <v>0.1</v>
      </c>
      <c r="I151" s="76">
        <v>1</v>
      </c>
      <c r="J151" s="76"/>
      <c r="K151" s="76"/>
      <c r="L151" s="76"/>
      <c r="M151" s="76"/>
      <c r="N151" s="76"/>
      <c r="O151" s="76"/>
      <c r="Q151" s="74" t="s">
        <v>179</v>
      </c>
      <c r="T151" s="73"/>
      <c r="W151" s="76"/>
      <c r="AB151" s="73" t="e">
        <f>MATCH(D150,$Z$2:$Z$113,0)</f>
        <v>#N/A</v>
      </c>
    </row>
    <row r="152" spans="1:28">
      <c r="A152" s="74">
        <v>2021</v>
      </c>
      <c r="B152" s="76" t="s">
        <v>25</v>
      </c>
      <c r="C152" s="76" t="s">
        <v>1963</v>
      </c>
      <c r="D152" s="73" t="s">
        <v>1147</v>
      </c>
      <c r="E152" s="73" t="s">
        <v>990</v>
      </c>
      <c r="F152" s="73" t="s">
        <v>1019</v>
      </c>
      <c r="G152" s="77">
        <v>0.1</v>
      </c>
      <c r="H152" s="77">
        <v>1.5</v>
      </c>
      <c r="I152" s="76">
        <v>1</v>
      </c>
      <c r="J152" s="76"/>
      <c r="K152" s="76"/>
      <c r="L152" s="76"/>
      <c r="M152" s="76"/>
      <c r="N152" s="76"/>
      <c r="O152" s="76"/>
      <c r="Q152" s="74" t="s">
        <v>170</v>
      </c>
      <c r="T152" s="73"/>
      <c r="W152" s="76"/>
      <c r="AB152" s="73" t="e">
        <f>MATCH(D151,$Z$2:$Z$113,0)</f>
        <v>#N/A</v>
      </c>
    </row>
    <row r="153" spans="1:28">
      <c r="A153" s="74">
        <v>2022</v>
      </c>
      <c r="B153" s="76" t="s">
        <v>25</v>
      </c>
      <c r="C153" s="76" t="s">
        <v>1963</v>
      </c>
      <c r="D153" s="73" t="s">
        <v>1096</v>
      </c>
      <c r="E153" s="73" t="s">
        <v>990</v>
      </c>
      <c r="F153" s="73" t="s">
        <v>1019</v>
      </c>
      <c r="G153" s="77">
        <v>0.1</v>
      </c>
      <c r="H153" s="77">
        <v>1.5</v>
      </c>
      <c r="I153" s="76">
        <v>1</v>
      </c>
      <c r="J153" s="76"/>
      <c r="K153" s="76"/>
      <c r="L153" s="76"/>
      <c r="N153" s="73"/>
      <c r="Q153" s="74"/>
      <c r="T153" s="73"/>
      <c r="W153" s="76"/>
      <c r="AB153" s="73" t="e">
        <f>MATCH(#REF!,$Z$2:$Z$113,0)</f>
        <v>#REF!</v>
      </c>
    </row>
    <row r="154" spans="1:28">
      <c r="A154" s="74">
        <v>2022</v>
      </c>
      <c r="B154" s="76" t="s">
        <v>13</v>
      </c>
      <c r="C154" s="76" t="s">
        <v>1963</v>
      </c>
      <c r="D154" s="73" t="s">
        <v>1148</v>
      </c>
      <c r="E154" s="73" t="s">
        <v>990</v>
      </c>
      <c r="F154" s="73" t="s">
        <v>1019</v>
      </c>
      <c r="G154" s="77">
        <v>0.1</v>
      </c>
      <c r="H154" s="77">
        <v>0.1</v>
      </c>
      <c r="I154" s="76">
        <v>1</v>
      </c>
      <c r="J154" s="76"/>
      <c r="K154" s="76"/>
      <c r="L154" s="76"/>
      <c r="M154" s="76"/>
      <c r="N154" s="76"/>
      <c r="O154" s="76"/>
      <c r="Q154" s="74" t="s">
        <v>183</v>
      </c>
      <c r="T154" s="73"/>
      <c r="W154" s="76"/>
      <c r="AB154" s="73" t="e">
        <f>MATCH(D154,$Z$2:$Z$113,0)</f>
        <v>#N/A</v>
      </c>
    </row>
    <row r="155" spans="1:28">
      <c r="A155" s="74">
        <v>2022</v>
      </c>
      <c r="B155" s="76" t="s">
        <v>25</v>
      </c>
      <c r="C155" s="76" t="s">
        <v>1963</v>
      </c>
      <c r="D155" s="73" t="s">
        <v>1149</v>
      </c>
      <c r="E155" s="73" t="s">
        <v>990</v>
      </c>
      <c r="F155" s="73" t="s">
        <v>1019</v>
      </c>
      <c r="G155" s="77">
        <v>0.1</v>
      </c>
      <c r="H155" s="77">
        <v>0.1</v>
      </c>
      <c r="I155" s="76">
        <v>1</v>
      </c>
      <c r="J155" s="76"/>
      <c r="K155" s="76"/>
      <c r="L155" s="76"/>
      <c r="M155" s="76"/>
      <c r="N155" s="76"/>
      <c r="O155" s="76"/>
      <c r="Q155" s="74"/>
      <c r="T155" s="73"/>
      <c r="W155" s="76"/>
      <c r="AB155" s="73" t="e">
        <f>MATCH(D155,$Z$2:$Z$113,0)</f>
        <v>#N/A</v>
      </c>
    </row>
    <row r="156" spans="1:28">
      <c r="A156" s="74"/>
      <c r="H156" s="76"/>
      <c r="I156" s="76"/>
      <c r="J156" s="76"/>
      <c r="K156" s="76"/>
      <c r="L156" s="76"/>
      <c r="Y156" s="73" t="e">
        <f t="shared" ref="Y156:Y187" si="26">MATCH(C156,$Z$2:$Z$113,0)</f>
        <v>#N/A</v>
      </c>
    </row>
    <row r="157" spans="1:28">
      <c r="A157" s="74"/>
      <c r="H157" s="76"/>
      <c r="I157" s="76"/>
      <c r="J157" s="76"/>
      <c r="K157" s="76"/>
      <c r="L157" s="76"/>
      <c r="Y157" s="73" t="e">
        <f t="shared" si="26"/>
        <v>#N/A</v>
      </c>
    </row>
    <row r="158" spans="1:28">
      <c r="A158" s="74"/>
      <c r="H158" s="76"/>
      <c r="I158" s="76"/>
      <c r="J158" s="76"/>
      <c r="K158" s="76"/>
      <c r="L158" s="76"/>
      <c r="Y158" s="73" t="e">
        <f t="shared" si="26"/>
        <v>#N/A</v>
      </c>
    </row>
    <row r="159" spans="1:28">
      <c r="A159" s="74"/>
      <c r="H159" s="76"/>
      <c r="I159" s="76"/>
      <c r="J159" s="76"/>
      <c r="K159" s="76"/>
      <c r="L159" s="76"/>
      <c r="Y159" s="73" t="e">
        <f t="shared" si="26"/>
        <v>#N/A</v>
      </c>
    </row>
    <row r="160" spans="1:28">
      <c r="A160" s="74"/>
      <c r="H160" s="76"/>
      <c r="I160" s="76"/>
      <c r="J160" s="76"/>
      <c r="K160" s="76"/>
      <c r="L160" s="76"/>
      <c r="Y160" s="73" t="e">
        <f t="shared" si="26"/>
        <v>#N/A</v>
      </c>
    </row>
    <row r="161" spans="1:25">
      <c r="A161" s="74"/>
      <c r="H161" s="76"/>
      <c r="I161" s="76"/>
      <c r="J161" s="76"/>
      <c r="K161" s="76"/>
      <c r="L161" s="76"/>
      <c r="Y161" s="73" t="e">
        <f t="shared" si="26"/>
        <v>#N/A</v>
      </c>
    </row>
    <row r="162" spans="1:25">
      <c r="A162" s="74"/>
      <c r="H162" s="76"/>
      <c r="I162" s="76"/>
      <c r="J162" s="76"/>
      <c r="K162" s="76"/>
      <c r="L162" s="76"/>
      <c r="Y162" s="73" t="e">
        <f t="shared" si="26"/>
        <v>#N/A</v>
      </c>
    </row>
    <row r="163" spans="1:25">
      <c r="A163" s="74"/>
      <c r="H163" s="76"/>
      <c r="I163" s="76"/>
      <c r="J163" s="76"/>
      <c r="K163" s="76"/>
      <c r="L163" s="76"/>
      <c r="Y163" s="73" t="e">
        <f t="shared" si="26"/>
        <v>#N/A</v>
      </c>
    </row>
    <row r="164" spans="1:25">
      <c r="A164" s="74"/>
      <c r="H164" s="76"/>
      <c r="I164" s="76"/>
      <c r="J164" s="76"/>
      <c r="K164" s="76"/>
      <c r="L164" s="76"/>
      <c r="Y164" s="73" t="e">
        <f t="shared" si="26"/>
        <v>#N/A</v>
      </c>
    </row>
    <row r="165" spans="1:25">
      <c r="A165" s="74"/>
      <c r="H165" s="76"/>
      <c r="I165" s="76"/>
      <c r="J165" s="76"/>
      <c r="K165" s="76"/>
      <c r="L165" s="76"/>
      <c r="Y165" s="73" t="e">
        <f t="shared" si="26"/>
        <v>#N/A</v>
      </c>
    </row>
    <row r="166" spans="1:25">
      <c r="A166" s="74"/>
      <c r="H166" s="76"/>
      <c r="I166" s="76"/>
      <c r="J166" s="76"/>
      <c r="K166" s="76"/>
      <c r="L166" s="76"/>
      <c r="Y166" s="73" t="e">
        <f t="shared" si="26"/>
        <v>#N/A</v>
      </c>
    </row>
    <row r="167" spans="1:25">
      <c r="A167" s="74"/>
      <c r="H167" s="76"/>
      <c r="I167" s="76"/>
      <c r="J167" s="76"/>
      <c r="K167" s="76"/>
      <c r="L167" s="76"/>
      <c r="Y167" s="73" t="e">
        <f t="shared" si="26"/>
        <v>#N/A</v>
      </c>
    </row>
    <row r="168" spans="1:25">
      <c r="A168" s="74"/>
      <c r="H168" s="76"/>
      <c r="I168" s="76"/>
      <c r="J168" s="76"/>
      <c r="K168" s="76"/>
      <c r="L168" s="76"/>
      <c r="Y168" s="73" t="e">
        <f t="shared" si="26"/>
        <v>#N/A</v>
      </c>
    </row>
    <row r="169" spans="1:25">
      <c r="A169" s="74"/>
      <c r="H169" s="76"/>
      <c r="I169" s="76"/>
      <c r="J169" s="76"/>
      <c r="K169" s="76"/>
      <c r="L169" s="76"/>
      <c r="Y169" s="73" t="e">
        <f t="shared" si="26"/>
        <v>#N/A</v>
      </c>
    </row>
    <row r="170" spans="1:25">
      <c r="A170" s="74"/>
      <c r="H170" s="76"/>
      <c r="I170" s="76"/>
      <c r="J170" s="76"/>
      <c r="K170" s="76"/>
      <c r="L170" s="76"/>
      <c r="Y170" s="73" t="e">
        <f t="shared" si="26"/>
        <v>#N/A</v>
      </c>
    </row>
    <row r="171" spans="1:25">
      <c r="A171" s="74"/>
      <c r="H171" s="76"/>
      <c r="I171" s="76"/>
      <c r="J171" s="76"/>
      <c r="K171" s="76"/>
      <c r="L171" s="76"/>
      <c r="Y171" s="73" t="e">
        <f t="shared" si="26"/>
        <v>#N/A</v>
      </c>
    </row>
    <row r="172" spans="1:25">
      <c r="A172" s="74"/>
      <c r="H172" s="76"/>
      <c r="I172" s="76"/>
      <c r="J172" s="76"/>
      <c r="K172" s="76"/>
      <c r="L172" s="76"/>
      <c r="Y172" s="73" t="e">
        <f t="shared" si="26"/>
        <v>#N/A</v>
      </c>
    </row>
    <row r="173" spans="1:25">
      <c r="A173" s="74"/>
      <c r="H173" s="76"/>
      <c r="I173" s="76"/>
      <c r="J173" s="76"/>
      <c r="K173" s="76"/>
      <c r="L173" s="76"/>
      <c r="Y173" s="73" t="e">
        <f t="shared" si="26"/>
        <v>#N/A</v>
      </c>
    </row>
    <row r="174" spans="1:25">
      <c r="A174" s="74"/>
      <c r="H174" s="76"/>
      <c r="I174" s="76"/>
      <c r="J174" s="76"/>
      <c r="K174" s="76"/>
      <c r="L174" s="76"/>
      <c r="Y174" s="73" t="e">
        <f t="shared" si="26"/>
        <v>#N/A</v>
      </c>
    </row>
    <row r="175" spans="1:25">
      <c r="A175" s="74"/>
      <c r="H175" s="76"/>
      <c r="I175" s="76"/>
      <c r="J175" s="76"/>
      <c r="K175" s="76"/>
      <c r="L175" s="76"/>
      <c r="Y175" s="73" t="e">
        <f t="shared" si="26"/>
        <v>#N/A</v>
      </c>
    </row>
    <row r="176" spans="1:25">
      <c r="A176" s="74"/>
      <c r="H176" s="76"/>
      <c r="I176" s="76"/>
      <c r="J176" s="76"/>
      <c r="K176" s="76"/>
      <c r="L176" s="76"/>
      <c r="Y176" s="73" t="e">
        <f t="shared" si="26"/>
        <v>#N/A</v>
      </c>
    </row>
    <row r="177" spans="1:25">
      <c r="A177" s="74"/>
      <c r="H177" s="76"/>
      <c r="I177" s="76"/>
      <c r="J177" s="76"/>
      <c r="K177" s="76"/>
      <c r="L177" s="76"/>
      <c r="Y177" s="73" t="e">
        <f t="shared" si="26"/>
        <v>#N/A</v>
      </c>
    </row>
    <row r="178" spans="1:25">
      <c r="A178" s="74"/>
      <c r="H178" s="76"/>
      <c r="I178" s="76"/>
      <c r="J178" s="76"/>
      <c r="K178" s="76"/>
      <c r="L178" s="76"/>
      <c r="Y178" s="73" t="e">
        <f t="shared" si="26"/>
        <v>#N/A</v>
      </c>
    </row>
    <row r="179" spans="1:25">
      <c r="A179" s="74"/>
      <c r="H179" s="76"/>
      <c r="I179" s="76"/>
      <c r="J179" s="76"/>
      <c r="K179" s="76"/>
      <c r="L179" s="76"/>
      <c r="Y179" s="73" t="e">
        <f t="shared" si="26"/>
        <v>#N/A</v>
      </c>
    </row>
    <row r="180" spans="1:25">
      <c r="A180" s="74"/>
      <c r="H180" s="76"/>
      <c r="I180" s="76"/>
      <c r="J180" s="76"/>
      <c r="K180" s="76"/>
      <c r="L180" s="76"/>
      <c r="Y180" s="73" t="e">
        <f t="shared" si="26"/>
        <v>#N/A</v>
      </c>
    </row>
    <row r="181" spans="1:25">
      <c r="A181" s="74"/>
      <c r="H181" s="76"/>
      <c r="I181" s="76"/>
      <c r="J181" s="76"/>
      <c r="K181" s="76"/>
      <c r="L181" s="76"/>
      <c r="Y181" s="73" t="e">
        <f t="shared" si="26"/>
        <v>#N/A</v>
      </c>
    </row>
    <row r="182" spans="1:25">
      <c r="A182" s="74"/>
      <c r="H182" s="76"/>
      <c r="I182" s="76"/>
      <c r="J182" s="76"/>
      <c r="K182" s="76"/>
      <c r="L182" s="76"/>
      <c r="Y182" s="73" t="e">
        <f t="shared" si="26"/>
        <v>#N/A</v>
      </c>
    </row>
    <row r="183" spans="1:25">
      <c r="A183" s="74"/>
      <c r="H183" s="76"/>
      <c r="I183" s="76"/>
      <c r="J183" s="76"/>
      <c r="K183" s="76"/>
      <c r="L183" s="76"/>
      <c r="Y183" s="73" t="e">
        <f t="shared" si="26"/>
        <v>#N/A</v>
      </c>
    </row>
    <row r="184" spans="1:25">
      <c r="A184" s="74"/>
      <c r="H184" s="76"/>
      <c r="I184" s="76"/>
      <c r="J184" s="76"/>
      <c r="K184" s="76"/>
      <c r="L184" s="76"/>
      <c r="Y184" s="73" t="e">
        <f t="shared" si="26"/>
        <v>#N/A</v>
      </c>
    </row>
    <row r="185" spans="1:25">
      <c r="A185" s="74"/>
      <c r="H185" s="76"/>
      <c r="I185" s="76"/>
      <c r="J185" s="76"/>
      <c r="K185" s="76"/>
      <c r="L185" s="76"/>
      <c r="Y185" s="73" t="e">
        <f t="shared" si="26"/>
        <v>#N/A</v>
      </c>
    </row>
    <row r="186" spans="1:25">
      <c r="A186" s="74"/>
      <c r="H186" s="76"/>
      <c r="I186" s="76"/>
      <c r="J186" s="76"/>
      <c r="K186" s="76"/>
      <c r="L186" s="76"/>
      <c r="Y186" s="73" t="e">
        <f t="shared" si="26"/>
        <v>#N/A</v>
      </c>
    </row>
    <row r="187" spans="1:25">
      <c r="A187" s="74"/>
      <c r="H187" s="76"/>
      <c r="I187" s="76"/>
      <c r="J187" s="76"/>
      <c r="K187" s="76"/>
      <c r="L187" s="76"/>
      <c r="Y187" s="73" t="e">
        <f t="shared" si="26"/>
        <v>#N/A</v>
      </c>
    </row>
    <row r="188" spans="1:25">
      <c r="A188" s="74"/>
      <c r="H188" s="76"/>
      <c r="I188" s="76"/>
      <c r="J188" s="76"/>
      <c r="K188" s="76"/>
      <c r="L188" s="76"/>
      <c r="Y188" s="73" t="e">
        <f t="shared" ref="Y188:Y224" si="27">MATCH(C188,$Z$2:$Z$113,0)</f>
        <v>#N/A</v>
      </c>
    </row>
    <row r="189" spans="1:25">
      <c r="A189" s="74"/>
      <c r="H189" s="76"/>
      <c r="I189" s="76"/>
      <c r="J189" s="76"/>
      <c r="K189" s="76"/>
      <c r="L189" s="76"/>
      <c r="Y189" s="73" t="e">
        <f t="shared" si="27"/>
        <v>#N/A</v>
      </c>
    </row>
    <row r="190" spans="1:25">
      <c r="A190" s="74"/>
      <c r="H190" s="76"/>
      <c r="I190" s="76"/>
      <c r="J190" s="76"/>
      <c r="K190" s="76"/>
      <c r="L190" s="76"/>
      <c r="Y190" s="73" t="e">
        <f t="shared" si="27"/>
        <v>#N/A</v>
      </c>
    </row>
    <row r="191" spans="1:25">
      <c r="A191" s="74"/>
      <c r="H191" s="76"/>
      <c r="I191" s="76"/>
      <c r="J191" s="76"/>
      <c r="K191" s="76"/>
      <c r="L191" s="76"/>
      <c r="Y191" s="73" t="e">
        <f t="shared" si="27"/>
        <v>#N/A</v>
      </c>
    </row>
    <row r="192" spans="1:25">
      <c r="A192" s="74"/>
      <c r="H192" s="76"/>
      <c r="I192" s="76"/>
      <c r="J192" s="76"/>
      <c r="K192" s="76"/>
      <c r="L192" s="76"/>
      <c r="Y192" s="73" t="e">
        <f t="shared" si="27"/>
        <v>#N/A</v>
      </c>
    </row>
    <row r="193" spans="1:25">
      <c r="A193" s="74"/>
      <c r="H193" s="76"/>
      <c r="I193" s="76"/>
      <c r="J193" s="76"/>
      <c r="K193" s="76"/>
      <c r="L193" s="76"/>
      <c r="Y193" s="73" t="e">
        <f t="shared" si="27"/>
        <v>#N/A</v>
      </c>
    </row>
    <row r="194" spans="1:25">
      <c r="A194" s="74"/>
      <c r="H194" s="76"/>
      <c r="I194" s="76"/>
      <c r="J194" s="76"/>
      <c r="K194" s="76"/>
      <c r="L194" s="76"/>
      <c r="Y194" s="73" t="e">
        <f t="shared" si="27"/>
        <v>#N/A</v>
      </c>
    </row>
    <row r="195" spans="1:25">
      <c r="A195" s="74"/>
      <c r="H195" s="76"/>
      <c r="I195" s="76"/>
      <c r="J195" s="76"/>
      <c r="K195" s="76"/>
      <c r="L195" s="76"/>
      <c r="Y195" s="73" t="e">
        <f t="shared" si="27"/>
        <v>#N/A</v>
      </c>
    </row>
    <row r="196" spans="1:25">
      <c r="A196" s="74"/>
      <c r="H196" s="76"/>
      <c r="I196" s="76"/>
      <c r="J196" s="76"/>
      <c r="K196" s="76"/>
      <c r="L196" s="76"/>
      <c r="Y196" s="73" t="e">
        <f t="shared" si="27"/>
        <v>#N/A</v>
      </c>
    </row>
    <row r="197" spans="1:25">
      <c r="A197" s="74"/>
      <c r="H197" s="76"/>
      <c r="I197" s="76"/>
      <c r="J197" s="76"/>
      <c r="K197" s="76"/>
      <c r="L197" s="76"/>
      <c r="Y197" s="73" t="e">
        <f t="shared" si="27"/>
        <v>#N/A</v>
      </c>
    </row>
    <row r="198" spans="1:25">
      <c r="A198" s="74"/>
      <c r="H198" s="76"/>
      <c r="I198" s="76"/>
      <c r="J198" s="76"/>
      <c r="K198" s="76"/>
      <c r="L198" s="76"/>
      <c r="Y198" s="73" t="e">
        <f t="shared" si="27"/>
        <v>#N/A</v>
      </c>
    </row>
    <row r="199" spans="1:25">
      <c r="A199" s="74"/>
      <c r="H199" s="76"/>
      <c r="I199" s="76"/>
      <c r="J199" s="76"/>
      <c r="K199" s="76"/>
      <c r="L199" s="76"/>
      <c r="Y199" s="73" t="e">
        <f t="shared" si="27"/>
        <v>#N/A</v>
      </c>
    </row>
    <row r="200" spans="1:25">
      <c r="A200" s="74"/>
      <c r="H200" s="76"/>
      <c r="I200" s="76"/>
      <c r="J200" s="76"/>
      <c r="K200" s="76"/>
      <c r="L200" s="76"/>
      <c r="Y200" s="73" t="e">
        <f t="shared" si="27"/>
        <v>#N/A</v>
      </c>
    </row>
    <row r="201" spans="1:25">
      <c r="A201" s="74"/>
      <c r="H201" s="76"/>
      <c r="I201" s="76"/>
      <c r="J201" s="76"/>
      <c r="K201" s="76"/>
      <c r="L201" s="76"/>
      <c r="Y201" s="73" t="e">
        <f t="shared" si="27"/>
        <v>#N/A</v>
      </c>
    </row>
    <row r="202" spans="1:25">
      <c r="A202" s="74"/>
      <c r="H202" s="76"/>
      <c r="I202" s="76"/>
      <c r="J202" s="76"/>
      <c r="K202" s="76"/>
      <c r="L202" s="76"/>
      <c r="Y202" s="73" t="e">
        <f t="shared" si="27"/>
        <v>#N/A</v>
      </c>
    </row>
    <row r="203" spans="1:25">
      <c r="A203" s="74"/>
      <c r="H203" s="76"/>
      <c r="I203" s="76"/>
      <c r="J203" s="76"/>
      <c r="K203" s="76"/>
      <c r="L203" s="76"/>
      <c r="Y203" s="73" t="e">
        <f t="shared" si="27"/>
        <v>#N/A</v>
      </c>
    </row>
    <row r="204" spans="1:25">
      <c r="A204" s="74"/>
      <c r="H204" s="76"/>
      <c r="I204" s="76"/>
      <c r="J204" s="76"/>
      <c r="K204" s="76"/>
      <c r="L204" s="76"/>
      <c r="Y204" s="73" t="e">
        <f t="shared" si="27"/>
        <v>#N/A</v>
      </c>
    </row>
    <row r="205" spans="1:25">
      <c r="A205" s="74"/>
      <c r="H205" s="76"/>
      <c r="I205" s="76"/>
      <c r="J205" s="76"/>
      <c r="K205" s="76"/>
      <c r="L205" s="76"/>
      <c r="Y205" s="73" t="e">
        <f t="shared" si="27"/>
        <v>#N/A</v>
      </c>
    </row>
    <row r="206" spans="1:25">
      <c r="A206" s="74"/>
      <c r="H206" s="76"/>
      <c r="I206" s="76"/>
      <c r="J206" s="76"/>
      <c r="K206" s="76"/>
      <c r="L206" s="76"/>
      <c r="Y206" s="73" t="e">
        <f t="shared" si="27"/>
        <v>#N/A</v>
      </c>
    </row>
    <row r="207" spans="1:25">
      <c r="A207" s="74"/>
      <c r="H207" s="76"/>
      <c r="I207" s="76"/>
      <c r="J207" s="76"/>
      <c r="K207" s="76"/>
      <c r="L207" s="76"/>
      <c r="Y207" s="73" t="e">
        <f t="shared" si="27"/>
        <v>#N/A</v>
      </c>
    </row>
    <row r="208" spans="1:25">
      <c r="A208" s="74"/>
      <c r="H208" s="76"/>
      <c r="I208" s="76"/>
      <c r="J208" s="76"/>
      <c r="K208" s="76"/>
      <c r="L208" s="76"/>
      <c r="Y208" s="73" t="e">
        <f t="shared" si="27"/>
        <v>#N/A</v>
      </c>
    </row>
    <row r="209" spans="1:25">
      <c r="A209" s="74"/>
      <c r="H209" s="76"/>
      <c r="I209" s="76"/>
      <c r="J209" s="76"/>
      <c r="K209" s="76"/>
      <c r="L209" s="76"/>
      <c r="Y209" s="73" t="e">
        <f t="shared" si="27"/>
        <v>#N/A</v>
      </c>
    </row>
    <row r="210" spans="1:25">
      <c r="A210" s="74"/>
      <c r="H210" s="76"/>
      <c r="I210" s="76"/>
      <c r="J210" s="76"/>
      <c r="K210" s="76"/>
      <c r="L210" s="76"/>
      <c r="Y210" s="73" t="e">
        <f t="shared" si="27"/>
        <v>#N/A</v>
      </c>
    </row>
    <row r="211" spans="1:25">
      <c r="A211" s="74"/>
      <c r="H211" s="76"/>
      <c r="I211" s="76"/>
      <c r="J211" s="76"/>
      <c r="K211" s="76"/>
      <c r="L211" s="76"/>
      <c r="Y211" s="73" t="e">
        <f t="shared" si="27"/>
        <v>#N/A</v>
      </c>
    </row>
    <row r="212" spans="1:25">
      <c r="A212" s="74"/>
      <c r="H212" s="76"/>
      <c r="I212" s="76"/>
      <c r="J212" s="76"/>
      <c r="K212" s="76"/>
      <c r="L212" s="76"/>
      <c r="Y212" s="73" t="e">
        <f t="shared" si="27"/>
        <v>#N/A</v>
      </c>
    </row>
    <row r="213" spans="1:25">
      <c r="A213" s="74"/>
      <c r="H213" s="76"/>
      <c r="I213" s="76"/>
      <c r="J213" s="76"/>
      <c r="K213" s="76"/>
      <c r="L213" s="76"/>
      <c r="Y213" s="73" t="e">
        <f t="shared" si="27"/>
        <v>#N/A</v>
      </c>
    </row>
    <row r="214" spans="1:25">
      <c r="A214" s="74"/>
      <c r="H214" s="76"/>
      <c r="I214" s="76"/>
      <c r="J214" s="76"/>
      <c r="K214" s="76"/>
      <c r="L214" s="76"/>
      <c r="Y214" s="73" t="e">
        <f t="shared" si="27"/>
        <v>#N/A</v>
      </c>
    </row>
    <row r="215" spans="1:25">
      <c r="A215" s="74"/>
      <c r="H215" s="76"/>
      <c r="I215" s="76"/>
      <c r="J215" s="76"/>
      <c r="K215" s="76"/>
      <c r="L215" s="76"/>
      <c r="Y215" s="73" t="e">
        <f t="shared" si="27"/>
        <v>#N/A</v>
      </c>
    </row>
    <row r="216" spans="1:25">
      <c r="A216" s="74"/>
      <c r="H216" s="76"/>
      <c r="I216" s="76"/>
      <c r="J216" s="76"/>
      <c r="K216" s="76"/>
      <c r="L216" s="76"/>
      <c r="Y216" s="73" t="e">
        <f t="shared" si="27"/>
        <v>#N/A</v>
      </c>
    </row>
    <row r="217" spans="1:25">
      <c r="A217" s="74"/>
      <c r="H217" s="76"/>
      <c r="I217" s="76"/>
      <c r="J217" s="76"/>
      <c r="K217" s="76"/>
      <c r="L217" s="76"/>
      <c r="Y217" s="73" t="e">
        <f t="shared" si="27"/>
        <v>#N/A</v>
      </c>
    </row>
    <row r="218" spans="1:25">
      <c r="A218" s="74"/>
      <c r="H218" s="76"/>
      <c r="I218" s="76"/>
      <c r="J218" s="76"/>
      <c r="K218" s="76"/>
      <c r="L218" s="76"/>
      <c r="Y218" s="73" t="e">
        <f t="shared" si="27"/>
        <v>#N/A</v>
      </c>
    </row>
    <row r="219" spans="1:25">
      <c r="A219" s="74"/>
      <c r="H219" s="76"/>
      <c r="I219" s="76"/>
      <c r="J219" s="76"/>
      <c r="K219" s="76"/>
      <c r="L219" s="76"/>
      <c r="Y219" s="73" t="e">
        <f t="shared" si="27"/>
        <v>#N/A</v>
      </c>
    </row>
    <row r="220" spans="1:25">
      <c r="A220" s="74"/>
      <c r="H220" s="76"/>
      <c r="I220" s="76"/>
      <c r="J220" s="76"/>
      <c r="K220" s="76"/>
      <c r="L220" s="76"/>
      <c r="Y220" s="73" t="e">
        <f t="shared" si="27"/>
        <v>#N/A</v>
      </c>
    </row>
    <row r="221" spans="1:25">
      <c r="A221" s="74"/>
      <c r="H221" s="76"/>
      <c r="I221" s="76"/>
      <c r="J221" s="76"/>
      <c r="K221" s="76"/>
      <c r="L221" s="76"/>
      <c r="Y221" s="73" t="e">
        <f t="shared" si="27"/>
        <v>#N/A</v>
      </c>
    </row>
    <row r="222" spans="1:25">
      <c r="A222" s="74"/>
      <c r="H222" s="76"/>
      <c r="I222" s="76"/>
      <c r="J222" s="76"/>
      <c r="K222" s="76"/>
      <c r="L222" s="76"/>
      <c r="Y222" s="73" t="e">
        <f t="shared" si="27"/>
        <v>#N/A</v>
      </c>
    </row>
    <row r="223" spans="1:25">
      <c r="A223" s="74"/>
      <c r="H223" s="76"/>
      <c r="I223" s="76"/>
      <c r="J223" s="76"/>
      <c r="K223" s="76"/>
      <c r="L223" s="76"/>
      <c r="Y223" s="73" t="e">
        <f t="shared" si="27"/>
        <v>#N/A</v>
      </c>
    </row>
    <row r="224" spans="1:25">
      <c r="A224" s="74"/>
      <c r="H224" s="76"/>
      <c r="I224" s="76"/>
      <c r="J224" s="76"/>
      <c r="K224" s="76"/>
      <c r="L224" s="76"/>
      <c r="Y224" s="73" t="e">
        <f t="shared" si="27"/>
        <v>#N/A</v>
      </c>
    </row>
    <row r="225" spans="1:12">
      <c r="A225" s="74"/>
      <c r="H225" s="76"/>
      <c r="I225" s="76"/>
      <c r="J225" s="76"/>
      <c r="K225" s="76"/>
      <c r="L225" s="76"/>
    </row>
    <row r="226" spans="1:12">
      <c r="A226" s="74"/>
      <c r="H226" s="76"/>
      <c r="I226" s="76"/>
      <c r="J226" s="76"/>
      <c r="K226" s="76"/>
      <c r="L226" s="76"/>
    </row>
    <row r="227" spans="1:12">
      <c r="A227" s="74"/>
      <c r="H227" s="76"/>
      <c r="I227" s="76"/>
      <c r="J227" s="76"/>
      <c r="K227" s="76"/>
      <c r="L227" s="76"/>
    </row>
    <row r="228" spans="1:12">
      <c r="A228" s="74"/>
      <c r="H228" s="76"/>
      <c r="I228" s="76"/>
      <c r="J228" s="76"/>
      <c r="K228" s="76"/>
      <c r="L228" s="76"/>
    </row>
    <row r="229" spans="1:12">
      <c r="A229" s="74"/>
      <c r="H229" s="76"/>
      <c r="I229" s="76"/>
      <c r="J229" s="76"/>
      <c r="K229" s="76"/>
      <c r="L229" s="76"/>
    </row>
    <row r="230" spans="1:12">
      <c r="A230" s="74"/>
      <c r="H230" s="76"/>
      <c r="I230" s="76"/>
      <c r="J230" s="76"/>
      <c r="K230" s="76"/>
      <c r="L230" s="76"/>
    </row>
    <row r="231" spans="1:12">
      <c r="A231" s="74"/>
      <c r="H231" s="76"/>
      <c r="I231" s="76"/>
      <c r="J231" s="76"/>
      <c r="K231" s="76"/>
      <c r="L231" s="76"/>
    </row>
    <row r="232" spans="1:12">
      <c r="A232" s="74"/>
      <c r="H232" s="76"/>
      <c r="I232" s="76"/>
      <c r="J232" s="76"/>
      <c r="K232" s="76"/>
      <c r="L232" s="76"/>
    </row>
    <row r="233" spans="1:12">
      <c r="A233" s="74"/>
      <c r="H233" s="76"/>
      <c r="I233" s="76"/>
      <c r="J233" s="76"/>
      <c r="K233" s="76"/>
      <c r="L233" s="76"/>
    </row>
    <row r="234" spans="1:12">
      <c r="A234" s="74"/>
      <c r="H234" s="76"/>
      <c r="I234" s="76"/>
      <c r="J234" s="76"/>
      <c r="K234" s="76"/>
      <c r="L234" s="76"/>
    </row>
    <row r="235" spans="1:12">
      <c r="A235" s="74"/>
      <c r="H235" s="76"/>
      <c r="I235" s="76"/>
      <c r="J235" s="76"/>
      <c r="K235" s="76"/>
      <c r="L235" s="76"/>
    </row>
    <row r="236" spans="1:12">
      <c r="A236" s="74"/>
      <c r="H236" s="76"/>
      <c r="I236" s="76"/>
      <c r="J236" s="76"/>
      <c r="K236" s="76"/>
      <c r="L236" s="76"/>
    </row>
    <row r="237" spans="1:12">
      <c r="A237" s="74"/>
      <c r="H237" s="76"/>
      <c r="I237" s="76"/>
      <c r="J237" s="76"/>
      <c r="K237" s="76"/>
      <c r="L237" s="76"/>
    </row>
    <row r="238" spans="1:12">
      <c r="A238" s="74"/>
      <c r="H238" s="76"/>
      <c r="I238" s="76"/>
      <c r="J238" s="76"/>
      <c r="K238" s="76"/>
      <c r="L238" s="76"/>
    </row>
    <row r="239" spans="1:12">
      <c r="A239" s="74"/>
      <c r="H239" s="76"/>
      <c r="I239" s="76"/>
      <c r="J239" s="76"/>
      <c r="K239" s="76"/>
      <c r="L239" s="76"/>
    </row>
    <row r="240" spans="1:12">
      <c r="A240" s="74"/>
      <c r="H240" s="76"/>
      <c r="I240" s="76"/>
      <c r="J240" s="76"/>
      <c r="K240" s="76"/>
      <c r="L240" s="76"/>
    </row>
    <row r="241" spans="1:12">
      <c r="A241" s="74"/>
      <c r="H241" s="76"/>
      <c r="I241" s="76"/>
      <c r="J241" s="76"/>
      <c r="K241" s="76"/>
      <c r="L241" s="76"/>
    </row>
    <row r="242" spans="1:12">
      <c r="A242" s="74"/>
      <c r="H242" s="76"/>
      <c r="I242" s="76"/>
      <c r="J242" s="76"/>
      <c r="K242" s="76"/>
      <c r="L242" s="76"/>
    </row>
    <row r="243" spans="1:12">
      <c r="A243" s="74"/>
      <c r="H243" s="76"/>
      <c r="I243" s="76"/>
      <c r="J243" s="76"/>
      <c r="K243" s="76"/>
      <c r="L243" s="76"/>
    </row>
    <row r="244" spans="1:12">
      <c r="A244" s="74"/>
      <c r="H244" s="76"/>
      <c r="I244" s="76"/>
      <c r="J244" s="76"/>
      <c r="K244" s="76"/>
      <c r="L244" s="76"/>
    </row>
    <row r="245" spans="1:12">
      <c r="A245" s="74"/>
      <c r="H245" s="76"/>
      <c r="I245" s="76"/>
      <c r="J245" s="76"/>
      <c r="K245" s="76"/>
      <c r="L245" s="76"/>
    </row>
    <row r="246" spans="1:12">
      <c r="A246" s="74"/>
      <c r="H246" s="76"/>
      <c r="I246" s="76"/>
      <c r="J246" s="76"/>
      <c r="K246" s="76"/>
      <c r="L246" s="76"/>
    </row>
    <row r="247" spans="1:12">
      <c r="A247" s="74"/>
      <c r="H247" s="76"/>
      <c r="I247" s="76"/>
      <c r="J247" s="76"/>
      <c r="K247" s="76"/>
      <c r="L247" s="76"/>
    </row>
    <row r="248" spans="1:12">
      <c r="A248" s="74"/>
      <c r="H248" s="76"/>
      <c r="I248" s="76"/>
      <c r="J248" s="76"/>
      <c r="K248" s="76"/>
      <c r="L248" s="76"/>
    </row>
    <row r="249" spans="1:12">
      <c r="A249" s="74"/>
      <c r="H249" s="76"/>
      <c r="I249" s="76"/>
      <c r="J249" s="76"/>
      <c r="K249" s="76"/>
      <c r="L249" s="76"/>
    </row>
    <row r="250" spans="1:12">
      <c r="A250" s="74"/>
      <c r="H250" s="76"/>
      <c r="I250" s="76"/>
      <c r="J250" s="76"/>
      <c r="K250" s="76"/>
      <c r="L250" s="76"/>
    </row>
    <row r="251" spans="1:12">
      <c r="A251" s="74"/>
      <c r="H251" s="76"/>
      <c r="I251" s="76"/>
      <c r="J251" s="76"/>
      <c r="K251" s="76"/>
      <c r="L251" s="76"/>
    </row>
    <row r="252" spans="1:12">
      <c r="A252" s="74"/>
      <c r="H252" s="76"/>
      <c r="I252" s="76"/>
      <c r="J252" s="76"/>
      <c r="K252" s="76"/>
      <c r="L252" s="76"/>
    </row>
    <row r="253" spans="1:12">
      <c r="A253" s="74"/>
      <c r="H253" s="76"/>
      <c r="I253" s="76"/>
      <c r="J253" s="76"/>
      <c r="K253" s="76"/>
      <c r="L253" s="76"/>
    </row>
    <row r="254" spans="1:12">
      <c r="A254" s="74"/>
      <c r="H254" s="76"/>
      <c r="I254" s="76"/>
      <c r="J254" s="76"/>
      <c r="K254" s="76"/>
      <c r="L254" s="76"/>
    </row>
    <row r="255" spans="1:12">
      <c r="A255" s="74"/>
      <c r="H255" s="76"/>
      <c r="I255" s="76"/>
      <c r="J255" s="76"/>
      <c r="K255" s="76"/>
      <c r="L255" s="76"/>
    </row>
    <row r="256" spans="1:12">
      <c r="A256" s="74"/>
      <c r="H256" s="76"/>
      <c r="I256" s="76"/>
      <c r="J256" s="76"/>
      <c r="K256" s="76"/>
      <c r="L256" s="76"/>
    </row>
    <row r="257" spans="1:12">
      <c r="A257" s="74"/>
      <c r="H257" s="76"/>
      <c r="I257" s="76"/>
      <c r="J257" s="76"/>
      <c r="K257" s="76"/>
      <c r="L257" s="76"/>
    </row>
    <row r="258" spans="1:12">
      <c r="A258" s="74"/>
      <c r="H258" s="76"/>
      <c r="I258" s="76"/>
      <c r="J258" s="76"/>
      <c r="K258" s="76"/>
      <c r="L258" s="76"/>
    </row>
    <row r="259" spans="1:12">
      <c r="A259" s="74"/>
      <c r="H259" s="76"/>
      <c r="I259" s="76"/>
      <c r="J259" s="76"/>
      <c r="K259" s="76"/>
      <c r="L259" s="76"/>
    </row>
    <row r="260" spans="1:12">
      <c r="A260" s="74"/>
      <c r="H260" s="76"/>
      <c r="I260" s="76"/>
      <c r="J260" s="76"/>
      <c r="K260" s="76"/>
      <c r="L260" s="76"/>
    </row>
    <row r="261" spans="1:12">
      <c r="A261" s="74"/>
      <c r="H261" s="76"/>
      <c r="I261" s="76"/>
      <c r="J261" s="76"/>
      <c r="K261" s="76"/>
      <c r="L261" s="76"/>
    </row>
    <row r="262" spans="1:12">
      <c r="A262" s="74"/>
      <c r="H262" s="76"/>
      <c r="I262" s="76"/>
      <c r="J262" s="76"/>
      <c r="K262" s="76"/>
      <c r="L262" s="76"/>
    </row>
    <row r="263" spans="1:12">
      <c r="A263" s="74"/>
      <c r="H263" s="76"/>
      <c r="I263" s="76"/>
      <c r="J263" s="76"/>
      <c r="K263" s="76"/>
      <c r="L263" s="76"/>
    </row>
    <row r="264" spans="1:12">
      <c r="A264" s="74"/>
      <c r="H264" s="76"/>
      <c r="I264" s="76"/>
      <c r="J264" s="76"/>
      <c r="K264" s="76"/>
      <c r="L264" s="76"/>
    </row>
    <row r="265" spans="1:12">
      <c r="A265" s="74"/>
      <c r="H265" s="76"/>
      <c r="I265" s="76"/>
      <c r="J265" s="76"/>
      <c r="K265" s="76"/>
      <c r="L265" s="76"/>
    </row>
    <row r="266" spans="1:12">
      <c r="A266" s="74"/>
      <c r="H266" s="76"/>
      <c r="I266" s="76"/>
      <c r="J266" s="76"/>
      <c r="K266" s="76"/>
      <c r="L266" s="76"/>
    </row>
    <row r="267" spans="1:12">
      <c r="A267" s="74"/>
      <c r="H267" s="76"/>
      <c r="I267" s="76"/>
      <c r="J267" s="76"/>
      <c r="K267" s="76"/>
      <c r="L267" s="76"/>
    </row>
    <row r="268" spans="1:12">
      <c r="A268" s="74"/>
      <c r="H268" s="76"/>
      <c r="I268" s="76"/>
      <c r="J268" s="76"/>
      <c r="K268" s="76"/>
      <c r="L268" s="76"/>
    </row>
    <row r="269" spans="1:12">
      <c r="A269" s="74"/>
      <c r="H269" s="76"/>
      <c r="I269" s="76"/>
      <c r="J269" s="76"/>
      <c r="K269" s="76"/>
      <c r="L269" s="76"/>
    </row>
    <row r="270" spans="1:12">
      <c r="A270" s="74"/>
      <c r="H270" s="76"/>
      <c r="I270" s="76"/>
      <c r="J270" s="76"/>
      <c r="K270" s="76"/>
      <c r="L270" s="76"/>
    </row>
    <row r="271" spans="1:12">
      <c r="A271" s="74"/>
      <c r="H271" s="76"/>
      <c r="I271" s="76"/>
      <c r="J271" s="76"/>
      <c r="K271" s="76"/>
      <c r="L271" s="76"/>
    </row>
    <row r="272" spans="1:12">
      <c r="A272" s="74"/>
      <c r="H272" s="76"/>
      <c r="I272" s="76"/>
      <c r="J272" s="76"/>
      <c r="K272" s="76"/>
      <c r="L272" s="76"/>
    </row>
    <row r="273" spans="1:12">
      <c r="A273" s="74"/>
      <c r="H273" s="76"/>
      <c r="I273" s="76"/>
      <c r="J273" s="76"/>
      <c r="K273" s="76"/>
      <c r="L273" s="76"/>
    </row>
    <row r="274" spans="1:12">
      <c r="A274" s="74"/>
      <c r="H274" s="76"/>
      <c r="I274" s="76"/>
      <c r="J274" s="76"/>
      <c r="K274" s="76"/>
      <c r="L274" s="76"/>
    </row>
    <row r="275" spans="1:12">
      <c r="A275" s="74"/>
      <c r="H275" s="76"/>
      <c r="I275" s="76"/>
      <c r="J275" s="76"/>
      <c r="K275" s="76"/>
      <c r="L275" s="76"/>
    </row>
    <row r="276" spans="1:12">
      <c r="A276" s="74"/>
      <c r="H276" s="76"/>
      <c r="I276" s="76"/>
      <c r="J276" s="76"/>
      <c r="K276" s="76"/>
      <c r="L276" s="76"/>
    </row>
    <row r="277" spans="1:12">
      <c r="A277" s="74"/>
      <c r="H277" s="76"/>
      <c r="I277" s="76"/>
      <c r="J277" s="76"/>
      <c r="K277" s="76"/>
      <c r="L277" s="76"/>
    </row>
    <row r="278" spans="1:12">
      <c r="A278" s="74"/>
      <c r="H278" s="76"/>
      <c r="I278" s="76"/>
      <c r="J278" s="76"/>
      <c r="K278" s="76"/>
      <c r="L278" s="76"/>
    </row>
    <row r="279" spans="1:12">
      <c r="A279" s="74"/>
      <c r="H279" s="76"/>
      <c r="I279" s="76"/>
      <c r="J279" s="76"/>
      <c r="K279" s="76"/>
      <c r="L279" s="76"/>
    </row>
    <row r="280" spans="1:12">
      <c r="A280" s="74"/>
      <c r="H280" s="76"/>
      <c r="I280" s="76"/>
      <c r="J280" s="76"/>
      <c r="K280" s="76"/>
      <c r="L280" s="76"/>
    </row>
    <row r="281" spans="1:12">
      <c r="A281" s="74"/>
      <c r="H281" s="76"/>
      <c r="I281" s="76"/>
      <c r="J281" s="76"/>
      <c r="K281" s="76"/>
      <c r="L281" s="76"/>
    </row>
    <row r="282" spans="1:12">
      <c r="A282" s="74"/>
      <c r="H282" s="76"/>
      <c r="I282" s="76"/>
      <c r="J282" s="76"/>
      <c r="K282" s="76"/>
      <c r="L282" s="76"/>
    </row>
    <row r="283" spans="1:12">
      <c r="A283" s="74"/>
      <c r="H283" s="76"/>
      <c r="I283" s="76"/>
      <c r="J283" s="76"/>
      <c r="K283" s="76"/>
      <c r="L283" s="76"/>
    </row>
    <row r="284" spans="1:12">
      <c r="A284" s="74"/>
      <c r="H284" s="76"/>
      <c r="I284" s="76"/>
      <c r="J284" s="76"/>
      <c r="K284" s="76"/>
      <c r="L284" s="76"/>
    </row>
    <row r="285" spans="1:12">
      <c r="A285" s="74"/>
      <c r="H285" s="76"/>
      <c r="I285" s="76"/>
      <c r="J285" s="76"/>
      <c r="K285" s="76"/>
      <c r="L285" s="76"/>
    </row>
    <row r="286" spans="1:12">
      <c r="A286" s="74"/>
      <c r="H286" s="76"/>
      <c r="I286" s="76"/>
      <c r="J286" s="76"/>
      <c r="K286" s="76"/>
      <c r="L286" s="76"/>
    </row>
    <row r="287" spans="1:12">
      <c r="A287" s="74"/>
      <c r="H287" s="76"/>
      <c r="I287" s="76"/>
      <c r="J287" s="76"/>
      <c r="K287" s="76"/>
      <c r="L287" s="76"/>
    </row>
    <row r="288" spans="1:12">
      <c r="A288" s="74"/>
      <c r="H288" s="76"/>
      <c r="I288" s="76"/>
      <c r="J288" s="76"/>
      <c r="K288" s="76"/>
      <c r="L288" s="76"/>
    </row>
    <row r="289" spans="1:12">
      <c r="A289" s="74"/>
      <c r="H289" s="76"/>
      <c r="I289" s="76"/>
      <c r="J289" s="76"/>
      <c r="K289" s="76"/>
      <c r="L289" s="76"/>
    </row>
    <row r="290" spans="1:12">
      <c r="A290" s="74"/>
      <c r="H290" s="76"/>
      <c r="I290" s="76"/>
      <c r="J290" s="76"/>
      <c r="K290" s="76"/>
      <c r="L290" s="76"/>
    </row>
    <row r="291" spans="1:12">
      <c r="A291" s="74"/>
      <c r="H291" s="76"/>
      <c r="I291" s="76"/>
      <c r="J291" s="76"/>
      <c r="K291" s="76"/>
      <c r="L291" s="76"/>
    </row>
    <row r="292" spans="1:12">
      <c r="A292" s="74"/>
      <c r="H292" s="76"/>
      <c r="I292" s="76"/>
      <c r="J292" s="76"/>
      <c r="K292" s="76"/>
      <c r="L292" s="76"/>
    </row>
    <row r="293" spans="1:12">
      <c r="A293" s="74"/>
      <c r="H293" s="76"/>
      <c r="I293" s="76"/>
      <c r="J293" s="76"/>
      <c r="K293" s="76"/>
      <c r="L293" s="76"/>
    </row>
    <row r="294" spans="1:12">
      <c r="A294" s="74"/>
      <c r="H294" s="76"/>
      <c r="I294" s="76"/>
      <c r="J294" s="76"/>
      <c r="K294" s="76"/>
      <c r="L294" s="76"/>
    </row>
    <row r="295" spans="1:12">
      <c r="A295" s="74"/>
      <c r="H295" s="76"/>
      <c r="I295" s="76"/>
      <c r="J295" s="76"/>
      <c r="K295" s="76"/>
      <c r="L295" s="76"/>
    </row>
    <row r="296" spans="1:12">
      <c r="A296" s="74"/>
      <c r="H296" s="76"/>
      <c r="I296" s="76"/>
      <c r="J296" s="76"/>
      <c r="K296" s="76"/>
      <c r="L296" s="76"/>
    </row>
    <row r="297" spans="1:12">
      <c r="A297" s="74"/>
      <c r="H297" s="76"/>
      <c r="I297" s="76"/>
      <c r="J297" s="76"/>
      <c r="K297" s="76"/>
      <c r="L297" s="76"/>
    </row>
    <row r="298" spans="1:12">
      <c r="A298" s="74"/>
      <c r="H298" s="76"/>
      <c r="I298" s="76"/>
      <c r="J298" s="76"/>
      <c r="K298" s="76"/>
      <c r="L298" s="76"/>
    </row>
    <row r="299" spans="1:12">
      <c r="A299" s="74"/>
      <c r="H299" s="76"/>
      <c r="I299" s="76"/>
      <c r="J299" s="76"/>
      <c r="K299" s="76"/>
      <c r="L299" s="76"/>
    </row>
    <row r="300" spans="1:12">
      <c r="A300" s="74"/>
      <c r="H300" s="76"/>
      <c r="I300" s="76"/>
      <c r="J300" s="76"/>
      <c r="K300" s="76"/>
      <c r="L300" s="76"/>
    </row>
  </sheetData>
  <sheetProtection selectLockedCells="1" selectUnlockedCells="1"/>
  <dataValidations count="2">
    <dataValidation type="list" operator="equal" allowBlank="1" showErrorMessage="1" sqref="U1" xr:uid="{CF8A186C-0302-4BA0-A2C1-E230C0A34A56}">
      <formula1>"MURROS"</formula1>
      <formula2>0</formula2>
    </dataValidation>
    <dataValidation type="list" allowBlank="1" showErrorMessage="1" sqref="W1:X1" xr:uid="{D846E8D9-6E85-41BF-8CC4-EADEFC96DFA2}">
      <formula1>"DIM"</formula1>
      <formula2>0</formula2>
    </dataValidation>
  </dataValidations>
  <pageMargins left="0.70000000000000007" right="0.70000000000000007" top="0.75" bottom="0.75" header="0.51181102362204722" footer="0.51181102362204722"/>
  <pageSetup firstPageNumber="0" orientation="portrait" horizontalDpi="300" verticalDpi="300"/>
  <headerFooter alignWithMargins="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08E6E-B042-4542-8791-FE34D38EE47C}">
  <sheetPr codeName="Sheet17">
    <tabColor theme="8" tint="0.79998168889431442"/>
  </sheetPr>
  <dimension ref="A1:V866"/>
  <sheetViews>
    <sheetView workbookViewId="0"/>
  </sheetViews>
  <sheetFormatPr defaultColWidth="8.85546875" defaultRowHeight="12.75"/>
  <cols>
    <col min="1" max="1" width="11.140625" style="38" customWidth="1"/>
    <col min="2" max="3" width="11.140625" style="93" customWidth="1"/>
    <col min="4" max="4" width="18.85546875" style="38" customWidth="1"/>
    <col min="5" max="5" width="23.42578125" style="38" bestFit="1" customWidth="1"/>
    <col min="6" max="6" width="24.7109375" style="38" bestFit="1" customWidth="1"/>
    <col min="7" max="7" width="13" style="95" customWidth="1"/>
    <col min="8" max="8" width="12.42578125" style="95" customWidth="1"/>
    <col min="9" max="9" width="11.140625" style="38" customWidth="1"/>
    <col min="10" max="10" width="33.140625" style="94" bestFit="1" customWidth="1"/>
    <col min="11" max="11" width="6.42578125" style="38" customWidth="1"/>
    <col min="12" max="12" width="9" style="94" customWidth="1"/>
    <col min="13" max="18" width="8.85546875" style="38"/>
    <col min="19" max="20" width="22.7109375" style="38" customWidth="1"/>
    <col min="21" max="16384" width="8.85546875" style="38"/>
  </cols>
  <sheetData>
    <row r="1" spans="1:22">
      <c r="A1" s="94" t="s">
        <v>0</v>
      </c>
      <c r="B1" s="93" t="s">
        <v>1</v>
      </c>
      <c r="C1" s="93" t="s">
        <v>1960</v>
      </c>
      <c r="D1" s="38" t="s">
        <v>1181</v>
      </c>
      <c r="E1" s="38" t="s">
        <v>286</v>
      </c>
      <c r="F1" s="38" t="s">
        <v>5</v>
      </c>
      <c r="G1" s="95" t="s">
        <v>6</v>
      </c>
      <c r="H1" s="95" t="s">
        <v>7</v>
      </c>
      <c r="I1" s="93" t="s">
        <v>8</v>
      </c>
      <c r="J1" s="93" t="s">
        <v>1957</v>
      </c>
      <c r="K1" s="94" t="s">
        <v>288</v>
      </c>
      <c r="L1" s="94" t="s">
        <v>1964</v>
      </c>
      <c r="N1" s="94" t="e">
        <f>IF(#REF!="",#REF!,#REF!&amp;" "&amp;#REF!)</f>
        <v>#REF!</v>
      </c>
      <c r="R1" s="38" t="e">
        <f>#REF!&amp;#REF!&amp;#REF!&amp;#REF!&amp;"-"</f>
        <v>#REF!</v>
      </c>
      <c r="T1" s="37" t="s">
        <v>1</v>
      </c>
      <c r="U1" s="37" t="s">
        <v>1182</v>
      </c>
      <c r="V1" s="37" t="s">
        <v>5</v>
      </c>
    </row>
    <row r="2" spans="1:22">
      <c r="A2" s="94">
        <v>1939</v>
      </c>
      <c r="B2" s="93" t="s">
        <v>1183</v>
      </c>
      <c r="C2" s="93" t="s">
        <v>1965</v>
      </c>
      <c r="D2" s="38" t="s">
        <v>1184</v>
      </c>
      <c r="E2" s="38" t="s">
        <v>1185</v>
      </c>
      <c r="F2" s="38" t="s">
        <v>996</v>
      </c>
      <c r="G2" s="95">
        <v>0.25</v>
      </c>
      <c r="H2" s="95">
        <v>0.25</v>
      </c>
      <c r="I2" s="93">
        <v>1</v>
      </c>
      <c r="J2" s="93"/>
      <c r="K2" s="94"/>
      <c r="N2" s="94">
        <f>IF(Quarters[[#This Row],[Mint]]="",Quarters[[#This Row],[Date]],Quarters[[#This Row],[Date]]&amp;" "&amp;Quarters[[#This Row],[Mint]])</f>
        <v>1939</v>
      </c>
      <c r="R2" s="38" t="e">
        <f>MATCH($R$1&amp;S2,#REF!,0)</f>
        <v>#REF!</v>
      </c>
      <c r="S2" s="93" t="s">
        <v>303</v>
      </c>
      <c r="T2" s="93" t="e">
        <f t="shared" ref="T2:T7" si="0">IF(INDEX($A$1:$E$1053,R2,2)=0,"",INDEX($A$1:$E$1053,R2,2))</f>
        <v>#REF!</v>
      </c>
      <c r="U2" s="38" t="e">
        <f t="shared" ref="U2:U7" si="1">INDEX($A$1:$E$1053,R2,4)</f>
        <v>#REF!</v>
      </c>
      <c r="V2" s="38" t="e">
        <f t="shared" ref="V2:V7" si="2">INDEX($A$1:$E$1053,R2,5)</f>
        <v>#REF!</v>
      </c>
    </row>
    <row r="3" spans="1:22">
      <c r="A3" s="94">
        <v>1942</v>
      </c>
      <c r="B3" s="93" t="s">
        <v>1183</v>
      </c>
      <c r="C3" s="93" t="s">
        <v>1965</v>
      </c>
      <c r="D3" s="38" t="s">
        <v>1186</v>
      </c>
      <c r="E3" s="38" t="s">
        <v>1185</v>
      </c>
      <c r="F3" s="38" t="s">
        <v>996</v>
      </c>
      <c r="G3" s="95">
        <v>0.25</v>
      </c>
      <c r="H3" s="95">
        <v>3.04</v>
      </c>
      <c r="I3" s="93">
        <v>1</v>
      </c>
      <c r="J3" s="93"/>
      <c r="K3" s="94"/>
      <c r="N3" s="94">
        <f>IF(Quarters[[#This Row],[Mint]]="",Quarters[[#This Row],[Date]],Quarters[[#This Row],[Date]]&amp;" "&amp;Quarters[[#This Row],[Mint]])</f>
        <v>1942</v>
      </c>
      <c r="R3" s="38" t="e">
        <f>MATCH($R$1&amp;S3,#REF!,0)</f>
        <v>#REF!</v>
      </c>
      <c r="S3" s="93" t="s">
        <v>309</v>
      </c>
      <c r="T3" s="93" t="e">
        <f t="shared" si="0"/>
        <v>#REF!</v>
      </c>
      <c r="U3" s="38" t="e">
        <f t="shared" si="1"/>
        <v>#REF!</v>
      </c>
      <c r="V3" s="38" t="e">
        <f t="shared" si="2"/>
        <v>#REF!</v>
      </c>
    </row>
    <row r="4" spans="1:22">
      <c r="A4" s="94">
        <v>1946</v>
      </c>
      <c r="B4" s="93" t="s">
        <v>1183</v>
      </c>
      <c r="C4" s="93" t="s">
        <v>1965</v>
      </c>
      <c r="D4" s="38" t="s">
        <v>1187</v>
      </c>
      <c r="E4" s="38" t="s">
        <v>1185</v>
      </c>
      <c r="F4" s="38" t="s">
        <v>16</v>
      </c>
      <c r="G4" s="95">
        <v>0.25</v>
      </c>
      <c r="H4" s="95">
        <v>0.25</v>
      </c>
      <c r="I4" s="93">
        <v>1</v>
      </c>
      <c r="J4" s="93"/>
      <c r="K4" s="94"/>
      <c r="N4" s="94">
        <f>IF(Quarters[[#This Row],[Mint]]="",Quarters[[#This Row],[Date]],Quarters[[#This Row],[Date]]&amp;" "&amp;Quarters[[#This Row],[Mint]])</f>
        <v>1946</v>
      </c>
      <c r="R4" s="38" t="e">
        <f>MATCH($R$1&amp;S4,#REF!,0)</f>
        <v>#REF!</v>
      </c>
      <c r="S4" s="93" t="s">
        <v>313</v>
      </c>
      <c r="T4" s="93" t="e">
        <f t="shared" si="0"/>
        <v>#REF!</v>
      </c>
      <c r="U4" s="38" t="e">
        <f t="shared" si="1"/>
        <v>#REF!</v>
      </c>
      <c r="V4" s="38" t="e">
        <f t="shared" si="2"/>
        <v>#REF!</v>
      </c>
    </row>
    <row r="5" spans="1:22">
      <c r="A5" s="94">
        <v>1952</v>
      </c>
      <c r="B5" s="93" t="s">
        <v>1183</v>
      </c>
      <c r="C5" s="93" t="s">
        <v>1965</v>
      </c>
      <c r="D5" s="38" t="s">
        <v>1188</v>
      </c>
      <c r="E5" s="38" t="s">
        <v>1185</v>
      </c>
      <c r="F5" s="38" t="s">
        <v>1189</v>
      </c>
      <c r="G5" s="95">
        <v>0.25</v>
      </c>
      <c r="H5" s="95">
        <v>3.04</v>
      </c>
      <c r="I5" s="93">
        <v>1</v>
      </c>
      <c r="J5" s="93"/>
      <c r="K5" s="94"/>
      <c r="N5" s="94">
        <f>IF(Quarters[[#This Row],[Mint]]="",Quarters[[#This Row],[Date]],Quarters[[#This Row],[Date]]&amp;" "&amp;Quarters[[#This Row],[Mint]])</f>
        <v>1952</v>
      </c>
      <c r="R5" s="38" t="e">
        <f>MATCH($R$1&amp;S5,#REF!,0)</f>
        <v>#REF!</v>
      </c>
      <c r="S5" s="93" t="s">
        <v>317</v>
      </c>
      <c r="T5" s="93" t="e">
        <f t="shared" si="0"/>
        <v>#REF!</v>
      </c>
      <c r="U5" s="38" t="e">
        <f t="shared" si="1"/>
        <v>#REF!</v>
      </c>
      <c r="V5" s="38" t="e">
        <f t="shared" si="2"/>
        <v>#REF!</v>
      </c>
    </row>
    <row r="6" spans="1:22">
      <c r="A6" s="94">
        <v>1952</v>
      </c>
      <c r="B6" s="93" t="s">
        <v>1183</v>
      </c>
      <c r="C6" s="93" t="s">
        <v>1965</v>
      </c>
      <c r="D6" s="38" t="s">
        <v>1190</v>
      </c>
      <c r="E6" s="38" t="s">
        <v>1185</v>
      </c>
      <c r="F6" s="38" t="s">
        <v>16</v>
      </c>
      <c r="G6" s="95">
        <v>0.25</v>
      </c>
      <c r="H6" s="95">
        <v>0.25</v>
      </c>
      <c r="I6" s="93">
        <v>1</v>
      </c>
      <c r="J6" s="93"/>
      <c r="K6" s="94"/>
      <c r="N6" s="94">
        <f>IF(Quarters[[#This Row],[Mint]]="",Quarters[[#This Row],[Date]],Quarters[[#This Row],[Date]]&amp;" "&amp;Quarters[[#This Row],[Mint]])</f>
        <v>1952</v>
      </c>
      <c r="R6" s="38" t="e">
        <f>MATCH($R$1&amp;S6,#REF!,0)</f>
        <v>#REF!</v>
      </c>
      <c r="S6" s="93" t="s">
        <v>322</v>
      </c>
      <c r="T6" s="93" t="e">
        <f t="shared" si="0"/>
        <v>#REF!</v>
      </c>
      <c r="U6" s="38" t="e">
        <f t="shared" si="1"/>
        <v>#REF!</v>
      </c>
      <c r="V6" s="38" t="e">
        <f t="shared" si="2"/>
        <v>#REF!</v>
      </c>
    </row>
    <row r="7" spans="1:22">
      <c r="A7" s="94">
        <v>1965</v>
      </c>
      <c r="B7" s="93" t="s">
        <v>1183</v>
      </c>
      <c r="C7" s="93" t="s">
        <v>1965</v>
      </c>
      <c r="D7" s="38" t="s">
        <v>1191</v>
      </c>
      <c r="E7" s="38" t="s">
        <v>1185</v>
      </c>
      <c r="F7" s="38" t="s">
        <v>15</v>
      </c>
      <c r="G7" s="95">
        <v>0.25</v>
      </c>
      <c r="H7" s="95">
        <v>3.04</v>
      </c>
      <c r="I7" s="93">
        <v>1</v>
      </c>
      <c r="J7" s="93"/>
      <c r="K7" s="94"/>
      <c r="N7" s="94">
        <f>IF(Quarters[[#This Row],[Mint]]="",Quarters[[#This Row],[Date]],Quarters[[#This Row],[Date]]&amp;" "&amp;Quarters[[#This Row],[Mint]])</f>
        <v>1965</v>
      </c>
      <c r="R7" s="38" t="e">
        <f>MATCH($R$1&amp;S7,#REF!,0)</f>
        <v>#REF!</v>
      </c>
      <c r="S7" s="93" t="s">
        <v>325</v>
      </c>
      <c r="T7" s="93" t="e">
        <f t="shared" si="0"/>
        <v>#REF!</v>
      </c>
      <c r="U7" s="38" t="e">
        <f t="shared" si="1"/>
        <v>#REF!</v>
      </c>
      <c r="V7" s="38" t="e">
        <f t="shared" si="2"/>
        <v>#REF!</v>
      </c>
    </row>
    <row r="8" spans="1:22">
      <c r="A8" s="94">
        <v>1965</v>
      </c>
      <c r="C8" s="93" t="s">
        <v>1965</v>
      </c>
      <c r="D8" s="38" t="s">
        <v>1192</v>
      </c>
      <c r="E8" s="38" t="s">
        <v>1185</v>
      </c>
      <c r="F8" s="38" t="s">
        <v>15</v>
      </c>
      <c r="G8" s="95">
        <v>0.25</v>
      </c>
      <c r="H8" s="95">
        <v>0.25</v>
      </c>
      <c r="I8" s="93">
        <v>1</v>
      </c>
      <c r="J8" s="93"/>
      <c r="K8" s="94"/>
      <c r="N8" s="94">
        <f>IF(Quarters[[#This Row],[Mint]]="",Quarters[[#This Row],[Date]],Quarters[[#This Row],[Date]]&amp;" "&amp;Quarters[[#This Row],[Mint]])</f>
        <v>1965</v>
      </c>
      <c r="S8" s="93"/>
      <c r="T8" s="93"/>
    </row>
    <row r="9" spans="1:22">
      <c r="A9" s="94">
        <v>1966</v>
      </c>
      <c r="B9" s="93" t="s">
        <v>1183</v>
      </c>
      <c r="C9" s="93" t="s">
        <v>1965</v>
      </c>
      <c r="D9" s="38" t="s">
        <v>1193</v>
      </c>
      <c r="E9" s="38" t="s">
        <v>1185</v>
      </c>
      <c r="F9" s="38" t="s">
        <v>1189</v>
      </c>
      <c r="G9" s="95">
        <v>0.25</v>
      </c>
      <c r="H9" s="95">
        <v>0.25</v>
      </c>
      <c r="I9" s="93">
        <v>1</v>
      </c>
      <c r="J9" s="93"/>
      <c r="K9" s="94"/>
      <c r="N9" s="94">
        <f>IF(Quarters[[#This Row],[Mint]]="",Quarters[[#This Row],[Date]],Quarters[[#This Row],[Date]]&amp;" "&amp;Quarters[[#This Row],[Mint]])</f>
        <v>1966</v>
      </c>
      <c r="R9" s="38" t="e">
        <f>MATCH($R$1&amp;S9,#REF!,0)</f>
        <v>#REF!</v>
      </c>
      <c r="S9" s="93" t="s">
        <v>328</v>
      </c>
      <c r="T9" s="93" t="e">
        <f t="shared" ref="T9:T28" si="3">IF(INDEX($A$1:$E$1053,R9,2)=0,"",INDEX($A$1:$E$1053,R9,2))</f>
        <v>#REF!</v>
      </c>
      <c r="U9" s="38" t="e">
        <f t="shared" ref="U9:U28" si="4">INDEX($A$1:$E$1053,R9,4)</f>
        <v>#REF!</v>
      </c>
      <c r="V9" s="38" t="e">
        <f t="shared" ref="V9:V28" si="5">INDEX($A$1:$E$1053,R9,5)</f>
        <v>#REF!</v>
      </c>
    </row>
    <row r="10" spans="1:22">
      <c r="A10" s="94">
        <v>1970</v>
      </c>
      <c r="B10" s="93" t="s">
        <v>1183</v>
      </c>
      <c r="C10" s="93" t="s">
        <v>1965</v>
      </c>
      <c r="D10" s="38" t="s">
        <v>1194</v>
      </c>
      <c r="E10" s="38" t="s">
        <v>1185</v>
      </c>
      <c r="F10" s="38" t="s">
        <v>16</v>
      </c>
      <c r="G10" s="95">
        <v>0.25</v>
      </c>
      <c r="H10" s="95">
        <v>0.25</v>
      </c>
      <c r="I10" s="93">
        <v>1</v>
      </c>
      <c r="J10" s="93"/>
      <c r="K10" s="94"/>
      <c r="N10" s="94">
        <f>IF(Quarters[[#This Row],[Mint]]="",Quarters[[#This Row],[Date]],Quarters[[#This Row],[Date]]&amp;" "&amp;Quarters[[#This Row],[Mint]])</f>
        <v>1970</v>
      </c>
      <c r="R10" s="38" t="e">
        <f>MATCH($R$1&amp;S10,#REF!,0)</f>
        <v>#REF!</v>
      </c>
      <c r="S10" s="93" t="s">
        <v>334</v>
      </c>
      <c r="T10" s="93" t="e">
        <f t="shared" si="3"/>
        <v>#REF!</v>
      </c>
      <c r="U10" s="38" t="e">
        <f t="shared" si="4"/>
        <v>#REF!</v>
      </c>
      <c r="V10" s="38" t="e">
        <f t="shared" si="5"/>
        <v>#REF!</v>
      </c>
    </row>
    <row r="11" spans="1:22">
      <c r="A11" s="94">
        <v>1972</v>
      </c>
      <c r="B11" s="93" t="s">
        <v>13</v>
      </c>
      <c r="C11" s="93" t="s">
        <v>1965</v>
      </c>
      <c r="D11" s="38" t="s">
        <v>1195</v>
      </c>
      <c r="E11" s="38" t="s">
        <v>1185</v>
      </c>
      <c r="F11" s="38" t="s">
        <v>16</v>
      </c>
      <c r="G11" s="95">
        <v>0.25</v>
      </c>
      <c r="H11" s="95">
        <v>0.25</v>
      </c>
      <c r="I11" s="93">
        <v>1</v>
      </c>
      <c r="J11" s="93"/>
      <c r="K11" s="94"/>
      <c r="N11" s="94" t="str">
        <f>IF(Quarters[[#This Row],[Mint]]="",Quarters[[#This Row],[Date]],Quarters[[#This Row],[Date]]&amp;" "&amp;Quarters[[#This Row],[Mint]])</f>
        <v>1972 D</v>
      </c>
      <c r="R11" s="38" t="e">
        <f>MATCH($R$1&amp;S11,#REF!,0)</f>
        <v>#REF!</v>
      </c>
      <c r="S11" s="93" t="s">
        <v>339</v>
      </c>
      <c r="T11" s="93" t="e">
        <f t="shared" si="3"/>
        <v>#REF!</v>
      </c>
      <c r="U11" s="38" t="e">
        <f t="shared" si="4"/>
        <v>#REF!</v>
      </c>
      <c r="V11" s="38" t="e">
        <f t="shared" si="5"/>
        <v>#REF!</v>
      </c>
    </row>
    <row r="12" spans="1:22">
      <c r="A12" s="94">
        <v>1972</v>
      </c>
      <c r="B12" s="93" t="s">
        <v>1183</v>
      </c>
      <c r="C12" s="93" t="s">
        <v>1965</v>
      </c>
      <c r="D12" s="38" t="s">
        <v>1196</v>
      </c>
      <c r="E12" s="38" t="s">
        <v>1185</v>
      </c>
      <c r="F12" s="38" t="s">
        <v>15</v>
      </c>
      <c r="G12" s="95">
        <v>0.25</v>
      </c>
      <c r="H12" s="95">
        <v>0.25</v>
      </c>
      <c r="I12" s="93">
        <v>1</v>
      </c>
      <c r="J12" s="93"/>
      <c r="K12" s="94"/>
      <c r="N12" s="94">
        <f>IF(Quarters[[#This Row],[Mint]]="",Quarters[[#This Row],[Date]],Quarters[[#This Row],[Date]]&amp;" "&amp;Quarters[[#This Row],[Mint]])</f>
        <v>1972</v>
      </c>
      <c r="R12" s="38" t="e">
        <f>MATCH($R$1&amp;S12,#REF!,0)</f>
        <v>#REF!</v>
      </c>
      <c r="S12" s="93" t="s">
        <v>343</v>
      </c>
      <c r="T12" s="93" t="e">
        <f t="shared" si="3"/>
        <v>#REF!</v>
      </c>
      <c r="U12" s="38" t="e">
        <f t="shared" si="4"/>
        <v>#REF!</v>
      </c>
      <c r="V12" s="38" t="e">
        <f t="shared" si="5"/>
        <v>#REF!</v>
      </c>
    </row>
    <row r="13" spans="1:22">
      <c r="A13" s="94">
        <v>1974</v>
      </c>
      <c r="B13" s="93" t="s">
        <v>1183</v>
      </c>
      <c r="C13" s="93" t="s">
        <v>1965</v>
      </c>
      <c r="D13" s="38" t="s">
        <v>1197</v>
      </c>
      <c r="E13" s="38" t="s">
        <v>1185</v>
      </c>
      <c r="F13" s="38" t="s">
        <v>16</v>
      </c>
      <c r="G13" s="95">
        <v>0.25</v>
      </c>
      <c r="H13" s="95">
        <v>0.25</v>
      </c>
      <c r="I13" s="93">
        <v>1</v>
      </c>
      <c r="J13" s="93"/>
      <c r="K13" s="94"/>
      <c r="N13" s="94">
        <f>IF(Quarters[[#This Row],[Mint]]="",Quarters[[#This Row],[Date]],Quarters[[#This Row],[Date]]&amp;" "&amp;Quarters[[#This Row],[Mint]])</f>
        <v>1974</v>
      </c>
      <c r="R13" s="38" t="e">
        <f>MATCH($R$1&amp;S13,#REF!,0)</f>
        <v>#REF!</v>
      </c>
      <c r="S13" s="93" t="s">
        <v>347</v>
      </c>
      <c r="T13" s="93" t="e">
        <f t="shared" si="3"/>
        <v>#REF!</v>
      </c>
      <c r="U13" s="38" t="e">
        <f t="shared" si="4"/>
        <v>#REF!</v>
      </c>
      <c r="V13" s="38" t="e">
        <f t="shared" si="5"/>
        <v>#REF!</v>
      </c>
    </row>
    <row r="14" spans="1:22">
      <c r="A14" s="94">
        <v>1974</v>
      </c>
      <c r="B14" s="93" t="s">
        <v>1183</v>
      </c>
      <c r="C14" s="93" t="s">
        <v>1965</v>
      </c>
      <c r="D14" s="38" t="s">
        <v>1198</v>
      </c>
      <c r="E14" s="38" t="s">
        <v>1185</v>
      </c>
      <c r="F14" s="38" t="s">
        <v>16</v>
      </c>
      <c r="G14" s="95">
        <v>0.25</v>
      </c>
      <c r="H14" s="95">
        <v>0.25</v>
      </c>
      <c r="I14" s="93">
        <v>1</v>
      </c>
      <c r="J14" s="93"/>
      <c r="K14" s="94"/>
      <c r="N14" s="94">
        <f>IF(Quarters[[#This Row],[Mint]]="",Quarters[[#This Row],[Date]],Quarters[[#This Row],[Date]]&amp;" "&amp;Quarters[[#This Row],[Mint]])</f>
        <v>1974</v>
      </c>
      <c r="R14" s="38" t="e">
        <f>MATCH($R$1&amp;S14,#REF!,0)</f>
        <v>#REF!</v>
      </c>
      <c r="S14" s="93" t="s">
        <v>351</v>
      </c>
      <c r="T14" s="93" t="e">
        <f t="shared" si="3"/>
        <v>#REF!</v>
      </c>
      <c r="U14" s="38" t="e">
        <f t="shared" si="4"/>
        <v>#REF!</v>
      </c>
      <c r="V14" s="38" t="e">
        <f t="shared" si="5"/>
        <v>#REF!</v>
      </c>
    </row>
    <row r="15" spans="1:22">
      <c r="A15" s="94">
        <v>1976</v>
      </c>
      <c r="B15" s="93" t="s">
        <v>1183</v>
      </c>
      <c r="C15" s="93" t="s">
        <v>1965</v>
      </c>
      <c r="D15" s="38" t="s">
        <v>1199</v>
      </c>
      <c r="E15" s="38" t="s">
        <v>1185</v>
      </c>
      <c r="F15" s="38" t="s">
        <v>1189</v>
      </c>
      <c r="G15" s="95">
        <v>0.25</v>
      </c>
      <c r="H15" s="95">
        <v>0.25</v>
      </c>
      <c r="I15" s="93">
        <v>1</v>
      </c>
      <c r="J15" s="93"/>
      <c r="K15" s="94"/>
      <c r="N15" s="94">
        <f>IF(Quarters[[#This Row],[Mint]]="",Quarters[[#This Row],[Date]],Quarters[[#This Row],[Date]]&amp;" "&amp;Quarters[[#This Row],[Mint]])</f>
        <v>1976</v>
      </c>
      <c r="R15" s="38" t="e">
        <f>MATCH($R$1&amp;S15,#REF!,0)</f>
        <v>#REF!</v>
      </c>
      <c r="S15" s="93" t="s">
        <v>354</v>
      </c>
      <c r="T15" s="93" t="e">
        <f t="shared" si="3"/>
        <v>#REF!</v>
      </c>
      <c r="U15" s="38" t="e">
        <f t="shared" si="4"/>
        <v>#REF!</v>
      </c>
      <c r="V15" s="38" t="e">
        <f t="shared" si="5"/>
        <v>#REF!</v>
      </c>
    </row>
    <row r="16" spans="1:22">
      <c r="A16" s="94">
        <v>1976</v>
      </c>
      <c r="B16" s="93" t="s">
        <v>25</v>
      </c>
      <c r="C16" s="93" t="s">
        <v>1965</v>
      </c>
      <c r="D16" s="38" t="s">
        <v>1200</v>
      </c>
      <c r="E16" s="38" t="s">
        <v>1185</v>
      </c>
      <c r="F16" s="38" t="s">
        <v>1189</v>
      </c>
      <c r="G16" s="95">
        <v>0.25</v>
      </c>
      <c r="H16" s="95">
        <v>0.25</v>
      </c>
      <c r="I16" s="93">
        <v>1</v>
      </c>
      <c r="J16" s="93"/>
      <c r="K16" s="94"/>
      <c r="N16" s="94" t="str">
        <f>IF(Quarters[[#This Row],[Mint]]="",Quarters[[#This Row],[Date]],Quarters[[#This Row],[Date]]&amp;" "&amp;Quarters[[#This Row],[Mint]])</f>
        <v>1976 P</v>
      </c>
      <c r="R16" s="38" t="e">
        <f>MATCH($R$1&amp;S16,#REF!,0)</f>
        <v>#REF!</v>
      </c>
      <c r="S16" s="93" t="s">
        <v>359</v>
      </c>
      <c r="T16" s="93" t="e">
        <f t="shared" si="3"/>
        <v>#REF!</v>
      </c>
      <c r="U16" s="38" t="e">
        <f t="shared" si="4"/>
        <v>#REF!</v>
      </c>
      <c r="V16" s="38" t="e">
        <f t="shared" si="5"/>
        <v>#REF!</v>
      </c>
    </row>
    <row r="17" spans="1:22">
      <c r="A17" s="94">
        <v>1976</v>
      </c>
      <c r="B17" s="93" t="s">
        <v>1183</v>
      </c>
      <c r="C17" s="93" t="s">
        <v>1965</v>
      </c>
      <c r="D17" s="38" t="s">
        <v>1201</v>
      </c>
      <c r="E17" s="38" t="s">
        <v>1185</v>
      </c>
      <c r="F17" s="38" t="s">
        <v>1189</v>
      </c>
      <c r="G17" s="95">
        <v>0.25</v>
      </c>
      <c r="H17" s="95">
        <v>0.25</v>
      </c>
      <c r="I17" s="93">
        <v>1</v>
      </c>
      <c r="J17" s="93"/>
      <c r="K17" s="94"/>
      <c r="N17" s="94">
        <f>IF(Quarters[[#This Row],[Mint]]="",Quarters[[#This Row],[Date]],Quarters[[#This Row],[Date]]&amp;" "&amp;Quarters[[#This Row],[Mint]])</f>
        <v>1976</v>
      </c>
      <c r="R17" s="38" t="e">
        <f>MATCH($R$1&amp;S17,#REF!,0)</f>
        <v>#REF!</v>
      </c>
      <c r="S17" s="93" t="s">
        <v>363</v>
      </c>
      <c r="T17" s="93" t="e">
        <f t="shared" si="3"/>
        <v>#REF!</v>
      </c>
      <c r="U17" s="38" t="e">
        <f t="shared" si="4"/>
        <v>#REF!</v>
      </c>
      <c r="V17" s="38" t="e">
        <f t="shared" si="5"/>
        <v>#REF!</v>
      </c>
    </row>
    <row r="18" spans="1:22">
      <c r="A18" s="94">
        <v>1976</v>
      </c>
      <c r="B18" s="93" t="s">
        <v>13</v>
      </c>
      <c r="C18" s="93" t="s">
        <v>1965</v>
      </c>
      <c r="D18" s="38" t="s">
        <v>1202</v>
      </c>
      <c r="E18" s="38" t="s">
        <v>1185</v>
      </c>
      <c r="F18" s="38" t="s">
        <v>1189</v>
      </c>
      <c r="G18" s="95">
        <v>0.25</v>
      </c>
      <c r="H18" s="95">
        <v>0.25</v>
      </c>
      <c r="I18" s="93">
        <v>1</v>
      </c>
      <c r="J18" s="93"/>
      <c r="K18" s="94"/>
      <c r="N18" s="94" t="str">
        <f>IF(Quarters[[#This Row],[Mint]]="",Quarters[[#This Row],[Date]],Quarters[[#This Row],[Date]]&amp;" "&amp;Quarters[[#This Row],[Mint]])</f>
        <v>1976 D</v>
      </c>
      <c r="R18" s="38" t="e">
        <f>MATCH($R$1&amp;S18,#REF!,0)</f>
        <v>#REF!</v>
      </c>
      <c r="S18" s="93" t="s">
        <v>368</v>
      </c>
      <c r="T18" s="93" t="e">
        <f t="shared" si="3"/>
        <v>#REF!</v>
      </c>
      <c r="U18" s="38" t="e">
        <f t="shared" si="4"/>
        <v>#REF!</v>
      </c>
      <c r="V18" s="38" t="e">
        <f t="shared" si="5"/>
        <v>#REF!</v>
      </c>
    </row>
    <row r="19" spans="1:22">
      <c r="A19" s="94">
        <v>1976</v>
      </c>
      <c r="B19" s="93" t="s">
        <v>1183</v>
      </c>
      <c r="C19" s="93" t="s">
        <v>1965</v>
      </c>
      <c r="D19" s="38" t="s">
        <v>1203</v>
      </c>
      <c r="E19" s="38" t="s">
        <v>1185</v>
      </c>
      <c r="F19" s="38" t="s">
        <v>1189</v>
      </c>
      <c r="G19" s="95">
        <v>0.25</v>
      </c>
      <c r="H19" s="95">
        <v>0.25</v>
      </c>
      <c r="I19" s="93">
        <v>1</v>
      </c>
      <c r="J19" s="93"/>
      <c r="K19" s="94"/>
      <c r="N19" s="94">
        <f>IF(Quarters[[#This Row],[Mint]]="",Quarters[[#This Row],[Date]],Quarters[[#This Row],[Date]]&amp;" "&amp;Quarters[[#This Row],[Mint]])</f>
        <v>1976</v>
      </c>
      <c r="R19" s="38" t="e">
        <f>MATCH($R$1&amp;S19,#REF!,0)</f>
        <v>#REF!</v>
      </c>
      <c r="S19" s="93" t="s">
        <v>371</v>
      </c>
      <c r="T19" s="93" t="e">
        <f t="shared" si="3"/>
        <v>#REF!</v>
      </c>
      <c r="U19" s="38" t="e">
        <f t="shared" si="4"/>
        <v>#REF!</v>
      </c>
      <c r="V19" s="38" t="e">
        <f t="shared" si="5"/>
        <v>#REF!</v>
      </c>
    </row>
    <row r="20" spans="1:22">
      <c r="A20" s="94">
        <v>1976</v>
      </c>
      <c r="B20" s="93" t="s">
        <v>1183</v>
      </c>
      <c r="C20" s="93" t="s">
        <v>1965</v>
      </c>
      <c r="D20" s="38" t="s">
        <v>1204</v>
      </c>
      <c r="E20" s="38" t="s">
        <v>1185</v>
      </c>
      <c r="F20" s="38" t="s">
        <v>1189</v>
      </c>
      <c r="G20" s="95">
        <v>0.25</v>
      </c>
      <c r="H20" s="95">
        <v>0.25</v>
      </c>
      <c r="I20" s="93">
        <v>1</v>
      </c>
      <c r="J20" s="93"/>
      <c r="K20" s="94"/>
      <c r="N20" s="94">
        <f>IF(Quarters[[#This Row],[Mint]]="",Quarters[[#This Row],[Date]],Quarters[[#This Row],[Date]]&amp;" "&amp;Quarters[[#This Row],[Mint]])</f>
        <v>1976</v>
      </c>
      <c r="R20" s="38" t="e">
        <f>MATCH($R$1&amp;S20,#REF!,0)</f>
        <v>#REF!</v>
      </c>
      <c r="S20" s="93" t="s">
        <v>373</v>
      </c>
      <c r="T20" s="93" t="e">
        <f t="shared" si="3"/>
        <v>#REF!</v>
      </c>
      <c r="U20" s="38" t="e">
        <f t="shared" si="4"/>
        <v>#REF!</v>
      </c>
      <c r="V20" s="38" t="e">
        <f t="shared" si="5"/>
        <v>#REF!</v>
      </c>
    </row>
    <row r="21" spans="1:22">
      <c r="A21" s="94">
        <v>1976</v>
      </c>
      <c r="B21" s="93" t="s">
        <v>13</v>
      </c>
      <c r="C21" s="93" t="s">
        <v>1965</v>
      </c>
      <c r="D21" s="38" t="s">
        <v>1205</v>
      </c>
      <c r="E21" s="38" t="s">
        <v>1185</v>
      </c>
      <c r="F21" s="38" t="s">
        <v>1189</v>
      </c>
      <c r="G21" s="95">
        <v>0.25</v>
      </c>
      <c r="H21" s="95">
        <v>0.25</v>
      </c>
      <c r="I21" s="93">
        <v>1</v>
      </c>
      <c r="J21" s="93"/>
      <c r="K21" s="94"/>
      <c r="N21" s="94" t="str">
        <f>IF(Quarters[[#This Row],[Mint]]="",Quarters[[#This Row],[Date]],Quarters[[#This Row],[Date]]&amp;" "&amp;Quarters[[#This Row],[Mint]])</f>
        <v>1976 D</v>
      </c>
      <c r="R21" s="38" t="e">
        <f>MATCH($R$1&amp;S21,#REF!,0)</f>
        <v>#REF!</v>
      </c>
      <c r="S21" s="93" t="s">
        <v>376</v>
      </c>
      <c r="T21" s="93" t="e">
        <f t="shared" si="3"/>
        <v>#REF!</v>
      </c>
      <c r="U21" s="38" t="e">
        <f t="shared" si="4"/>
        <v>#REF!</v>
      </c>
      <c r="V21" s="38" t="e">
        <f t="shared" si="5"/>
        <v>#REF!</v>
      </c>
    </row>
    <row r="22" spans="1:22">
      <c r="A22" s="94">
        <v>1978</v>
      </c>
      <c r="B22" s="93" t="s">
        <v>13</v>
      </c>
      <c r="C22" s="93" t="s">
        <v>1965</v>
      </c>
      <c r="D22" s="38" t="s">
        <v>1206</v>
      </c>
      <c r="E22" s="38" t="s">
        <v>1185</v>
      </c>
      <c r="F22" s="38" t="s">
        <v>16</v>
      </c>
      <c r="G22" s="95">
        <v>0.25</v>
      </c>
      <c r="H22" s="95">
        <v>0.25</v>
      </c>
      <c r="I22" s="93">
        <v>1</v>
      </c>
      <c r="J22" s="93"/>
      <c r="K22" s="94"/>
      <c r="N22" s="94" t="str">
        <f>IF(Quarters[[#This Row],[Mint]]="",Quarters[[#This Row],[Date]],Quarters[[#This Row],[Date]]&amp;" "&amp;Quarters[[#This Row],[Mint]])</f>
        <v>1978 D</v>
      </c>
      <c r="R22" s="38" t="e">
        <f>MATCH($R$1&amp;S22,#REF!,0)</f>
        <v>#REF!</v>
      </c>
      <c r="S22" s="93" t="s">
        <v>378</v>
      </c>
      <c r="T22" s="93" t="e">
        <f t="shared" si="3"/>
        <v>#REF!</v>
      </c>
      <c r="U22" s="38" t="e">
        <f t="shared" si="4"/>
        <v>#REF!</v>
      </c>
      <c r="V22" s="38" t="e">
        <f t="shared" si="5"/>
        <v>#REF!</v>
      </c>
    </row>
    <row r="23" spans="1:22">
      <c r="A23" s="94">
        <v>1978</v>
      </c>
      <c r="B23" s="93" t="s">
        <v>13</v>
      </c>
      <c r="C23" s="93" t="s">
        <v>1965</v>
      </c>
      <c r="D23" s="38" t="s">
        <v>1207</v>
      </c>
      <c r="E23" s="38" t="s">
        <v>1185</v>
      </c>
      <c r="F23" s="38" t="s">
        <v>16</v>
      </c>
      <c r="G23" s="95">
        <v>0.25</v>
      </c>
      <c r="H23" s="95">
        <v>0.25</v>
      </c>
      <c r="I23" s="93">
        <v>1</v>
      </c>
      <c r="J23" s="93"/>
      <c r="K23" s="94"/>
      <c r="N23" s="94" t="str">
        <f>IF(Quarters[[#This Row],[Mint]]="",Quarters[[#This Row],[Date]],Quarters[[#This Row],[Date]]&amp;" "&amp;Quarters[[#This Row],[Mint]])</f>
        <v>1978 D</v>
      </c>
      <c r="R23" s="38" t="e">
        <f>MATCH($R$1&amp;S23,#REF!,0)</f>
        <v>#REF!</v>
      </c>
      <c r="S23" s="93" t="s">
        <v>23</v>
      </c>
      <c r="T23" s="93" t="e">
        <f t="shared" si="3"/>
        <v>#REF!</v>
      </c>
      <c r="U23" s="38" t="e">
        <f t="shared" si="4"/>
        <v>#REF!</v>
      </c>
      <c r="V23" s="38" t="e">
        <f t="shared" si="5"/>
        <v>#REF!</v>
      </c>
    </row>
    <row r="24" spans="1:22">
      <c r="A24" s="94">
        <v>1984</v>
      </c>
      <c r="B24" s="93" t="s">
        <v>1183</v>
      </c>
      <c r="C24" s="93" t="s">
        <v>1965</v>
      </c>
      <c r="D24" s="38" t="s">
        <v>1208</v>
      </c>
      <c r="E24" s="38" t="s">
        <v>1185</v>
      </c>
      <c r="F24" s="38" t="s">
        <v>16</v>
      </c>
      <c r="G24" s="95">
        <v>0.25</v>
      </c>
      <c r="H24" s="95">
        <v>0.25</v>
      </c>
      <c r="I24" s="93">
        <v>1</v>
      </c>
      <c r="J24" s="93"/>
      <c r="K24" s="94"/>
      <c r="N24" s="94">
        <f>IF(Quarters[[#This Row],[Mint]]="",Quarters[[#This Row],[Date]],Quarters[[#This Row],[Date]]&amp;" "&amp;Quarters[[#This Row],[Mint]])</f>
        <v>1984</v>
      </c>
      <c r="R24" s="38" t="e">
        <f>MATCH($R$1&amp;S24,#REF!,0)</f>
        <v>#REF!</v>
      </c>
      <c r="S24" s="93" t="s">
        <v>382</v>
      </c>
      <c r="T24" s="93" t="e">
        <f t="shared" si="3"/>
        <v>#REF!</v>
      </c>
      <c r="U24" s="38" t="e">
        <f t="shared" si="4"/>
        <v>#REF!</v>
      </c>
      <c r="V24" s="38" t="e">
        <f t="shared" si="5"/>
        <v>#REF!</v>
      </c>
    </row>
    <row r="25" spans="1:22">
      <c r="A25" s="94">
        <v>1985</v>
      </c>
      <c r="B25" s="93" t="s">
        <v>25</v>
      </c>
      <c r="C25" s="93" t="s">
        <v>1965</v>
      </c>
      <c r="D25" s="38" t="s">
        <v>1209</v>
      </c>
      <c r="E25" s="38" t="s">
        <v>1185</v>
      </c>
      <c r="F25" s="38" t="s">
        <v>16</v>
      </c>
      <c r="G25" s="95">
        <v>0.25</v>
      </c>
      <c r="H25" s="95">
        <v>0.25</v>
      </c>
      <c r="I25" s="93">
        <v>1</v>
      </c>
      <c r="J25" s="93"/>
      <c r="K25" s="94"/>
      <c r="N25" s="94" t="str">
        <f>IF(Quarters[[#This Row],[Mint]]="",Quarters[[#This Row],[Date]],Quarters[[#This Row],[Date]]&amp;" "&amp;Quarters[[#This Row],[Mint]])</f>
        <v>1985 P</v>
      </c>
      <c r="R25" s="38" t="e">
        <f>MATCH($R$1&amp;S24,#REF!,0)</f>
        <v>#REF!</v>
      </c>
      <c r="S25" s="93" t="s">
        <v>385</v>
      </c>
      <c r="T25" s="93" t="e">
        <f t="shared" si="3"/>
        <v>#REF!</v>
      </c>
      <c r="U25" s="38" t="e">
        <f t="shared" si="4"/>
        <v>#REF!</v>
      </c>
      <c r="V25" s="38" t="e">
        <f t="shared" si="5"/>
        <v>#REF!</v>
      </c>
    </row>
    <row r="26" spans="1:22">
      <c r="A26" s="94">
        <v>1986</v>
      </c>
      <c r="B26" s="93" t="s">
        <v>25</v>
      </c>
      <c r="C26" s="93" t="s">
        <v>1965</v>
      </c>
      <c r="D26" s="38" t="s">
        <v>1210</v>
      </c>
      <c r="E26" s="38" t="s">
        <v>1185</v>
      </c>
      <c r="F26" s="38" t="s">
        <v>1189</v>
      </c>
      <c r="G26" s="95">
        <v>0.25</v>
      </c>
      <c r="H26" s="95">
        <v>0.25</v>
      </c>
      <c r="I26" s="93">
        <v>1</v>
      </c>
      <c r="J26" s="93"/>
      <c r="K26" s="94"/>
      <c r="N26" s="94" t="str">
        <f>IF(Quarters[[#This Row],[Mint]]="",Quarters[[#This Row],[Date]],Quarters[[#This Row],[Date]]&amp;" "&amp;Quarters[[#This Row],[Mint]])</f>
        <v>1986 P</v>
      </c>
      <c r="R26" s="38" t="e">
        <f>MATCH($R$1&amp;S25,#REF!,0)</f>
        <v>#REF!</v>
      </c>
      <c r="S26" s="93" t="s">
        <v>387</v>
      </c>
      <c r="T26" s="93" t="e">
        <f t="shared" si="3"/>
        <v>#REF!</v>
      </c>
      <c r="U26" s="38" t="e">
        <f t="shared" si="4"/>
        <v>#REF!</v>
      </c>
      <c r="V26" s="38" t="e">
        <f t="shared" si="5"/>
        <v>#REF!</v>
      </c>
    </row>
    <row r="27" spans="1:22">
      <c r="A27" s="94">
        <v>1986</v>
      </c>
      <c r="B27" s="93" t="s">
        <v>25</v>
      </c>
      <c r="C27" s="93" t="s">
        <v>1965</v>
      </c>
      <c r="D27" s="38" t="s">
        <v>1211</v>
      </c>
      <c r="E27" s="38" t="s">
        <v>1185</v>
      </c>
      <c r="F27" s="38" t="s">
        <v>1189</v>
      </c>
      <c r="G27" s="95">
        <v>0.25</v>
      </c>
      <c r="H27" s="95">
        <v>0.25</v>
      </c>
      <c r="I27" s="93">
        <v>1</v>
      </c>
      <c r="J27" s="93"/>
      <c r="K27" s="94"/>
      <c r="N27" s="94" t="str">
        <f>IF(Quarters[[#This Row],[Mint]]="",Quarters[[#This Row],[Date]],Quarters[[#This Row],[Date]]&amp;" "&amp;Quarters[[#This Row],[Mint]])</f>
        <v>1986 P</v>
      </c>
      <c r="R27" s="38" t="e">
        <f>MATCH($R$1&amp;S26,#REF!,0)</f>
        <v>#REF!</v>
      </c>
      <c r="S27" s="93" t="s">
        <v>389</v>
      </c>
      <c r="T27" s="93" t="e">
        <f t="shared" si="3"/>
        <v>#REF!</v>
      </c>
      <c r="U27" s="38" t="e">
        <f t="shared" si="4"/>
        <v>#REF!</v>
      </c>
      <c r="V27" s="38" t="e">
        <f t="shared" si="5"/>
        <v>#REF!</v>
      </c>
    </row>
    <row r="28" spans="1:22">
      <c r="A28" s="94">
        <v>1987</v>
      </c>
      <c r="B28" s="93" t="s">
        <v>13</v>
      </c>
      <c r="C28" s="93" t="s">
        <v>1965</v>
      </c>
      <c r="D28" s="38" t="s">
        <v>1212</v>
      </c>
      <c r="E28" s="38" t="s">
        <v>1185</v>
      </c>
      <c r="F28" s="38" t="s">
        <v>16</v>
      </c>
      <c r="G28" s="95">
        <v>0.25</v>
      </c>
      <c r="H28" s="95">
        <v>0.25</v>
      </c>
      <c r="I28" s="93">
        <v>1</v>
      </c>
      <c r="J28" s="93"/>
      <c r="K28" s="94"/>
      <c r="N28" s="94" t="str">
        <f>IF(Quarters[[#This Row],[Mint]]="",Quarters[[#This Row],[Date]],Quarters[[#This Row],[Date]]&amp;" "&amp;Quarters[[#This Row],[Mint]])</f>
        <v>1987 D</v>
      </c>
      <c r="R28" s="38" t="e">
        <f>MATCH($R$1&amp;S27,#REF!,0)</f>
        <v>#REF!</v>
      </c>
      <c r="S28" s="93" t="s">
        <v>392</v>
      </c>
      <c r="T28" s="93" t="e">
        <f t="shared" si="3"/>
        <v>#REF!</v>
      </c>
      <c r="U28" s="38" t="e">
        <f t="shared" si="4"/>
        <v>#REF!</v>
      </c>
      <c r="V28" s="38" t="e">
        <f t="shared" si="5"/>
        <v>#REF!</v>
      </c>
    </row>
    <row r="29" spans="1:22">
      <c r="A29" s="94">
        <v>1988</v>
      </c>
      <c r="B29" s="93" t="s">
        <v>25</v>
      </c>
      <c r="C29" s="93" t="s">
        <v>1965</v>
      </c>
      <c r="D29" s="38" t="s">
        <v>1213</v>
      </c>
      <c r="E29" s="38" t="s">
        <v>1185</v>
      </c>
      <c r="F29" s="38" t="s">
        <v>16</v>
      </c>
      <c r="G29" s="95">
        <v>0.25</v>
      </c>
      <c r="H29" s="95">
        <v>0.25</v>
      </c>
      <c r="I29" s="93">
        <v>1</v>
      </c>
      <c r="J29" s="93"/>
      <c r="K29" s="94"/>
      <c r="N29" s="94" t="str">
        <f>IF(Quarters[[#This Row],[Mint]]="",Quarters[[#This Row],[Date]],Quarters[[#This Row],[Date]]&amp;" "&amp;Quarters[[#This Row],[Mint]])</f>
        <v>1988 P</v>
      </c>
    </row>
    <row r="30" spans="1:22">
      <c r="A30" s="94">
        <v>1989</v>
      </c>
      <c r="B30" s="93" t="s">
        <v>13</v>
      </c>
      <c r="C30" s="93" t="s">
        <v>1965</v>
      </c>
      <c r="D30" s="38" t="s">
        <v>1214</v>
      </c>
      <c r="E30" s="38" t="s">
        <v>1185</v>
      </c>
      <c r="F30" s="38" t="s">
        <v>1189</v>
      </c>
      <c r="G30" s="95">
        <v>0.25</v>
      </c>
      <c r="H30" s="95">
        <v>0.25</v>
      </c>
      <c r="I30" s="93">
        <v>1</v>
      </c>
      <c r="J30" s="93"/>
      <c r="K30" s="94"/>
      <c r="N30" s="94" t="str">
        <f>IF(Quarters[[#This Row],[Mint]]="",Quarters[[#This Row],[Date]],Quarters[[#This Row],[Date]]&amp;" "&amp;Quarters[[#This Row],[Mint]])</f>
        <v>1989 D</v>
      </c>
    </row>
    <row r="31" spans="1:22">
      <c r="A31" s="94">
        <v>1990</v>
      </c>
      <c r="B31" s="93" t="s">
        <v>1183</v>
      </c>
      <c r="C31" s="93" t="s">
        <v>1965</v>
      </c>
      <c r="D31" s="38" t="s">
        <v>1215</v>
      </c>
      <c r="E31" s="38" t="s">
        <v>1185</v>
      </c>
      <c r="F31" s="38" t="s">
        <v>16</v>
      </c>
      <c r="G31" s="95">
        <v>0.25</v>
      </c>
      <c r="H31" s="95">
        <v>0.25</v>
      </c>
      <c r="I31" s="93">
        <v>1</v>
      </c>
      <c r="J31" s="93"/>
      <c r="K31" s="94"/>
      <c r="N31" s="94">
        <f>IF(Quarters[[#This Row],[Mint]]="",Quarters[[#This Row],[Date]],Quarters[[#This Row],[Date]]&amp;" "&amp;Quarters[[#This Row],[Mint]])</f>
        <v>1990</v>
      </c>
    </row>
    <row r="32" spans="1:22">
      <c r="A32" s="94">
        <v>1990</v>
      </c>
      <c r="B32" s="93" t="s">
        <v>13</v>
      </c>
      <c r="C32" s="93" t="s">
        <v>1965</v>
      </c>
      <c r="D32" s="38" t="s">
        <v>1216</v>
      </c>
      <c r="E32" s="38" t="s">
        <v>1185</v>
      </c>
      <c r="F32" s="38" t="s">
        <v>16</v>
      </c>
      <c r="G32" s="95">
        <v>0.25</v>
      </c>
      <c r="H32" s="95">
        <v>0.25</v>
      </c>
      <c r="I32" s="93">
        <v>1</v>
      </c>
      <c r="J32" s="93"/>
      <c r="K32" s="94"/>
      <c r="N32" s="94" t="str">
        <f>IF(Quarters[[#This Row],[Mint]]="",Quarters[[#This Row],[Date]],Quarters[[#This Row],[Date]]&amp;" "&amp;Quarters[[#This Row],[Mint]])</f>
        <v>1990 D</v>
      </c>
    </row>
    <row r="33" spans="1:14">
      <c r="A33" s="94">
        <v>1990</v>
      </c>
      <c r="B33" s="93" t="s">
        <v>1183</v>
      </c>
      <c r="C33" s="93" t="s">
        <v>1965</v>
      </c>
      <c r="D33" s="38" t="s">
        <v>1217</v>
      </c>
      <c r="E33" s="38" t="s">
        <v>1185</v>
      </c>
      <c r="F33" s="38" t="s">
        <v>1189</v>
      </c>
      <c r="G33" s="95">
        <v>0.25</v>
      </c>
      <c r="H33" s="95">
        <v>0.25</v>
      </c>
      <c r="I33" s="93">
        <v>1</v>
      </c>
      <c r="J33" s="93"/>
      <c r="K33" s="94"/>
      <c r="N33" s="94">
        <f>IF(Quarters[[#This Row],[Mint]]="",Quarters[[#This Row],[Date]],Quarters[[#This Row],[Date]]&amp;" "&amp;Quarters[[#This Row],[Mint]])</f>
        <v>1990</v>
      </c>
    </row>
    <row r="34" spans="1:14">
      <c r="A34" s="94">
        <v>1990</v>
      </c>
      <c r="B34" s="93" t="s">
        <v>13</v>
      </c>
      <c r="C34" s="93" t="s">
        <v>1965</v>
      </c>
      <c r="D34" s="38" t="s">
        <v>1218</v>
      </c>
      <c r="E34" s="38" t="s">
        <v>1185</v>
      </c>
      <c r="F34" s="38" t="s">
        <v>16</v>
      </c>
      <c r="G34" s="95">
        <v>0.25</v>
      </c>
      <c r="H34" s="95">
        <v>0.25</v>
      </c>
      <c r="I34" s="93">
        <v>1</v>
      </c>
      <c r="J34" s="93"/>
      <c r="K34" s="94"/>
      <c r="N34" s="94" t="str">
        <f>IF(Quarters[[#This Row],[Mint]]="",Quarters[[#This Row],[Date]],Quarters[[#This Row],[Date]]&amp;" "&amp;Quarters[[#This Row],[Mint]])</f>
        <v>1990 D</v>
      </c>
    </row>
    <row r="35" spans="1:14">
      <c r="A35" s="94">
        <v>1991</v>
      </c>
      <c r="B35" s="93" t="s">
        <v>1183</v>
      </c>
      <c r="C35" s="93" t="s">
        <v>1965</v>
      </c>
      <c r="D35" s="38" t="s">
        <v>1219</v>
      </c>
      <c r="E35" s="38" t="s">
        <v>1185</v>
      </c>
      <c r="F35" s="38" t="s">
        <v>16</v>
      </c>
      <c r="G35" s="95">
        <v>0.25</v>
      </c>
      <c r="H35" s="95">
        <v>0.25</v>
      </c>
      <c r="I35" s="93">
        <v>1</v>
      </c>
      <c r="J35" s="93"/>
      <c r="K35" s="94"/>
      <c r="N35" s="94">
        <f>IF(Quarters[[#This Row],[Mint]]="",Quarters[[#This Row],[Date]],Quarters[[#This Row],[Date]]&amp;" "&amp;Quarters[[#This Row],[Mint]])</f>
        <v>1991</v>
      </c>
    </row>
    <row r="36" spans="1:14">
      <c r="A36" s="94">
        <v>1991</v>
      </c>
      <c r="B36" s="93" t="s">
        <v>1183</v>
      </c>
      <c r="C36" s="93" t="s">
        <v>1965</v>
      </c>
      <c r="D36" s="38" t="s">
        <v>1220</v>
      </c>
      <c r="E36" s="38" t="s">
        <v>1185</v>
      </c>
      <c r="F36" s="38" t="s">
        <v>16</v>
      </c>
      <c r="G36" s="95">
        <v>0.25</v>
      </c>
      <c r="H36" s="95">
        <v>0.25</v>
      </c>
      <c r="I36" s="93">
        <v>1</v>
      </c>
      <c r="J36" s="93"/>
      <c r="K36" s="94"/>
      <c r="N36" s="94">
        <f>IF(Quarters[[#This Row],[Mint]]="",Quarters[[#This Row],[Date]],Quarters[[#This Row],[Date]]&amp;" "&amp;Quarters[[#This Row],[Mint]])</f>
        <v>1991</v>
      </c>
    </row>
    <row r="37" spans="1:14">
      <c r="A37" s="94">
        <v>1992</v>
      </c>
      <c r="B37" s="93" t="s">
        <v>13</v>
      </c>
      <c r="C37" s="93" t="s">
        <v>1965</v>
      </c>
      <c r="D37" s="38" t="s">
        <v>1221</v>
      </c>
      <c r="E37" s="38" t="s">
        <v>1185</v>
      </c>
      <c r="F37" s="38" t="s">
        <v>1189</v>
      </c>
      <c r="G37" s="95">
        <v>0.25</v>
      </c>
      <c r="H37" s="95">
        <v>0.25</v>
      </c>
      <c r="I37" s="93">
        <v>1</v>
      </c>
      <c r="J37" s="93"/>
      <c r="K37" s="94"/>
      <c r="N37" s="94" t="str">
        <f>IF(Quarters[[#This Row],[Mint]]="",Quarters[[#This Row],[Date]],Quarters[[#This Row],[Date]]&amp;" "&amp;Quarters[[#This Row],[Mint]])</f>
        <v>1992 D</v>
      </c>
    </row>
    <row r="38" spans="1:14">
      <c r="A38" s="94">
        <v>1993</v>
      </c>
      <c r="B38" s="93" t="s">
        <v>25</v>
      </c>
      <c r="C38" s="93" t="s">
        <v>1965</v>
      </c>
      <c r="D38" s="38" t="s">
        <v>1222</v>
      </c>
      <c r="E38" s="38" t="s">
        <v>1185</v>
      </c>
      <c r="F38" s="38" t="s">
        <v>16</v>
      </c>
      <c r="G38" s="95">
        <v>0.25</v>
      </c>
      <c r="H38" s="95">
        <v>0.25</v>
      </c>
      <c r="I38" s="93">
        <v>1</v>
      </c>
      <c r="J38" s="93"/>
      <c r="K38" s="94"/>
      <c r="N38" s="94" t="str">
        <f>IF(Quarters[[#This Row],[Mint]]="",Quarters[[#This Row],[Date]],Quarters[[#This Row],[Date]]&amp;" "&amp;Quarters[[#This Row],[Mint]])</f>
        <v>1993 P</v>
      </c>
    </row>
    <row r="39" spans="1:14">
      <c r="A39" s="94">
        <v>1996</v>
      </c>
      <c r="B39" s="93" t="s">
        <v>25</v>
      </c>
      <c r="C39" s="93" t="s">
        <v>1965</v>
      </c>
      <c r="D39" s="38" t="s">
        <v>1223</v>
      </c>
      <c r="E39" s="38" t="s">
        <v>1185</v>
      </c>
      <c r="F39" s="38" t="s">
        <v>1189</v>
      </c>
      <c r="G39" s="95">
        <v>0.25</v>
      </c>
      <c r="H39" s="95">
        <v>0.25</v>
      </c>
      <c r="I39" s="93">
        <v>1</v>
      </c>
      <c r="J39" s="93"/>
      <c r="K39" s="94"/>
      <c r="N39" s="94" t="str">
        <f>IF(Quarters[[#This Row],[Mint]]="",Quarters[[#This Row],[Date]],Quarters[[#This Row],[Date]]&amp;" "&amp;Quarters[[#This Row],[Mint]])</f>
        <v>1996 P</v>
      </c>
    </row>
    <row r="40" spans="1:14">
      <c r="A40" s="94">
        <v>1996</v>
      </c>
      <c r="B40" s="93" t="s">
        <v>13</v>
      </c>
      <c r="C40" s="93" t="s">
        <v>1965</v>
      </c>
      <c r="D40" s="38" t="s">
        <v>1224</v>
      </c>
      <c r="E40" s="38" t="s">
        <v>1185</v>
      </c>
      <c r="F40" s="38" t="s">
        <v>1189</v>
      </c>
      <c r="G40" s="95">
        <v>0.25</v>
      </c>
      <c r="H40" s="95">
        <v>0.25</v>
      </c>
      <c r="I40" s="93">
        <v>1</v>
      </c>
      <c r="J40" s="93"/>
      <c r="K40" s="94"/>
      <c r="N40" s="94" t="str">
        <f>IF(Quarters[[#This Row],[Mint]]="",Quarters[[#This Row],[Date]],Quarters[[#This Row],[Date]]&amp;" "&amp;Quarters[[#This Row],[Mint]])</f>
        <v>1996 D</v>
      </c>
    </row>
    <row r="41" spans="1:14">
      <c r="A41" s="94">
        <v>1997</v>
      </c>
      <c r="B41" s="93" t="s">
        <v>1183</v>
      </c>
      <c r="C41" s="93" t="s">
        <v>1965</v>
      </c>
      <c r="D41" s="38" t="s">
        <v>1225</v>
      </c>
      <c r="E41" s="38" t="s">
        <v>1185</v>
      </c>
      <c r="F41" s="38" t="s">
        <v>1189</v>
      </c>
      <c r="G41" s="95">
        <v>0.25</v>
      </c>
      <c r="H41" s="95">
        <v>0.25</v>
      </c>
      <c r="I41" s="93">
        <v>1</v>
      </c>
      <c r="J41" s="93"/>
      <c r="K41" s="94"/>
      <c r="N41" s="94">
        <f>IF(Quarters[[#This Row],[Mint]]="",Quarters[[#This Row],[Date]],Quarters[[#This Row],[Date]]&amp;" "&amp;Quarters[[#This Row],[Mint]])</f>
        <v>1997</v>
      </c>
    </row>
    <row r="42" spans="1:14">
      <c r="A42" s="94">
        <v>1997</v>
      </c>
      <c r="B42" s="93" t="s">
        <v>1183</v>
      </c>
      <c r="C42" s="93" t="s">
        <v>1965</v>
      </c>
      <c r="D42" s="38" t="s">
        <v>1226</v>
      </c>
      <c r="E42" s="38" t="s">
        <v>1185</v>
      </c>
      <c r="F42" s="38" t="s">
        <v>16</v>
      </c>
      <c r="G42" s="95">
        <v>0.25</v>
      </c>
      <c r="H42" s="95">
        <v>0.25</v>
      </c>
      <c r="I42" s="93">
        <v>1</v>
      </c>
      <c r="J42" s="93"/>
      <c r="K42" s="94"/>
      <c r="N42" s="94">
        <f>IF(Quarters[[#This Row],[Mint]]="",Quarters[[#This Row],[Date]],Quarters[[#This Row],[Date]]&amp;" "&amp;Quarters[[#This Row],[Mint]])</f>
        <v>1997</v>
      </c>
    </row>
    <row r="43" spans="1:14">
      <c r="A43" s="94">
        <v>1998</v>
      </c>
      <c r="B43" s="93" t="s">
        <v>1183</v>
      </c>
      <c r="C43" s="93" t="s">
        <v>1965</v>
      </c>
      <c r="D43" s="38" t="s">
        <v>1227</v>
      </c>
      <c r="E43" s="38" t="s">
        <v>1185</v>
      </c>
      <c r="F43" s="38" t="s">
        <v>1189</v>
      </c>
      <c r="G43" s="95">
        <v>0.25</v>
      </c>
      <c r="H43" s="95">
        <v>0.25</v>
      </c>
      <c r="I43" s="93">
        <v>1</v>
      </c>
      <c r="J43" s="93"/>
      <c r="K43" s="94"/>
      <c r="N43" s="94">
        <f>IF(Quarters[[#This Row],[Mint]]="",Quarters[[#This Row],[Date]],Quarters[[#This Row],[Date]]&amp;" "&amp;Quarters[[#This Row],[Mint]])</f>
        <v>1998</v>
      </c>
    </row>
    <row r="44" spans="1:14">
      <c r="A44" s="94">
        <v>1998</v>
      </c>
      <c r="B44" s="93" t="s">
        <v>25</v>
      </c>
      <c r="C44" s="93" t="s">
        <v>1965</v>
      </c>
      <c r="D44" s="38" t="s">
        <v>1228</v>
      </c>
      <c r="E44" s="38" t="s">
        <v>1185</v>
      </c>
      <c r="F44" s="38" t="s">
        <v>1189</v>
      </c>
      <c r="G44" s="95">
        <v>0.25</v>
      </c>
      <c r="H44" s="95">
        <v>0.25</v>
      </c>
      <c r="I44" s="93">
        <v>1</v>
      </c>
      <c r="J44" s="93"/>
      <c r="K44" s="94"/>
      <c r="N44" s="94" t="str">
        <f>IF(Quarters[[#This Row],[Mint]]="",Quarters[[#This Row],[Date]],Quarters[[#This Row],[Date]]&amp;" "&amp;Quarters[[#This Row],[Mint]])</f>
        <v>1998 P</v>
      </c>
    </row>
    <row r="45" spans="1:14">
      <c r="A45" s="94">
        <v>1999</v>
      </c>
      <c r="B45" s="93" t="s">
        <v>25</v>
      </c>
      <c r="C45" s="93" t="s">
        <v>1965</v>
      </c>
      <c r="D45" s="38" t="s">
        <v>1194</v>
      </c>
      <c r="E45" s="38" t="s">
        <v>1185</v>
      </c>
      <c r="F45" s="38" t="s">
        <v>1189</v>
      </c>
      <c r="G45" s="95">
        <v>0.25</v>
      </c>
      <c r="H45" s="95">
        <v>0.25</v>
      </c>
      <c r="I45" s="93">
        <v>1</v>
      </c>
      <c r="J45" s="93"/>
      <c r="K45" s="94" t="s">
        <v>1229</v>
      </c>
      <c r="N45" s="94" t="str">
        <f>IF(Quarters[[#This Row],[Mint]]="",Quarters[[#This Row],[Date]],Quarters[[#This Row],[Date]]&amp;" "&amp;Quarters[[#This Row],[Mint]])</f>
        <v>1999 P</v>
      </c>
    </row>
    <row r="46" spans="1:14">
      <c r="A46" s="94">
        <v>1999</v>
      </c>
      <c r="B46" s="93" t="s">
        <v>13</v>
      </c>
      <c r="C46" s="93" t="s">
        <v>1965</v>
      </c>
      <c r="D46" s="38" t="s">
        <v>1230</v>
      </c>
      <c r="E46" s="38" t="s">
        <v>1185</v>
      </c>
      <c r="F46" s="38" t="s">
        <v>1189</v>
      </c>
      <c r="G46" s="95">
        <v>0.25</v>
      </c>
      <c r="H46" s="95">
        <v>0.25</v>
      </c>
      <c r="I46" s="93">
        <v>4</v>
      </c>
      <c r="J46" s="93"/>
      <c r="K46" s="94" t="s">
        <v>1231</v>
      </c>
      <c r="N46" s="94" t="str">
        <f>IF(Quarters[[#This Row],[Mint]]="",Quarters[[#This Row],[Date]],Quarters[[#This Row],[Date]]&amp;" "&amp;Quarters[[#This Row],[Mint]])</f>
        <v>1999 D</v>
      </c>
    </row>
    <row r="47" spans="1:14">
      <c r="A47" s="94">
        <v>1999</v>
      </c>
      <c r="B47" s="93" t="s">
        <v>25</v>
      </c>
      <c r="C47" s="93" t="s">
        <v>1965</v>
      </c>
      <c r="D47" s="38" t="s">
        <v>1232</v>
      </c>
      <c r="E47" s="38" t="s">
        <v>1185</v>
      </c>
      <c r="F47" s="38" t="s">
        <v>21</v>
      </c>
      <c r="G47" s="95">
        <v>0.25</v>
      </c>
      <c r="H47" s="95">
        <v>3.5</v>
      </c>
      <c r="I47" s="93">
        <v>4</v>
      </c>
      <c r="J47" s="93"/>
      <c r="K47" s="94" t="s">
        <v>1233</v>
      </c>
      <c r="N47" s="94" t="str">
        <f>IF(Quarters[[#This Row],[Mint]]="",Quarters[[#This Row],[Date]],Quarters[[#This Row],[Date]]&amp;" "&amp;Quarters[[#This Row],[Mint]])</f>
        <v>1999 P</v>
      </c>
    </row>
    <row r="48" spans="1:14">
      <c r="A48" s="94">
        <v>1999</v>
      </c>
      <c r="B48" s="93" t="s">
        <v>25</v>
      </c>
      <c r="C48" s="93" t="s">
        <v>1965</v>
      </c>
      <c r="D48" s="38" t="s">
        <v>1234</v>
      </c>
      <c r="E48" s="38" t="s">
        <v>1185</v>
      </c>
      <c r="F48" s="38" t="s">
        <v>21</v>
      </c>
      <c r="G48" s="95">
        <v>0.25</v>
      </c>
      <c r="H48" s="95">
        <v>3</v>
      </c>
      <c r="I48" s="93">
        <v>1</v>
      </c>
      <c r="J48" s="93"/>
      <c r="K48" s="94" t="s">
        <v>1235</v>
      </c>
      <c r="N48" s="94" t="str">
        <f>IF(Quarters[[#This Row],[Mint]]="",Quarters[[#This Row],[Date]],Quarters[[#This Row],[Date]]&amp;" "&amp;Quarters[[#This Row],[Mint]])</f>
        <v>1999 P</v>
      </c>
    </row>
    <row r="49" spans="1:14">
      <c r="A49" s="94">
        <v>1999</v>
      </c>
      <c r="B49" s="93" t="s">
        <v>1183</v>
      </c>
      <c r="C49" s="93" t="s">
        <v>1965</v>
      </c>
      <c r="D49" s="38" t="s">
        <v>1236</v>
      </c>
      <c r="E49" s="38" t="s">
        <v>1185</v>
      </c>
      <c r="F49" s="38" t="s">
        <v>21</v>
      </c>
      <c r="G49" s="95">
        <v>0.25</v>
      </c>
      <c r="H49" s="95">
        <v>0.25</v>
      </c>
      <c r="I49" s="93">
        <v>1</v>
      </c>
      <c r="J49" s="93"/>
      <c r="K49" s="94" t="s">
        <v>1237</v>
      </c>
      <c r="N49" s="94">
        <f>IF(Quarters[[#This Row],[Mint]]="",Quarters[[#This Row],[Date]],Quarters[[#This Row],[Date]]&amp;" "&amp;Quarters[[#This Row],[Mint]])</f>
        <v>1999</v>
      </c>
    </row>
    <row r="50" spans="1:14">
      <c r="A50" s="94">
        <v>1999</v>
      </c>
      <c r="B50" s="93" t="s">
        <v>25</v>
      </c>
      <c r="C50" s="93" t="s">
        <v>1965</v>
      </c>
      <c r="D50" s="38" t="s">
        <v>1238</v>
      </c>
      <c r="E50" s="38" t="s">
        <v>1185</v>
      </c>
      <c r="F50" s="38" t="s">
        <v>21</v>
      </c>
      <c r="G50" s="95">
        <v>0.25</v>
      </c>
      <c r="H50" s="95">
        <v>0.25</v>
      </c>
      <c r="I50" s="93">
        <v>1</v>
      </c>
      <c r="J50" s="93"/>
      <c r="K50" s="94" t="s">
        <v>1237</v>
      </c>
      <c r="N50" s="94" t="str">
        <f>IF(Quarters[[#This Row],[Mint]]="",Quarters[[#This Row],[Date]],Quarters[[#This Row],[Date]]&amp;" "&amp;Quarters[[#This Row],[Mint]])</f>
        <v>1999 P</v>
      </c>
    </row>
    <row r="51" spans="1:14">
      <c r="A51" s="94">
        <v>1999</v>
      </c>
      <c r="B51" s="93" t="s">
        <v>25</v>
      </c>
      <c r="C51" s="93" t="s">
        <v>1965</v>
      </c>
      <c r="D51" s="38" t="s">
        <v>1239</v>
      </c>
      <c r="E51" s="38" t="s">
        <v>1185</v>
      </c>
      <c r="F51" s="38" t="s">
        <v>21</v>
      </c>
      <c r="G51" s="95">
        <v>0.25</v>
      </c>
      <c r="H51" s="95">
        <v>0.25</v>
      </c>
      <c r="I51" s="93">
        <v>1</v>
      </c>
      <c r="J51" s="93"/>
      <c r="K51" s="94" t="s">
        <v>1237</v>
      </c>
      <c r="N51" s="94" t="str">
        <f>IF(Quarters[[#This Row],[Mint]]="",Quarters[[#This Row],[Date]],Quarters[[#This Row],[Date]]&amp;" "&amp;Quarters[[#This Row],[Mint]])</f>
        <v>1999 P</v>
      </c>
    </row>
    <row r="52" spans="1:14">
      <c r="A52" s="94">
        <v>1999</v>
      </c>
      <c r="B52" s="93" t="s">
        <v>25</v>
      </c>
      <c r="C52" s="93" t="s">
        <v>1965</v>
      </c>
      <c r="D52" s="38" t="s">
        <v>1240</v>
      </c>
      <c r="E52" s="38" t="s">
        <v>1185</v>
      </c>
      <c r="F52" s="38" t="s">
        <v>21</v>
      </c>
      <c r="G52" s="95">
        <v>0.25</v>
      </c>
      <c r="H52" s="95">
        <v>0.25</v>
      </c>
      <c r="I52" s="93">
        <v>1</v>
      </c>
      <c r="J52" s="93"/>
      <c r="K52" s="94" t="s">
        <v>1237</v>
      </c>
      <c r="N52" s="94" t="str">
        <f>IF(Quarters[[#This Row],[Mint]]="",Quarters[[#This Row],[Date]],Quarters[[#This Row],[Date]]&amp;" "&amp;Quarters[[#This Row],[Mint]])</f>
        <v>1999 P</v>
      </c>
    </row>
    <row r="53" spans="1:14">
      <c r="A53" s="94">
        <v>1999</v>
      </c>
      <c r="B53" s="93" t="s">
        <v>13</v>
      </c>
      <c r="C53" s="93" t="s">
        <v>1965</v>
      </c>
      <c r="D53" s="38" t="s">
        <v>1241</v>
      </c>
      <c r="E53" s="38" t="s">
        <v>1185</v>
      </c>
      <c r="F53" s="38" t="s">
        <v>21</v>
      </c>
      <c r="G53" s="95">
        <v>0.25</v>
      </c>
      <c r="H53" s="95">
        <v>0.25</v>
      </c>
      <c r="I53" s="93">
        <v>1</v>
      </c>
      <c r="J53" s="93"/>
      <c r="K53" s="94" t="s">
        <v>1235</v>
      </c>
      <c r="N53" s="94" t="str">
        <f>IF(Quarters[[#This Row],[Mint]]="",Quarters[[#This Row],[Date]],Quarters[[#This Row],[Date]]&amp;" "&amp;Quarters[[#This Row],[Mint]])</f>
        <v>1999 D</v>
      </c>
    </row>
    <row r="54" spans="1:14">
      <c r="A54" s="94">
        <v>1999</v>
      </c>
      <c r="B54" s="93" t="s">
        <v>13</v>
      </c>
      <c r="C54" s="93" t="s">
        <v>1965</v>
      </c>
      <c r="D54" s="38" t="s">
        <v>1242</v>
      </c>
      <c r="E54" s="38" t="s">
        <v>1185</v>
      </c>
      <c r="F54" s="38" t="s">
        <v>21</v>
      </c>
      <c r="G54" s="95">
        <v>0.25</v>
      </c>
      <c r="H54" s="95">
        <v>0.25</v>
      </c>
      <c r="I54" s="93">
        <v>1</v>
      </c>
      <c r="J54" s="93"/>
      <c r="K54" s="94" t="s">
        <v>1235</v>
      </c>
      <c r="N54" s="94" t="str">
        <f>IF(Quarters[[#This Row],[Mint]]="",Quarters[[#This Row],[Date]],Quarters[[#This Row],[Date]]&amp;" "&amp;Quarters[[#This Row],[Mint]])</f>
        <v>1999 D</v>
      </c>
    </row>
    <row r="55" spans="1:14">
      <c r="A55" s="94">
        <v>1999</v>
      </c>
      <c r="B55" s="93" t="s">
        <v>13</v>
      </c>
      <c r="C55" s="93" t="s">
        <v>1965</v>
      </c>
      <c r="D55" s="38" t="s">
        <v>1243</v>
      </c>
      <c r="E55" s="38" t="s">
        <v>1185</v>
      </c>
      <c r="F55" s="38" t="s">
        <v>21</v>
      </c>
      <c r="G55" s="95">
        <v>0.25</v>
      </c>
      <c r="H55" s="95">
        <v>0.25</v>
      </c>
      <c r="I55" s="93">
        <v>1</v>
      </c>
      <c r="J55" s="93"/>
      <c r="K55" s="94" t="s">
        <v>1235</v>
      </c>
      <c r="N55" s="94" t="str">
        <f>IF(Quarters[[#This Row],[Mint]]="",Quarters[[#This Row],[Date]],Quarters[[#This Row],[Date]]&amp;" "&amp;Quarters[[#This Row],[Mint]])</f>
        <v>1999 D</v>
      </c>
    </row>
    <row r="56" spans="1:14">
      <c r="A56" s="94">
        <v>1999</v>
      </c>
      <c r="B56" s="93" t="s">
        <v>13</v>
      </c>
      <c r="C56" s="93" t="s">
        <v>1965</v>
      </c>
      <c r="D56" s="38" t="s">
        <v>1244</v>
      </c>
      <c r="E56" s="38" t="s">
        <v>1185</v>
      </c>
      <c r="F56" s="38" t="s">
        <v>21</v>
      </c>
      <c r="G56" s="95">
        <v>0.25</v>
      </c>
      <c r="H56" s="95">
        <v>0.25</v>
      </c>
      <c r="I56" s="93">
        <v>1</v>
      </c>
      <c r="J56" s="93"/>
      <c r="K56" s="94" t="s">
        <v>1235</v>
      </c>
      <c r="N56" s="94" t="str">
        <f>IF(Quarters[[#This Row],[Mint]]="",Quarters[[#This Row],[Date]],Quarters[[#This Row],[Date]]&amp;" "&amp;Quarters[[#This Row],[Mint]])</f>
        <v>1999 D</v>
      </c>
    </row>
    <row r="57" spans="1:14">
      <c r="A57" s="94">
        <v>1999</v>
      </c>
      <c r="B57" s="93" t="s">
        <v>25</v>
      </c>
      <c r="C57" s="93" t="s">
        <v>1965</v>
      </c>
      <c r="D57" s="38" t="s">
        <v>1245</v>
      </c>
      <c r="E57" s="38" t="s">
        <v>1185</v>
      </c>
      <c r="F57" s="38" t="s">
        <v>21</v>
      </c>
      <c r="G57" s="95">
        <v>0.25</v>
      </c>
      <c r="H57" s="95">
        <v>0.25</v>
      </c>
      <c r="I57" s="93">
        <v>1</v>
      </c>
      <c r="J57" s="93"/>
      <c r="K57" s="94" t="s">
        <v>1235</v>
      </c>
      <c r="N57" s="94" t="str">
        <f>IF(Quarters[[#This Row],[Mint]]="",Quarters[[#This Row],[Date]],Quarters[[#This Row],[Date]]&amp;" "&amp;Quarters[[#This Row],[Mint]])</f>
        <v>1999 P</v>
      </c>
    </row>
    <row r="58" spans="1:14">
      <c r="A58" s="94">
        <v>1999</v>
      </c>
      <c r="B58" s="93" t="s">
        <v>25</v>
      </c>
      <c r="C58" s="93" t="s">
        <v>1965</v>
      </c>
      <c r="D58" s="38" t="s">
        <v>1246</v>
      </c>
      <c r="E58" s="38" t="s">
        <v>1185</v>
      </c>
      <c r="F58" s="38" t="s">
        <v>21</v>
      </c>
      <c r="G58" s="95">
        <v>0.25</v>
      </c>
      <c r="H58" s="95">
        <v>0.25</v>
      </c>
      <c r="I58" s="93">
        <v>1</v>
      </c>
      <c r="J58" s="93"/>
      <c r="K58" s="94" t="s">
        <v>1235</v>
      </c>
      <c r="N58" s="94" t="str">
        <f>IF(Quarters[[#This Row],[Mint]]="",Quarters[[#This Row],[Date]],Quarters[[#This Row],[Date]]&amp;" "&amp;Quarters[[#This Row],[Mint]])</f>
        <v>1999 P</v>
      </c>
    </row>
    <row r="59" spans="1:14">
      <c r="A59" s="94">
        <v>1999</v>
      </c>
      <c r="B59" s="93" t="s">
        <v>25</v>
      </c>
      <c r="C59" s="93" t="s">
        <v>1965</v>
      </c>
      <c r="D59" s="38" t="s">
        <v>1247</v>
      </c>
      <c r="E59" s="38" t="s">
        <v>1185</v>
      </c>
      <c r="F59" s="38" t="s">
        <v>21</v>
      </c>
      <c r="G59" s="95">
        <v>0.25</v>
      </c>
      <c r="H59" s="95">
        <v>0.25</v>
      </c>
      <c r="I59" s="93">
        <v>1</v>
      </c>
      <c r="J59" s="93"/>
      <c r="K59" s="94" t="s">
        <v>1235</v>
      </c>
      <c r="N59" s="94" t="str">
        <f>IF(Quarters[[#This Row],[Mint]]="",Quarters[[#This Row],[Date]],Quarters[[#This Row],[Date]]&amp;" "&amp;Quarters[[#This Row],[Mint]])</f>
        <v>1999 P</v>
      </c>
    </row>
    <row r="60" spans="1:14">
      <c r="A60" s="94">
        <v>1999</v>
      </c>
      <c r="B60" s="93" t="s">
        <v>25</v>
      </c>
      <c r="C60" s="93" t="s">
        <v>1965</v>
      </c>
      <c r="D60" s="38" t="s">
        <v>1248</v>
      </c>
      <c r="E60" s="38" t="s">
        <v>1185</v>
      </c>
      <c r="F60" s="38" t="s">
        <v>21</v>
      </c>
      <c r="G60" s="95">
        <v>0.25</v>
      </c>
      <c r="H60" s="95">
        <v>0.25</v>
      </c>
      <c r="I60" s="93">
        <v>1</v>
      </c>
      <c r="J60" s="93"/>
      <c r="K60" s="94" t="s">
        <v>1235</v>
      </c>
      <c r="N60" s="94" t="str">
        <f>IF(Quarters[[#This Row],[Mint]]="",Quarters[[#This Row],[Date]],Quarters[[#This Row],[Date]]&amp;" "&amp;Quarters[[#This Row],[Mint]])</f>
        <v>1999 P</v>
      </c>
    </row>
    <row r="61" spans="1:14">
      <c r="A61" s="94">
        <v>1999</v>
      </c>
      <c r="B61" s="93" t="s">
        <v>13</v>
      </c>
      <c r="C61" s="93" t="s">
        <v>1965</v>
      </c>
      <c r="D61" s="38" t="s">
        <v>1249</v>
      </c>
      <c r="E61" s="38" t="s">
        <v>1185</v>
      </c>
      <c r="F61" s="38" t="s">
        <v>21</v>
      </c>
      <c r="G61" s="95">
        <v>0.25</v>
      </c>
      <c r="H61" s="95">
        <v>0.25</v>
      </c>
      <c r="I61" s="93">
        <v>1</v>
      </c>
      <c r="J61" s="93"/>
      <c r="K61" s="94" t="s">
        <v>1233</v>
      </c>
      <c r="N61" s="94" t="str">
        <f>IF(Quarters[[#This Row],[Mint]]="",Quarters[[#This Row],[Date]],Quarters[[#This Row],[Date]]&amp;" "&amp;Quarters[[#This Row],[Mint]])</f>
        <v>1999 D</v>
      </c>
    </row>
    <row r="62" spans="1:14">
      <c r="A62" s="94">
        <v>1999</v>
      </c>
      <c r="B62" s="93" t="s">
        <v>13</v>
      </c>
      <c r="C62" s="93" t="s">
        <v>1965</v>
      </c>
      <c r="D62" s="38" t="s">
        <v>1250</v>
      </c>
      <c r="E62" s="38" t="s">
        <v>1185</v>
      </c>
      <c r="F62" s="38" t="s">
        <v>21</v>
      </c>
      <c r="G62" s="95">
        <v>0.25</v>
      </c>
      <c r="H62" s="95">
        <v>0.25</v>
      </c>
      <c r="I62" s="93">
        <v>1</v>
      </c>
      <c r="J62" s="93"/>
      <c r="K62" s="94" t="s">
        <v>1233</v>
      </c>
      <c r="N62" s="94" t="str">
        <f>IF(Quarters[[#This Row],[Mint]]="",Quarters[[#This Row],[Date]],Quarters[[#This Row],[Date]]&amp;" "&amp;Quarters[[#This Row],[Mint]])</f>
        <v>1999 D</v>
      </c>
    </row>
    <row r="63" spans="1:14">
      <c r="A63" s="94">
        <v>1999</v>
      </c>
      <c r="B63" s="93" t="s">
        <v>13</v>
      </c>
      <c r="C63" s="93" t="s">
        <v>1965</v>
      </c>
      <c r="D63" s="38" t="s">
        <v>1251</v>
      </c>
      <c r="E63" s="38" t="s">
        <v>1185</v>
      </c>
      <c r="F63" s="38" t="s">
        <v>21</v>
      </c>
      <c r="G63" s="95">
        <v>0.25</v>
      </c>
      <c r="H63" s="95">
        <v>0.25</v>
      </c>
      <c r="I63" s="93">
        <v>1</v>
      </c>
      <c r="J63" s="93"/>
      <c r="K63" s="94" t="s">
        <v>1233</v>
      </c>
      <c r="N63" s="94" t="str">
        <f>IF(Quarters[[#This Row],[Mint]]="",Quarters[[#This Row],[Date]],Quarters[[#This Row],[Date]]&amp;" "&amp;Quarters[[#This Row],[Mint]])</f>
        <v>1999 D</v>
      </c>
    </row>
    <row r="64" spans="1:14">
      <c r="A64" s="94">
        <v>1999</v>
      </c>
      <c r="B64" s="93" t="s">
        <v>13</v>
      </c>
      <c r="C64" s="93" t="s">
        <v>1965</v>
      </c>
      <c r="D64" s="38" t="s">
        <v>1252</v>
      </c>
      <c r="E64" s="38" t="s">
        <v>1185</v>
      </c>
      <c r="F64" s="38" t="s">
        <v>21</v>
      </c>
      <c r="G64" s="95">
        <v>0.25</v>
      </c>
      <c r="H64" s="95">
        <v>0.25</v>
      </c>
      <c r="I64" s="93">
        <v>1</v>
      </c>
      <c r="J64" s="93"/>
      <c r="K64" s="94" t="s">
        <v>1233</v>
      </c>
      <c r="N64" s="94" t="str">
        <f>IF(Quarters[[#This Row],[Mint]]="",Quarters[[#This Row],[Date]],Quarters[[#This Row],[Date]]&amp;" "&amp;Quarters[[#This Row],[Mint]])</f>
        <v>1999 D</v>
      </c>
    </row>
    <row r="65" spans="1:14">
      <c r="A65" s="94">
        <v>1999</v>
      </c>
      <c r="B65" s="93" t="s">
        <v>25</v>
      </c>
      <c r="C65" s="93" t="s">
        <v>1965</v>
      </c>
      <c r="D65" s="38" t="s">
        <v>1253</v>
      </c>
      <c r="E65" s="38" t="s">
        <v>1185</v>
      </c>
      <c r="F65" s="38" t="s">
        <v>21</v>
      </c>
      <c r="G65" s="95">
        <v>0.25</v>
      </c>
      <c r="H65" s="95">
        <v>0.25</v>
      </c>
      <c r="I65" s="93">
        <v>1</v>
      </c>
      <c r="J65" s="93"/>
      <c r="K65" s="94" t="s">
        <v>1233</v>
      </c>
      <c r="N65" s="94" t="str">
        <f>IF(Quarters[[#This Row],[Mint]]="",Quarters[[#This Row],[Date]],Quarters[[#This Row],[Date]]&amp;" "&amp;Quarters[[#This Row],[Mint]])</f>
        <v>1999 P</v>
      </c>
    </row>
    <row r="66" spans="1:14">
      <c r="A66" s="94">
        <v>1999</v>
      </c>
      <c r="B66" s="93" t="s">
        <v>25</v>
      </c>
      <c r="C66" s="93" t="s">
        <v>1965</v>
      </c>
      <c r="D66" s="38" t="s">
        <v>1254</v>
      </c>
      <c r="E66" s="38" t="s">
        <v>1185</v>
      </c>
      <c r="F66" s="38" t="s">
        <v>21</v>
      </c>
      <c r="G66" s="95">
        <v>0.25</v>
      </c>
      <c r="H66" s="95">
        <v>0.25</v>
      </c>
      <c r="I66" s="93">
        <v>1</v>
      </c>
      <c r="J66" s="93"/>
      <c r="K66" s="94" t="s">
        <v>1233</v>
      </c>
      <c r="N66" s="94" t="str">
        <f>IF(Quarters[[#This Row],[Mint]]="",Quarters[[#This Row],[Date]],Quarters[[#This Row],[Date]]&amp;" "&amp;Quarters[[#This Row],[Mint]])</f>
        <v>1999 P</v>
      </c>
    </row>
    <row r="67" spans="1:14">
      <c r="A67" s="94">
        <v>1999</v>
      </c>
      <c r="B67" s="93" t="s">
        <v>25</v>
      </c>
      <c r="C67" s="93" t="s">
        <v>1965</v>
      </c>
      <c r="D67" s="38" t="s">
        <v>1255</v>
      </c>
      <c r="E67" s="38" t="s">
        <v>1185</v>
      </c>
      <c r="F67" s="38" t="s">
        <v>21</v>
      </c>
      <c r="G67" s="95">
        <v>0.25</v>
      </c>
      <c r="H67" s="95">
        <v>0.25</v>
      </c>
      <c r="I67" s="93">
        <v>1</v>
      </c>
      <c r="J67" s="93"/>
      <c r="K67" s="94" t="s">
        <v>1233</v>
      </c>
      <c r="N67" s="94" t="str">
        <f>IF(Quarters[[#This Row],[Mint]]="",Quarters[[#This Row],[Date]],Quarters[[#This Row],[Date]]&amp;" "&amp;Quarters[[#This Row],[Mint]])</f>
        <v>1999 P</v>
      </c>
    </row>
    <row r="68" spans="1:14">
      <c r="A68" s="94">
        <v>1999</v>
      </c>
      <c r="B68" s="93" t="s">
        <v>13</v>
      </c>
      <c r="C68" s="93" t="s">
        <v>1965</v>
      </c>
      <c r="D68" s="38" t="s">
        <v>1256</v>
      </c>
      <c r="E68" s="38" t="s">
        <v>1185</v>
      </c>
      <c r="F68" s="38" t="s">
        <v>21</v>
      </c>
      <c r="G68" s="95">
        <v>0.25</v>
      </c>
      <c r="H68" s="95">
        <v>0.25</v>
      </c>
      <c r="I68" s="93">
        <v>1</v>
      </c>
      <c r="J68" s="93"/>
      <c r="K68" s="94" t="s">
        <v>1233</v>
      </c>
      <c r="N68" s="94" t="str">
        <f>IF(Quarters[[#This Row],[Mint]]="",Quarters[[#This Row],[Date]],Quarters[[#This Row],[Date]]&amp;" "&amp;Quarters[[#This Row],[Mint]])</f>
        <v>1999 D</v>
      </c>
    </row>
    <row r="69" spans="1:14">
      <c r="A69" s="94">
        <v>1999</v>
      </c>
      <c r="B69" s="93" t="s">
        <v>25</v>
      </c>
      <c r="C69" s="93" t="s">
        <v>1965</v>
      </c>
      <c r="D69" s="38" t="s">
        <v>1257</v>
      </c>
      <c r="E69" s="38" t="s">
        <v>1185</v>
      </c>
      <c r="F69" s="38" t="s">
        <v>21</v>
      </c>
      <c r="G69" s="95">
        <v>0.25</v>
      </c>
      <c r="H69" s="95">
        <v>0.25</v>
      </c>
      <c r="I69" s="93">
        <v>1</v>
      </c>
      <c r="J69" s="93"/>
      <c r="K69" s="94" t="s">
        <v>1233</v>
      </c>
      <c r="N69" s="94" t="str">
        <f>IF(Quarters[[#This Row],[Mint]]="",Quarters[[#This Row],[Date]],Quarters[[#This Row],[Date]]&amp;" "&amp;Quarters[[#This Row],[Mint]])</f>
        <v>1999 P</v>
      </c>
    </row>
    <row r="70" spans="1:14">
      <c r="A70" s="94">
        <v>1999</v>
      </c>
      <c r="B70" s="93" t="s">
        <v>25</v>
      </c>
      <c r="C70" s="93" t="s">
        <v>1965</v>
      </c>
      <c r="D70" s="38" t="s">
        <v>1258</v>
      </c>
      <c r="E70" s="38" t="s">
        <v>1185</v>
      </c>
      <c r="F70" s="38" t="s">
        <v>21</v>
      </c>
      <c r="G70" s="95">
        <v>0.25</v>
      </c>
      <c r="H70" s="95">
        <v>0.25</v>
      </c>
      <c r="I70" s="93">
        <v>1</v>
      </c>
      <c r="J70" s="93"/>
      <c r="K70" s="94" t="s">
        <v>1233</v>
      </c>
      <c r="N70" s="94" t="str">
        <f>IF(Quarters[[#This Row],[Mint]]="",Quarters[[#This Row],[Date]],Quarters[[#This Row],[Date]]&amp;" "&amp;Quarters[[#This Row],[Mint]])</f>
        <v>1999 P</v>
      </c>
    </row>
    <row r="71" spans="1:14">
      <c r="A71" s="94">
        <v>1999</v>
      </c>
      <c r="B71" s="93" t="s">
        <v>13</v>
      </c>
      <c r="C71" s="93" t="s">
        <v>1965</v>
      </c>
      <c r="D71" s="38" t="s">
        <v>1259</v>
      </c>
      <c r="E71" s="38" t="s">
        <v>1185</v>
      </c>
      <c r="F71" s="38" t="s">
        <v>21</v>
      </c>
      <c r="G71" s="95">
        <v>0.25</v>
      </c>
      <c r="H71" s="95">
        <v>0.25</v>
      </c>
      <c r="I71" s="93">
        <v>1</v>
      </c>
      <c r="J71" s="93"/>
      <c r="K71" s="94" t="s">
        <v>1233</v>
      </c>
      <c r="N71" s="94" t="str">
        <f>IF(Quarters[[#This Row],[Mint]]="",Quarters[[#This Row],[Date]],Quarters[[#This Row],[Date]]&amp;" "&amp;Quarters[[#This Row],[Mint]])</f>
        <v>1999 D</v>
      </c>
    </row>
    <row r="72" spans="1:14">
      <c r="A72" s="94">
        <v>1999</v>
      </c>
      <c r="B72" s="93" t="s">
        <v>25</v>
      </c>
      <c r="C72" s="93" t="s">
        <v>1965</v>
      </c>
      <c r="D72" s="38" t="s">
        <v>1260</v>
      </c>
      <c r="E72" s="38" t="s">
        <v>1185</v>
      </c>
      <c r="F72" s="38" t="s">
        <v>21</v>
      </c>
      <c r="G72" s="95">
        <v>0.25</v>
      </c>
      <c r="H72" s="95">
        <v>0.25</v>
      </c>
      <c r="I72" s="93">
        <v>1</v>
      </c>
      <c r="J72" s="93"/>
      <c r="K72" s="94" t="s">
        <v>1233</v>
      </c>
      <c r="N72" s="94" t="str">
        <f>IF(Quarters[[#This Row],[Mint]]="",Quarters[[#This Row],[Date]],Quarters[[#This Row],[Date]]&amp;" "&amp;Quarters[[#This Row],[Mint]])</f>
        <v>1999 P</v>
      </c>
    </row>
    <row r="73" spans="1:14">
      <c r="A73" s="94">
        <v>1999</v>
      </c>
      <c r="B73" s="93" t="s">
        <v>25</v>
      </c>
      <c r="C73" s="93" t="s">
        <v>1965</v>
      </c>
      <c r="D73" s="38" t="s">
        <v>1261</v>
      </c>
      <c r="E73" s="38" t="s">
        <v>1185</v>
      </c>
      <c r="F73" s="38" t="s">
        <v>21</v>
      </c>
      <c r="G73" s="95">
        <v>0.25</v>
      </c>
      <c r="H73" s="95">
        <v>0.25</v>
      </c>
      <c r="I73" s="93">
        <v>1</v>
      </c>
      <c r="J73" s="93"/>
      <c r="K73" s="94" t="s">
        <v>1235</v>
      </c>
      <c r="N73" s="94" t="str">
        <f>IF(Quarters[[#This Row],[Mint]]="",Quarters[[#This Row],[Date]],Quarters[[#This Row],[Date]]&amp;" "&amp;Quarters[[#This Row],[Mint]])</f>
        <v>1999 P</v>
      </c>
    </row>
    <row r="74" spans="1:14">
      <c r="A74" s="94">
        <v>1999</v>
      </c>
      <c r="B74" s="93" t="s">
        <v>25</v>
      </c>
      <c r="C74" s="93" t="s">
        <v>1965</v>
      </c>
      <c r="D74" s="38" t="s">
        <v>1262</v>
      </c>
      <c r="E74" s="38" t="s">
        <v>1185</v>
      </c>
      <c r="F74" s="38" t="s">
        <v>21</v>
      </c>
      <c r="G74" s="95">
        <v>0.25</v>
      </c>
      <c r="H74" s="95">
        <v>0.25</v>
      </c>
      <c r="I74" s="93">
        <v>1</v>
      </c>
      <c r="J74" s="93"/>
      <c r="K74" s="94" t="s">
        <v>1233</v>
      </c>
      <c r="N74" s="94" t="str">
        <f>IF(Quarters[[#This Row],[Mint]]="",Quarters[[#This Row],[Date]],Quarters[[#This Row],[Date]]&amp;" "&amp;Quarters[[#This Row],[Mint]])</f>
        <v>1999 P</v>
      </c>
    </row>
    <row r="75" spans="1:14">
      <c r="A75" s="94">
        <v>2000</v>
      </c>
      <c r="B75" s="93" t="s">
        <v>25</v>
      </c>
      <c r="C75" s="93" t="s">
        <v>1965</v>
      </c>
      <c r="D75" s="38" t="s">
        <v>1263</v>
      </c>
      <c r="E75" s="38" t="s">
        <v>1185</v>
      </c>
      <c r="F75" s="38" t="s">
        <v>21</v>
      </c>
      <c r="G75" s="95">
        <v>0.25</v>
      </c>
      <c r="H75" s="95">
        <v>3</v>
      </c>
      <c r="I75" s="93">
        <v>1</v>
      </c>
      <c r="J75" s="93"/>
      <c r="K75" s="94" t="s">
        <v>1264</v>
      </c>
      <c r="N75" s="94" t="str">
        <f>IF(Quarters[[#This Row],[Mint]]="",Quarters[[#This Row],[Date]],Quarters[[#This Row],[Date]]&amp;" "&amp;Quarters[[#This Row],[Mint]])</f>
        <v>2000 P</v>
      </c>
    </row>
    <row r="76" spans="1:14">
      <c r="A76" s="94">
        <v>2000</v>
      </c>
      <c r="B76" s="93" t="s">
        <v>25</v>
      </c>
      <c r="C76" s="93" t="s">
        <v>1965</v>
      </c>
      <c r="D76" s="38" t="s">
        <v>1265</v>
      </c>
      <c r="E76" s="38" t="s">
        <v>1185</v>
      </c>
      <c r="F76" s="38" t="s">
        <v>21</v>
      </c>
      <c r="G76" s="95">
        <v>0.25</v>
      </c>
      <c r="H76" s="95">
        <v>3</v>
      </c>
      <c r="I76" s="93">
        <v>1</v>
      </c>
      <c r="J76" s="93"/>
      <c r="K76" s="94" t="s">
        <v>1264</v>
      </c>
      <c r="N76" s="94" t="str">
        <f>IF(Quarters[[#This Row],[Mint]]="",Quarters[[#This Row],[Date]],Quarters[[#This Row],[Date]]&amp;" "&amp;Quarters[[#This Row],[Mint]])</f>
        <v>2000 P</v>
      </c>
    </row>
    <row r="77" spans="1:14">
      <c r="A77" s="94">
        <v>2000</v>
      </c>
      <c r="B77" s="93" t="s">
        <v>25</v>
      </c>
      <c r="C77" s="93" t="s">
        <v>1965</v>
      </c>
      <c r="D77" s="38" t="s">
        <v>1266</v>
      </c>
      <c r="E77" s="38" t="s">
        <v>1185</v>
      </c>
      <c r="F77" s="38" t="s">
        <v>21</v>
      </c>
      <c r="G77" s="95">
        <v>0.25</v>
      </c>
      <c r="H77" s="95">
        <v>0.25</v>
      </c>
      <c r="I77" s="93">
        <v>1</v>
      </c>
      <c r="J77" s="93"/>
      <c r="K77" s="94" t="s">
        <v>1267</v>
      </c>
      <c r="N77" s="94" t="str">
        <f>IF(Quarters[[#This Row],[Mint]]="",Quarters[[#This Row],[Date]],Quarters[[#This Row],[Date]]&amp;" "&amp;Quarters[[#This Row],[Mint]])</f>
        <v>2000 P</v>
      </c>
    </row>
    <row r="78" spans="1:14">
      <c r="A78" s="94">
        <v>2000</v>
      </c>
      <c r="B78" s="93" t="s">
        <v>25</v>
      </c>
      <c r="C78" s="93" t="s">
        <v>1965</v>
      </c>
      <c r="D78" s="38" t="s">
        <v>1268</v>
      </c>
      <c r="E78" s="38" t="s">
        <v>1185</v>
      </c>
      <c r="F78" s="38" t="s">
        <v>21</v>
      </c>
      <c r="G78" s="95">
        <v>0.25</v>
      </c>
      <c r="H78" s="95">
        <v>0.25</v>
      </c>
      <c r="I78" s="93">
        <v>1</v>
      </c>
      <c r="J78" s="93"/>
      <c r="K78" s="94" t="s">
        <v>1267</v>
      </c>
      <c r="N78" s="94" t="str">
        <f>IF(Quarters[[#This Row],[Mint]]="",Quarters[[#This Row],[Date]],Quarters[[#This Row],[Date]]&amp;" "&amp;Quarters[[#This Row],[Mint]])</f>
        <v>2000 P</v>
      </c>
    </row>
    <row r="79" spans="1:14">
      <c r="A79" s="94">
        <v>2001</v>
      </c>
      <c r="B79" s="93" t="s">
        <v>25</v>
      </c>
      <c r="C79" s="93" t="s">
        <v>1965</v>
      </c>
      <c r="D79" s="38" t="s">
        <v>1269</v>
      </c>
      <c r="E79" s="38" t="s">
        <v>1185</v>
      </c>
      <c r="F79" s="38" t="s">
        <v>21</v>
      </c>
      <c r="G79" s="95">
        <v>0.25</v>
      </c>
      <c r="H79" s="95">
        <v>0.25</v>
      </c>
      <c r="I79" s="93">
        <v>1</v>
      </c>
      <c r="J79" s="93"/>
      <c r="K79" s="94" t="s">
        <v>1270</v>
      </c>
      <c r="N79" s="94" t="str">
        <f>IF(Quarters[[#This Row],[Mint]]="",Quarters[[#This Row],[Date]],Quarters[[#This Row],[Date]]&amp;" "&amp;Quarters[[#This Row],[Mint]])</f>
        <v>2001 P</v>
      </c>
    </row>
    <row r="80" spans="1:14">
      <c r="A80" s="94">
        <v>2001</v>
      </c>
      <c r="B80" s="93" t="s">
        <v>25</v>
      </c>
      <c r="C80" s="93" t="s">
        <v>1965</v>
      </c>
      <c r="D80" s="38" t="s">
        <v>1271</v>
      </c>
      <c r="E80" s="38" t="s">
        <v>1185</v>
      </c>
      <c r="F80" s="38" t="s">
        <v>21</v>
      </c>
      <c r="G80" s="95">
        <v>0.25</v>
      </c>
      <c r="H80" s="95">
        <v>0.25</v>
      </c>
      <c r="I80" s="93">
        <v>1</v>
      </c>
      <c r="J80" s="93"/>
      <c r="K80" s="94" t="s">
        <v>1272</v>
      </c>
      <c r="N80" s="94" t="str">
        <f>IF(Quarters[[#This Row],[Mint]]="",Quarters[[#This Row],[Date]],Quarters[[#This Row],[Date]]&amp;" "&amp;Quarters[[#This Row],[Mint]])</f>
        <v>2001 P</v>
      </c>
    </row>
    <row r="81" spans="1:14">
      <c r="A81" s="94">
        <v>2001</v>
      </c>
      <c r="B81" s="93" t="s">
        <v>25</v>
      </c>
      <c r="C81" s="93" t="s">
        <v>1965</v>
      </c>
      <c r="D81" s="38" t="s">
        <v>1273</v>
      </c>
      <c r="E81" s="38" t="s">
        <v>1185</v>
      </c>
      <c r="F81" s="38" t="s">
        <v>1189</v>
      </c>
      <c r="G81" s="95">
        <v>0.25</v>
      </c>
      <c r="H81" s="95">
        <v>0.25</v>
      </c>
      <c r="I81" s="93">
        <v>1</v>
      </c>
      <c r="J81" s="93"/>
      <c r="K81" s="94" t="s">
        <v>1274</v>
      </c>
      <c r="N81" s="94" t="str">
        <f>IF(Quarters[[#This Row],[Mint]]="",Quarters[[#This Row],[Date]],Quarters[[#This Row],[Date]]&amp;" "&amp;Quarters[[#This Row],[Mint]])</f>
        <v>2001 P</v>
      </c>
    </row>
    <row r="82" spans="1:14">
      <c r="A82" s="94">
        <v>2001</v>
      </c>
      <c r="B82" s="93" t="s">
        <v>25</v>
      </c>
      <c r="C82" s="93" t="s">
        <v>1965</v>
      </c>
      <c r="D82" s="38" t="s">
        <v>1275</v>
      </c>
      <c r="E82" s="38" t="s">
        <v>1185</v>
      </c>
      <c r="F82" s="38" t="s">
        <v>21</v>
      </c>
      <c r="G82" s="95">
        <v>0.25</v>
      </c>
      <c r="H82" s="95">
        <v>0.25</v>
      </c>
      <c r="I82" s="93">
        <v>1</v>
      </c>
      <c r="J82" s="93"/>
      <c r="K82" s="94" t="s">
        <v>1276</v>
      </c>
      <c r="N82" s="94" t="str">
        <f>IF(Quarters[[#This Row],[Mint]]="",Quarters[[#This Row],[Date]],Quarters[[#This Row],[Date]]&amp;" "&amp;Quarters[[#This Row],[Mint]])</f>
        <v>2001 P</v>
      </c>
    </row>
    <row r="83" spans="1:14">
      <c r="A83" s="94">
        <v>2001</v>
      </c>
      <c r="B83" s="93" t="s">
        <v>25</v>
      </c>
      <c r="C83" s="93" t="s">
        <v>1965</v>
      </c>
      <c r="D83" s="38" t="s">
        <v>1277</v>
      </c>
      <c r="E83" s="38" t="s">
        <v>1185</v>
      </c>
      <c r="F83" s="38" t="s">
        <v>1189</v>
      </c>
      <c r="G83" s="95">
        <v>0.25</v>
      </c>
      <c r="H83" s="95">
        <v>0.25</v>
      </c>
      <c r="I83" s="93">
        <v>1</v>
      </c>
      <c r="J83" s="93"/>
      <c r="K83" s="94" t="s">
        <v>1278</v>
      </c>
      <c r="N83" s="94" t="str">
        <f>IF(Quarters[[#This Row],[Mint]]="",Quarters[[#This Row],[Date]],Quarters[[#This Row],[Date]]&amp;" "&amp;Quarters[[#This Row],[Mint]])</f>
        <v>2001 P</v>
      </c>
    </row>
    <row r="84" spans="1:14">
      <c r="A84" s="94">
        <v>2002</v>
      </c>
      <c r="B84" s="93" t="s">
        <v>25</v>
      </c>
      <c r="C84" s="93" t="s">
        <v>1965</v>
      </c>
      <c r="D84" s="38" t="s">
        <v>1279</v>
      </c>
      <c r="E84" s="38" t="s">
        <v>1185</v>
      </c>
      <c r="F84" s="38" t="s">
        <v>1189</v>
      </c>
      <c r="G84" s="95">
        <v>0.25</v>
      </c>
      <c r="H84" s="95">
        <v>0.25</v>
      </c>
      <c r="I84" s="93">
        <v>1</v>
      </c>
      <c r="J84" s="93"/>
      <c r="K84" s="94" t="s">
        <v>1280</v>
      </c>
      <c r="N84" s="94" t="str">
        <f>IF(Quarters[[#This Row],[Mint]]="",Quarters[[#This Row],[Date]],Quarters[[#This Row],[Date]]&amp;" "&amp;Quarters[[#This Row],[Mint]])</f>
        <v>2002 P</v>
      </c>
    </row>
    <row r="85" spans="1:14">
      <c r="A85" s="94">
        <v>2006</v>
      </c>
      <c r="B85" s="93" t="s">
        <v>25</v>
      </c>
      <c r="C85" s="93" t="s">
        <v>1965</v>
      </c>
      <c r="D85" s="38" t="s">
        <v>1281</v>
      </c>
      <c r="E85" s="38" t="s">
        <v>1185</v>
      </c>
      <c r="F85" s="38" t="s">
        <v>1189</v>
      </c>
      <c r="G85" s="95">
        <v>0.25</v>
      </c>
      <c r="H85" s="95">
        <v>0.25</v>
      </c>
      <c r="I85" s="93">
        <v>1</v>
      </c>
      <c r="J85" s="93"/>
      <c r="K85" s="94" t="s">
        <v>1282</v>
      </c>
      <c r="N85" s="94" t="str">
        <f>IF(Quarters[[#This Row],[Mint]]="",Quarters[[#This Row],[Date]],Quarters[[#This Row],[Date]]&amp;" "&amp;Quarters[[#This Row],[Mint]])</f>
        <v>2006 P</v>
      </c>
    </row>
    <row r="86" spans="1:14">
      <c r="A86" s="94">
        <v>2006</v>
      </c>
      <c r="B86" s="93" t="s">
        <v>25</v>
      </c>
      <c r="C86" s="93" t="s">
        <v>1965</v>
      </c>
      <c r="D86" s="38" t="s">
        <v>1283</v>
      </c>
      <c r="E86" s="38" t="s">
        <v>1185</v>
      </c>
      <c r="F86" s="38" t="s">
        <v>1189</v>
      </c>
      <c r="G86" s="95">
        <v>0.25</v>
      </c>
      <c r="H86" s="95">
        <v>0.25</v>
      </c>
      <c r="I86" s="93">
        <v>1</v>
      </c>
      <c r="J86" s="93"/>
      <c r="K86" s="94" t="s">
        <v>1282</v>
      </c>
      <c r="N86" s="94" t="str">
        <f>IF(Quarters[[#This Row],[Mint]]="",Quarters[[#This Row],[Date]],Quarters[[#This Row],[Date]]&amp;" "&amp;Quarters[[#This Row],[Mint]])</f>
        <v>2006 P</v>
      </c>
    </row>
    <row r="87" spans="1:14">
      <c r="A87" s="94">
        <v>2006</v>
      </c>
      <c r="B87" s="93" t="s">
        <v>25</v>
      </c>
      <c r="C87" s="93" t="s">
        <v>1965</v>
      </c>
      <c r="D87" s="38" t="s">
        <v>1284</v>
      </c>
      <c r="E87" s="38" t="s">
        <v>1185</v>
      </c>
      <c r="F87" s="38" t="s">
        <v>1189</v>
      </c>
      <c r="G87" s="95">
        <v>0.25</v>
      </c>
      <c r="H87" s="95">
        <v>0.25</v>
      </c>
      <c r="I87" s="93">
        <v>1</v>
      </c>
      <c r="J87" s="93"/>
      <c r="K87" s="94" t="s">
        <v>1285</v>
      </c>
      <c r="N87" s="94" t="str">
        <f>IF(Quarters[[#This Row],[Mint]]="",Quarters[[#This Row],[Date]],Quarters[[#This Row],[Date]]&amp;" "&amp;Quarters[[#This Row],[Mint]])</f>
        <v>2006 P</v>
      </c>
    </row>
    <row r="88" spans="1:14">
      <c r="A88" s="94">
        <v>2006</v>
      </c>
      <c r="B88" s="93" t="s">
        <v>25</v>
      </c>
      <c r="C88" s="93" t="s">
        <v>1965</v>
      </c>
      <c r="D88" s="38" t="s">
        <v>1286</v>
      </c>
      <c r="E88" s="38" t="s">
        <v>1185</v>
      </c>
      <c r="F88" s="38" t="s">
        <v>1189</v>
      </c>
      <c r="G88" s="95">
        <v>0.25</v>
      </c>
      <c r="H88" s="95">
        <v>0.25</v>
      </c>
      <c r="I88" s="93">
        <v>1</v>
      </c>
      <c r="J88" s="93"/>
      <c r="K88" s="94" t="s">
        <v>1285</v>
      </c>
      <c r="N88" s="94" t="str">
        <f>IF(Quarters[[#This Row],[Mint]]="",Quarters[[#This Row],[Date]],Quarters[[#This Row],[Date]]&amp;" "&amp;Quarters[[#This Row],[Mint]])</f>
        <v>2006 P</v>
      </c>
    </row>
    <row r="89" spans="1:14">
      <c r="A89" s="94">
        <v>2009</v>
      </c>
      <c r="B89" s="93" t="s">
        <v>25</v>
      </c>
      <c r="C89" s="93" t="s">
        <v>1965</v>
      </c>
      <c r="D89" s="38" t="s">
        <v>1287</v>
      </c>
      <c r="E89" s="38" t="s">
        <v>1185</v>
      </c>
      <c r="F89" s="38" t="s">
        <v>1189</v>
      </c>
      <c r="G89" s="95">
        <v>0.25</v>
      </c>
      <c r="H89" s="95">
        <v>0.25</v>
      </c>
      <c r="I89" s="93">
        <v>1</v>
      </c>
      <c r="J89" s="93"/>
      <c r="K89" s="94" t="s">
        <v>1288</v>
      </c>
      <c r="N89" s="94" t="str">
        <f>IF(Quarters[[#This Row],[Mint]]="",Quarters[[#This Row],[Date]],Quarters[[#This Row],[Date]]&amp;" "&amp;Quarters[[#This Row],[Mint]])</f>
        <v>2009 P</v>
      </c>
    </row>
    <row r="90" spans="1:14">
      <c r="A90" s="94">
        <v>2011</v>
      </c>
      <c r="B90" s="93" t="s">
        <v>25</v>
      </c>
      <c r="C90" s="93" t="s">
        <v>1965</v>
      </c>
      <c r="D90" s="38" t="s">
        <v>1289</v>
      </c>
      <c r="E90" s="38" t="s">
        <v>1185</v>
      </c>
      <c r="F90" s="38" t="s">
        <v>1189</v>
      </c>
      <c r="G90" s="95">
        <v>0.25</v>
      </c>
      <c r="H90" s="95">
        <v>0.25</v>
      </c>
      <c r="I90" s="93">
        <v>1</v>
      </c>
      <c r="J90" s="93"/>
      <c r="K90" s="94" t="s">
        <v>1290</v>
      </c>
      <c r="N90" s="94" t="str">
        <f>IF(Quarters[[#This Row],[Mint]]="",Quarters[[#This Row],[Date]],Quarters[[#This Row],[Date]]&amp;" "&amp;Quarters[[#This Row],[Mint]])</f>
        <v>2011 P</v>
      </c>
    </row>
    <row r="91" spans="1:14">
      <c r="A91" s="94">
        <v>2012</v>
      </c>
      <c r="B91" s="93" t="s">
        <v>25</v>
      </c>
      <c r="C91" s="93" t="s">
        <v>1965</v>
      </c>
      <c r="D91" s="38" t="s">
        <v>1291</v>
      </c>
      <c r="E91" s="38" t="s">
        <v>1185</v>
      </c>
      <c r="F91" s="38" t="s">
        <v>1189</v>
      </c>
      <c r="G91" s="95">
        <v>0.25</v>
      </c>
      <c r="H91" s="95">
        <v>0.25</v>
      </c>
      <c r="I91" s="93">
        <v>1</v>
      </c>
      <c r="J91" s="93"/>
      <c r="K91" s="94" t="s">
        <v>1292</v>
      </c>
      <c r="N91" s="94" t="str">
        <f>IF(Quarters[[#This Row],[Mint]]="",Quarters[[#This Row],[Date]],Quarters[[#This Row],[Date]]&amp;" "&amp;Quarters[[#This Row],[Mint]])</f>
        <v>2012 P</v>
      </c>
    </row>
    <row r="92" spans="1:14">
      <c r="A92" s="94">
        <v>2012</v>
      </c>
      <c r="B92" s="93" t="s">
        <v>25</v>
      </c>
      <c r="C92" s="93" t="s">
        <v>1965</v>
      </c>
      <c r="D92" s="38" t="s">
        <v>1293</v>
      </c>
      <c r="E92" s="38" t="s">
        <v>1185</v>
      </c>
      <c r="F92" s="38" t="s">
        <v>1189</v>
      </c>
      <c r="G92" s="95">
        <v>0.25</v>
      </c>
      <c r="H92" s="95">
        <v>0.25</v>
      </c>
      <c r="I92" s="93">
        <v>1</v>
      </c>
      <c r="J92" s="93"/>
      <c r="K92" s="94" t="s">
        <v>1294</v>
      </c>
      <c r="N92" s="94" t="str">
        <f>IF(Quarters[[#This Row],[Mint]]="",Quarters[[#This Row],[Date]],Quarters[[#This Row],[Date]]&amp;" "&amp;Quarters[[#This Row],[Mint]])</f>
        <v>2012 P</v>
      </c>
    </row>
    <row r="93" spans="1:14">
      <c r="A93" s="94">
        <v>2013</v>
      </c>
      <c r="B93" s="93" t="s">
        <v>13</v>
      </c>
      <c r="C93" s="93" t="s">
        <v>1965</v>
      </c>
      <c r="D93" s="38" t="s">
        <v>1295</v>
      </c>
      <c r="E93" s="38" t="s">
        <v>1185</v>
      </c>
      <c r="F93" s="38" t="s">
        <v>1189</v>
      </c>
      <c r="G93" s="95">
        <v>0.25</v>
      </c>
      <c r="H93" s="95">
        <v>0.25</v>
      </c>
      <c r="I93" s="93">
        <v>1</v>
      </c>
      <c r="J93" s="93"/>
      <c r="K93" s="94" t="s">
        <v>1296</v>
      </c>
      <c r="N93" s="94" t="str">
        <f>IF(Quarters[[#This Row],[Mint]]="",Quarters[[#This Row],[Date]],Quarters[[#This Row],[Date]]&amp;" "&amp;Quarters[[#This Row],[Mint]])</f>
        <v>2013 D</v>
      </c>
    </row>
    <row r="94" spans="1:14">
      <c r="A94" s="94">
        <v>2013</v>
      </c>
      <c r="B94" s="93" t="s">
        <v>25</v>
      </c>
      <c r="C94" s="93" t="s">
        <v>1965</v>
      </c>
      <c r="D94" s="38" t="s">
        <v>1297</v>
      </c>
      <c r="E94" s="38" t="s">
        <v>1185</v>
      </c>
      <c r="F94" s="38" t="s">
        <v>1189</v>
      </c>
      <c r="G94" s="95">
        <v>0.25</v>
      </c>
      <c r="H94" s="95">
        <v>0.25</v>
      </c>
      <c r="I94" s="93">
        <v>1</v>
      </c>
      <c r="J94" s="93"/>
      <c r="K94" s="94" t="s">
        <v>1298</v>
      </c>
      <c r="N94" s="94" t="str">
        <f>IF(Quarters[[#This Row],[Mint]]="",Quarters[[#This Row],[Date]],Quarters[[#This Row],[Date]]&amp;" "&amp;Quarters[[#This Row],[Mint]])</f>
        <v>2013 P</v>
      </c>
    </row>
    <row r="95" spans="1:14">
      <c r="A95" s="94">
        <v>2013</v>
      </c>
      <c r="B95" s="93" t="s">
        <v>1183</v>
      </c>
      <c r="C95" s="93" t="s">
        <v>1965</v>
      </c>
      <c r="D95" s="38" t="s">
        <v>1299</v>
      </c>
      <c r="E95" s="38" t="s">
        <v>1185</v>
      </c>
      <c r="F95" s="38" t="s">
        <v>1189</v>
      </c>
      <c r="G95" s="95">
        <v>0.25</v>
      </c>
      <c r="H95" s="95">
        <v>0.25</v>
      </c>
      <c r="I95" s="93">
        <v>1</v>
      </c>
      <c r="J95" s="93"/>
      <c r="K95" s="94" t="s">
        <v>1300</v>
      </c>
      <c r="N95" s="94">
        <f>IF(Quarters[[#This Row],[Mint]]="",Quarters[[#This Row],[Date]],Quarters[[#This Row],[Date]]&amp;" "&amp;Quarters[[#This Row],[Mint]])</f>
        <v>2013</v>
      </c>
    </row>
    <row r="96" spans="1:14">
      <c r="A96" s="94">
        <v>2014</v>
      </c>
      <c r="B96" s="93" t="s">
        <v>25</v>
      </c>
      <c r="C96" s="93" t="s">
        <v>1965</v>
      </c>
      <c r="D96" s="38" t="s">
        <v>1301</v>
      </c>
      <c r="E96" s="38" t="s">
        <v>1185</v>
      </c>
      <c r="F96" s="38" t="s">
        <v>1189</v>
      </c>
      <c r="G96" s="95">
        <v>0.25</v>
      </c>
      <c r="H96" s="95">
        <v>0.25</v>
      </c>
      <c r="I96" s="93">
        <v>1</v>
      </c>
      <c r="J96" s="93"/>
      <c r="K96" s="94" t="s">
        <v>1302</v>
      </c>
      <c r="N96" s="94" t="str">
        <f>IF(Quarters[[#This Row],[Mint]]="",Quarters[[#This Row],[Date]],Quarters[[#This Row],[Date]]&amp;" "&amp;Quarters[[#This Row],[Mint]])</f>
        <v>2014 P</v>
      </c>
    </row>
    <row r="97" spans="1:14">
      <c r="A97" s="94">
        <v>2014</v>
      </c>
      <c r="B97" s="93" t="s">
        <v>25</v>
      </c>
      <c r="C97" s="93" t="s">
        <v>1965</v>
      </c>
      <c r="D97" s="38" t="s">
        <v>1303</v>
      </c>
      <c r="E97" s="38" t="s">
        <v>1185</v>
      </c>
      <c r="F97" s="38" t="s">
        <v>1189</v>
      </c>
      <c r="G97" s="95">
        <v>0.25</v>
      </c>
      <c r="H97" s="95">
        <v>0.25</v>
      </c>
      <c r="I97" s="93">
        <v>1</v>
      </c>
      <c r="J97" s="93"/>
      <c r="K97" s="94" t="s">
        <v>1304</v>
      </c>
      <c r="N97" s="94" t="str">
        <f>IF(Quarters[[#This Row],[Mint]]="",Quarters[[#This Row],[Date]],Quarters[[#This Row],[Date]]&amp;" "&amp;Quarters[[#This Row],[Mint]])</f>
        <v>2014 P</v>
      </c>
    </row>
    <row r="98" spans="1:14">
      <c r="A98" s="94">
        <v>2014</v>
      </c>
      <c r="B98" s="93" t="s">
        <v>25</v>
      </c>
      <c r="C98" s="93" t="s">
        <v>1965</v>
      </c>
      <c r="D98" s="38" t="s">
        <v>1305</v>
      </c>
      <c r="E98" s="38" t="s">
        <v>1185</v>
      </c>
      <c r="F98" s="38" t="s">
        <v>1189</v>
      </c>
      <c r="G98" s="95">
        <v>0.25</v>
      </c>
      <c r="H98" s="95">
        <v>0.25</v>
      </c>
      <c r="I98" s="93">
        <v>1</v>
      </c>
      <c r="J98" s="93"/>
      <c r="K98" s="94" t="s">
        <v>1304</v>
      </c>
      <c r="N98" s="94" t="str">
        <f>IF(Quarters[[#This Row],[Mint]]="",Quarters[[#This Row],[Date]],Quarters[[#This Row],[Date]]&amp;" "&amp;Quarters[[#This Row],[Mint]])</f>
        <v>2014 P</v>
      </c>
    </row>
    <row r="99" spans="1:14">
      <c r="A99" s="94">
        <v>2014</v>
      </c>
      <c r="B99" s="93" t="s">
        <v>25</v>
      </c>
      <c r="C99" s="93" t="s">
        <v>1965</v>
      </c>
      <c r="D99" s="38" t="s">
        <v>1306</v>
      </c>
      <c r="E99" s="38" t="s">
        <v>1185</v>
      </c>
      <c r="F99" s="38" t="s">
        <v>1189</v>
      </c>
      <c r="G99" s="95">
        <v>0.25</v>
      </c>
      <c r="H99" s="95">
        <v>0.25</v>
      </c>
      <c r="I99" s="93">
        <v>1</v>
      </c>
      <c r="J99" s="93"/>
      <c r="K99" s="94" t="s">
        <v>1307</v>
      </c>
      <c r="N99" s="94" t="str">
        <f>IF(Quarters[[#This Row],[Mint]]="",Quarters[[#This Row],[Date]],Quarters[[#This Row],[Date]]&amp;" "&amp;Quarters[[#This Row],[Mint]])</f>
        <v>2014 P</v>
      </c>
    </row>
    <row r="100" spans="1:14">
      <c r="A100" s="94">
        <v>2015</v>
      </c>
      <c r="B100" s="93" t="s">
        <v>25</v>
      </c>
      <c r="C100" s="93" t="s">
        <v>1965</v>
      </c>
      <c r="D100" s="38" t="s">
        <v>1308</v>
      </c>
      <c r="E100" s="38" t="s">
        <v>1185</v>
      </c>
      <c r="F100" s="38" t="s">
        <v>1189</v>
      </c>
      <c r="G100" s="95">
        <v>0.25</v>
      </c>
      <c r="H100" s="95">
        <v>0.25</v>
      </c>
      <c r="I100" s="93">
        <v>1</v>
      </c>
      <c r="J100" s="93"/>
      <c r="K100" s="94" t="s">
        <v>1309</v>
      </c>
      <c r="N100" s="94" t="str">
        <f>IF(Quarters[[#This Row],[Mint]]="",Quarters[[#This Row],[Date]],Quarters[[#This Row],[Date]]&amp;" "&amp;Quarters[[#This Row],[Mint]])</f>
        <v>2015 P</v>
      </c>
    </row>
    <row r="101" spans="1:14">
      <c r="A101" s="94">
        <v>2015</v>
      </c>
      <c r="B101" s="93" t="s">
        <v>25</v>
      </c>
      <c r="C101" s="93" t="s">
        <v>1965</v>
      </c>
      <c r="D101" s="38" t="s">
        <v>1310</v>
      </c>
      <c r="E101" s="38" t="s">
        <v>1185</v>
      </c>
      <c r="F101" s="38" t="s">
        <v>1189</v>
      </c>
      <c r="G101" s="95">
        <v>0.25</v>
      </c>
      <c r="H101" s="95">
        <v>0.25</v>
      </c>
      <c r="I101" s="93">
        <v>1</v>
      </c>
      <c r="J101" s="93"/>
      <c r="K101" s="94" t="s">
        <v>1311</v>
      </c>
      <c r="N101" s="94" t="str">
        <f>IF(Quarters[[#This Row],[Mint]]="",Quarters[[#This Row],[Date]],Quarters[[#This Row],[Date]]&amp;" "&amp;Quarters[[#This Row],[Mint]])</f>
        <v>2015 P</v>
      </c>
    </row>
    <row r="102" spans="1:14">
      <c r="A102" s="94">
        <v>2015</v>
      </c>
      <c r="B102" s="93" t="s">
        <v>25</v>
      </c>
      <c r="C102" s="93" t="s">
        <v>1965</v>
      </c>
      <c r="D102" s="38" t="s">
        <v>1312</v>
      </c>
      <c r="E102" s="38" t="s">
        <v>1185</v>
      </c>
      <c r="F102" s="38" t="s">
        <v>1189</v>
      </c>
      <c r="G102" s="95">
        <v>0.25</v>
      </c>
      <c r="H102" s="95">
        <v>0.25</v>
      </c>
      <c r="I102" s="93">
        <v>1</v>
      </c>
      <c r="J102" s="93"/>
      <c r="K102" s="94" t="s">
        <v>1313</v>
      </c>
      <c r="N102" s="94" t="str">
        <f>IF(Quarters[[#This Row],[Mint]]="",Quarters[[#This Row],[Date]],Quarters[[#This Row],[Date]]&amp;" "&amp;Quarters[[#This Row],[Mint]])</f>
        <v>2015 P</v>
      </c>
    </row>
    <row r="103" spans="1:14">
      <c r="A103" s="94">
        <v>2015</v>
      </c>
      <c r="B103" s="93" t="s">
        <v>25</v>
      </c>
      <c r="C103" s="93" t="s">
        <v>1965</v>
      </c>
      <c r="D103" s="38" t="s">
        <v>1314</v>
      </c>
      <c r="E103" s="38" t="s">
        <v>1185</v>
      </c>
      <c r="F103" s="38" t="s">
        <v>1189</v>
      </c>
      <c r="G103" s="95">
        <v>0.25</v>
      </c>
      <c r="H103" s="95">
        <v>0.25</v>
      </c>
      <c r="I103" s="93">
        <v>1</v>
      </c>
      <c r="J103" s="93"/>
      <c r="K103" s="94" t="s">
        <v>1315</v>
      </c>
      <c r="N103" s="94" t="str">
        <f>IF(Quarters[[#This Row],[Mint]]="",Quarters[[#This Row],[Date]],Quarters[[#This Row],[Date]]&amp;" "&amp;Quarters[[#This Row],[Mint]])</f>
        <v>2015 P</v>
      </c>
    </row>
    <row r="104" spans="1:14">
      <c r="A104" s="94">
        <v>2015</v>
      </c>
      <c r="B104" s="93" t="s">
        <v>25</v>
      </c>
      <c r="C104" s="93" t="s">
        <v>1965</v>
      </c>
      <c r="D104" s="38" t="s">
        <v>1316</v>
      </c>
      <c r="E104" s="38" t="s">
        <v>1185</v>
      </c>
      <c r="F104" s="38" t="s">
        <v>1189</v>
      </c>
      <c r="G104" s="95">
        <v>0.25</v>
      </c>
      <c r="H104" s="95">
        <v>0.25</v>
      </c>
      <c r="I104" s="93">
        <v>1</v>
      </c>
      <c r="J104" s="93"/>
      <c r="K104" s="94" t="s">
        <v>1315</v>
      </c>
      <c r="N104" s="94" t="str">
        <f>IF(Quarters[[#This Row],[Mint]]="",Quarters[[#This Row],[Date]],Quarters[[#This Row],[Date]]&amp;" "&amp;Quarters[[#This Row],[Mint]])</f>
        <v>2015 P</v>
      </c>
    </row>
    <row r="105" spans="1:14">
      <c r="A105" s="94">
        <v>2015</v>
      </c>
      <c r="B105" s="93" t="s">
        <v>25</v>
      </c>
      <c r="C105" s="93" t="s">
        <v>1965</v>
      </c>
      <c r="D105" s="38" t="s">
        <v>1317</v>
      </c>
      <c r="E105" s="38" t="s">
        <v>1185</v>
      </c>
      <c r="F105" s="38" t="s">
        <v>1189</v>
      </c>
      <c r="G105" s="95">
        <v>0.25</v>
      </c>
      <c r="H105" s="95">
        <v>0.25</v>
      </c>
      <c r="I105" s="93">
        <v>1</v>
      </c>
      <c r="J105" s="93"/>
      <c r="K105" s="94" t="s">
        <v>1315</v>
      </c>
      <c r="N105" s="94" t="s">
        <v>271</v>
      </c>
    </row>
    <row r="106" spans="1:14">
      <c r="A106" s="94">
        <v>2015</v>
      </c>
      <c r="B106" s="93" t="s">
        <v>25</v>
      </c>
      <c r="C106" s="93" t="s">
        <v>1965</v>
      </c>
      <c r="D106" s="38" t="s">
        <v>1318</v>
      </c>
      <c r="E106" s="38" t="s">
        <v>1185</v>
      </c>
      <c r="F106" s="38" t="s">
        <v>1189</v>
      </c>
      <c r="G106" s="95">
        <v>0.25</v>
      </c>
      <c r="H106" s="95">
        <v>0.25</v>
      </c>
      <c r="I106" s="93">
        <v>1</v>
      </c>
      <c r="J106" s="93"/>
      <c r="K106" s="94" t="s">
        <v>1311</v>
      </c>
      <c r="N106" s="94" t="str">
        <f>IF(Quarters[[#This Row],[Mint]]="",Quarters[[#This Row],[Date]],Quarters[[#This Row],[Date]]&amp;" "&amp;Quarters[[#This Row],[Mint]])</f>
        <v>2015 P</v>
      </c>
    </row>
    <row r="107" spans="1:14">
      <c r="A107" s="94">
        <v>2015</v>
      </c>
      <c r="B107" s="93" t="s">
        <v>13</v>
      </c>
      <c r="C107" s="93" t="s">
        <v>1965</v>
      </c>
      <c r="D107" s="38" t="s">
        <v>1319</v>
      </c>
      <c r="E107" s="38" t="s">
        <v>1185</v>
      </c>
      <c r="F107" s="38" t="s">
        <v>1189</v>
      </c>
      <c r="G107" s="95">
        <v>0.25</v>
      </c>
      <c r="H107" s="95">
        <v>0.25</v>
      </c>
      <c r="I107" s="93">
        <v>1</v>
      </c>
      <c r="J107" s="93"/>
      <c r="K107" s="94" t="s">
        <v>1309</v>
      </c>
      <c r="N107" s="94" t="str">
        <f>IF(Quarters[[#This Row],[Mint]]="",Quarters[[#This Row],[Date]],Quarters[[#This Row],[Date]]&amp;" "&amp;Quarters[[#This Row],[Mint]])</f>
        <v>2015 D</v>
      </c>
    </row>
    <row r="108" spans="1:14">
      <c r="A108" s="94">
        <v>2016</v>
      </c>
      <c r="B108" s="93" t="s">
        <v>25</v>
      </c>
      <c r="C108" s="93" t="s">
        <v>1965</v>
      </c>
      <c r="D108" s="38" t="s">
        <v>1320</v>
      </c>
      <c r="E108" s="38" t="s">
        <v>1185</v>
      </c>
      <c r="F108" s="38" t="s">
        <v>1189</v>
      </c>
      <c r="G108" s="95">
        <v>0.25</v>
      </c>
      <c r="H108" s="95">
        <v>0.25</v>
      </c>
      <c r="I108" s="93">
        <v>1</v>
      </c>
      <c r="J108" s="93"/>
      <c r="K108" s="94" t="s">
        <v>1321</v>
      </c>
      <c r="N108" s="94" t="str">
        <f>IF(Quarters[[#This Row],[Mint]]="",Quarters[[#This Row],[Date]],Quarters[[#This Row],[Date]]&amp;" "&amp;Quarters[[#This Row],[Mint]])</f>
        <v>2016 P</v>
      </c>
    </row>
    <row r="109" spans="1:14">
      <c r="A109" s="94">
        <v>2016</v>
      </c>
      <c r="B109" s="93" t="s">
        <v>25</v>
      </c>
      <c r="C109" s="93" t="s">
        <v>1965</v>
      </c>
      <c r="D109" s="38" t="s">
        <v>1322</v>
      </c>
      <c r="E109" s="38" t="s">
        <v>1185</v>
      </c>
      <c r="F109" s="38" t="s">
        <v>1189</v>
      </c>
      <c r="G109" s="95">
        <v>0.25</v>
      </c>
      <c r="H109" s="95">
        <v>0.25</v>
      </c>
      <c r="I109" s="93">
        <v>1</v>
      </c>
      <c r="J109" s="93"/>
      <c r="K109" s="94" t="s">
        <v>1323</v>
      </c>
      <c r="N109" s="94" t="str">
        <f>IF(Quarters[[#This Row],[Mint]]="",Quarters[[#This Row],[Date]],Quarters[[#This Row],[Date]]&amp;" "&amp;Quarters[[#This Row],[Mint]])</f>
        <v>2016 P</v>
      </c>
    </row>
    <row r="110" spans="1:14">
      <c r="A110" s="94">
        <v>2016</v>
      </c>
      <c r="B110" s="93" t="s">
        <v>25</v>
      </c>
      <c r="C110" s="93" t="s">
        <v>1965</v>
      </c>
      <c r="D110" s="38" t="s">
        <v>1324</v>
      </c>
      <c r="E110" s="38" t="s">
        <v>1185</v>
      </c>
      <c r="F110" s="38" t="s">
        <v>1189</v>
      </c>
      <c r="G110" s="95">
        <v>0.25</v>
      </c>
      <c r="H110" s="95">
        <v>0.25</v>
      </c>
      <c r="I110" s="93">
        <v>1</v>
      </c>
      <c r="J110" s="93"/>
      <c r="K110" s="94" t="s">
        <v>1325</v>
      </c>
      <c r="N110" s="94" t="str">
        <f>IF(Quarters[[#This Row],[Mint]]="",Quarters[[#This Row],[Date]],Quarters[[#This Row],[Date]]&amp;" "&amp;Quarters[[#This Row],[Mint]])</f>
        <v>2016 P</v>
      </c>
    </row>
    <row r="111" spans="1:14">
      <c r="A111" s="94">
        <v>2016</v>
      </c>
      <c r="B111" s="93" t="s">
        <v>25</v>
      </c>
      <c r="C111" s="93" t="s">
        <v>1965</v>
      </c>
      <c r="D111" s="38" t="s">
        <v>1326</v>
      </c>
      <c r="E111" s="38" t="s">
        <v>1185</v>
      </c>
      <c r="F111" s="38" t="s">
        <v>1189</v>
      </c>
      <c r="G111" s="95">
        <v>0.25</v>
      </c>
      <c r="H111" s="95">
        <v>0.25</v>
      </c>
      <c r="I111" s="93">
        <v>1</v>
      </c>
      <c r="J111" s="93"/>
      <c r="K111" s="94" t="s">
        <v>1321</v>
      </c>
      <c r="N111" s="94" t="str">
        <f>IF(Quarters[[#This Row],[Mint]]="",Quarters[[#This Row],[Date]],Quarters[[#This Row],[Date]]&amp;" "&amp;Quarters[[#This Row],[Mint]])</f>
        <v>2016 P</v>
      </c>
    </row>
    <row r="112" spans="1:14">
      <c r="A112" s="94">
        <v>2016</v>
      </c>
      <c r="B112" s="93" t="s">
        <v>25</v>
      </c>
      <c r="C112" s="93" t="s">
        <v>1965</v>
      </c>
      <c r="D112" s="38" t="s">
        <v>1327</v>
      </c>
      <c r="E112" s="38" t="s">
        <v>1185</v>
      </c>
      <c r="F112" s="38" t="s">
        <v>1189</v>
      </c>
      <c r="G112" s="95">
        <v>0.25</v>
      </c>
      <c r="H112" s="95">
        <v>0.25</v>
      </c>
      <c r="I112" s="93">
        <v>1</v>
      </c>
      <c r="J112" s="93"/>
      <c r="K112" s="94" t="s">
        <v>1328</v>
      </c>
      <c r="N112" s="94" t="s">
        <v>791</v>
      </c>
    </row>
    <row r="113" spans="1:14">
      <c r="A113" s="94">
        <v>2016</v>
      </c>
      <c r="B113" s="93" t="s">
        <v>25</v>
      </c>
      <c r="C113" s="93" t="s">
        <v>1965</v>
      </c>
      <c r="D113" s="38" t="s">
        <v>1329</v>
      </c>
      <c r="E113" s="38" t="s">
        <v>1185</v>
      </c>
      <c r="F113" s="38" t="s">
        <v>1189</v>
      </c>
      <c r="G113" s="95">
        <v>0.25</v>
      </c>
      <c r="H113" s="95">
        <v>0.25</v>
      </c>
      <c r="I113" s="93">
        <v>1</v>
      </c>
      <c r="J113" s="93"/>
      <c r="K113" s="94" t="s">
        <v>1323</v>
      </c>
      <c r="N113" s="94" t="str">
        <f>IF(Quarters[[#This Row],[Mint]]="",Quarters[[#This Row],[Date]],Quarters[[#This Row],[Date]]&amp;" "&amp;Quarters[[#This Row],[Mint]])</f>
        <v>2016 P</v>
      </c>
    </row>
    <row r="114" spans="1:14">
      <c r="A114" s="94">
        <v>2016</v>
      </c>
      <c r="B114" s="93" t="s">
        <v>25</v>
      </c>
      <c r="C114" s="93" t="s">
        <v>1965</v>
      </c>
      <c r="D114" s="38" t="s">
        <v>1330</v>
      </c>
      <c r="E114" s="38" t="s">
        <v>1185</v>
      </c>
      <c r="F114" s="38" t="s">
        <v>1189</v>
      </c>
      <c r="G114" s="95">
        <v>0.25</v>
      </c>
      <c r="H114" s="95">
        <v>0.25</v>
      </c>
      <c r="I114" s="93">
        <v>1</v>
      </c>
      <c r="J114" s="93"/>
      <c r="K114" s="94" t="s">
        <v>1321</v>
      </c>
      <c r="N114" s="94" t="str">
        <f>IF(Quarters[[#This Row],[Mint]]="",Quarters[[#This Row],[Date]],Quarters[[#This Row],[Date]]&amp;" "&amp;Quarters[[#This Row],[Mint]])</f>
        <v>2016 P</v>
      </c>
    </row>
    <row r="115" spans="1:14">
      <c r="A115" s="94">
        <v>2016</v>
      </c>
      <c r="B115" s="93" t="s">
        <v>25</v>
      </c>
      <c r="C115" s="93" t="s">
        <v>1965</v>
      </c>
      <c r="D115" s="38" t="s">
        <v>1331</v>
      </c>
      <c r="E115" s="38" t="s">
        <v>1185</v>
      </c>
      <c r="F115" s="38" t="s">
        <v>1189</v>
      </c>
      <c r="G115" s="95">
        <v>0.25</v>
      </c>
      <c r="H115" s="95">
        <v>0.25</v>
      </c>
      <c r="I115" s="93">
        <v>1</v>
      </c>
      <c r="J115" s="93"/>
      <c r="K115" s="94" t="s">
        <v>1332</v>
      </c>
      <c r="N115" s="94" t="str">
        <f>IF(Quarters[[#This Row],[Mint]]="",Quarters[[#This Row],[Date]],Quarters[[#This Row],[Date]]&amp;" "&amp;Quarters[[#This Row],[Mint]])</f>
        <v>2016 P</v>
      </c>
    </row>
    <row r="116" spans="1:14">
      <c r="A116" s="94">
        <v>2017</v>
      </c>
      <c r="B116" s="93" t="s">
        <v>25</v>
      </c>
      <c r="C116" s="93" t="s">
        <v>1965</v>
      </c>
      <c r="D116" s="38" t="s">
        <v>1333</v>
      </c>
      <c r="E116" s="38" t="s">
        <v>1185</v>
      </c>
      <c r="F116" s="38" t="s">
        <v>1189</v>
      </c>
      <c r="G116" s="95">
        <v>0.25</v>
      </c>
      <c r="H116" s="95">
        <v>0.25</v>
      </c>
      <c r="I116" s="93">
        <v>1</v>
      </c>
      <c r="J116" s="93"/>
      <c r="K116" s="94" t="s">
        <v>1332</v>
      </c>
      <c r="N116" s="94" t="str">
        <f>IF(Quarters[[#This Row],[Mint]]="",Quarters[[#This Row],[Date]],Quarters[[#This Row],[Date]]&amp;" "&amp;Quarters[[#This Row],[Mint]])</f>
        <v>2017 P</v>
      </c>
    </row>
    <row r="117" spans="1:14">
      <c r="A117" s="94">
        <v>2017</v>
      </c>
      <c r="B117" s="93" t="s">
        <v>25</v>
      </c>
      <c r="C117" s="93" t="s">
        <v>1965</v>
      </c>
      <c r="D117" s="38" t="s">
        <v>1334</v>
      </c>
      <c r="E117" s="38" t="s">
        <v>1185</v>
      </c>
      <c r="F117" s="38" t="s">
        <v>1189</v>
      </c>
      <c r="G117" s="95">
        <v>0.25</v>
      </c>
      <c r="H117" s="95">
        <v>0.25</v>
      </c>
      <c r="I117" s="93">
        <v>1</v>
      </c>
      <c r="J117" s="93"/>
      <c r="K117" s="94" t="s">
        <v>1335</v>
      </c>
      <c r="N117" s="94" t="str">
        <f>IF(Quarters[[#This Row],[Mint]]="",Quarters[[#This Row],[Date]],Quarters[[#This Row],[Date]]&amp;" "&amp;Quarters[[#This Row],[Mint]])</f>
        <v>2017 P</v>
      </c>
    </row>
    <row r="118" spans="1:14">
      <c r="A118" s="94">
        <v>2017</v>
      </c>
      <c r="B118" s="93" t="s">
        <v>25</v>
      </c>
      <c r="C118" s="93" t="s">
        <v>1965</v>
      </c>
      <c r="D118" s="38" t="s">
        <v>1336</v>
      </c>
      <c r="E118" s="38" t="s">
        <v>1185</v>
      </c>
      <c r="F118" s="38" t="s">
        <v>1189</v>
      </c>
      <c r="G118" s="95">
        <v>0.25</v>
      </c>
      <c r="H118" s="95">
        <v>0.25</v>
      </c>
      <c r="I118" s="93">
        <v>1</v>
      </c>
      <c r="J118" s="93"/>
      <c r="K118" s="94" t="s">
        <v>1335</v>
      </c>
      <c r="N118" s="94" t="str">
        <f>IF(Quarters[[#This Row],[Mint]]="",Quarters[[#This Row],[Date]],Quarters[[#This Row],[Date]]&amp;" "&amp;Quarters[[#This Row],[Mint]])</f>
        <v>2017 P</v>
      </c>
    </row>
    <row r="119" spans="1:14">
      <c r="A119" s="94">
        <v>2017</v>
      </c>
      <c r="B119" s="93" t="s">
        <v>1183</v>
      </c>
      <c r="C119" s="93" t="s">
        <v>1965</v>
      </c>
      <c r="D119" s="38" t="s">
        <v>1337</v>
      </c>
      <c r="E119" s="38" t="s">
        <v>1185</v>
      </c>
      <c r="F119" s="38" t="s">
        <v>1189</v>
      </c>
      <c r="G119" s="95">
        <v>0.25</v>
      </c>
      <c r="H119" s="95">
        <v>0.25</v>
      </c>
      <c r="I119" s="93">
        <v>1</v>
      </c>
      <c r="J119" s="93"/>
      <c r="K119" s="94" t="s">
        <v>1338</v>
      </c>
      <c r="N119" s="94">
        <f>IF(Quarters[[#This Row],[Mint]]="",Quarters[[#This Row],[Date]],Quarters[[#This Row],[Date]]&amp;" "&amp;Quarters[[#This Row],[Mint]])</f>
        <v>2017</v>
      </c>
    </row>
    <row r="120" spans="1:14">
      <c r="A120" s="94">
        <v>2017</v>
      </c>
      <c r="B120" s="93" t="s">
        <v>25</v>
      </c>
      <c r="C120" s="93" t="s">
        <v>1965</v>
      </c>
      <c r="D120" s="38" t="s">
        <v>1339</v>
      </c>
      <c r="E120" s="38" t="s">
        <v>1185</v>
      </c>
      <c r="F120" s="38" t="s">
        <v>1189</v>
      </c>
      <c r="G120" s="95">
        <v>0.25</v>
      </c>
      <c r="H120" s="95">
        <v>0.25</v>
      </c>
      <c r="I120" s="93">
        <v>1</v>
      </c>
      <c r="J120" s="93"/>
      <c r="K120" s="94" t="s">
        <v>1340</v>
      </c>
      <c r="N120" s="94" t="str">
        <f>IF(Quarters[[#This Row],[Mint]]="",Quarters[[#This Row],[Date]],Quarters[[#This Row],[Date]]&amp;" "&amp;Quarters[[#This Row],[Mint]])</f>
        <v>2017 P</v>
      </c>
    </row>
    <row r="121" spans="1:14">
      <c r="A121" s="94">
        <v>2017</v>
      </c>
      <c r="B121" s="93" t="s">
        <v>25</v>
      </c>
      <c r="C121" s="93" t="s">
        <v>1965</v>
      </c>
      <c r="D121" s="38" t="s">
        <v>1341</v>
      </c>
      <c r="E121" s="38" t="s">
        <v>1185</v>
      </c>
      <c r="F121" s="38" t="s">
        <v>1189</v>
      </c>
      <c r="G121" s="95">
        <v>0.25</v>
      </c>
      <c r="H121" s="95">
        <v>0.25</v>
      </c>
      <c r="I121" s="93">
        <v>1</v>
      </c>
      <c r="J121" s="93"/>
      <c r="K121" s="94" t="s">
        <v>1332</v>
      </c>
      <c r="N121" s="94" t="str">
        <f>IF(Quarters[[#This Row],[Mint]]="",Quarters[[#This Row],[Date]],Quarters[[#This Row],[Date]]&amp;" "&amp;Quarters[[#This Row],[Mint]])</f>
        <v>2017 P</v>
      </c>
    </row>
    <row r="122" spans="1:14">
      <c r="A122" s="94">
        <v>2017</v>
      </c>
      <c r="B122" s="93" t="s">
        <v>25</v>
      </c>
      <c r="C122" s="93" t="s">
        <v>1965</v>
      </c>
      <c r="D122" s="38" t="s">
        <v>1342</v>
      </c>
      <c r="E122" s="38" t="s">
        <v>1185</v>
      </c>
      <c r="F122" s="38" t="s">
        <v>1189</v>
      </c>
      <c r="G122" s="95">
        <v>0.25</v>
      </c>
      <c r="H122" s="95">
        <v>0.25</v>
      </c>
      <c r="I122" s="93">
        <v>1</v>
      </c>
      <c r="J122" s="93"/>
      <c r="K122" s="94" t="s">
        <v>1343</v>
      </c>
      <c r="N122" s="94" t="str">
        <f>IF(Quarters[[#This Row],[Mint]]="",Quarters[[#This Row],[Date]],Quarters[[#This Row],[Date]]&amp;" "&amp;Quarters[[#This Row],[Mint]])</f>
        <v>2017 P</v>
      </c>
    </row>
    <row r="123" spans="1:14">
      <c r="A123" s="94">
        <v>2017</v>
      </c>
      <c r="B123" s="93" t="s">
        <v>25</v>
      </c>
      <c r="C123" s="93" t="s">
        <v>1965</v>
      </c>
      <c r="D123" s="38" t="s">
        <v>1344</v>
      </c>
      <c r="E123" s="38" t="s">
        <v>1185</v>
      </c>
      <c r="F123" s="38" t="s">
        <v>1189</v>
      </c>
      <c r="G123" s="95">
        <v>0.25</v>
      </c>
      <c r="H123" s="95">
        <v>0.25</v>
      </c>
      <c r="I123" s="93">
        <v>1</v>
      </c>
      <c r="J123" s="93"/>
      <c r="K123" s="94" t="s">
        <v>1345</v>
      </c>
      <c r="N123" s="94" t="str">
        <f>IF(Quarters[[#This Row],[Mint]]="",Quarters[[#This Row],[Date]],Quarters[[#This Row],[Date]]&amp;" "&amp;Quarters[[#This Row],[Mint]])</f>
        <v>2017 P</v>
      </c>
    </row>
    <row r="124" spans="1:14">
      <c r="A124" s="94">
        <v>2017</v>
      </c>
      <c r="B124" s="93" t="s">
        <v>25</v>
      </c>
      <c r="C124" s="93" t="s">
        <v>1965</v>
      </c>
      <c r="D124" s="38" t="s">
        <v>1346</v>
      </c>
      <c r="E124" s="38" t="s">
        <v>1185</v>
      </c>
      <c r="F124" s="38" t="s">
        <v>1189</v>
      </c>
      <c r="G124" s="95">
        <v>0.25</v>
      </c>
      <c r="H124" s="95">
        <v>0.25</v>
      </c>
      <c r="I124" s="93">
        <v>1</v>
      </c>
      <c r="J124" s="93"/>
      <c r="K124" s="94" t="s">
        <v>1345</v>
      </c>
      <c r="N124" s="94" t="str">
        <f>IF(Quarters[[#This Row],[Mint]]="",Quarters[[#This Row],[Date]],Quarters[[#This Row],[Date]]&amp;" "&amp;Quarters[[#This Row],[Mint]])</f>
        <v>2017 P</v>
      </c>
    </row>
    <row r="125" spans="1:14">
      <c r="A125" s="94">
        <v>2018</v>
      </c>
      <c r="B125" s="93" t="s">
        <v>25</v>
      </c>
      <c r="C125" s="93" t="s">
        <v>1965</v>
      </c>
      <c r="D125" s="38" t="s">
        <v>1347</v>
      </c>
      <c r="E125" s="38" t="s">
        <v>1185</v>
      </c>
      <c r="F125" s="38" t="s">
        <v>1189</v>
      </c>
      <c r="G125" s="95">
        <v>0.25</v>
      </c>
      <c r="H125" s="95">
        <v>0.25</v>
      </c>
      <c r="I125" s="93">
        <v>1</v>
      </c>
      <c r="J125" s="93"/>
      <c r="K125" s="94" t="s">
        <v>1348</v>
      </c>
      <c r="N125" s="94" t="str">
        <f>IF(Quarters[[#This Row],[Mint]]="",Quarters[[#This Row],[Date]],Quarters[[#This Row],[Date]]&amp;" "&amp;Quarters[[#This Row],[Mint]])</f>
        <v>2018 P</v>
      </c>
    </row>
    <row r="126" spans="1:14">
      <c r="A126" s="94">
        <v>2018</v>
      </c>
      <c r="B126" s="93" t="s">
        <v>25</v>
      </c>
      <c r="C126" s="93" t="s">
        <v>1965</v>
      </c>
      <c r="D126" s="38" t="s">
        <v>1349</v>
      </c>
      <c r="E126" s="38" t="s">
        <v>1185</v>
      </c>
      <c r="F126" s="38" t="s">
        <v>1189</v>
      </c>
      <c r="G126" s="95">
        <v>0.25</v>
      </c>
      <c r="H126" s="95">
        <v>0.25</v>
      </c>
      <c r="I126" s="93">
        <v>1</v>
      </c>
      <c r="J126" s="93"/>
      <c r="K126" s="94" t="s">
        <v>1348</v>
      </c>
      <c r="N126" s="94" t="str">
        <f>IF(Quarters[[#This Row],[Mint]]="",Quarters[[#This Row],[Date]],Quarters[[#This Row],[Date]]&amp;" "&amp;Quarters[[#This Row],[Mint]])</f>
        <v>2018 P</v>
      </c>
    </row>
    <row r="127" spans="1:14">
      <c r="A127" s="94">
        <v>2018</v>
      </c>
      <c r="B127" s="93" t="s">
        <v>25</v>
      </c>
      <c r="C127" s="93" t="s">
        <v>1965</v>
      </c>
      <c r="D127" s="38" t="s">
        <v>1350</v>
      </c>
      <c r="E127" s="38" t="s">
        <v>1185</v>
      </c>
      <c r="F127" s="38" t="s">
        <v>1189</v>
      </c>
      <c r="G127" s="95">
        <v>0.25</v>
      </c>
      <c r="H127" s="95">
        <v>0.25</v>
      </c>
      <c r="I127" s="93">
        <v>1</v>
      </c>
      <c r="J127" s="93"/>
      <c r="K127" s="94" t="s">
        <v>1348</v>
      </c>
      <c r="N127" s="94" t="str">
        <f>IF(Quarters[[#This Row],[Mint]]="",Quarters[[#This Row],[Date]],Quarters[[#This Row],[Date]]&amp;" "&amp;Quarters[[#This Row],[Mint]])</f>
        <v>2018 P</v>
      </c>
    </row>
    <row r="128" spans="1:14">
      <c r="A128" s="94">
        <v>2018</v>
      </c>
      <c r="B128" s="93" t="s">
        <v>25</v>
      </c>
      <c r="C128" s="93" t="s">
        <v>1965</v>
      </c>
      <c r="D128" s="38" t="s">
        <v>1351</v>
      </c>
      <c r="E128" s="38" t="s">
        <v>1185</v>
      </c>
      <c r="F128" s="38" t="s">
        <v>1189</v>
      </c>
      <c r="G128" s="95">
        <v>0.25</v>
      </c>
      <c r="H128" s="95">
        <v>0.25</v>
      </c>
      <c r="I128" s="93">
        <v>1</v>
      </c>
      <c r="J128" s="93"/>
      <c r="K128" s="94" t="s">
        <v>1348</v>
      </c>
      <c r="N128" s="94" t="str">
        <f>IF(Quarters[[#This Row],[Mint]]="",Quarters[[#This Row],[Date]],Quarters[[#This Row],[Date]]&amp;" "&amp;Quarters[[#This Row],[Mint]])</f>
        <v>2018 P</v>
      </c>
    </row>
    <row r="129" spans="1:14">
      <c r="A129" s="94">
        <v>2018</v>
      </c>
      <c r="B129" s="93" t="s">
        <v>25</v>
      </c>
      <c r="C129" s="93" t="s">
        <v>1965</v>
      </c>
      <c r="D129" s="38" t="s">
        <v>1352</v>
      </c>
      <c r="E129" s="38" t="s">
        <v>1185</v>
      </c>
      <c r="F129" s="38" t="s">
        <v>1189</v>
      </c>
      <c r="G129" s="95">
        <v>0.25</v>
      </c>
      <c r="H129" s="95">
        <v>0.25</v>
      </c>
      <c r="I129" s="93">
        <v>1</v>
      </c>
      <c r="J129" s="93"/>
      <c r="K129" s="94" t="s">
        <v>1348</v>
      </c>
      <c r="N129" s="94" t="str">
        <f>IF(Quarters[[#This Row],[Mint]]="",Quarters[[#This Row],[Date]],Quarters[[#This Row],[Date]]&amp;" "&amp;Quarters[[#This Row],[Mint]])</f>
        <v>2018 P</v>
      </c>
    </row>
    <row r="130" spans="1:14">
      <c r="A130" s="94">
        <v>2018</v>
      </c>
      <c r="B130" s="93" t="s">
        <v>25</v>
      </c>
      <c r="C130" s="93" t="s">
        <v>1965</v>
      </c>
      <c r="D130" s="38" t="s">
        <v>1353</v>
      </c>
      <c r="E130" s="38" t="s">
        <v>1185</v>
      </c>
      <c r="F130" s="38" t="s">
        <v>1189</v>
      </c>
      <c r="G130" s="95">
        <v>0.25</v>
      </c>
      <c r="H130" s="95">
        <v>0.25</v>
      </c>
      <c r="I130" s="93">
        <v>1</v>
      </c>
      <c r="J130" s="93"/>
      <c r="K130" s="94" t="s">
        <v>1348</v>
      </c>
      <c r="N130" s="94" t="str">
        <f>IF(Quarters[[#This Row],[Mint]]="",Quarters[[#This Row],[Date]],Quarters[[#This Row],[Date]]&amp;" "&amp;Quarters[[#This Row],[Mint]])</f>
        <v>2018 P</v>
      </c>
    </row>
    <row r="131" spans="1:14">
      <c r="A131" s="94">
        <v>2018</v>
      </c>
      <c r="B131" s="93" t="s">
        <v>25</v>
      </c>
      <c r="C131" s="93" t="s">
        <v>1965</v>
      </c>
      <c r="D131" s="38" t="s">
        <v>1354</v>
      </c>
      <c r="E131" s="38" t="s">
        <v>1185</v>
      </c>
      <c r="F131" s="38" t="s">
        <v>1189</v>
      </c>
      <c r="G131" s="95">
        <v>0.25</v>
      </c>
      <c r="H131" s="95">
        <v>0.25</v>
      </c>
      <c r="I131" s="93">
        <v>1</v>
      </c>
      <c r="J131" s="93"/>
      <c r="K131" s="94" t="s">
        <v>1355</v>
      </c>
      <c r="N131" s="94" t="str">
        <f>IF(Quarters[[#This Row],[Mint]]="",Quarters[[#This Row],[Date]],Quarters[[#This Row],[Date]]&amp;" "&amp;Quarters[[#This Row],[Mint]])</f>
        <v>2018 P</v>
      </c>
    </row>
    <row r="132" spans="1:14">
      <c r="A132" s="94">
        <v>2018</v>
      </c>
      <c r="B132" s="93" t="s">
        <v>25</v>
      </c>
      <c r="C132" s="93" t="s">
        <v>1965</v>
      </c>
      <c r="D132" s="38" t="s">
        <v>1356</v>
      </c>
      <c r="E132" s="38" t="s">
        <v>1185</v>
      </c>
      <c r="F132" s="38" t="s">
        <v>1189</v>
      </c>
      <c r="G132" s="95">
        <v>0.25</v>
      </c>
      <c r="H132" s="95">
        <v>0.25</v>
      </c>
      <c r="I132" s="93">
        <v>1</v>
      </c>
      <c r="J132" s="93"/>
      <c r="K132" s="94" t="s">
        <v>1348</v>
      </c>
      <c r="N132" s="94" t="str">
        <f>IF(Quarters[[#This Row],[Mint]]="",Quarters[[#This Row],[Date]],Quarters[[#This Row],[Date]]&amp;" "&amp;Quarters[[#This Row],[Mint]])</f>
        <v>2018 P</v>
      </c>
    </row>
    <row r="133" spans="1:14">
      <c r="A133" s="94">
        <v>2018</v>
      </c>
      <c r="B133" s="93" t="s">
        <v>25</v>
      </c>
      <c r="C133" s="93" t="s">
        <v>1965</v>
      </c>
      <c r="D133" s="38" t="s">
        <v>1357</v>
      </c>
      <c r="E133" s="38" t="s">
        <v>1185</v>
      </c>
      <c r="F133" s="38" t="s">
        <v>1189</v>
      </c>
      <c r="G133" s="95">
        <v>0.25</v>
      </c>
      <c r="H133" s="95">
        <v>0.25</v>
      </c>
      <c r="I133" s="93">
        <v>1</v>
      </c>
      <c r="J133" s="93"/>
      <c r="K133" s="94" t="s">
        <v>1355</v>
      </c>
      <c r="N133" s="94" t="str">
        <f>IF(Quarters[[#This Row],[Mint]]="",Quarters[[#This Row],[Date]],Quarters[[#This Row],[Date]]&amp;" "&amp;Quarters[[#This Row],[Mint]])</f>
        <v>2018 P</v>
      </c>
    </row>
    <row r="134" spans="1:14">
      <c r="A134" s="94">
        <v>2019</v>
      </c>
      <c r="B134" s="93" t="s">
        <v>25</v>
      </c>
      <c r="C134" s="93" t="s">
        <v>1965</v>
      </c>
      <c r="D134" s="38" t="s">
        <v>1358</v>
      </c>
      <c r="E134" s="38" t="s">
        <v>1185</v>
      </c>
      <c r="F134" s="38" t="s">
        <v>1189</v>
      </c>
      <c r="G134" s="95">
        <v>0.25</v>
      </c>
      <c r="H134" s="95">
        <v>0.25</v>
      </c>
      <c r="I134" s="93">
        <v>1</v>
      </c>
      <c r="J134" s="93"/>
      <c r="K134" s="94" t="s">
        <v>1359</v>
      </c>
      <c r="N134" s="94" t="str">
        <f>IF(Quarters[[#This Row],[Mint]]="",Quarters[[#This Row],[Date]],Quarters[[#This Row],[Date]]&amp;" "&amp;Quarters[[#This Row],[Mint]])</f>
        <v>2019 P</v>
      </c>
    </row>
    <row r="135" spans="1:14">
      <c r="A135" s="94">
        <v>2019</v>
      </c>
      <c r="B135" s="93" t="s">
        <v>25</v>
      </c>
      <c r="C135" s="93" t="s">
        <v>1965</v>
      </c>
      <c r="D135" s="38" t="s">
        <v>1360</v>
      </c>
      <c r="E135" s="38" t="s">
        <v>1185</v>
      </c>
      <c r="F135" s="38" t="s">
        <v>1189</v>
      </c>
      <c r="G135" s="95">
        <v>0.25</v>
      </c>
      <c r="H135" s="95">
        <v>0.25</v>
      </c>
      <c r="I135" s="93">
        <v>1</v>
      </c>
      <c r="J135" s="93"/>
      <c r="K135" s="94" t="s">
        <v>1359</v>
      </c>
      <c r="N135" s="94" t="str">
        <f>IF(Quarters[[#This Row],[Mint]]="",Quarters[[#This Row],[Date]],Quarters[[#This Row],[Date]]&amp;" "&amp;Quarters[[#This Row],[Mint]])</f>
        <v>2019 P</v>
      </c>
    </row>
    <row r="136" spans="1:14">
      <c r="A136" s="94">
        <v>2019</v>
      </c>
      <c r="B136" s="93" t="s">
        <v>25</v>
      </c>
      <c r="C136" s="93" t="s">
        <v>1965</v>
      </c>
      <c r="D136" s="38" t="s">
        <v>1361</v>
      </c>
      <c r="E136" s="38" t="s">
        <v>1185</v>
      </c>
      <c r="F136" s="38" t="s">
        <v>1189</v>
      </c>
      <c r="G136" s="95">
        <v>0.25</v>
      </c>
      <c r="H136" s="95">
        <v>0.25</v>
      </c>
      <c r="I136" s="93">
        <v>1</v>
      </c>
      <c r="J136" s="93"/>
      <c r="K136" s="94" t="s">
        <v>1362</v>
      </c>
      <c r="N136" s="94" t="str">
        <f>IF(Quarters[[#This Row],[Mint]]="",Quarters[[#This Row],[Date]],Quarters[[#This Row],[Date]]&amp;" "&amp;Quarters[[#This Row],[Mint]])</f>
        <v>2019 P</v>
      </c>
    </row>
    <row r="137" spans="1:14">
      <c r="A137" s="94">
        <v>2019</v>
      </c>
      <c r="B137" s="93" t="s">
        <v>13</v>
      </c>
      <c r="C137" s="93" t="s">
        <v>1965</v>
      </c>
      <c r="D137" s="38" t="s">
        <v>1363</v>
      </c>
      <c r="E137" s="38" t="s">
        <v>1185</v>
      </c>
      <c r="F137" s="38" t="s">
        <v>1189</v>
      </c>
      <c r="G137" s="95">
        <v>0.25</v>
      </c>
      <c r="H137" s="95">
        <v>0.25</v>
      </c>
      <c r="I137" s="93">
        <v>1</v>
      </c>
      <c r="J137" s="93"/>
      <c r="K137" s="94" t="s">
        <v>1364</v>
      </c>
      <c r="N137" s="94" t="str">
        <f>IF(Quarters[[#This Row],[Mint]]="",Quarters[[#This Row],[Date]],Quarters[[#This Row],[Date]]&amp;" "&amp;Quarters[[#This Row],[Mint]])</f>
        <v>2019 D</v>
      </c>
    </row>
    <row r="138" spans="1:14">
      <c r="A138" s="94">
        <v>2019</v>
      </c>
      <c r="B138" s="93" t="s">
        <v>25</v>
      </c>
      <c r="C138" s="93" t="s">
        <v>1965</v>
      </c>
      <c r="D138" s="38" t="s">
        <v>1365</v>
      </c>
      <c r="E138" s="38" t="s">
        <v>1185</v>
      </c>
      <c r="F138" s="38" t="s">
        <v>1189</v>
      </c>
      <c r="G138" s="95">
        <v>0.25</v>
      </c>
      <c r="H138" s="95">
        <v>0.25</v>
      </c>
      <c r="I138" s="93">
        <v>1</v>
      </c>
      <c r="J138" s="93"/>
      <c r="K138" s="94" t="s">
        <v>1362</v>
      </c>
      <c r="N138" s="94" t="str">
        <f>IF(Quarters[[#This Row],[Mint]]="",Quarters[[#This Row],[Date]],Quarters[[#This Row],[Date]]&amp;" "&amp;Quarters[[#This Row],[Mint]])</f>
        <v>2019 P</v>
      </c>
    </row>
    <row r="139" spans="1:14">
      <c r="A139" s="94">
        <v>2021</v>
      </c>
      <c r="B139" s="93" t="s">
        <v>25</v>
      </c>
      <c r="C139" s="93" t="s">
        <v>1965</v>
      </c>
      <c r="D139" s="38" t="s">
        <v>1366</v>
      </c>
      <c r="E139" s="38" t="s">
        <v>1185</v>
      </c>
      <c r="F139" s="38" t="s">
        <v>1189</v>
      </c>
      <c r="G139" s="95">
        <v>0.25</v>
      </c>
      <c r="H139" s="95">
        <v>0.25</v>
      </c>
      <c r="I139" s="93">
        <v>1</v>
      </c>
      <c r="J139" s="93"/>
      <c r="K139" s="94" t="s">
        <v>1367</v>
      </c>
      <c r="N139" s="94" t="str">
        <f>IF(Quarters[[#This Row],[Mint]]="",Quarters[[#This Row],[Date]],Quarters[[#This Row],[Date]]&amp;" "&amp;Quarters[[#This Row],[Mint]])</f>
        <v>2021 P</v>
      </c>
    </row>
    <row r="140" spans="1:14">
      <c r="A140" s="94">
        <v>2021</v>
      </c>
      <c r="B140" s="93" t="s">
        <v>25</v>
      </c>
      <c r="C140" s="93" t="s">
        <v>1965</v>
      </c>
      <c r="D140" s="38" t="s">
        <v>1368</v>
      </c>
      <c r="E140" s="38" t="s">
        <v>1185</v>
      </c>
      <c r="F140" s="38" t="s">
        <v>1189</v>
      </c>
      <c r="G140" s="95">
        <v>0.25</v>
      </c>
      <c r="H140" s="95">
        <v>0.25</v>
      </c>
      <c r="I140" s="93">
        <v>1</v>
      </c>
      <c r="J140" s="93"/>
      <c r="K140" s="94" t="s">
        <v>1367</v>
      </c>
      <c r="N140" s="94" t="str">
        <f>IF(Quarters[[#This Row],[Mint]]="",Quarters[[#This Row],[Date]],Quarters[[#This Row],[Date]]&amp;" "&amp;Quarters[[#This Row],[Mint]])</f>
        <v>2021 P</v>
      </c>
    </row>
    <row r="141" spans="1:14">
      <c r="A141" s="94">
        <v>2021</v>
      </c>
      <c r="B141" s="93" t="s">
        <v>25</v>
      </c>
      <c r="C141" s="93" t="s">
        <v>1965</v>
      </c>
      <c r="D141" s="38" t="s">
        <v>1369</v>
      </c>
      <c r="E141" s="38" t="s">
        <v>1185</v>
      </c>
      <c r="F141" s="38" t="s">
        <v>1189</v>
      </c>
      <c r="G141" s="95">
        <v>0.25</v>
      </c>
      <c r="H141" s="95">
        <v>0.25</v>
      </c>
      <c r="I141" s="93">
        <v>1</v>
      </c>
      <c r="J141" s="93"/>
      <c r="K141" s="94" t="s">
        <v>1370</v>
      </c>
      <c r="N141" s="94" t="str">
        <f>IF(Quarters[[#This Row],[Mint]]="",Quarters[[#This Row],[Date]],Quarters[[#This Row],[Date]]&amp;" "&amp;Quarters[[#This Row],[Mint]])</f>
        <v>2021 P</v>
      </c>
    </row>
    <row r="142" spans="1:14">
      <c r="A142" s="94">
        <v>2022</v>
      </c>
      <c r="B142" s="93" t="s">
        <v>25</v>
      </c>
      <c r="C142" s="93" t="s">
        <v>1965</v>
      </c>
      <c r="D142" s="38" t="s">
        <v>1371</v>
      </c>
      <c r="E142" s="38" t="s">
        <v>1185</v>
      </c>
      <c r="F142" s="38" t="s">
        <v>1189</v>
      </c>
      <c r="G142" s="95">
        <v>0.25</v>
      </c>
      <c r="H142" s="95">
        <v>0.25</v>
      </c>
      <c r="I142" s="93">
        <v>1</v>
      </c>
      <c r="J142" s="93"/>
      <c r="K142" s="94" t="s">
        <v>1372</v>
      </c>
      <c r="N142" s="94" t="str">
        <f>IF(Quarters[[#This Row],[Mint]]="",Quarters[[#This Row],[Date]],Quarters[[#This Row],[Date]]&amp;" "&amp;Quarters[[#This Row],[Mint]])</f>
        <v>2022 P</v>
      </c>
    </row>
    <row r="143" spans="1:14">
      <c r="A143" s="94">
        <v>2022</v>
      </c>
      <c r="B143" s="93" t="s">
        <v>25</v>
      </c>
      <c r="C143" s="93" t="s">
        <v>1965</v>
      </c>
      <c r="D143" s="38" t="s">
        <v>1373</v>
      </c>
      <c r="E143" s="38" t="s">
        <v>1185</v>
      </c>
      <c r="F143" s="38" t="s">
        <v>1189</v>
      </c>
      <c r="G143" s="95">
        <v>0.25</v>
      </c>
      <c r="H143" s="95">
        <v>0.25</v>
      </c>
      <c r="I143" s="93">
        <v>1</v>
      </c>
      <c r="J143" s="93"/>
      <c r="K143" s="94" t="s">
        <v>1374</v>
      </c>
      <c r="N143" s="94" t="s">
        <v>200</v>
      </c>
    </row>
    <row r="144" spans="1:14">
      <c r="A144" s="94">
        <v>2022</v>
      </c>
      <c r="B144" s="93" t="s">
        <v>25</v>
      </c>
      <c r="C144" s="93" t="s">
        <v>1965</v>
      </c>
      <c r="D144" s="38" t="s">
        <v>1375</v>
      </c>
      <c r="E144" s="38" t="s">
        <v>1185</v>
      </c>
      <c r="F144" s="38" t="s">
        <v>1189</v>
      </c>
      <c r="G144" s="95">
        <v>0.25</v>
      </c>
      <c r="H144" s="95">
        <v>0.25</v>
      </c>
      <c r="I144" s="93">
        <v>1</v>
      </c>
      <c r="J144" s="93"/>
      <c r="K144" s="94" t="s">
        <v>1374</v>
      </c>
      <c r="N144" s="94" t="s">
        <v>978</v>
      </c>
    </row>
    <row r="145" spans="1:14">
      <c r="A145" s="94">
        <v>2022</v>
      </c>
      <c r="B145" s="93" t="s">
        <v>25</v>
      </c>
      <c r="C145" s="93" t="s">
        <v>1965</v>
      </c>
      <c r="D145" s="38" t="s">
        <v>1376</v>
      </c>
      <c r="E145" s="38" t="s">
        <v>1185</v>
      </c>
      <c r="F145" s="38" t="s">
        <v>1189</v>
      </c>
      <c r="G145" s="95">
        <v>0.25</v>
      </c>
      <c r="H145" s="95">
        <v>0.25</v>
      </c>
      <c r="I145" s="93">
        <v>1</v>
      </c>
      <c r="J145" s="93"/>
      <c r="K145" s="94" t="s">
        <v>1377</v>
      </c>
      <c r="N145" s="94"/>
    </row>
    <row r="146" spans="1:14">
      <c r="A146" s="94">
        <v>2022</v>
      </c>
      <c r="B146" s="93" t="s">
        <v>25</v>
      </c>
      <c r="C146" s="93" t="s">
        <v>1965</v>
      </c>
      <c r="D146" s="38" t="s">
        <v>1378</v>
      </c>
      <c r="E146" s="38" t="s">
        <v>1185</v>
      </c>
      <c r="F146" s="38" t="s">
        <v>1189</v>
      </c>
      <c r="G146" s="95">
        <v>0.25</v>
      </c>
      <c r="H146" s="95">
        <v>0.25</v>
      </c>
      <c r="I146" s="93">
        <v>1</v>
      </c>
      <c r="J146" s="93"/>
      <c r="K146" s="94" t="s">
        <v>1372</v>
      </c>
      <c r="N146" s="94"/>
    </row>
    <row r="147" spans="1:14">
      <c r="A147" s="94">
        <v>2023</v>
      </c>
      <c r="B147" s="93" t="s">
        <v>12</v>
      </c>
      <c r="C147" s="93" t="s">
        <v>1965</v>
      </c>
      <c r="D147" s="38" t="s">
        <v>1379</v>
      </c>
      <c r="E147" s="38" t="s">
        <v>1185</v>
      </c>
      <c r="F147" s="38" t="s">
        <v>20</v>
      </c>
      <c r="G147" s="95">
        <v>0.9</v>
      </c>
      <c r="H147" s="95">
        <v>3.38</v>
      </c>
      <c r="I147" s="93">
        <v>1</v>
      </c>
      <c r="J147" s="93"/>
      <c r="K147" s="94" t="s">
        <v>1380</v>
      </c>
      <c r="N147" s="94"/>
    </row>
    <row r="148" spans="1:14">
      <c r="A148" s="94">
        <v>2023</v>
      </c>
      <c r="B148" s="93" t="s">
        <v>25</v>
      </c>
      <c r="C148" s="93" t="s">
        <v>1965</v>
      </c>
      <c r="D148" s="38" t="s">
        <v>1381</v>
      </c>
      <c r="E148" s="38" t="s">
        <v>1185</v>
      </c>
      <c r="F148" s="38" t="s">
        <v>1189</v>
      </c>
      <c r="G148" s="95">
        <v>0.25</v>
      </c>
      <c r="H148" s="95">
        <v>0.25</v>
      </c>
      <c r="I148" s="93">
        <v>1</v>
      </c>
      <c r="J148" s="93"/>
      <c r="K148" s="94" t="s">
        <v>1382</v>
      </c>
      <c r="N148" s="94"/>
    </row>
    <row r="149" spans="1:14">
      <c r="A149" s="94">
        <v>2023</v>
      </c>
      <c r="B149" s="93" t="s">
        <v>25</v>
      </c>
      <c r="C149" s="93" t="s">
        <v>1965</v>
      </c>
      <c r="D149" s="38" t="s">
        <v>1375</v>
      </c>
      <c r="E149" s="38" t="s">
        <v>1185</v>
      </c>
      <c r="F149" s="38" t="s">
        <v>1189</v>
      </c>
      <c r="G149" s="95">
        <v>0.25</v>
      </c>
      <c r="H149" s="95">
        <v>0.25</v>
      </c>
      <c r="I149" s="93">
        <v>1</v>
      </c>
      <c r="J149" s="93"/>
      <c r="K149" s="94" t="s">
        <v>1382</v>
      </c>
      <c r="N149" s="94"/>
    </row>
    <row r="150" spans="1:14">
      <c r="A150" s="94">
        <v>2024</v>
      </c>
      <c r="B150" s="93" t="s">
        <v>25</v>
      </c>
      <c r="C150" s="93" t="s">
        <v>1965</v>
      </c>
      <c r="D150" s="38" t="s">
        <v>1383</v>
      </c>
      <c r="E150" s="38" t="s">
        <v>1185</v>
      </c>
      <c r="F150" s="38" t="s">
        <v>1189</v>
      </c>
      <c r="G150" s="95">
        <v>0.25</v>
      </c>
      <c r="H150" s="95">
        <v>0.25</v>
      </c>
      <c r="I150" s="93">
        <v>1</v>
      </c>
      <c r="J150" s="93"/>
      <c r="K150" s="94" t="s">
        <v>1307</v>
      </c>
      <c r="N150" s="94"/>
    </row>
    <row r="151" spans="1:14">
      <c r="A151" s="94"/>
      <c r="I151" s="93"/>
    </row>
    <row r="152" spans="1:14">
      <c r="A152" s="94"/>
      <c r="I152" s="93"/>
    </row>
    <row r="153" spans="1:14">
      <c r="A153" s="94"/>
      <c r="I153" s="93"/>
    </row>
    <row r="154" spans="1:14">
      <c r="A154" s="94"/>
      <c r="I154" s="93"/>
    </row>
    <row r="155" spans="1:14">
      <c r="A155" s="94"/>
      <c r="I155" s="93"/>
    </row>
    <row r="156" spans="1:14">
      <c r="A156" s="94"/>
      <c r="I156" s="93"/>
    </row>
    <row r="157" spans="1:14">
      <c r="A157" s="94"/>
      <c r="I157" s="93"/>
    </row>
    <row r="158" spans="1:14">
      <c r="A158" s="94"/>
      <c r="I158" s="93"/>
    </row>
    <row r="159" spans="1:14">
      <c r="A159" s="94"/>
      <c r="I159" s="93"/>
    </row>
    <row r="160" spans="1:14">
      <c r="A160" s="94"/>
      <c r="I160" s="93"/>
    </row>
    <row r="161" spans="1:9">
      <c r="A161" s="94"/>
      <c r="I161" s="93"/>
    </row>
    <row r="162" spans="1:9">
      <c r="A162" s="94"/>
      <c r="I162" s="93"/>
    </row>
    <row r="163" spans="1:9">
      <c r="A163" s="94"/>
      <c r="I163" s="93"/>
    </row>
    <row r="164" spans="1:9">
      <c r="A164" s="94"/>
      <c r="I164" s="93"/>
    </row>
    <row r="165" spans="1:9">
      <c r="A165" s="94"/>
      <c r="I165" s="93"/>
    </row>
    <row r="166" spans="1:9">
      <c r="A166" s="94"/>
      <c r="I166" s="93"/>
    </row>
    <row r="167" spans="1:9">
      <c r="A167" s="94"/>
      <c r="I167" s="93"/>
    </row>
    <row r="168" spans="1:9">
      <c r="A168" s="94"/>
      <c r="I168" s="93"/>
    </row>
    <row r="169" spans="1:9">
      <c r="A169" s="94"/>
      <c r="I169" s="93"/>
    </row>
    <row r="170" spans="1:9">
      <c r="A170" s="94"/>
      <c r="I170" s="93"/>
    </row>
    <row r="171" spans="1:9">
      <c r="A171" s="94"/>
      <c r="I171" s="93"/>
    </row>
    <row r="172" spans="1:9">
      <c r="A172" s="94"/>
      <c r="I172" s="93"/>
    </row>
    <row r="173" spans="1:9">
      <c r="A173" s="94"/>
      <c r="I173" s="93"/>
    </row>
    <row r="174" spans="1:9">
      <c r="A174" s="94"/>
      <c r="I174" s="93"/>
    </row>
    <row r="175" spans="1:9">
      <c r="A175" s="94"/>
      <c r="I175" s="93"/>
    </row>
    <row r="176" spans="1:9">
      <c r="A176" s="94"/>
      <c r="I176" s="93"/>
    </row>
    <row r="177" spans="1:9">
      <c r="A177" s="94"/>
      <c r="I177" s="93"/>
    </row>
    <row r="178" spans="1:9">
      <c r="A178" s="94"/>
      <c r="I178" s="93"/>
    </row>
    <row r="179" spans="1:9">
      <c r="A179" s="94"/>
      <c r="I179" s="93"/>
    </row>
    <row r="180" spans="1:9">
      <c r="A180" s="94"/>
      <c r="I180" s="93"/>
    </row>
    <row r="181" spans="1:9">
      <c r="A181" s="94"/>
      <c r="I181" s="93"/>
    </row>
    <row r="182" spans="1:9">
      <c r="A182" s="94"/>
      <c r="I182" s="93"/>
    </row>
    <row r="183" spans="1:9">
      <c r="A183" s="94"/>
      <c r="I183" s="93"/>
    </row>
    <row r="184" spans="1:9">
      <c r="A184" s="94"/>
      <c r="I184" s="93"/>
    </row>
    <row r="185" spans="1:9">
      <c r="A185" s="94"/>
      <c r="I185" s="93"/>
    </row>
    <row r="186" spans="1:9">
      <c r="A186" s="94"/>
      <c r="I186" s="93"/>
    </row>
    <row r="187" spans="1:9">
      <c r="A187" s="94"/>
      <c r="I187" s="93"/>
    </row>
    <row r="188" spans="1:9">
      <c r="A188" s="94"/>
      <c r="I188" s="93"/>
    </row>
    <row r="189" spans="1:9">
      <c r="A189" s="94"/>
      <c r="I189" s="93"/>
    </row>
    <row r="190" spans="1:9">
      <c r="A190" s="94"/>
      <c r="I190" s="93"/>
    </row>
    <row r="191" spans="1:9">
      <c r="A191" s="94"/>
      <c r="I191" s="93"/>
    </row>
    <row r="192" spans="1:9">
      <c r="A192" s="94"/>
      <c r="I192" s="93"/>
    </row>
    <row r="193" spans="1:9">
      <c r="A193" s="94"/>
      <c r="I193" s="93"/>
    </row>
    <row r="194" spans="1:9">
      <c r="A194" s="94"/>
      <c r="I194" s="93"/>
    </row>
    <row r="195" spans="1:9">
      <c r="A195" s="94"/>
      <c r="I195" s="93"/>
    </row>
    <row r="196" spans="1:9">
      <c r="A196" s="94"/>
      <c r="I196" s="93"/>
    </row>
    <row r="197" spans="1:9">
      <c r="A197" s="94"/>
      <c r="I197" s="93"/>
    </row>
    <row r="198" spans="1:9">
      <c r="A198" s="94"/>
      <c r="I198" s="93"/>
    </row>
    <row r="199" spans="1:9">
      <c r="A199" s="94"/>
      <c r="I199" s="93"/>
    </row>
    <row r="200" spans="1:9">
      <c r="A200" s="94"/>
      <c r="I200" s="93"/>
    </row>
    <row r="201" spans="1:9">
      <c r="A201" s="94"/>
      <c r="I201" s="93"/>
    </row>
    <row r="202" spans="1:9">
      <c r="A202" s="94"/>
      <c r="I202" s="93"/>
    </row>
    <row r="203" spans="1:9">
      <c r="A203" s="94"/>
      <c r="I203" s="93"/>
    </row>
    <row r="204" spans="1:9">
      <c r="A204" s="94"/>
      <c r="I204" s="93"/>
    </row>
    <row r="205" spans="1:9">
      <c r="A205" s="94"/>
      <c r="I205" s="93"/>
    </row>
    <row r="206" spans="1:9">
      <c r="A206" s="94"/>
      <c r="I206" s="93"/>
    </row>
    <row r="207" spans="1:9">
      <c r="A207" s="94"/>
      <c r="I207" s="93"/>
    </row>
    <row r="208" spans="1:9">
      <c r="A208" s="94"/>
      <c r="I208" s="93"/>
    </row>
    <row r="209" spans="1:9">
      <c r="A209" s="94"/>
      <c r="I209" s="93"/>
    </row>
    <row r="210" spans="1:9">
      <c r="A210" s="94"/>
      <c r="I210" s="93"/>
    </row>
    <row r="211" spans="1:9">
      <c r="A211" s="94"/>
      <c r="I211" s="93"/>
    </row>
    <row r="212" spans="1:9">
      <c r="A212" s="94"/>
      <c r="I212" s="93"/>
    </row>
    <row r="213" spans="1:9">
      <c r="A213" s="94"/>
      <c r="I213" s="93"/>
    </row>
    <row r="214" spans="1:9">
      <c r="A214" s="94"/>
      <c r="I214" s="93"/>
    </row>
    <row r="215" spans="1:9">
      <c r="A215" s="94"/>
      <c r="I215" s="93"/>
    </row>
    <row r="216" spans="1:9">
      <c r="A216" s="94"/>
      <c r="I216" s="93"/>
    </row>
    <row r="217" spans="1:9">
      <c r="A217" s="94"/>
      <c r="I217" s="93"/>
    </row>
    <row r="218" spans="1:9">
      <c r="A218" s="94"/>
      <c r="I218" s="93"/>
    </row>
    <row r="219" spans="1:9">
      <c r="A219" s="94"/>
      <c r="I219" s="93"/>
    </row>
    <row r="220" spans="1:9">
      <c r="A220" s="94"/>
      <c r="I220" s="93"/>
    </row>
    <row r="221" spans="1:9">
      <c r="A221" s="94"/>
      <c r="I221" s="93"/>
    </row>
    <row r="222" spans="1:9">
      <c r="A222" s="94"/>
      <c r="I222" s="93"/>
    </row>
    <row r="223" spans="1:9">
      <c r="A223" s="94"/>
      <c r="I223" s="93"/>
    </row>
    <row r="224" spans="1:9">
      <c r="A224" s="94"/>
      <c r="I224" s="93"/>
    </row>
    <row r="225" spans="1:9">
      <c r="A225" s="94"/>
      <c r="I225" s="93"/>
    </row>
    <row r="226" spans="1:9">
      <c r="A226" s="94"/>
      <c r="I226" s="93"/>
    </row>
    <row r="227" spans="1:9">
      <c r="A227" s="94"/>
      <c r="I227" s="93"/>
    </row>
    <row r="228" spans="1:9">
      <c r="A228" s="94"/>
      <c r="I228" s="93"/>
    </row>
    <row r="229" spans="1:9">
      <c r="A229" s="94"/>
      <c r="I229" s="93"/>
    </row>
    <row r="230" spans="1:9">
      <c r="A230" s="94"/>
      <c r="I230" s="93"/>
    </row>
    <row r="231" spans="1:9">
      <c r="A231" s="94"/>
      <c r="I231" s="93"/>
    </row>
    <row r="232" spans="1:9">
      <c r="A232" s="94"/>
      <c r="I232" s="93"/>
    </row>
    <row r="233" spans="1:9">
      <c r="A233" s="94"/>
      <c r="I233" s="93"/>
    </row>
    <row r="234" spans="1:9">
      <c r="A234" s="94"/>
      <c r="I234" s="93"/>
    </row>
    <row r="235" spans="1:9">
      <c r="A235" s="94"/>
      <c r="I235" s="93"/>
    </row>
    <row r="236" spans="1:9">
      <c r="A236" s="94"/>
      <c r="I236" s="93"/>
    </row>
    <row r="237" spans="1:9">
      <c r="A237" s="94"/>
      <c r="I237" s="93"/>
    </row>
    <row r="238" spans="1:9">
      <c r="A238" s="94"/>
      <c r="I238" s="93"/>
    </row>
    <row r="239" spans="1:9">
      <c r="A239" s="94"/>
      <c r="I239" s="93"/>
    </row>
    <row r="240" spans="1:9">
      <c r="A240" s="94"/>
      <c r="I240" s="93"/>
    </row>
    <row r="241" spans="1:9">
      <c r="A241" s="94"/>
      <c r="I241" s="93"/>
    </row>
    <row r="242" spans="1:9">
      <c r="A242" s="94"/>
      <c r="I242" s="93"/>
    </row>
    <row r="243" spans="1:9">
      <c r="A243" s="94"/>
      <c r="I243" s="93"/>
    </row>
    <row r="244" spans="1:9">
      <c r="A244" s="94"/>
      <c r="I244" s="93"/>
    </row>
    <row r="245" spans="1:9">
      <c r="A245" s="94"/>
      <c r="I245" s="93"/>
    </row>
    <row r="246" spans="1:9">
      <c r="A246" s="94"/>
      <c r="I246" s="93"/>
    </row>
    <row r="247" spans="1:9">
      <c r="A247" s="94"/>
      <c r="I247" s="93"/>
    </row>
    <row r="248" spans="1:9">
      <c r="A248" s="94"/>
      <c r="I248" s="93"/>
    </row>
    <row r="249" spans="1:9">
      <c r="A249" s="94"/>
      <c r="I249" s="93"/>
    </row>
    <row r="250" spans="1:9">
      <c r="A250" s="94"/>
      <c r="I250" s="93"/>
    </row>
    <row r="251" spans="1:9">
      <c r="A251" s="94"/>
      <c r="I251" s="93"/>
    </row>
    <row r="252" spans="1:9">
      <c r="A252" s="94"/>
      <c r="I252" s="93"/>
    </row>
    <row r="253" spans="1:9">
      <c r="A253" s="94"/>
      <c r="I253" s="93"/>
    </row>
    <row r="254" spans="1:9">
      <c r="A254" s="94"/>
      <c r="I254" s="93"/>
    </row>
    <row r="255" spans="1:9">
      <c r="A255" s="94"/>
      <c r="I255" s="93"/>
    </row>
    <row r="256" spans="1:9">
      <c r="A256" s="94"/>
      <c r="I256" s="93"/>
    </row>
    <row r="257" spans="1:9">
      <c r="A257" s="94"/>
      <c r="I257" s="93"/>
    </row>
    <row r="258" spans="1:9">
      <c r="A258" s="94"/>
      <c r="I258" s="93"/>
    </row>
    <row r="259" spans="1:9">
      <c r="A259" s="94"/>
      <c r="I259" s="93"/>
    </row>
    <row r="260" spans="1:9">
      <c r="A260" s="94"/>
      <c r="I260" s="93"/>
    </row>
    <row r="261" spans="1:9">
      <c r="A261" s="94"/>
      <c r="I261" s="93"/>
    </row>
    <row r="262" spans="1:9">
      <c r="A262" s="94"/>
      <c r="I262" s="93"/>
    </row>
    <row r="263" spans="1:9">
      <c r="A263" s="94"/>
      <c r="I263" s="93"/>
    </row>
    <row r="264" spans="1:9">
      <c r="A264" s="94"/>
      <c r="I264" s="93"/>
    </row>
    <row r="265" spans="1:9">
      <c r="A265" s="94"/>
      <c r="I265" s="93"/>
    </row>
    <row r="266" spans="1:9">
      <c r="A266" s="94"/>
      <c r="I266" s="93"/>
    </row>
    <row r="267" spans="1:9">
      <c r="A267" s="94"/>
      <c r="I267" s="93"/>
    </row>
    <row r="268" spans="1:9">
      <c r="A268" s="94"/>
      <c r="I268" s="93"/>
    </row>
    <row r="269" spans="1:9">
      <c r="A269" s="94"/>
      <c r="I269" s="93"/>
    </row>
    <row r="270" spans="1:9">
      <c r="A270" s="94"/>
      <c r="I270" s="93"/>
    </row>
    <row r="271" spans="1:9">
      <c r="A271" s="94"/>
      <c r="I271" s="93"/>
    </row>
    <row r="272" spans="1:9">
      <c r="A272" s="94"/>
      <c r="I272" s="93"/>
    </row>
    <row r="273" spans="1:9">
      <c r="A273" s="94"/>
      <c r="I273" s="93"/>
    </row>
    <row r="274" spans="1:9">
      <c r="A274" s="94"/>
      <c r="I274" s="93"/>
    </row>
    <row r="275" spans="1:9">
      <c r="A275" s="94"/>
      <c r="I275" s="93"/>
    </row>
    <row r="276" spans="1:9">
      <c r="A276" s="94"/>
      <c r="I276" s="93"/>
    </row>
    <row r="277" spans="1:9">
      <c r="A277" s="94"/>
      <c r="I277" s="93"/>
    </row>
    <row r="278" spans="1:9">
      <c r="A278" s="94"/>
      <c r="I278" s="93"/>
    </row>
    <row r="279" spans="1:9">
      <c r="A279" s="94"/>
      <c r="I279" s="93"/>
    </row>
    <row r="280" spans="1:9">
      <c r="A280" s="94"/>
      <c r="I280" s="93"/>
    </row>
    <row r="281" spans="1:9">
      <c r="A281" s="94"/>
      <c r="I281" s="93"/>
    </row>
    <row r="282" spans="1:9">
      <c r="A282" s="94"/>
      <c r="I282" s="93"/>
    </row>
    <row r="283" spans="1:9">
      <c r="A283" s="94"/>
      <c r="I283" s="93"/>
    </row>
    <row r="284" spans="1:9">
      <c r="A284" s="94"/>
      <c r="I284" s="93"/>
    </row>
    <row r="285" spans="1:9">
      <c r="A285" s="94"/>
      <c r="I285" s="93"/>
    </row>
    <row r="286" spans="1:9">
      <c r="A286" s="94"/>
      <c r="I286" s="93"/>
    </row>
    <row r="287" spans="1:9">
      <c r="A287" s="94"/>
      <c r="I287" s="93"/>
    </row>
    <row r="288" spans="1:9">
      <c r="A288" s="94"/>
      <c r="I288" s="93"/>
    </row>
    <row r="289" spans="1:9">
      <c r="A289" s="94"/>
      <c r="I289" s="93"/>
    </row>
    <row r="290" spans="1:9">
      <c r="A290" s="94"/>
      <c r="I290" s="93"/>
    </row>
    <row r="291" spans="1:9">
      <c r="A291" s="94"/>
      <c r="I291" s="93"/>
    </row>
    <row r="292" spans="1:9">
      <c r="A292" s="94"/>
      <c r="I292" s="93"/>
    </row>
    <row r="293" spans="1:9">
      <c r="A293" s="94"/>
      <c r="I293" s="93"/>
    </row>
    <row r="294" spans="1:9">
      <c r="A294" s="94"/>
      <c r="I294" s="93"/>
    </row>
    <row r="295" spans="1:9">
      <c r="A295" s="94"/>
      <c r="I295" s="93"/>
    </row>
    <row r="296" spans="1:9">
      <c r="A296" s="94"/>
      <c r="I296" s="93"/>
    </row>
    <row r="297" spans="1:9">
      <c r="A297" s="94"/>
      <c r="I297" s="93"/>
    </row>
    <row r="298" spans="1:9">
      <c r="A298" s="94"/>
      <c r="I298" s="93"/>
    </row>
    <row r="299" spans="1:9">
      <c r="A299" s="94"/>
      <c r="I299" s="93"/>
    </row>
    <row r="300" spans="1:9">
      <c r="A300" s="94"/>
      <c r="I300" s="93"/>
    </row>
    <row r="301" spans="1:9">
      <c r="A301" s="94"/>
      <c r="I301" s="93"/>
    </row>
    <row r="302" spans="1:9">
      <c r="A302" s="94"/>
      <c r="I302" s="93"/>
    </row>
    <row r="303" spans="1:9">
      <c r="A303" s="94"/>
      <c r="I303" s="93"/>
    </row>
    <row r="304" spans="1:9">
      <c r="A304" s="94"/>
      <c r="I304" s="93"/>
    </row>
    <row r="305" spans="1:9">
      <c r="A305" s="94"/>
      <c r="I305" s="93"/>
    </row>
    <row r="306" spans="1:9">
      <c r="A306" s="94"/>
      <c r="I306" s="93"/>
    </row>
    <row r="307" spans="1:9">
      <c r="A307" s="94"/>
      <c r="I307" s="93"/>
    </row>
    <row r="308" spans="1:9">
      <c r="A308" s="94"/>
      <c r="I308" s="93"/>
    </row>
    <row r="309" spans="1:9">
      <c r="A309" s="94"/>
      <c r="I309" s="93"/>
    </row>
    <row r="310" spans="1:9">
      <c r="A310" s="94"/>
      <c r="I310" s="93"/>
    </row>
    <row r="311" spans="1:9">
      <c r="A311" s="94"/>
      <c r="I311" s="93"/>
    </row>
    <row r="312" spans="1:9">
      <c r="A312" s="94"/>
      <c r="I312" s="93"/>
    </row>
    <row r="313" spans="1:9">
      <c r="A313" s="94"/>
      <c r="I313" s="93"/>
    </row>
    <row r="314" spans="1:9">
      <c r="A314" s="94"/>
      <c r="I314" s="93"/>
    </row>
    <row r="315" spans="1:9">
      <c r="A315" s="94"/>
      <c r="I315" s="93"/>
    </row>
    <row r="316" spans="1:9">
      <c r="A316" s="94"/>
      <c r="I316" s="93"/>
    </row>
    <row r="317" spans="1:9">
      <c r="A317" s="94"/>
      <c r="I317" s="93"/>
    </row>
    <row r="318" spans="1:9">
      <c r="A318" s="94"/>
      <c r="I318" s="93"/>
    </row>
    <row r="319" spans="1:9">
      <c r="A319" s="94"/>
      <c r="I319" s="93"/>
    </row>
    <row r="320" spans="1:9">
      <c r="A320" s="94"/>
      <c r="I320" s="93"/>
    </row>
    <row r="321" spans="1:9">
      <c r="A321" s="94"/>
      <c r="I321" s="93"/>
    </row>
    <row r="322" spans="1:9">
      <c r="A322" s="94"/>
      <c r="I322" s="93"/>
    </row>
    <row r="323" spans="1:9">
      <c r="A323" s="94"/>
      <c r="I323" s="93"/>
    </row>
    <row r="324" spans="1:9">
      <c r="A324" s="94"/>
      <c r="I324" s="93"/>
    </row>
    <row r="325" spans="1:9">
      <c r="A325" s="94"/>
      <c r="I325" s="93"/>
    </row>
    <row r="326" spans="1:9">
      <c r="A326" s="94"/>
      <c r="I326" s="93"/>
    </row>
    <row r="327" spans="1:9">
      <c r="A327" s="94"/>
      <c r="I327" s="93"/>
    </row>
    <row r="328" spans="1:9">
      <c r="A328" s="94"/>
      <c r="I328" s="93"/>
    </row>
    <row r="329" spans="1:9">
      <c r="A329" s="94"/>
      <c r="I329" s="93"/>
    </row>
    <row r="330" spans="1:9">
      <c r="A330" s="94"/>
      <c r="I330" s="93"/>
    </row>
    <row r="331" spans="1:9">
      <c r="A331" s="94"/>
      <c r="I331" s="93"/>
    </row>
    <row r="332" spans="1:9">
      <c r="A332" s="94"/>
      <c r="I332" s="93"/>
    </row>
    <row r="333" spans="1:9">
      <c r="A333" s="94"/>
      <c r="I333" s="93"/>
    </row>
    <row r="334" spans="1:9">
      <c r="A334" s="94"/>
      <c r="I334" s="93"/>
    </row>
    <row r="335" spans="1:9">
      <c r="A335" s="94"/>
      <c r="I335" s="93"/>
    </row>
    <row r="336" spans="1:9">
      <c r="A336" s="94"/>
      <c r="I336" s="93"/>
    </row>
    <row r="337" spans="1:9">
      <c r="A337" s="94"/>
      <c r="I337" s="93"/>
    </row>
    <row r="338" spans="1:9">
      <c r="A338" s="94"/>
      <c r="I338" s="93"/>
    </row>
    <row r="339" spans="1:9">
      <c r="A339" s="94"/>
      <c r="I339" s="93"/>
    </row>
    <row r="340" spans="1:9">
      <c r="A340" s="94"/>
      <c r="I340" s="93"/>
    </row>
    <row r="341" spans="1:9">
      <c r="A341" s="94"/>
      <c r="I341" s="93"/>
    </row>
    <row r="342" spans="1:9">
      <c r="A342" s="94"/>
      <c r="I342" s="93"/>
    </row>
    <row r="343" spans="1:9">
      <c r="A343" s="94"/>
      <c r="I343" s="93"/>
    </row>
    <row r="344" spans="1:9">
      <c r="A344" s="94"/>
      <c r="I344" s="93"/>
    </row>
    <row r="345" spans="1:9">
      <c r="A345" s="94"/>
      <c r="I345" s="93"/>
    </row>
    <row r="346" spans="1:9">
      <c r="A346" s="94"/>
      <c r="I346" s="93"/>
    </row>
    <row r="347" spans="1:9">
      <c r="A347" s="94"/>
      <c r="I347" s="93"/>
    </row>
    <row r="348" spans="1:9">
      <c r="A348" s="94"/>
      <c r="I348" s="93"/>
    </row>
    <row r="349" spans="1:9">
      <c r="A349" s="94"/>
      <c r="I349" s="93"/>
    </row>
    <row r="350" spans="1:9">
      <c r="A350" s="94"/>
      <c r="I350" s="93"/>
    </row>
    <row r="351" spans="1:9">
      <c r="A351" s="94"/>
      <c r="I351" s="93"/>
    </row>
    <row r="352" spans="1:9">
      <c r="A352" s="94"/>
      <c r="I352" s="93"/>
    </row>
    <row r="353" spans="1:9">
      <c r="A353" s="94"/>
      <c r="I353" s="93"/>
    </row>
    <row r="354" spans="1:9">
      <c r="A354" s="94"/>
      <c r="I354" s="93"/>
    </row>
    <row r="355" spans="1:9">
      <c r="A355" s="94"/>
      <c r="I355" s="93"/>
    </row>
    <row r="356" spans="1:9">
      <c r="A356" s="94"/>
      <c r="I356" s="93"/>
    </row>
    <row r="357" spans="1:9">
      <c r="A357" s="94"/>
      <c r="I357" s="93"/>
    </row>
    <row r="358" spans="1:9">
      <c r="A358" s="94"/>
      <c r="I358" s="93"/>
    </row>
    <row r="359" spans="1:9">
      <c r="A359" s="94"/>
      <c r="I359" s="93"/>
    </row>
    <row r="360" spans="1:9">
      <c r="A360" s="94"/>
      <c r="I360" s="93"/>
    </row>
    <row r="361" spans="1:9">
      <c r="A361" s="94"/>
      <c r="I361" s="93"/>
    </row>
    <row r="362" spans="1:9">
      <c r="A362" s="94"/>
      <c r="I362" s="93"/>
    </row>
    <row r="363" spans="1:9">
      <c r="A363" s="94"/>
      <c r="I363" s="93"/>
    </row>
    <row r="364" spans="1:9">
      <c r="A364" s="94"/>
      <c r="I364" s="93"/>
    </row>
    <row r="365" spans="1:9">
      <c r="A365" s="94"/>
      <c r="I365" s="93"/>
    </row>
    <row r="366" spans="1:9">
      <c r="A366" s="94"/>
      <c r="I366" s="93"/>
    </row>
    <row r="367" spans="1:9">
      <c r="A367" s="94"/>
      <c r="I367" s="93"/>
    </row>
    <row r="368" spans="1:9">
      <c r="A368" s="94"/>
      <c r="I368" s="93"/>
    </row>
    <row r="369" spans="1:9">
      <c r="A369" s="94"/>
      <c r="I369" s="93"/>
    </row>
    <row r="370" spans="1:9">
      <c r="A370" s="94"/>
      <c r="I370" s="93"/>
    </row>
    <row r="371" spans="1:9">
      <c r="A371" s="94"/>
      <c r="I371" s="93"/>
    </row>
    <row r="372" spans="1:9">
      <c r="A372" s="94"/>
      <c r="I372" s="93"/>
    </row>
    <row r="373" spans="1:9">
      <c r="A373" s="94"/>
      <c r="I373" s="93"/>
    </row>
    <row r="374" spans="1:9">
      <c r="A374" s="94"/>
      <c r="I374" s="93"/>
    </row>
    <row r="375" spans="1:9">
      <c r="A375" s="94"/>
      <c r="I375" s="93"/>
    </row>
    <row r="376" spans="1:9">
      <c r="A376" s="94"/>
      <c r="I376" s="93"/>
    </row>
    <row r="377" spans="1:9">
      <c r="A377" s="94"/>
      <c r="I377" s="93"/>
    </row>
    <row r="378" spans="1:9">
      <c r="A378" s="94"/>
      <c r="I378" s="93"/>
    </row>
    <row r="379" spans="1:9">
      <c r="A379" s="94"/>
      <c r="I379" s="93"/>
    </row>
    <row r="380" spans="1:9">
      <c r="A380" s="94"/>
      <c r="I380" s="93"/>
    </row>
    <row r="381" spans="1:9">
      <c r="A381" s="94"/>
      <c r="I381" s="93"/>
    </row>
    <row r="382" spans="1:9">
      <c r="A382" s="94"/>
      <c r="I382" s="93"/>
    </row>
    <row r="383" spans="1:9">
      <c r="A383" s="94"/>
      <c r="I383" s="93"/>
    </row>
    <row r="384" spans="1:9">
      <c r="A384" s="94"/>
      <c r="I384" s="93"/>
    </row>
    <row r="385" spans="1:9">
      <c r="A385" s="94"/>
      <c r="I385" s="93"/>
    </row>
    <row r="386" spans="1:9">
      <c r="A386" s="94"/>
      <c r="I386" s="93"/>
    </row>
    <row r="387" spans="1:9">
      <c r="A387" s="94"/>
      <c r="I387" s="93"/>
    </row>
    <row r="388" spans="1:9">
      <c r="A388" s="94"/>
      <c r="I388" s="93"/>
    </row>
    <row r="389" spans="1:9">
      <c r="A389" s="94"/>
      <c r="I389" s="93"/>
    </row>
    <row r="390" spans="1:9">
      <c r="A390" s="94"/>
      <c r="I390" s="93"/>
    </row>
    <row r="391" spans="1:9">
      <c r="A391" s="94"/>
      <c r="I391" s="93"/>
    </row>
    <row r="392" spans="1:9">
      <c r="A392" s="94"/>
      <c r="I392" s="93"/>
    </row>
    <row r="393" spans="1:9">
      <c r="A393" s="94"/>
      <c r="I393" s="93"/>
    </row>
    <row r="394" spans="1:9">
      <c r="A394" s="94"/>
      <c r="I394" s="93"/>
    </row>
    <row r="395" spans="1:9">
      <c r="A395" s="94"/>
      <c r="I395" s="93"/>
    </row>
    <row r="396" spans="1:9">
      <c r="A396" s="94"/>
      <c r="I396" s="93"/>
    </row>
    <row r="397" spans="1:9">
      <c r="A397" s="94"/>
      <c r="I397" s="93"/>
    </row>
    <row r="398" spans="1:9">
      <c r="A398" s="94"/>
      <c r="I398" s="93"/>
    </row>
    <row r="399" spans="1:9">
      <c r="A399" s="94"/>
      <c r="I399" s="93"/>
    </row>
    <row r="400" spans="1:9">
      <c r="A400" s="94"/>
      <c r="I400" s="93"/>
    </row>
    <row r="401" spans="1:9">
      <c r="A401" s="94"/>
      <c r="I401" s="93"/>
    </row>
    <row r="402" spans="1:9">
      <c r="A402" s="94"/>
      <c r="I402" s="93"/>
    </row>
    <row r="403" spans="1:9">
      <c r="A403" s="94"/>
      <c r="I403" s="93"/>
    </row>
    <row r="404" spans="1:9">
      <c r="A404" s="94"/>
      <c r="I404" s="93"/>
    </row>
    <row r="405" spans="1:9">
      <c r="A405" s="94"/>
      <c r="I405" s="93"/>
    </row>
    <row r="406" spans="1:9">
      <c r="A406" s="94"/>
      <c r="I406" s="93"/>
    </row>
    <row r="407" spans="1:9">
      <c r="A407" s="94"/>
      <c r="I407" s="93"/>
    </row>
    <row r="408" spans="1:9">
      <c r="A408" s="94"/>
      <c r="I408" s="93"/>
    </row>
    <row r="409" spans="1:9">
      <c r="A409" s="94"/>
      <c r="I409" s="93"/>
    </row>
    <row r="410" spans="1:9">
      <c r="A410" s="94"/>
      <c r="I410" s="93"/>
    </row>
    <row r="411" spans="1:9">
      <c r="A411" s="94"/>
      <c r="I411" s="93"/>
    </row>
    <row r="412" spans="1:9">
      <c r="A412" s="94"/>
      <c r="I412" s="93"/>
    </row>
    <row r="413" spans="1:9">
      <c r="A413" s="94"/>
      <c r="I413" s="93"/>
    </row>
    <row r="414" spans="1:9">
      <c r="A414" s="94"/>
      <c r="I414" s="93"/>
    </row>
    <row r="415" spans="1:9">
      <c r="A415" s="94"/>
      <c r="I415" s="93"/>
    </row>
    <row r="416" spans="1:9">
      <c r="A416" s="94"/>
      <c r="I416" s="93"/>
    </row>
    <row r="417" spans="1:9">
      <c r="A417" s="94"/>
      <c r="I417" s="93"/>
    </row>
    <row r="418" spans="1:9">
      <c r="A418" s="94"/>
      <c r="I418" s="93"/>
    </row>
    <row r="419" spans="1:9">
      <c r="A419" s="94"/>
      <c r="I419" s="93"/>
    </row>
    <row r="420" spans="1:9">
      <c r="A420" s="94"/>
      <c r="I420" s="93"/>
    </row>
    <row r="421" spans="1:9">
      <c r="A421" s="94"/>
      <c r="I421" s="93"/>
    </row>
    <row r="422" spans="1:9">
      <c r="A422" s="94"/>
      <c r="I422" s="93"/>
    </row>
    <row r="423" spans="1:9">
      <c r="A423" s="94"/>
      <c r="I423" s="93"/>
    </row>
    <row r="424" spans="1:9">
      <c r="A424" s="94"/>
      <c r="I424" s="93"/>
    </row>
    <row r="425" spans="1:9">
      <c r="A425" s="94"/>
      <c r="I425" s="93"/>
    </row>
    <row r="426" spans="1:9">
      <c r="A426" s="94"/>
      <c r="I426" s="93"/>
    </row>
    <row r="427" spans="1:9">
      <c r="A427" s="94"/>
      <c r="I427" s="93"/>
    </row>
    <row r="428" spans="1:9">
      <c r="A428" s="94"/>
      <c r="I428" s="93"/>
    </row>
    <row r="429" spans="1:9">
      <c r="A429" s="94"/>
      <c r="I429" s="93"/>
    </row>
    <row r="430" spans="1:9">
      <c r="A430" s="94"/>
      <c r="I430" s="93"/>
    </row>
    <row r="431" spans="1:9">
      <c r="A431" s="94"/>
      <c r="I431" s="93"/>
    </row>
    <row r="432" spans="1:9">
      <c r="A432" s="94"/>
      <c r="I432" s="93"/>
    </row>
    <row r="433" spans="1:9">
      <c r="A433" s="94"/>
      <c r="I433" s="93"/>
    </row>
    <row r="434" spans="1:9">
      <c r="A434" s="94"/>
      <c r="I434" s="93"/>
    </row>
    <row r="435" spans="1:9">
      <c r="A435" s="94"/>
      <c r="I435" s="93"/>
    </row>
    <row r="436" spans="1:9">
      <c r="A436" s="94"/>
      <c r="I436" s="93"/>
    </row>
    <row r="437" spans="1:9">
      <c r="A437" s="94"/>
      <c r="I437" s="93"/>
    </row>
    <row r="438" spans="1:9">
      <c r="A438" s="94"/>
      <c r="I438" s="93"/>
    </row>
    <row r="439" spans="1:9">
      <c r="A439" s="94"/>
      <c r="I439" s="93"/>
    </row>
    <row r="440" spans="1:9">
      <c r="A440" s="94"/>
      <c r="I440" s="93"/>
    </row>
    <row r="441" spans="1:9">
      <c r="A441" s="94"/>
      <c r="I441" s="93"/>
    </row>
    <row r="442" spans="1:9">
      <c r="A442" s="94"/>
      <c r="I442" s="93"/>
    </row>
    <row r="443" spans="1:9">
      <c r="A443" s="94"/>
      <c r="I443" s="93"/>
    </row>
    <row r="444" spans="1:9">
      <c r="A444" s="94"/>
      <c r="I444" s="93"/>
    </row>
    <row r="445" spans="1:9">
      <c r="A445" s="94"/>
      <c r="I445" s="93"/>
    </row>
    <row r="446" spans="1:9">
      <c r="A446" s="94"/>
      <c r="I446" s="93"/>
    </row>
    <row r="447" spans="1:9">
      <c r="A447" s="94"/>
      <c r="I447" s="93"/>
    </row>
    <row r="448" spans="1:9">
      <c r="A448" s="94"/>
      <c r="I448" s="93"/>
    </row>
    <row r="449" spans="1:9">
      <c r="A449" s="94"/>
      <c r="I449" s="93"/>
    </row>
    <row r="450" spans="1:9">
      <c r="A450" s="94"/>
      <c r="I450" s="93"/>
    </row>
    <row r="451" spans="1:9">
      <c r="A451" s="94"/>
      <c r="I451" s="93"/>
    </row>
    <row r="452" spans="1:9">
      <c r="A452" s="94"/>
      <c r="I452" s="93"/>
    </row>
    <row r="453" spans="1:9">
      <c r="A453" s="94"/>
      <c r="I453" s="93"/>
    </row>
    <row r="454" spans="1:9">
      <c r="A454" s="94"/>
      <c r="I454" s="93"/>
    </row>
    <row r="455" spans="1:9">
      <c r="A455" s="94"/>
      <c r="I455" s="93"/>
    </row>
    <row r="456" spans="1:9">
      <c r="A456" s="94"/>
      <c r="I456" s="93"/>
    </row>
    <row r="457" spans="1:9">
      <c r="A457" s="94"/>
      <c r="I457" s="93"/>
    </row>
    <row r="458" spans="1:9">
      <c r="A458" s="94"/>
      <c r="I458" s="93"/>
    </row>
    <row r="459" spans="1:9">
      <c r="A459" s="94"/>
      <c r="I459" s="93"/>
    </row>
    <row r="460" spans="1:9">
      <c r="A460" s="94"/>
      <c r="I460" s="93"/>
    </row>
    <row r="461" spans="1:9">
      <c r="A461" s="94"/>
      <c r="I461" s="93"/>
    </row>
    <row r="462" spans="1:9">
      <c r="A462" s="94"/>
      <c r="I462" s="93"/>
    </row>
    <row r="463" spans="1:9">
      <c r="A463" s="94"/>
      <c r="I463" s="93"/>
    </row>
    <row r="464" spans="1:9">
      <c r="A464" s="94"/>
      <c r="I464" s="93"/>
    </row>
    <row r="465" spans="1:9">
      <c r="A465" s="94"/>
      <c r="I465" s="93"/>
    </row>
    <row r="466" spans="1:9">
      <c r="A466" s="94"/>
      <c r="I466" s="93"/>
    </row>
    <row r="467" spans="1:9">
      <c r="A467" s="94"/>
      <c r="I467" s="93"/>
    </row>
    <row r="468" spans="1:9">
      <c r="A468" s="94"/>
      <c r="I468" s="93"/>
    </row>
    <row r="469" spans="1:9">
      <c r="A469" s="94"/>
      <c r="I469" s="93"/>
    </row>
    <row r="470" spans="1:9">
      <c r="A470" s="94"/>
      <c r="I470" s="93"/>
    </row>
    <row r="471" spans="1:9">
      <c r="A471" s="94"/>
      <c r="I471" s="93"/>
    </row>
    <row r="472" spans="1:9">
      <c r="A472" s="94"/>
      <c r="I472" s="93"/>
    </row>
    <row r="473" spans="1:9">
      <c r="A473" s="94"/>
      <c r="I473" s="93"/>
    </row>
    <row r="474" spans="1:9">
      <c r="A474" s="94"/>
      <c r="I474" s="93"/>
    </row>
    <row r="475" spans="1:9">
      <c r="A475" s="94"/>
      <c r="I475" s="93"/>
    </row>
    <row r="476" spans="1:9">
      <c r="A476" s="94"/>
      <c r="I476" s="93"/>
    </row>
    <row r="477" spans="1:9">
      <c r="A477" s="94"/>
      <c r="I477" s="93"/>
    </row>
    <row r="478" spans="1:9">
      <c r="A478" s="94"/>
      <c r="I478" s="93"/>
    </row>
    <row r="479" spans="1:9">
      <c r="A479" s="94"/>
      <c r="I479" s="93"/>
    </row>
    <row r="480" spans="1:9">
      <c r="A480" s="94"/>
      <c r="I480" s="93"/>
    </row>
    <row r="481" spans="1:9">
      <c r="A481" s="94"/>
      <c r="I481" s="93"/>
    </row>
    <row r="482" spans="1:9">
      <c r="A482" s="94"/>
      <c r="I482" s="93"/>
    </row>
    <row r="483" spans="1:9">
      <c r="A483" s="94"/>
      <c r="I483" s="93"/>
    </row>
    <row r="484" spans="1:9">
      <c r="A484" s="94"/>
      <c r="I484" s="93"/>
    </row>
    <row r="485" spans="1:9">
      <c r="A485" s="94"/>
      <c r="I485" s="93"/>
    </row>
    <row r="486" spans="1:9">
      <c r="A486" s="94"/>
      <c r="I486" s="93"/>
    </row>
    <row r="487" spans="1:9">
      <c r="A487" s="94"/>
      <c r="I487" s="93"/>
    </row>
    <row r="488" spans="1:9">
      <c r="A488" s="94"/>
      <c r="I488" s="93"/>
    </row>
    <row r="489" spans="1:9">
      <c r="A489" s="94"/>
      <c r="I489" s="93"/>
    </row>
    <row r="490" spans="1:9">
      <c r="A490" s="94"/>
      <c r="I490" s="93"/>
    </row>
    <row r="491" spans="1:9">
      <c r="A491" s="94"/>
      <c r="I491" s="93"/>
    </row>
    <row r="492" spans="1:9">
      <c r="A492" s="94"/>
      <c r="I492" s="93"/>
    </row>
    <row r="493" spans="1:9">
      <c r="A493" s="94"/>
      <c r="I493" s="93"/>
    </row>
    <row r="494" spans="1:9">
      <c r="A494" s="94"/>
      <c r="I494" s="93"/>
    </row>
    <row r="495" spans="1:9">
      <c r="A495" s="94"/>
      <c r="I495" s="93"/>
    </row>
    <row r="496" spans="1:9">
      <c r="A496" s="94"/>
      <c r="I496" s="93"/>
    </row>
    <row r="497" spans="1:9">
      <c r="A497" s="94"/>
      <c r="I497" s="93"/>
    </row>
    <row r="498" spans="1:9">
      <c r="A498" s="94"/>
      <c r="I498" s="93"/>
    </row>
    <row r="499" spans="1:9">
      <c r="A499" s="94"/>
      <c r="I499" s="93"/>
    </row>
    <row r="500" spans="1:9">
      <c r="A500" s="94"/>
      <c r="I500" s="93"/>
    </row>
    <row r="501" spans="1:9">
      <c r="A501" s="94"/>
      <c r="I501" s="93"/>
    </row>
    <row r="502" spans="1:9">
      <c r="A502" s="94"/>
      <c r="I502" s="93"/>
    </row>
    <row r="503" spans="1:9">
      <c r="A503" s="94"/>
      <c r="I503" s="93"/>
    </row>
    <row r="504" spans="1:9">
      <c r="A504" s="94"/>
      <c r="I504" s="93"/>
    </row>
    <row r="505" spans="1:9">
      <c r="A505" s="94"/>
      <c r="I505" s="93"/>
    </row>
    <row r="506" spans="1:9">
      <c r="A506" s="94"/>
      <c r="I506" s="93"/>
    </row>
    <row r="507" spans="1:9">
      <c r="A507" s="94"/>
      <c r="I507" s="93"/>
    </row>
    <row r="508" spans="1:9">
      <c r="A508" s="94"/>
      <c r="I508" s="93"/>
    </row>
    <row r="509" spans="1:9">
      <c r="A509" s="94"/>
      <c r="I509" s="93"/>
    </row>
    <row r="510" spans="1:9">
      <c r="A510" s="94"/>
      <c r="I510" s="93"/>
    </row>
    <row r="511" spans="1:9">
      <c r="A511" s="94"/>
      <c r="I511" s="93"/>
    </row>
    <row r="512" spans="1:9">
      <c r="A512" s="94"/>
      <c r="I512" s="93"/>
    </row>
    <row r="513" spans="1:9">
      <c r="A513" s="94"/>
      <c r="I513" s="93"/>
    </row>
    <row r="514" spans="1:9">
      <c r="A514" s="94"/>
      <c r="I514" s="93"/>
    </row>
    <row r="515" spans="1:9">
      <c r="A515" s="94"/>
      <c r="I515" s="93"/>
    </row>
    <row r="516" spans="1:9">
      <c r="A516" s="94"/>
      <c r="I516" s="93"/>
    </row>
    <row r="517" spans="1:9">
      <c r="A517" s="94"/>
      <c r="I517" s="93"/>
    </row>
    <row r="518" spans="1:9">
      <c r="A518" s="94"/>
      <c r="I518" s="93"/>
    </row>
    <row r="519" spans="1:9">
      <c r="A519" s="94"/>
      <c r="I519" s="93"/>
    </row>
    <row r="520" spans="1:9">
      <c r="A520" s="94"/>
      <c r="I520" s="93"/>
    </row>
    <row r="521" spans="1:9">
      <c r="A521" s="94"/>
      <c r="I521" s="93"/>
    </row>
    <row r="522" spans="1:9">
      <c r="A522" s="94"/>
      <c r="I522" s="93"/>
    </row>
    <row r="523" spans="1:9">
      <c r="A523" s="94"/>
      <c r="I523" s="93"/>
    </row>
    <row r="524" spans="1:9">
      <c r="A524" s="94"/>
      <c r="I524" s="93"/>
    </row>
    <row r="525" spans="1:9">
      <c r="A525" s="94"/>
      <c r="I525" s="93"/>
    </row>
    <row r="526" spans="1:9">
      <c r="A526" s="94"/>
      <c r="I526" s="93"/>
    </row>
    <row r="527" spans="1:9">
      <c r="A527" s="94"/>
      <c r="I527" s="93"/>
    </row>
    <row r="528" spans="1:9">
      <c r="A528" s="94"/>
      <c r="I528" s="93"/>
    </row>
    <row r="529" spans="1:9">
      <c r="A529" s="94"/>
      <c r="I529" s="93"/>
    </row>
    <row r="530" spans="1:9">
      <c r="A530" s="94"/>
      <c r="I530" s="93"/>
    </row>
    <row r="531" spans="1:9">
      <c r="A531" s="94"/>
      <c r="I531" s="93"/>
    </row>
    <row r="532" spans="1:9">
      <c r="A532" s="94"/>
      <c r="I532" s="93"/>
    </row>
    <row r="533" spans="1:9">
      <c r="A533" s="94"/>
      <c r="I533" s="93"/>
    </row>
    <row r="534" spans="1:9">
      <c r="A534" s="94"/>
      <c r="I534" s="93"/>
    </row>
    <row r="535" spans="1:9">
      <c r="A535" s="94"/>
      <c r="I535" s="93"/>
    </row>
    <row r="536" spans="1:9">
      <c r="A536" s="94"/>
      <c r="I536" s="93"/>
    </row>
    <row r="537" spans="1:9">
      <c r="A537" s="94"/>
      <c r="I537" s="93"/>
    </row>
    <row r="538" spans="1:9">
      <c r="A538" s="94"/>
      <c r="I538" s="93"/>
    </row>
    <row r="539" spans="1:9">
      <c r="A539" s="94"/>
      <c r="I539" s="93"/>
    </row>
    <row r="540" spans="1:9">
      <c r="A540" s="94"/>
      <c r="I540" s="93"/>
    </row>
    <row r="541" spans="1:9">
      <c r="A541" s="94"/>
      <c r="I541" s="93"/>
    </row>
    <row r="542" spans="1:9">
      <c r="A542" s="94"/>
      <c r="I542" s="93"/>
    </row>
    <row r="543" spans="1:9">
      <c r="A543" s="94"/>
      <c r="I543" s="93"/>
    </row>
    <row r="544" spans="1:9">
      <c r="A544" s="94"/>
      <c r="I544" s="93"/>
    </row>
    <row r="545" spans="1:9">
      <c r="A545" s="94"/>
      <c r="I545" s="93"/>
    </row>
    <row r="546" spans="1:9">
      <c r="A546" s="94"/>
      <c r="I546" s="93"/>
    </row>
    <row r="547" spans="1:9">
      <c r="A547" s="94"/>
      <c r="I547" s="93"/>
    </row>
    <row r="548" spans="1:9">
      <c r="A548" s="94"/>
      <c r="I548" s="93"/>
    </row>
    <row r="549" spans="1:9">
      <c r="A549" s="94"/>
      <c r="I549" s="93"/>
    </row>
    <row r="550" spans="1:9">
      <c r="A550" s="94"/>
      <c r="I550" s="93"/>
    </row>
    <row r="551" spans="1:9">
      <c r="A551" s="94"/>
      <c r="I551" s="93"/>
    </row>
    <row r="552" spans="1:9">
      <c r="A552" s="94"/>
      <c r="I552" s="93"/>
    </row>
    <row r="553" spans="1:9">
      <c r="A553" s="94"/>
      <c r="I553" s="93"/>
    </row>
    <row r="554" spans="1:9">
      <c r="A554" s="94"/>
      <c r="I554" s="93"/>
    </row>
    <row r="555" spans="1:9">
      <c r="A555" s="94"/>
      <c r="I555" s="93"/>
    </row>
    <row r="556" spans="1:9">
      <c r="A556" s="94"/>
      <c r="I556" s="93"/>
    </row>
    <row r="557" spans="1:9">
      <c r="A557" s="94"/>
      <c r="I557" s="93"/>
    </row>
    <row r="558" spans="1:9">
      <c r="A558" s="94"/>
      <c r="I558" s="93"/>
    </row>
    <row r="559" spans="1:9">
      <c r="A559" s="94"/>
      <c r="I559" s="93"/>
    </row>
    <row r="560" spans="1:9">
      <c r="A560" s="94"/>
      <c r="I560" s="93"/>
    </row>
    <row r="561" spans="1:9">
      <c r="A561" s="94"/>
      <c r="I561" s="93"/>
    </row>
    <row r="562" spans="1:9">
      <c r="A562" s="94"/>
      <c r="I562" s="93"/>
    </row>
    <row r="563" spans="1:9">
      <c r="A563" s="94"/>
      <c r="I563" s="93"/>
    </row>
    <row r="564" spans="1:9">
      <c r="A564" s="94"/>
      <c r="I564" s="93"/>
    </row>
    <row r="565" spans="1:9">
      <c r="A565" s="94"/>
      <c r="I565" s="93"/>
    </row>
    <row r="566" spans="1:9">
      <c r="A566" s="94"/>
      <c r="I566" s="93"/>
    </row>
    <row r="567" spans="1:9">
      <c r="A567" s="94"/>
      <c r="I567" s="93"/>
    </row>
    <row r="568" spans="1:9">
      <c r="A568" s="94"/>
      <c r="I568" s="93"/>
    </row>
    <row r="569" spans="1:9">
      <c r="A569" s="94"/>
      <c r="I569" s="93"/>
    </row>
    <row r="570" spans="1:9">
      <c r="A570" s="94"/>
      <c r="I570" s="93"/>
    </row>
    <row r="571" spans="1:9">
      <c r="A571" s="94"/>
      <c r="I571" s="93"/>
    </row>
    <row r="572" spans="1:9">
      <c r="A572" s="94"/>
      <c r="I572" s="93"/>
    </row>
    <row r="573" spans="1:9">
      <c r="A573" s="94"/>
      <c r="I573" s="93"/>
    </row>
    <row r="574" spans="1:9">
      <c r="A574" s="94"/>
      <c r="I574" s="93"/>
    </row>
    <row r="575" spans="1:9">
      <c r="A575" s="94"/>
      <c r="I575" s="93"/>
    </row>
    <row r="576" spans="1:9">
      <c r="A576" s="94"/>
      <c r="I576" s="93"/>
    </row>
    <row r="577" spans="1:9">
      <c r="A577" s="94"/>
      <c r="I577" s="93"/>
    </row>
    <row r="578" spans="1:9">
      <c r="A578" s="94"/>
      <c r="I578" s="93"/>
    </row>
    <row r="579" spans="1:9">
      <c r="A579" s="94"/>
      <c r="I579" s="93"/>
    </row>
    <row r="580" spans="1:9">
      <c r="A580" s="94"/>
      <c r="I580" s="93"/>
    </row>
    <row r="581" spans="1:9">
      <c r="A581" s="94"/>
      <c r="I581" s="93"/>
    </row>
    <row r="582" spans="1:9">
      <c r="A582" s="94"/>
      <c r="I582" s="93"/>
    </row>
    <row r="583" spans="1:9">
      <c r="A583" s="94"/>
      <c r="I583" s="93"/>
    </row>
    <row r="584" spans="1:9">
      <c r="A584" s="94"/>
      <c r="I584" s="93"/>
    </row>
    <row r="585" spans="1:9">
      <c r="A585" s="94"/>
      <c r="I585" s="93"/>
    </row>
    <row r="586" spans="1:9">
      <c r="A586" s="94"/>
      <c r="I586" s="93"/>
    </row>
    <row r="587" spans="1:9">
      <c r="A587" s="94"/>
      <c r="I587" s="93"/>
    </row>
    <row r="588" spans="1:9">
      <c r="A588" s="94"/>
      <c r="I588" s="93"/>
    </row>
    <row r="589" spans="1:9">
      <c r="A589" s="94"/>
      <c r="I589" s="93"/>
    </row>
    <row r="590" spans="1:9">
      <c r="A590" s="94"/>
      <c r="I590" s="93"/>
    </row>
    <row r="591" spans="1:9">
      <c r="A591" s="94"/>
      <c r="I591" s="93"/>
    </row>
    <row r="592" spans="1:9">
      <c r="A592" s="94"/>
      <c r="I592" s="93"/>
    </row>
    <row r="593" spans="1:9">
      <c r="A593" s="94"/>
      <c r="I593" s="93"/>
    </row>
    <row r="594" spans="1:9">
      <c r="A594" s="94"/>
      <c r="I594" s="93"/>
    </row>
    <row r="595" spans="1:9">
      <c r="A595" s="94"/>
      <c r="I595" s="93"/>
    </row>
    <row r="596" spans="1:9">
      <c r="A596" s="94"/>
      <c r="I596" s="93"/>
    </row>
    <row r="597" spans="1:9">
      <c r="A597" s="94"/>
      <c r="I597" s="93"/>
    </row>
    <row r="598" spans="1:9">
      <c r="A598" s="94"/>
      <c r="I598" s="93"/>
    </row>
    <row r="599" spans="1:9">
      <c r="A599" s="94"/>
      <c r="I599" s="93"/>
    </row>
    <row r="600" spans="1:9">
      <c r="A600" s="94"/>
      <c r="I600" s="93"/>
    </row>
    <row r="601" spans="1:9">
      <c r="A601" s="94"/>
      <c r="I601" s="93"/>
    </row>
    <row r="602" spans="1:9">
      <c r="A602" s="94"/>
      <c r="I602" s="93"/>
    </row>
    <row r="603" spans="1:9">
      <c r="A603" s="94"/>
      <c r="I603" s="93"/>
    </row>
    <row r="604" spans="1:9">
      <c r="A604" s="94"/>
      <c r="I604" s="93"/>
    </row>
    <row r="605" spans="1:9">
      <c r="A605" s="94"/>
      <c r="I605" s="93"/>
    </row>
    <row r="606" spans="1:9">
      <c r="A606" s="94"/>
      <c r="I606" s="93"/>
    </row>
    <row r="607" spans="1:9">
      <c r="A607" s="94"/>
      <c r="I607" s="93"/>
    </row>
    <row r="608" spans="1:9">
      <c r="A608" s="94"/>
      <c r="I608" s="93"/>
    </row>
    <row r="609" spans="1:9">
      <c r="A609" s="94"/>
      <c r="I609" s="93"/>
    </row>
    <row r="610" spans="1:9">
      <c r="A610" s="94"/>
      <c r="I610" s="93"/>
    </row>
    <row r="611" spans="1:9">
      <c r="A611" s="94"/>
      <c r="I611" s="93"/>
    </row>
    <row r="612" spans="1:9">
      <c r="A612" s="94"/>
      <c r="I612" s="93"/>
    </row>
    <row r="613" spans="1:9">
      <c r="A613" s="94"/>
      <c r="I613" s="93"/>
    </row>
    <row r="614" spans="1:9">
      <c r="A614" s="94"/>
      <c r="I614" s="93"/>
    </row>
    <row r="615" spans="1:9">
      <c r="A615" s="94"/>
      <c r="I615" s="93"/>
    </row>
    <row r="616" spans="1:9">
      <c r="A616" s="94"/>
      <c r="I616" s="93"/>
    </row>
    <row r="617" spans="1:9">
      <c r="A617" s="94"/>
      <c r="I617" s="93"/>
    </row>
    <row r="618" spans="1:9">
      <c r="A618" s="94"/>
      <c r="I618" s="93"/>
    </row>
    <row r="619" spans="1:9">
      <c r="A619" s="94"/>
      <c r="I619" s="93"/>
    </row>
    <row r="620" spans="1:9">
      <c r="A620" s="94"/>
      <c r="I620" s="93"/>
    </row>
    <row r="621" spans="1:9">
      <c r="A621" s="94"/>
      <c r="I621" s="93"/>
    </row>
    <row r="622" spans="1:9">
      <c r="A622" s="94"/>
      <c r="I622" s="93"/>
    </row>
    <row r="623" spans="1:9">
      <c r="A623" s="94"/>
      <c r="I623" s="93"/>
    </row>
    <row r="624" spans="1:9">
      <c r="A624" s="94"/>
      <c r="I624" s="93"/>
    </row>
    <row r="625" spans="1:9">
      <c r="A625" s="94"/>
      <c r="I625" s="93"/>
    </row>
    <row r="626" spans="1:9">
      <c r="A626" s="94"/>
      <c r="I626" s="93"/>
    </row>
    <row r="627" spans="1:9">
      <c r="A627" s="94"/>
      <c r="I627" s="93"/>
    </row>
    <row r="628" spans="1:9">
      <c r="A628" s="94"/>
      <c r="I628" s="93"/>
    </row>
    <row r="629" spans="1:9">
      <c r="A629" s="94"/>
      <c r="I629" s="93"/>
    </row>
    <row r="630" spans="1:9">
      <c r="A630" s="94"/>
      <c r="I630" s="93"/>
    </row>
    <row r="631" spans="1:9">
      <c r="A631" s="94"/>
      <c r="I631" s="93"/>
    </row>
    <row r="632" spans="1:9">
      <c r="A632" s="94"/>
      <c r="I632" s="93"/>
    </row>
    <row r="633" spans="1:9">
      <c r="A633" s="94"/>
      <c r="I633" s="93"/>
    </row>
    <row r="634" spans="1:9">
      <c r="A634" s="94"/>
      <c r="I634" s="93"/>
    </row>
    <row r="635" spans="1:9">
      <c r="A635" s="94"/>
      <c r="I635" s="93"/>
    </row>
    <row r="636" spans="1:9">
      <c r="A636" s="94"/>
      <c r="I636" s="93"/>
    </row>
    <row r="637" spans="1:9">
      <c r="A637" s="94"/>
      <c r="I637" s="93"/>
    </row>
    <row r="638" spans="1:9">
      <c r="A638" s="94"/>
      <c r="I638" s="93"/>
    </row>
    <row r="639" spans="1:9">
      <c r="A639" s="94"/>
      <c r="I639" s="93"/>
    </row>
    <row r="640" spans="1:9">
      <c r="A640" s="94"/>
      <c r="I640" s="93"/>
    </row>
    <row r="641" spans="1:9">
      <c r="A641" s="94"/>
      <c r="I641" s="93"/>
    </row>
    <row r="642" spans="1:9">
      <c r="A642" s="94"/>
      <c r="I642" s="93"/>
    </row>
    <row r="643" spans="1:9">
      <c r="A643" s="94"/>
      <c r="I643" s="93"/>
    </row>
    <row r="644" spans="1:9">
      <c r="A644" s="94"/>
      <c r="I644" s="93"/>
    </row>
    <row r="645" spans="1:9">
      <c r="A645" s="94"/>
      <c r="I645" s="93"/>
    </row>
    <row r="646" spans="1:9">
      <c r="A646" s="94"/>
      <c r="I646" s="93"/>
    </row>
    <row r="647" spans="1:9">
      <c r="A647" s="94"/>
      <c r="I647" s="93"/>
    </row>
    <row r="648" spans="1:9">
      <c r="A648" s="94"/>
      <c r="I648" s="93"/>
    </row>
    <row r="649" spans="1:9">
      <c r="A649" s="94"/>
      <c r="I649" s="93"/>
    </row>
    <row r="650" spans="1:9">
      <c r="A650" s="94"/>
      <c r="I650" s="93"/>
    </row>
    <row r="651" spans="1:9">
      <c r="A651" s="94"/>
      <c r="I651" s="93"/>
    </row>
    <row r="652" spans="1:9">
      <c r="A652" s="94"/>
      <c r="I652" s="93"/>
    </row>
    <row r="653" spans="1:9">
      <c r="A653" s="94"/>
      <c r="I653" s="93"/>
    </row>
    <row r="654" spans="1:9">
      <c r="A654" s="94"/>
      <c r="I654" s="93"/>
    </row>
    <row r="655" spans="1:9">
      <c r="A655" s="94"/>
      <c r="I655" s="93"/>
    </row>
    <row r="656" spans="1:9">
      <c r="A656" s="94"/>
      <c r="I656" s="93"/>
    </row>
    <row r="657" spans="1:9">
      <c r="A657" s="94"/>
      <c r="I657" s="93"/>
    </row>
    <row r="658" spans="1:9">
      <c r="A658" s="94"/>
      <c r="I658" s="93"/>
    </row>
    <row r="659" spans="1:9">
      <c r="A659" s="94"/>
      <c r="I659" s="93"/>
    </row>
    <row r="660" spans="1:9">
      <c r="A660" s="94"/>
      <c r="I660" s="93"/>
    </row>
    <row r="661" spans="1:9">
      <c r="A661" s="94"/>
      <c r="I661" s="93"/>
    </row>
    <row r="662" spans="1:9">
      <c r="A662" s="94"/>
      <c r="I662" s="93"/>
    </row>
    <row r="663" spans="1:9">
      <c r="A663" s="94"/>
      <c r="I663" s="93"/>
    </row>
    <row r="664" spans="1:9">
      <c r="A664" s="94"/>
      <c r="I664" s="93"/>
    </row>
    <row r="665" spans="1:9">
      <c r="A665" s="94"/>
      <c r="I665" s="93"/>
    </row>
    <row r="666" spans="1:9">
      <c r="A666" s="94"/>
      <c r="I666" s="93"/>
    </row>
    <row r="667" spans="1:9">
      <c r="A667" s="94"/>
      <c r="I667" s="93"/>
    </row>
    <row r="668" spans="1:9">
      <c r="A668" s="94"/>
      <c r="I668" s="93"/>
    </row>
    <row r="669" spans="1:9">
      <c r="A669" s="94"/>
      <c r="I669" s="93"/>
    </row>
    <row r="670" spans="1:9">
      <c r="A670" s="94"/>
      <c r="I670" s="93"/>
    </row>
    <row r="671" spans="1:9">
      <c r="A671" s="94"/>
      <c r="I671" s="93"/>
    </row>
    <row r="672" spans="1:9">
      <c r="A672" s="94"/>
      <c r="I672" s="93"/>
    </row>
    <row r="673" spans="1:9">
      <c r="A673" s="94"/>
      <c r="I673" s="93"/>
    </row>
    <row r="674" spans="1:9">
      <c r="A674" s="94"/>
      <c r="I674" s="93"/>
    </row>
    <row r="675" spans="1:9">
      <c r="A675" s="94"/>
      <c r="I675" s="93"/>
    </row>
    <row r="676" spans="1:9">
      <c r="A676" s="94"/>
      <c r="I676" s="93"/>
    </row>
    <row r="677" spans="1:9">
      <c r="A677" s="94"/>
      <c r="I677" s="93"/>
    </row>
    <row r="678" spans="1:9">
      <c r="A678" s="94"/>
      <c r="I678" s="93"/>
    </row>
    <row r="679" spans="1:9">
      <c r="A679" s="94"/>
      <c r="I679" s="93"/>
    </row>
    <row r="680" spans="1:9">
      <c r="A680" s="94"/>
      <c r="I680" s="93"/>
    </row>
    <row r="681" spans="1:9">
      <c r="A681" s="94"/>
      <c r="I681" s="93"/>
    </row>
    <row r="682" spans="1:9">
      <c r="A682" s="94"/>
      <c r="I682" s="93"/>
    </row>
    <row r="683" spans="1:9">
      <c r="A683" s="94"/>
      <c r="I683" s="93"/>
    </row>
    <row r="684" spans="1:9">
      <c r="A684" s="94"/>
      <c r="I684" s="93"/>
    </row>
    <row r="685" spans="1:9">
      <c r="A685" s="94"/>
      <c r="I685" s="93"/>
    </row>
    <row r="686" spans="1:9">
      <c r="A686" s="94"/>
      <c r="I686" s="93"/>
    </row>
    <row r="687" spans="1:9">
      <c r="A687" s="94"/>
      <c r="I687" s="93"/>
    </row>
    <row r="688" spans="1:9">
      <c r="A688" s="94"/>
      <c r="I688" s="93"/>
    </row>
    <row r="689" spans="1:9">
      <c r="A689" s="94"/>
      <c r="I689" s="93"/>
    </row>
    <row r="690" spans="1:9">
      <c r="A690" s="94"/>
      <c r="I690" s="93"/>
    </row>
    <row r="691" spans="1:9">
      <c r="A691" s="94"/>
      <c r="I691" s="93"/>
    </row>
    <row r="692" spans="1:9">
      <c r="A692" s="94"/>
      <c r="I692" s="93"/>
    </row>
    <row r="693" spans="1:9">
      <c r="A693" s="94"/>
      <c r="I693" s="93"/>
    </row>
    <row r="694" spans="1:9">
      <c r="A694" s="94"/>
      <c r="I694" s="93"/>
    </row>
    <row r="695" spans="1:9">
      <c r="A695" s="94"/>
      <c r="I695" s="93"/>
    </row>
    <row r="696" spans="1:9">
      <c r="A696" s="94"/>
      <c r="I696" s="93"/>
    </row>
    <row r="697" spans="1:9">
      <c r="A697" s="94"/>
      <c r="I697" s="93"/>
    </row>
    <row r="698" spans="1:9">
      <c r="A698" s="94"/>
      <c r="I698" s="93"/>
    </row>
    <row r="699" spans="1:9">
      <c r="A699" s="94"/>
      <c r="I699" s="93"/>
    </row>
    <row r="700" spans="1:9">
      <c r="A700" s="94"/>
      <c r="I700" s="93"/>
    </row>
    <row r="701" spans="1:9">
      <c r="A701" s="94"/>
      <c r="I701" s="93"/>
    </row>
    <row r="702" spans="1:9">
      <c r="A702" s="94"/>
      <c r="I702" s="93"/>
    </row>
    <row r="703" spans="1:9">
      <c r="A703" s="94"/>
      <c r="I703" s="93"/>
    </row>
    <row r="704" spans="1:9">
      <c r="A704" s="94"/>
      <c r="I704" s="93"/>
    </row>
    <row r="705" spans="1:9">
      <c r="A705" s="94"/>
      <c r="I705" s="93"/>
    </row>
    <row r="706" spans="1:9">
      <c r="A706" s="94"/>
      <c r="I706" s="93"/>
    </row>
    <row r="707" spans="1:9">
      <c r="A707" s="94"/>
      <c r="I707" s="93"/>
    </row>
    <row r="708" spans="1:9">
      <c r="A708" s="94"/>
      <c r="I708" s="93"/>
    </row>
    <row r="709" spans="1:9">
      <c r="A709" s="94"/>
      <c r="I709" s="93"/>
    </row>
    <row r="710" spans="1:9">
      <c r="A710" s="94"/>
      <c r="I710" s="93"/>
    </row>
    <row r="711" spans="1:9">
      <c r="A711" s="94"/>
      <c r="I711" s="93"/>
    </row>
    <row r="712" spans="1:9">
      <c r="A712" s="94"/>
      <c r="I712" s="93"/>
    </row>
    <row r="713" spans="1:9">
      <c r="A713" s="94"/>
      <c r="I713" s="93"/>
    </row>
    <row r="714" spans="1:9">
      <c r="A714" s="94"/>
      <c r="I714" s="93"/>
    </row>
    <row r="715" spans="1:9">
      <c r="A715" s="94"/>
      <c r="I715" s="93"/>
    </row>
    <row r="716" spans="1:9">
      <c r="A716" s="94"/>
      <c r="I716" s="93"/>
    </row>
    <row r="717" spans="1:9">
      <c r="A717" s="94"/>
      <c r="I717" s="93"/>
    </row>
    <row r="718" spans="1:9">
      <c r="A718" s="94"/>
      <c r="I718" s="93"/>
    </row>
    <row r="719" spans="1:9">
      <c r="A719" s="94"/>
      <c r="I719" s="93"/>
    </row>
    <row r="720" spans="1:9">
      <c r="A720" s="94"/>
      <c r="I720" s="93"/>
    </row>
    <row r="721" spans="1:9">
      <c r="A721" s="94"/>
      <c r="I721" s="93"/>
    </row>
    <row r="722" spans="1:9">
      <c r="A722" s="94"/>
      <c r="I722" s="93"/>
    </row>
    <row r="723" spans="1:9">
      <c r="A723" s="94"/>
      <c r="I723" s="93"/>
    </row>
    <row r="724" spans="1:9">
      <c r="A724" s="94"/>
      <c r="I724" s="93"/>
    </row>
    <row r="725" spans="1:9">
      <c r="A725" s="94"/>
      <c r="I725" s="93"/>
    </row>
    <row r="726" spans="1:9">
      <c r="A726" s="94"/>
      <c r="I726" s="93"/>
    </row>
    <row r="727" spans="1:9">
      <c r="A727" s="94"/>
      <c r="I727" s="93"/>
    </row>
    <row r="728" spans="1:9">
      <c r="A728" s="94"/>
      <c r="I728" s="93"/>
    </row>
    <row r="729" spans="1:9">
      <c r="A729" s="94"/>
      <c r="I729" s="93"/>
    </row>
    <row r="730" spans="1:9">
      <c r="A730" s="94"/>
      <c r="I730" s="93"/>
    </row>
    <row r="731" spans="1:9">
      <c r="A731" s="94"/>
      <c r="I731" s="93"/>
    </row>
    <row r="732" spans="1:9">
      <c r="A732" s="94"/>
      <c r="I732" s="93"/>
    </row>
    <row r="733" spans="1:9">
      <c r="A733" s="94"/>
      <c r="I733" s="93"/>
    </row>
    <row r="734" spans="1:9">
      <c r="A734" s="94"/>
      <c r="I734" s="93"/>
    </row>
    <row r="735" spans="1:9">
      <c r="A735" s="94"/>
      <c r="I735" s="93"/>
    </row>
    <row r="736" spans="1:9">
      <c r="A736" s="94"/>
      <c r="I736" s="93"/>
    </row>
    <row r="737" spans="1:9">
      <c r="A737" s="94"/>
      <c r="I737" s="93"/>
    </row>
    <row r="738" spans="1:9">
      <c r="A738" s="94"/>
      <c r="I738" s="93"/>
    </row>
    <row r="739" spans="1:9">
      <c r="A739" s="94"/>
      <c r="I739" s="93"/>
    </row>
    <row r="740" spans="1:9">
      <c r="A740" s="94"/>
      <c r="I740" s="93"/>
    </row>
    <row r="741" spans="1:9">
      <c r="A741" s="94"/>
      <c r="I741" s="93"/>
    </row>
    <row r="742" spans="1:9">
      <c r="A742" s="94"/>
      <c r="I742" s="93"/>
    </row>
    <row r="743" spans="1:9">
      <c r="A743" s="94"/>
      <c r="I743" s="93"/>
    </row>
    <row r="744" spans="1:9">
      <c r="A744" s="94"/>
      <c r="I744" s="93"/>
    </row>
    <row r="745" spans="1:9">
      <c r="A745" s="94"/>
      <c r="I745" s="93"/>
    </row>
    <row r="746" spans="1:9">
      <c r="A746" s="94"/>
      <c r="I746" s="93"/>
    </row>
    <row r="747" spans="1:9">
      <c r="A747" s="94"/>
      <c r="I747" s="93"/>
    </row>
    <row r="748" spans="1:9">
      <c r="A748" s="94"/>
      <c r="I748" s="93"/>
    </row>
    <row r="749" spans="1:9">
      <c r="A749" s="94"/>
      <c r="I749" s="93"/>
    </row>
    <row r="750" spans="1:9">
      <c r="A750" s="94"/>
      <c r="I750" s="93"/>
    </row>
    <row r="751" spans="1:9">
      <c r="A751" s="94"/>
      <c r="I751" s="93"/>
    </row>
    <row r="752" spans="1:9">
      <c r="A752" s="94"/>
      <c r="I752" s="93"/>
    </row>
    <row r="753" spans="1:9">
      <c r="A753" s="94"/>
      <c r="I753" s="93"/>
    </row>
    <row r="754" spans="1:9">
      <c r="A754" s="94"/>
      <c r="I754" s="93"/>
    </row>
    <row r="755" spans="1:9">
      <c r="A755" s="94"/>
      <c r="I755" s="93"/>
    </row>
    <row r="756" spans="1:9">
      <c r="A756" s="94"/>
      <c r="I756" s="93"/>
    </row>
    <row r="757" spans="1:9">
      <c r="A757" s="94"/>
      <c r="I757" s="93"/>
    </row>
    <row r="758" spans="1:9">
      <c r="A758" s="94"/>
      <c r="I758" s="93"/>
    </row>
    <row r="759" spans="1:9">
      <c r="A759" s="94"/>
      <c r="I759" s="93"/>
    </row>
    <row r="760" spans="1:9">
      <c r="A760" s="94"/>
      <c r="I760" s="93"/>
    </row>
    <row r="761" spans="1:9">
      <c r="A761" s="94"/>
      <c r="I761" s="93"/>
    </row>
    <row r="762" spans="1:9">
      <c r="A762" s="94"/>
      <c r="I762" s="93"/>
    </row>
    <row r="763" spans="1:9">
      <c r="A763" s="94"/>
      <c r="I763" s="93"/>
    </row>
    <row r="764" spans="1:9">
      <c r="A764" s="94"/>
      <c r="I764" s="93"/>
    </row>
    <row r="765" spans="1:9">
      <c r="A765" s="94"/>
      <c r="I765" s="93"/>
    </row>
    <row r="766" spans="1:9">
      <c r="A766" s="94"/>
      <c r="I766" s="93"/>
    </row>
    <row r="767" spans="1:9">
      <c r="A767" s="94"/>
      <c r="I767" s="93"/>
    </row>
    <row r="768" spans="1:9">
      <c r="A768" s="94"/>
      <c r="I768" s="93"/>
    </row>
    <row r="769" spans="1:9">
      <c r="A769" s="94"/>
      <c r="I769" s="93"/>
    </row>
    <row r="770" spans="1:9">
      <c r="A770" s="94"/>
      <c r="I770" s="93"/>
    </row>
    <row r="771" spans="1:9">
      <c r="A771" s="94"/>
      <c r="I771" s="93"/>
    </row>
    <row r="772" spans="1:9">
      <c r="A772" s="94"/>
      <c r="I772" s="93"/>
    </row>
    <row r="773" spans="1:9">
      <c r="A773" s="94"/>
      <c r="I773" s="93"/>
    </row>
    <row r="774" spans="1:9">
      <c r="A774" s="94"/>
      <c r="I774" s="93"/>
    </row>
    <row r="775" spans="1:9">
      <c r="A775" s="94"/>
      <c r="I775" s="93"/>
    </row>
    <row r="776" spans="1:9">
      <c r="A776" s="94"/>
      <c r="I776" s="93"/>
    </row>
    <row r="777" spans="1:9">
      <c r="A777" s="94"/>
      <c r="I777" s="93"/>
    </row>
    <row r="778" spans="1:9">
      <c r="A778" s="94"/>
      <c r="I778" s="93"/>
    </row>
    <row r="779" spans="1:9">
      <c r="A779" s="94"/>
      <c r="I779" s="93"/>
    </row>
    <row r="780" spans="1:9">
      <c r="A780" s="94"/>
      <c r="I780" s="93"/>
    </row>
    <row r="781" spans="1:9">
      <c r="A781" s="94"/>
      <c r="I781" s="93"/>
    </row>
    <row r="782" spans="1:9">
      <c r="A782" s="94"/>
      <c r="I782" s="93"/>
    </row>
    <row r="783" spans="1:9">
      <c r="A783" s="94"/>
      <c r="I783" s="93"/>
    </row>
    <row r="784" spans="1:9">
      <c r="A784" s="94"/>
      <c r="I784" s="93"/>
    </row>
    <row r="785" spans="1:9">
      <c r="A785" s="94"/>
      <c r="I785" s="93"/>
    </row>
    <row r="786" spans="1:9">
      <c r="A786" s="94"/>
      <c r="I786" s="93"/>
    </row>
    <row r="787" spans="1:9">
      <c r="A787" s="94"/>
      <c r="I787" s="93"/>
    </row>
    <row r="788" spans="1:9">
      <c r="A788" s="94"/>
      <c r="I788" s="93"/>
    </row>
    <row r="789" spans="1:9">
      <c r="A789" s="94"/>
      <c r="I789" s="93"/>
    </row>
    <row r="790" spans="1:9">
      <c r="A790" s="94"/>
      <c r="I790" s="93"/>
    </row>
    <row r="791" spans="1:9">
      <c r="A791" s="94"/>
      <c r="I791" s="93"/>
    </row>
    <row r="792" spans="1:9">
      <c r="A792" s="94"/>
      <c r="I792" s="93"/>
    </row>
    <row r="793" spans="1:9">
      <c r="A793" s="94"/>
      <c r="I793" s="93"/>
    </row>
    <row r="794" spans="1:9">
      <c r="A794" s="94"/>
      <c r="I794" s="93"/>
    </row>
    <row r="795" spans="1:9">
      <c r="A795" s="94"/>
      <c r="I795" s="93"/>
    </row>
    <row r="796" spans="1:9">
      <c r="A796" s="94"/>
      <c r="I796" s="93"/>
    </row>
    <row r="797" spans="1:9">
      <c r="A797" s="94"/>
      <c r="I797" s="93"/>
    </row>
    <row r="798" spans="1:9">
      <c r="A798" s="94"/>
      <c r="I798" s="93"/>
    </row>
    <row r="799" spans="1:9">
      <c r="A799" s="94"/>
      <c r="I799" s="93"/>
    </row>
    <row r="800" spans="1:9">
      <c r="A800" s="94"/>
      <c r="I800" s="93"/>
    </row>
    <row r="801" spans="1:9">
      <c r="A801" s="94"/>
      <c r="I801" s="93"/>
    </row>
    <row r="802" spans="1:9">
      <c r="A802" s="94"/>
      <c r="I802" s="93"/>
    </row>
    <row r="803" spans="1:9">
      <c r="A803" s="94"/>
      <c r="I803" s="93"/>
    </row>
    <row r="804" spans="1:9">
      <c r="A804" s="94"/>
      <c r="I804" s="93"/>
    </row>
    <row r="805" spans="1:9">
      <c r="A805" s="94"/>
      <c r="I805" s="93"/>
    </row>
    <row r="806" spans="1:9">
      <c r="A806" s="94"/>
      <c r="I806" s="93"/>
    </row>
    <row r="807" spans="1:9">
      <c r="A807" s="94"/>
      <c r="I807" s="93"/>
    </row>
    <row r="808" spans="1:9">
      <c r="A808" s="94"/>
      <c r="I808" s="93"/>
    </row>
    <row r="809" spans="1:9">
      <c r="A809" s="94"/>
      <c r="I809" s="93"/>
    </row>
    <row r="810" spans="1:9">
      <c r="A810" s="94"/>
      <c r="I810" s="93"/>
    </row>
    <row r="811" spans="1:9">
      <c r="A811" s="94"/>
      <c r="I811" s="93"/>
    </row>
    <row r="812" spans="1:9">
      <c r="A812" s="94"/>
      <c r="I812" s="93"/>
    </row>
    <row r="813" spans="1:9">
      <c r="A813" s="94"/>
      <c r="I813" s="93"/>
    </row>
    <row r="814" spans="1:9">
      <c r="A814" s="94"/>
      <c r="I814" s="93"/>
    </row>
    <row r="815" spans="1:9">
      <c r="A815" s="94"/>
      <c r="I815" s="93"/>
    </row>
    <row r="816" spans="1:9">
      <c r="A816" s="94"/>
      <c r="I816" s="93"/>
    </row>
    <row r="817" spans="1:9">
      <c r="A817" s="94"/>
      <c r="I817" s="93"/>
    </row>
    <row r="818" spans="1:9">
      <c r="A818" s="94"/>
      <c r="I818" s="93"/>
    </row>
    <row r="819" spans="1:9">
      <c r="A819" s="94"/>
      <c r="I819" s="93"/>
    </row>
    <row r="820" spans="1:9">
      <c r="A820" s="94"/>
      <c r="I820" s="93"/>
    </row>
    <row r="821" spans="1:9">
      <c r="A821" s="94"/>
      <c r="I821" s="93"/>
    </row>
    <row r="822" spans="1:9">
      <c r="A822" s="94"/>
      <c r="I822" s="93"/>
    </row>
    <row r="823" spans="1:9">
      <c r="A823" s="94"/>
      <c r="I823" s="93"/>
    </row>
    <row r="824" spans="1:9">
      <c r="A824" s="94"/>
      <c r="I824" s="93"/>
    </row>
    <row r="825" spans="1:9">
      <c r="A825" s="94"/>
      <c r="I825" s="93"/>
    </row>
    <row r="826" spans="1:9">
      <c r="A826" s="94"/>
      <c r="I826" s="93"/>
    </row>
    <row r="827" spans="1:9">
      <c r="A827" s="94"/>
      <c r="I827" s="93"/>
    </row>
    <row r="828" spans="1:9">
      <c r="A828" s="94"/>
      <c r="I828" s="93"/>
    </row>
    <row r="829" spans="1:9">
      <c r="A829" s="94"/>
      <c r="I829" s="93"/>
    </row>
    <row r="830" spans="1:9">
      <c r="A830" s="94"/>
      <c r="I830" s="93"/>
    </row>
    <row r="831" spans="1:9">
      <c r="A831" s="94"/>
      <c r="I831" s="93"/>
    </row>
    <row r="832" spans="1:9">
      <c r="A832" s="94"/>
      <c r="I832" s="93"/>
    </row>
    <row r="833" spans="1:9">
      <c r="A833" s="94"/>
      <c r="I833" s="93"/>
    </row>
    <row r="834" spans="1:9">
      <c r="A834" s="94"/>
      <c r="I834" s="93"/>
    </row>
    <row r="835" spans="1:9">
      <c r="A835" s="94"/>
      <c r="I835" s="93"/>
    </row>
    <row r="836" spans="1:9">
      <c r="A836" s="94"/>
      <c r="I836" s="93"/>
    </row>
    <row r="837" spans="1:9">
      <c r="A837" s="94"/>
      <c r="I837" s="93"/>
    </row>
    <row r="838" spans="1:9">
      <c r="A838" s="94"/>
      <c r="I838" s="93"/>
    </row>
    <row r="839" spans="1:9">
      <c r="A839" s="94"/>
      <c r="I839" s="93"/>
    </row>
    <row r="840" spans="1:9">
      <c r="A840" s="94"/>
      <c r="I840" s="93"/>
    </row>
    <row r="841" spans="1:9">
      <c r="A841" s="94"/>
      <c r="I841" s="93"/>
    </row>
    <row r="842" spans="1:9">
      <c r="A842" s="94"/>
      <c r="I842" s="93"/>
    </row>
    <row r="843" spans="1:9">
      <c r="A843" s="94"/>
      <c r="I843" s="93"/>
    </row>
    <row r="844" spans="1:9">
      <c r="A844" s="94"/>
      <c r="I844" s="93"/>
    </row>
    <row r="845" spans="1:9">
      <c r="A845" s="94"/>
      <c r="I845" s="93"/>
    </row>
    <row r="846" spans="1:9">
      <c r="A846" s="94"/>
      <c r="I846" s="93"/>
    </row>
    <row r="847" spans="1:9">
      <c r="A847" s="94"/>
      <c r="I847" s="93"/>
    </row>
    <row r="848" spans="1:9">
      <c r="A848" s="94"/>
      <c r="I848" s="93"/>
    </row>
    <row r="849" spans="1:9">
      <c r="A849" s="94"/>
      <c r="I849" s="93"/>
    </row>
    <row r="850" spans="1:9">
      <c r="A850" s="94"/>
      <c r="I850" s="93"/>
    </row>
    <row r="851" spans="1:9">
      <c r="A851" s="94"/>
      <c r="I851" s="93"/>
    </row>
    <row r="852" spans="1:9">
      <c r="A852" s="94"/>
      <c r="I852" s="93"/>
    </row>
    <row r="853" spans="1:9">
      <c r="A853" s="94"/>
      <c r="I853" s="93"/>
    </row>
    <row r="854" spans="1:9">
      <c r="A854" s="94"/>
      <c r="I854" s="93"/>
    </row>
    <row r="855" spans="1:9">
      <c r="A855" s="94"/>
      <c r="I855" s="93"/>
    </row>
    <row r="856" spans="1:9">
      <c r="A856" s="94"/>
      <c r="I856" s="93"/>
    </row>
    <row r="857" spans="1:9">
      <c r="A857" s="94"/>
      <c r="I857" s="93"/>
    </row>
    <row r="858" spans="1:9">
      <c r="A858" s="94"/>
      <c r="I858" s="93"/>
    </row>
    <row r="859" spans="1:9">
      <c r="A859" s="94"/>
      <c r="I859" s="93"/>
    </row>
    <row r="860" spans="1:9">
      <c r="A860" s="94"/>
      <c r="I860" s="93"/>
    </row>
    <row r="861" spans="1:9">
      <c r="A861" s="94"/>
      <c r="I861" s="93"/>
    </row>
    <row r="862" spans="1:9">
      <c r="A862" s="94"/>
      <c r="I862" s="93"/>
    </row>
    <row r="863" spans="1:9">
      <c r="A863" s="94"/>
      <c r="I863" s="93"/>
    </row>
    <row r="864" spans="1:9">
      <c r="A864" s="94"/>
      <c r="I864" s="93"/>
    </row>
    <row r="865" spans="1:9">
      <c r="A865" s="94"/>
      <c r="I865" s="93"/>
    </row>
    <row r="866" spans="1:9">
      <c r="A866" s="94"/>
      <c r="I866" s="93"/>
    </row>
  </sheetData>
  <sheetProtection selectLockedCells="1" selectUnlockedCells="1"/>
  <pageMargins left="0.75" right="0.75" top="1" bottom="1" header="0.51181102362204722" footer="0.51181102362204722"/>
  <pageSetup firstPageNumber="0" orientation="portrait" horizontalDpi="300" verticalDpi="300"/>
  <headerFooter alignWithMargins="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C0623-F8A8-4946-984B-F7AFFBED6CF3}">
  <sheetPr codeName="Sheet18">
    <tabColor theme="7" tint="0.79998168889431442"/>
  </sheetPr>
  <dimension ref="A2:K11"/>
  <sheetViews>
    <sheetView workbookViewId="0"/>
  </sheetViews>
  <sheetFormatPr defaultColWidth="8.85546875" defaultRowHeight="15"/>
  <cols>
    <col min="1" max="1" width="20.5703125" style="73" bestFit="1" customWidth="1"/>
    <col min="2" max="2" width="9.7109375" style="73" customWidth="1"/>
    <col min="3" max="3" width="15.5703125" style="73" bestFit="1" customWidth="1"/>
    <col min="4" max="4" width="16.28515625" style="73" bestFit="1" customWidth="1"/>
    <col min="5" max="5" width="15.42578125" style="73" bestFit="1" customWidth="1"/>
    <col min="6" max="6" width="5.7109375" style="73" bestFit="1" customWidth="1"/>
    <col min="7" max="7" width="5.5703125" style="73" bestFit="1" customWidth="1"/>
    <col min="8" max="8" width="4" style="73" bestFit="1" customWidth="1"/>
    <col min="9" max="9" width="9.85546875" style="73" bestFit="1" customWidth="1"/>
    <col min="10" max="16384" width="8.85546875" style="73"/>
  </cols>
  <sheetData>
    <row r="2" spans="1:11">
      <c r="A2" s="73" t="s">
        <v>1150</v>
      </c>
      <c r="B2" s="73">
        <f>SUM([2]Dimes!F:F)</f>
        <v>15.549999999999962</v>
      </c>
    </row>
    <row r="3" spans="1:11">
      <c r="A3" s="73" t="s">
        <v>1151</v>
      </c>
      <c r="B3" s="73">
        <f>SUM([2]Dimes!G:G)</f>
        <v>30.110000000000067</v>
      </c>
    </row>
    <row r="4" spans="1:11">
      <c r="A4" s="73" t="s">
        <v>1152</v>
      </c>
      <c r="B4" s="73">
        <f>COUNT([2]Dimes!A:A)</f>
        <v>154</v>
      </c>
    </row>
    <row r="5" spans="1:11">
      <c r="A5" s="73" t="s">
        <v>1153</v>
      </c>
      <c r="B5" s="73">
        <f>COUNT([2]Dimes!A:A)</f>
        <v>154</v>
      </c>
    </row>
    <row r="7" spans="1:11">
      <c r="A7" s="79" t="s">
        <v>830</v>
      </c>
      <c r="B7" s="80">
        <v>2001</v>
      </c>
    </row>
    <row r="9" spans="1:11">
      <c r="A9" s="81" t="s">
        <v>0</v>
      </c>
      <c r="B9" s="82" t="s">
        <v>1</v>
      </c>
      <c r="C9" s="82" t="s">
        <v>2</v>
      </c>
      <c r="D9" s="82" t="s">
        <v>286</v>
      </c>
      <c r="E9" s="82" t="s">
        <v>5</v>
      </c>
      <c r="F9" s="83" t="s">
        <v>287</v>
      </c>
      <c r="G9" s="83" t="s">
        <v>7</v>
      </c>
      <c r="H9" s="83" t="s">
        <v>8</v>
      </c>
      <c r="I9" s="84" t="s">
        <v>288</v>
      </c>
      <c r="J9" s="82" t="s">
        <v>289</v>
      </c>
      <c r="K9" s="85" t="s">
        <v>290</v>
      </c>
    </row>
    <row r="10" spans="1:11">
      <c r="A10" s="73" cm="1">
        <f t="array" ref="A10:I11">_xlfn._xlws.FILTER(Dimes!A:I,Dimes!A:A=B7,"Not Found")</f>
        <v>2001</v>
      </c>
      <c r="B10" s="73" t="str">
        <v>D</v>
      </c>
      <c r="C10" s="73" t="str">
        <v>Dime</v>
      </c>
      <c r="D10" s="73" t="str">
        <v>ROS2001DIM-AA</v>
      </c>
      <c r="E10" s="73" t="str">
        <v>ROOSEVELT DIME</v>
      </c>
      <c r="F10" s="73" t="str">
        <v>AU-55</v>
      </c>
      <c r="G10" s="73">
        <v>0.1</v>
      </c>
      <c r="H10" s="73">
        <v>0.1</v>
      </c>
      <c r="I10" s="73">
        <v>1</v>
      </c>
    </row>
    <row r="11" spans="1:11">
      <c r="A11" s="73">
        <v>2001</v>
      </c>
      <c r="B11" s="73" t="str">
        <v>D</v>
      </c>
      <c r="C11" s="73" t="str">
        <v>Dime</v>
      </c>
      <c r="D11" s="73" t="str">
        <v>ROS2001DIM-AB</v>
      </c>
      <c r="E11" s="73" t="str">
        <v>ROOSEVELT DIME</v>
      </c>
      <c r="F11" s="73" t="str">
        <v>AU-55</v>
      </c>
      <c r="G11" s="73">
        <v>0.1</v>
      </c>
      <c r="H11" s="73">
        <v>0.1</v>
      </c>
      <c r="I11" s="73">
        <v>1</v>
      </c>
    </row>
  </sheetData>
  <sheetProtection selectLockedCells="1" selectUnlockedCells="1"/>
  <pageMargins left="0.70000000000000007" right="0.70000000000000007" top="0.75" bottom="0.75" header="0.51181102362204722" footer="0.51181102362204722"/>
  <pageSetup firstPageNumber="0" orientation="portrait" horizontalDpi="300" verticalDpi="300"/>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A82A9-5487-47A1-A09D-C2FFD15E9FC4}">
  <sheetPr codeName="Sheet19">
    <tabColor theme="8" tint="0.79998168889431442"/>
  </sheetPr>
  <dimension ref="A1:J5"/>
  <sheetViews>
    <sheetView workbookViewId="0"/>
  </sheetViews>
  <sheetFormatPr defaultColWidth="9.140625" defaultRowHeight="12.75"/>
  <cols>
    <col min="1" max="1" width="20.5703125" style="34" bestFit="1" customWidth="1"/>
    <col min="2" max="2" width="5.85546875" style="34" bestFit="1" customWidth="1"/>
    <col min="3" max="3" width="16.42578125" style="34" bestFit="1" customWidth="1"/>
    <col min="4" max="4" width="23.42578125" style="34" bestFit="1" customWidth="1"/>
    <col min="5" max="5" width="22.7109375" style="34" bestFit="1" customWidth="1"/>
    <col min="6" max="6" width="14.42578125" style="34" bestFit="1" customWidth="1"/>
    <col min="7" max="7" width="15" style="34" bestFit="1" customWidth="1"/>
    <col min="8" max="8" width="8.7109375" style="34" bestFit="1" customWidth="1"/>
    <col min="9" max="9" width="13.140625" style="34" bestFit="1" customWidth="1"/>
    <col min="10" max="16384" width="9.140625" style="34"/>
  </cols>
  <sheetData>
    <row r="1" spans="1:10">
      <c r="A1" s="61" t="s">
        <v>830</v>
      </c>
      <c r="B1" s="62">
        <v>2012</v>
      </c>
    </row>
    <row r="3" spans="1:10" ht="15.75">
      <c r="A3" s="96" t="s">
        <v>0</v>
      </c>
      <c r="B3" s="96" t="s">
        <v>1</v>
      </c>
      <c r="C3" s="96" t="s">
        <v>1181</v>
      </c>
      <c r="D3" s="96" t="s">
        <v>286</v>
      </c>
      <c r="E3" s="96" t="s">
        <v>5</v>
      </c>
      <c r="F3" s="96" t="str">
        <f>"Paid = "&amp;DOLLAR(SUM(F5:F2179))</f>
        <v>Paid = $0.00</v>
      </c>
      <c r="G3" s="97" t="str">
        <f>"Book "&amp;DOLLAR(SUM(G5:G2179))</f>
        <v>Book $0.25</v>
      </c>
      <c r="H3" s="96" t="str">
        <f>"Qty = "&amp;SUM(H5:H2005)</f>
        <v>Qty = 0.25</v>
      </c>
      <c r="I3" s="96" t="s">
        <v>288</v>
      </c>
    </row>
    <row r="4" spans="1:10">
      <c r="A4" s="34" cm="1">
        <f t="array" ref="A4:J5">_xlfn._xlws.FILTER(Quarters!A:J,Quarters!A:A=B1,"Not Found")</f>
        <v>2012</v>
      </c>
      <c r="B4" s="34" t="str">
        <v>P</v>
      </c>
      <c r="C4" s="34" t="str">
        <v>Quarter</v>
      </c>
      <c r="D4" s="34" t="str">
        <v>WSH2012QTR-AA</v>
      </c>
      <c r="E4" s="34" t="str">
        <v>WASHINGTON QUARTER</v>
      </c>
      <c r="F4" s="34" t="str">
        <v>EF-40 EXTREMELY FINE</v>
      </c>
      <c r="G4" s="34">
        <v>0.25</v>
      </c>
      <c r="H4" s="34">
        <v>0.25</v>
      </c>
      <c r="I4" s="34">
        <v>1</v>
      </c>
      <c r="J4" s="34">
        <v>0</v>
      </c>
    </row>
    <row r="5" spans="1:10">
      <c r="A5" s="34">
        <v>2012</v>
      </c>
      <c r="B5" s="34" t="str">
        <v>P</v>
      </c>
      <c r="C5" s="34" t="str">
        <v>Quarter</v>
      </c>
      <c r="D5" s="34" t="str">
        <v>WSH2012QTR-AB</v>
      </c>
      <c r="E5" s="34" t="str">
        <v>WASHINGTON QUARTER</v>
      </c>
      <c r="F5" s="34" t="str">
        <v>EF-40 EXTREMELY FINE</v>
      </c>
      <c r="G5" s="34">
        <v>0.25</v>
      </c>
      <c r="H5" s="34">
        <v>0.25</v>
      </c>
      <c r="I5" s="34">
        <v>1</v>
      </c>
      <c r="J5" s="34">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64FE3-EC46-4959-B0B2-7130927BA822}">
  <sheetPr codeName="Sheet20">
    <tabColor rgb="FFF0F4BE"/>
  </sheetPr>
  <dimension ref="A1:IX228"/>
  <sheetViews>
    <sheetView workbookViewId="0"/>
  </sheetViews>
  <sheetFormatPr defaultColWidth="9" defaultRowHeight="12.75"/>
  <cols>
    <col min="1" max="1" width="7" style="105" customWidth="1"/>
    <col min="2" max="2" width="6.42578125" style="105" customWidth="1"/>
    <col min="3" max="3" width="10.85546875" style="105" customWidth="1"/>
    <col min="4" max="4" width="22.28515625" style="105" customWidth="1"/>
    <col min="5" max="5" width="22.28515625" style="105" bestFit="1" customWidth="1"/>
    <col min="6" max="6" width="20.7109375" style="128" bestFit="1" customWidth="1"/>
    <col min="7" max="7" width="7.42578125" style="128" customWidth="1"/>
    <col min="8" max="8" width="9.7109375" style="133" bestFit="1" customWidth="1"/>
    <col min="9" max="9" width="8.28515625" style="133" bestFit="1" customWidth="1"/>
    <col min="10" max="10" width="14.42578125" style="133" bestFit="1" customWidth="1"/>
    <col min="11" max="11" width="16" style="133" customWidth="1"/>
    <col min="12" max="12" width="16.42578125" style="133" customWidth="1"/>
    <col min="13" max="13" width="15.42578125" style="131" customWidth="1"/>
    <col min="14" max="15" width="9" style="105"/>
    <col min="16" max="16" width="22.28515625" style="105" customWidth="1"/>
    <col min="17" max="17" width="9" style="105"/>
    <col min="18" max="19" width="13.7109375" style="105" customWidth="1"/>
    <col min="20" max="20" width="5.7109375" style="105" customWidth="1"/>
    <col min="21" max="21" width="15.85546875" style="105" customWidth="1"/>
    <col min="22" max="23" width="16.28515625" style="105" customWidth="1"/>
    <col min="24" max="16384" width="9" style="105"/>
  </cols>
  <sheetData>
    <row r="1" spans="1:258" s="103" customFormat="1" ht="25.5">
      <c r="A1" s="98" t="s">
        <v>1154</v>
      </c>
      <c r="B1" s="98" t="s">
        <v>1387</v>
      </c>
      <c r="C1" s="98" t="s">
        <v>1960</v>
      </c>
      <c r="D1" s="98" t="s">
        <v>1388</v>
      </c>
      <c r="E1" s="98" t="s">
        <v>4</v>
      </c>
      <c r="F1" s="98" t="s">
        <v>1389</v>
      </c>
      <c r="G1" s="98" t="s">
        <v>6</v>
      </c>
      <c r="H1" s="98" t="s">
        <v>7</v>
      </c>
      <c r="I1" s="98" t="s">
        <v>8</v>
      </c>
      <c r="J1" s="98" t="s">
        <v>1957</v>
      </c>
      <c r="K1" s="99" t="s">
        <v>288</v>
      </c>
      <c r="L1" s="191" t="s">
        <v>1967</v>
      </c>
      <c r="M1" s="100"/>
      <c r="N1" s="101" t="str">
        <f>"PAID = "&amp;DOLLAR(SUM(G3:G2062))</f>
        <v>PAID = $710.94</v>
      </c>
      <c r="O1" s="100"/>
      <c r="P1" s="102" t="str">
        <f>"BOOK LOOKUP = "&amp;DOLLAR(SUM(M17:M2060))</f>
        <v>BOOK LOOKUP = $0.00</v>
      </c>
      <c r="R1" s="104" t="str">
        <f>"Est Book Value = " &amp;DOLLAR(SUM(H3:H315))</f>
        <v>Est Book Value = $1,555.90</v>
      </c>
      <c r="V1" s="105" t="s">
        <v>1390</v>
      </c>
      <c r="W1" s="106">
        <v>1969</v>
      </c>
      <c r="X1" s="105" t="s">
        <v>1391</v>
      </c>
      <c r="Y1" s="107"/>
      <c r="Z1" s="105"/>
    </row>
    <row r="2" spans="1:258" s="115" customFormat="1" ht="15">
      <c r="A2" s="108">
        <v>1936</v>
      </c>
      <c r="B2" s="109"/>
      <c r="C2" s="109" t="s">
        <v>1966</v>
      </c>
      <c r="D2" s="108" t="s">
        <v>1392</v>
      </c>
      <c r="E2" s="108" t="s">
        <v>1393</v>
      </c>
      <c r="F2" s="108" t="s">
        <v>316</v>
      </c>
      <c r="G2" s="110">
        <v>20</v>
      </c>
      <c r="H2" s="110">
        <v>22</v>
      </c>
      <c r="I2" s="111">
        <v>1</v>
      </c>
      <c r="J2" s="111"/>
      <c r="K2" s="111"/>
      <c r="L2" s="111"/>
      <c r="M2" s="112"/>
      <c r="N2" s="113"/>
      <c r="O2" s="112"/>
      <c r="P2" s="114"/>
      <c r="R2" s="116"/>
      <c r="V2" s="105"/>
      <c r="W2" s="106"/>
      <c r="X2" s="105"/>
      <c r="Y2" s="117"/>
      <c r="Z2" s="105"/>
    </row>
    <row r="3" spans="1:258" s="115" customFormat="1" ht="24">
      <c r="A3" s="108">
        <v>1937</v>
      </c>
      <c r="B3" s="109"/>
      <c r="C3" s="109" t="s">
        <v>1966</v>
      </c>
      <c r="D3" s="108" t="s">
        <v>1394</v>
      </c>
      <c r="E3" s="108" t="s">
        <v>1393</v>
      </c>
      <c r="F3" s="108" t="s">
        <v>316</v>
      </c>
      <c r="G3" s="110">
        <v>9</v>
      </c>
      <c r="H3" s="110">
        <v>22</v>
      </c>
      <c r="I3" s="111">
        <v>1</v>
      </c>
      <c r="J3" s="111"/>
      <c r="K3" s="118">
        <v>16.760000000000002</v>
      </c>
      <c r="L3" s="111"/>
      <c r="M3" s="111"/>
      <c r="N3" s="113" t="str">
        <f>"BOOK = "&amp;DOLLAR(SUM(G3:G2046))</f>
        <v>BOOK = $710.94</v>
      </c>
      <c r="O3" s="111">
        <f>SUM(J:J)</f>
        <v>0</v>
      </c>
      <c r="P3" s="119"/>
      <c r="Q3" s="108"/>
      <c r="R3" s="120"/>
      <c r="V3" s="105" t="str">
        <f>V1&amp;W1&amp;X1&amp;Z1&amp;"-"</f>
        <v>KEN1969HALF-</v>
      </c>
      <c r="W3" s="105"/>
      <c r="X3" s="105"/>
      <c r="Y3" s="105"/>
      <c r="Z3" s="105" t="e" cm="1">
        <f t="array" ref="Z3">IF(MINT&lt;&gt;"",DATE &amp;" " &amp; MINT,DATE)</f>
        <v>#NAME?</v>
      </c>
    </row>
    <row r="4" spans="1:258" s="115" customFormat="1" ht="14.25" customHeight="1">
      <c r="A4" s="108">
        <v>1938</v>
      </c>
      <c r="B4" s="109"/>
      <c r="C4" s="109" t="s">
        <v>1966</v>
      </c>
      <c r="D4" s="108" t="s">
        <v>1395</v>
      </c>
      <c r="E4" s="108" t="s">
        <v>1393</v>
      </c>
      <c r="F4" s="108" t="s">
        <v>316</v>
      </c>
      <c r="G4" s="110">
        <v>13</v>
      </c>
      <c r="H4" s="121">
        <v>28</v>
      </c>
      <c r="I4" s="111">
        <v>1</v>
      </c>
      <c r="J4" s="111"/>
      <c r="K4" s="118">
        <v>15.12</v>
      </c>
      <c r="L4" s="111"/>
      <c r="M4" s="111"/>
      <c r="N4" s="113" t="str">
        <f>"QTY ="&amp;SUM(H3:H2062)</f>
        <v>QTY =1555.9</v>
      </c>
      <c r="O4" s="111"/>
      <c r="P4" s="119"/>
      <c r="Q4" s="108"/>
      <c r="R4" s="120"/>
      <c r="V4" s="105" t="e">
        <f>MATCH($V$3&amp;W4,$C:$C,0)</f>
        <v>#N/A</v>
      </c>
      <c r="W4" s="105" t="s">
        <v>303</v>
      </c>
      <c r="X4" s="105" t="e">
        <f>INDEX($A$1:$E$1056,V4,4)</f>
        <v>#N/A</v>
      </c>
      <c r="Y4" s="105" t="e">
        <f>INDEX($A$1:$E$1056,V4,5)</f>
        <v>#N/A</v>
      </c>
      <c r="Z4" s="105"/>
    </row>
    <row r="5" spans="1:258" s="115" customFormat="1" ht="14.25" customHeight="1">
      <c r="A5" s="108">
        <v>1938</v>
      </c>
      <c r="B5" s="109"/>
      <c r="C5" s="109" t="s">
        <v>1966</v>
      </c>
      <c r="D5" s="108" t="s">
        <v>1396</v>
      </c>
      <c r="E5" s="108" t="s">
        <v>1393</v>
      </c>
      <c r="F5" s="108" t="s">
        <v>316</v>
      </c>
      <c r="G5" s="110">
        <v>13</v>
      </c>
      <c r="H5" s="122">
        <v>28</v>
      </c>
      <c r="I5" s="111">
        <v>1</v>
      </c>
      <c r="J5" s="111"/>
      <c r="K5" s="111"/>
      <c r="L5" s="111"/>
      <c r="M5" s="111"/>
      <c r="N5" s="113"/>
      <c r="O5" s="111"/>
      <c r="P5" s="119"/>
      <c r="Q5" s="108"/>
      <c r="R5" s="120"/>
      <c r="V5" s="105"/>
      <c r="W5" s="105"/>
      <c r="X5" s="105"/>
      <c r="Y5" s="105"/>
      <c r="Z5" s="105"/>
    </row>
    <row r="6" spans="1:258" s="115" customFormat="1">
      <c r="A6" s="108">
        <v>1939</v>
      </c>
      <c r="B6" s="109"/>
      <c r="C6" s="109" t="s">
        <v>1966</v>
      </c>
      <c r="D6" s="108" t="s">
        <v>1397</v>
      </c>
      <c r="E6" s="108" t="s">
        <v>1393</v>
      </c>
      <c r="F6" s="108" t="s">
        <v>316</v>
      </c>
      <c r="G6" s="110">
        <v>12</v>
      </c>
      <c r="H6" s="121">
        <v>22</v>
      </c>
      <c r="I6" s="111">
        <v>1</v>
      </c>
      <c r="J6" s="111"/>
      <c r="K6" s="118">
        <v>16.63</v>
      </c>
      <c r="L6" s="111"/>
      <c r="M6" s="111"/>
      <c r="N6" s="111"/>
      <c r="O6" s="111"/>
      <c r="P6" s="119"/>
      <c r="Q6" s="108"/>
      <c r="R6" s="120"/>
      <c r="V6" s="105" t="e">
        <f>MATCH($V$3&amp;W6,$C:$C,0)</f>
        <v>#N/A</v>
      </c>
      <c r="W6" s="105" t="s">
        <v>309</v>
      </c>
      <c r="X6" s="105" t="e">
        <f>INDEX($A$1:$E$1056,V6,4)</f>
        <v>#N/A</v>
      </c>
      <c r="Y6" s="105" t="e">
        <f>INDEX($A$1:$E$1056,V6,5)</f>
        <v>#N/A</v>
      </c>
      <c r="Z6" s="105"/>
    </row>
    <row r="7" spans="1:258" s="115" customFormat="1">
      <c r="A7" s="108">
        <v>1940</v>
      </c>
      <c r="B7" s="109"/>
      <c r="C7" s="109" t="s">
        <v>1966</v>
      </c>
      <c r="D7" s="108" t="s">
        <v>1398</v>
      </c>
      <c r="E7" s="108" t="s">
        <v>1393</v>
      </c>
      <c r="F7" s="108" t="s">
        <v>316</v>
      </c>
      <c r="G7" s="110">
        <v>10</v>
      </c>
      <c r="H7" s="121">
        <v>22</v>
      </c>
      <c r="I7" s="111">
        <v>1</v>
      </c>
      <c r="J7" s="111"/>
      <c r="K7" s="118">
        <v>16.850000000000001</v>
      </c>
      <c r="L7" s="111"/>
      <c r="M7" s="111"/>
      <c r="N7" s="111"/>
      <c r="O7" s="111"/>
      <c r="P7" s="119"/>
      <c r="Q7" s="108"/>
      <c r="R7" s="120"/>
      <c r="V7" s="105" t="e">
        <f>MATCH($V$3&amp;W7,$C:$C,0)</f>
        <v>#N/A</v>
      </c>
      <c r="W7" s="105" t="s">
        <v>313</v>
      </c>
      <c r="X7" s="105" t="e">
        <f>INDEX($A$1:$E$1056,V7,4)</f>
        <v>#N/A</v>
      </c>
      <c r="Y7" s="105" t="e">
        <f>INDEX($A$1:$E$1056,V7,5)</f>
        <v>#N/A</v>
      </c>
      <c r="Z7" s="105"/>
    </row>
    <row r="8" spans="1:258" s="120" customFormat="1">
      <c r="A8" s="108">
        <v>1941</v>
      </c>
      <c r="B8" s="109" t="s">
        <v>13</v>
      </c>
      <c r="C8" s="109" t="s">
        <v>1966</v>
      </c>
      <c r="D8" s="108" t="s">
        <v>1399</v>
      </c>
      <c r="E8" s="108" t="s">
        <v>1393</v>
      </c>
      <c r="F8" s="108" t="s">
        <v>316</v>
      </c>
      <c r="G8" s="110">
        <v>30</v>
      </c>
      <c r="H8" s="110">
        <v>22</v>
      </c>
      <c r="I8" s="111">
        <v>1</v>
      </c>
      <c r="J8" s="111"/>
      <c r="K8" s="111"/>
      <c r="L8" s="111"/>
      <c r="M8" s="111"/>
      <c r="N8" s="111"/>
      <c r="O8" s="111"/>
      <c r="P8" s="119">
        <v>18</v>
      </c>
      <c r="Q8" s="108" t="s">
        <v>475</v>
      </c>
      <c r="R8" s="120" t="e">
        <f>MATCH(Q8,[4]Sheet2!A:A,)</f>
        <v>#N/A</v>
      </c>
      <c r="S8" s="120" t="s">
        <v>1400</v>
      </c>
      <c r="T8" s="110">
        <f>SUMIF(D:D,"*"&amp;S8&amp;"*",G:G)</f>
        <v>0</v>
      </c>
      <c r="U8" s="120">
        <f>COUNTIF(D:D,"*"&amp;S8&amp;"*")</f>
        <v>0</v>
      </c>
      <c r="V8" s="105" t="e">
        <f>MATCH($V$3&amp;W8,$C:$C,0)</f>
        <v>#N/A</v>
      </c>
      <c r="W8" s="105" t="s">
        <v>317</v>
      </c>
      <c r="X8" s="105" t="e">
        <f>INDEX($A$1:$E$1056,V8,4)</f>
        <v>#N/A</v>
      </c>
      <c r="Y8" s="105" t="e">
        <f>INDEX($A$1:$E$1056,V8,5)</f>
        <v>#N/A</v>
      </c>
      <c r="Z8" s="105"/>
    </row>
    <row r="9" spans="1:258" s="120" customFormat="1">
      <c r="A9" s="108">
        <v>1942</v>
      </c>
      <c r="B9" s="109"/>
      <c r="C9" s="109" t="s">
        <v>1966</v>
      </c>
      <c r="D9" s="108" t="s">
        <v>1401</v>
      </c>
      <c r="E9" s="108" t="s">
        <v>1393</v>
      </c>
      <c r="F9" s="108" t="s">
        <v>316</v>
      </c>
      <c r="G9" s="110">
        <v>13</v>
      </c>
      <c r="H9" s="110">
        <v>22</v>
      </c>
      <c r="I9" s="111">
        <v>1</v>
      </c>
      <c r="J9" s="111"/>
      <c r="K9" s="111"/>
      <c r="L9" s="111"/>
      <c r="M9" s="111"/>
      <c r="N9" s="111"/>
      <c r="O9" s="111"/>
      <c r="P9" s="119"/>
      <c r="Q9" s="108">
        <v>1942</v>
      </c>
      <c r="R9" s="120" t="e">
        <f>MATCH(Q9,[4]Sheet2!A:A,)</f>
        <v>#N/A</v>
      </c>
      <c r="S9" s="108" t="s">
        <v>1393</v>
      </c>
      <c r="T9" s="110">
        <f>SUMIF(D:D,"*"&amp;S9&amp;"*",G:G)</f>
        <v>0</v>
      </c>
      <c r="U9" s="120">
        <f>COUNTIF(D:D,"*"&amp;S9&amp;"*")</f>
        <v>0</v>
      </c>
      <c r="V9" s="105" t="e">
        <f>MATCH($V$3&amp;W9,$C:$C,0)</f>
        <v>#N/A</v>
      </c>
      <c r="W9" s="105" t="s">
        <v>322</v>
      </c>
      <c r="X9" s="105" t="e">
        <f>INDEX($A$1:$E$1056,V9,4)</f>
        <v>#N/A</v>
      </c>
      <c r="Y9" s="105" t="e">
        <f>INDEX($A$1:$E$1056,V9,5)</f>
        <v>#N/A</v>
      </c>
      <c r="Z9" s="105"/>
    </row>
    <row r="10" spans="1:258" s="120" customFormat="1">
      <c r="A10" s="108">
        <v>1943</v>
      </c>
      <c r="B10" s="109" t="s">
        <v>12</v>
      </c>
      <c r="C10" s="109" t="s">
        <v>1966</v>
      </c>
      <c r="D10" s="108" t="s">
        <v>1402</v>
      </c>
      <c r="E10" s="108" t="s">
        <v>1393</v>
      </c>
      <c r="F10" s="108" t="s">
        <v>316</v>
      </c>
      <c r="G10" s="110">
        <v>28</v>
      </c>
      <c r="H10" s="110">
        <v>22</v>
      </c>
      <c r="I10" s="111">
        <v>1</v>
      </c>
      <c r="J10" s="111"/>
      <c r="K10" s="111"/>
      <c r="L10" s="111"/>
      <c r="M10" s="111"/>
      <c r="N10" s="111"/>
      <c r="O10" s="111"/>
      <c r="P10" s="119">
        <v>18</v>
      </c>
      <c r="Q10" s="108" t="s">
        <v>122</v>
      </c>
      <c r="R10" s="120" t="e">
        <f>MATCH(Q10,[4]Sheet2!A:A,)</f>
        <v>#N/A</v>
      </c>
      <c r="S10" s="120" t="s">
        <v>1403</v>
      </c>
      <c r="T10" s="110">
        <f>SUMIF(D:D,"*"&amp;S10&amp;"*",G:G)</f>
        <v>0</v>
      </c>
      <c r="U10" s="120">
        <f>COUNTIF(D:D,"*"&amp;S10&amp;"*")</f>
        <v>0</v>
      </c>
      <c r="V10" s="105" t="e">
        <f>MATCH($V$3&amp;W10,$C:$C,0)</f>
        <v>#N/A</v>
      </c>
      <c r="W10" s="105" t="s">
        <v>325</v>
      </c>
      <c r="X10" s="105" t="e">
        <f>INDEX($A$1:$E$1056,V10,4)</f>
        <v>#N/A</v>
      </c>
      <c r="Y10" s="105" t="e">
        <f>INDEX($A$1:$E$1056,V10,5)</f>
        <v>#N/A</v>
      </c>
      <c r="Z10" s="105"/>
    </row>
    <row r="11" spans="1:258" s="120" customFormat="1">
      <c r="A11" s="108">
        <v>1943</v>
      </c>
      <c r="B11" s="109"/>
      <c r="C11" s="109" t="s">
        <v>1966</v>
      </c>
      <c r="D11" s="108" t="s">
        <v>1404</v>
      </c>
      <c r="E11" s="108" t="s">
        <v>1393</v>
      </c>
      <c r="F11" s="108" t="s">
        <v>316</v>
      </c>
      <c r="G11" s="110">
        <v>13</v>
      </c>
      <c r="H11" s="110">
        <v>22</v>
      </c>
      <c r="I11" s="111">
        <v>1</v>
      </c>
      <c r="J11" s="111"/>
      <c r="K11" s="111"/>
      <c r="L11" s="111"/>
      <c r="M11" s="111"/>
      <c r="N11" s="111"/>
      <c r="O11" s="111"/>
      <c r="P11" s="119"/>
      <c r="Q11" s="108"/>
      <c r="T11" s="110"/>
      <c r="V11" s="105"/>
      <c r="W11" s="105"/>
      <c r="X11" s="105"/>
      <c r="Y11" s="105"/>
      <c r="Z11" s="105"/>
    </row>
    <row r="12" spans="1:258" s="120" customFormat="1">
      <c r="A12" s="108">
        <v>1944</v>
      </c>
      <c r="B12" s="109"/>
      <c r="C12" s="109" t="s">
        <v>1966</v>
      </c>
      <c r="D12" s="108" t="s">
        <v>1405</v>
      </c>
      <c r="E12" s="108" t="s">
        <v>1393</v>
      </c>
      <c r="F12" s="108" t="s">
        <v>316</v>
      </c>
      <c r="G12" s="110">
        <v>19</v>
      </c>
      <c r="H12" s="110">
        <v>22</v>
      </c>
      <c r="I12" s="111">
        <v>1</v>
      </c>
      <c r="J12" s="111"/>
      <c r="K12" s="111"/>
      <c r="L12" s="111"/>
      <c r="M12" s="111"/>
      <c r="N12" s="111"/>
      <c r="O12" s="111"/>
      <c r="P12" s="119">
        <v>18</v>
      </c>
      <c r="Q12" s="108">
        <v>1944</v>
      </c>
      <c r="R12" s="120" t="e">
        <f>MATCH(Q12,[4]Sheet2!A:A,)</f>
        <v>#N/A</v>
      </c>
      <c r="T12" s="110">
        <f>SUM(T8:T10)</f>
        <v>0</v>
      </c>
      <c r="U12" s="120">
        <f>SUM(U8:U10)</f>
        <v>0</v>
      </c>
      <c r="V12" s="105" t="e">
        <f t="shared" ref="V12:V27" si="0">MATCH($V$3&amp;W12,$C:$C,0)</f>
        <v>#N/A</v>
      </c>
      <c r="W12" s="105" t="s">
        <v>328</v>
      </c>
      <c r="X12" s="105" t="e">
        <f t="shared" ref="X12:X31" si="1">INDEX($A$1:$E$1056,V12,4)</f>
        <v>#N/A</v>
      </c>
      <c r="Y12" s="105" t="e">
        <f t="shared" ref="Y12:Y31" si="2">INDEX($A$1:$E$1056,V12,5)</f>
        <v>#N/A</v>
      </c>
      <c r="Z12" s="105"/>
    </row>
    <row r="13" spans="1:258" s="120" customFormat="1">
      <c r="A13" s="108">
        <v>1945</v>
      </c>
      <c r="B13" s="109"/>
      <c r="C13" s="109" t="s">
        <v>1966</v>
      </c>
      <c r="D13" s="108" t="s">
        <v>1406</v>
      </c>
      <c r="E13" s="108" t="s">
        <v>1393</v>
      </c>
      <c r="F13" s="108" t="s">
        <v>316</v>
      </c>
      <c r="G13" s="110">
        <v>23</v>
      </c>
      <c r="H13" s="110">
        <v>22</v>
      </c>
      <c r="I13" s="111">
        <v>1</v>
      </c>
      <c r="J13" s="111"/>
      <c r="K13" s="111"/>
      <c r="L13" s="111"/>
      <c r="M13" s="111"/>
      <c r="N13" s="111"/>
      <c r="O13" s="111"/>
      <c r="P13" s="119">
        <v>18</v>
      </c>
      <c r="Q13" s="108">
        <v>1945</v>
      </c>
      <c r="R13" s="120" t="e">
        <f>MATCH(Q13,[4]Sheet2!A:A,)</f>
        <v>#N/A</v>
      </c>
      <c r="T13" s="122">
        <f>SUM(G3:G2046)-T12</f>
        <v>710.93999999999994</v>
      </c>
      <c r="U13" s="122"/>
      <c r="V13" s="105" t="e">
        <f t="shared" si="0"/>
        <v>#N/A</v>
      </c>
      <c r="W13" s="105" t="s">
        <v>334</v>
      </c>
      <c r="X13" s="105" t="e">
        <f t="shared" si="1"/>
        <v>#N/A</v>
      </c>
      <c r="Y13" s="105" t="e">
        <f t="shared" si="2"/>
        <v>#N/A</v>
      </c>
      <c r="Z13" s="105"/>
    </row>
    <row r="14" spans="1:258" s="120" customFormat="1">
      <c r="A14" s="108">
        <v>1946</v>
      </c>
      <c r="B14" s="109"/>
      <c r="C14" s="109" t="s">
        <v>1966</v>
      </c>
      <c r="D14" s="108" t="s">
        <v>1407</v>
      </c>
      <c r="E14" s="108" t="s">
        <v>1393</v>
      </c>
      <c r="F14" s="108" t="s">
        <v>316</v>
      </c>
      <c r="G14" s="110">
        <v>19</v>
      </c>
      <c r="H14" s="110">
        <v>22</v>
      </c>
      <c r="I14" s="111">
        <v>1</v>
      </c>
      <c r="J14" s="111"/>
      <c r="K14" s="111"/>
      <c r="L14" s="111"/>
      <c r="M14" s="111"/>
      <c r="N14" s="111"/>
      <c r="O14" s="111"/>
      <c r="P14" s="119">
        <v>18</v>
      </c>
      <c r="Q14" s="108">
        <v>1946</v>
      </c>
      <c r="R14" s="120" t="e">
        <f>MATCH(Q14,[4]Sheet2!A:A,)</f>
        <v>#N/A</v>
      </c>
      <c r="V14" s="105" t="e">
        <f t="shared" si="0"/>
        <v>#N/A</v>
      </c>
      <c r="W14" s="105" t="s">
        <v>339</v>
      </c>
      <c r="X14" s="105" t="e">
        <f t="shared" si="1"/>
        <v>#N/A</v>
      </c>
      <c r="Y14" s="105" t="e">
        <f t="shared" si="2"/>
        <v>#N/A</v>
      </c>
      <c r="Z14" s="105"/>
    </row>
    <row r="15" spans="1:258" s="120" customFormat="1">
      <c r="A15" s="108">
        <v>1947</v>
      </c>
      <c r="B15" s="109"/>
      <c r="C15" s="109" t="s">
        <v>1966</v>
      </c>
      <c r="D15" s="120" t="s">
        <v>1408</v>
      </c>
      <c r="E15" s="120" t="s">
        <v>1393</v>
      </c>
      <c r="F15" s="120" t="s">
        <v>1409</v>
      </c>
      <c r="G15" s="122">
        <v>7</v>
      </c>
      <c r="H15" s="122">
        <v>26</v>
      </c>
      <c r="I15" s="111">
        <v>1</v>
      </c>
      <c r="J15" s="111"/>
      <c r="K15" s="111"/>
      <c r="L15" s="111"/>
      <c r="M15" s="111"/>
      <c r="N15" s="111"/>
      <c r="O15" s="111"/>
      <c r="P15" s="119">
        <v>18</v>
      </c>
      <c r="Q15" s="108">
        <v>1947</v>
      </c>
      <c r="R15" s="120" t="e">
        <f>MATCH(Q15,[4]Sheet2!A:A,)</f>
        <v>#N/A</v>
      </c>
      <c r="S15" s="123"/>
      <c r="V15" s="105" t="e">
        <f t="shared" si="0"/>
        <v>#N/A</v>
      </c>
      <c r="W15" s="105" t="s">
        <v>343</v>
      </c>
      <c r="X15" s="105" t="e">
        <f t="shared" si="1"/>
        <v>#N/A</v>
      </c>
      <c r="Y15" s="105" t="e">
        <f t="shared" si="2"/>
        <v>#N/A</v>
      </c>
      <c r="Z15" s="105"/>
      <c r="AA15" s="108"/>
      <c r="AB15" s="109"/>
      <c r="AF15" s="122"/>
      <c r="AG15" s="122"/>
      <c r="AH15" s="109"/>
      <c r="AI15" s="119"/>
      <c r="AJ15" s="108"/>
      <c r="AK15" s="108"/>
      <c r="AL15" s="109"/>
      <c r="AP15" s="122"/>
      <c r="AQ15" s="122"/>
      <c r="AR15" s="109"/>
      <c r="AS15" s="119"/>
      <c r="AT15" s="108"/>
      <c r="AU15" s="108"/>
      <c r="AV15" s="109"/>
      <c r="AZ15" s="122"/>
      <c r="BA15" s="122"/>
      <c r="BB15" s="109"/>
      <c r="BC15" s="119"/>
      <c r="BD15" s="108"/>
      <c r="BE15" s="108"/>
      <c r="BF15" s="109"/>
      <c r="BJ15" s="122"/>
      <c r="BK15" s="122"/>
      <c r="BL15" s="109"/>
      <c r="BM15" s="119"/>
      <c r="BN15" s="108"/>
      <c r="BO15" s="108"/>
      <c r="BP15" s="109"/>
      <c r="BT15" s="122"/>
      <c r="BU15" s="122"/>
      <c r="BV15" s="109"/>
      <c r="BW15" s="119"/>
      <c r="BX15" s="108"/>
      <c r="BY15" s="108"/>
      <c r="BZ15" s="109"/>
      <c r="CD15" s="122"/>
      <c r="CE15" s="122"/>
      <c r="CF15" s="109"/>
      <c r="CG15" s="119"/>
      <c r="CH15" s="108"/>
      <c r="CI15" s="108"/>
      <c r="CJ15" s="109"/>
      <c r="CN15" s="122"/>
      <c r="CO15" s="122"/>
      <c r="CP15" s="109"/>
      <c r="CQ15" s="119"/>
      <c r="CR15" s="108"/>
      <c r="CS15" s="108"/>
      <c r="CT15" s="109"/>
      <c r="CX15" s="122"/>
      <c r="CY15" s="122"/>
      <c r="CZ15" s="109"/>
      <c r="DA15" s="119"/>
      <c r="DB15" s="108"/>
      <c r="DC15" s="108"/>
      <c r="DD15" s="109"/>
      <c r="DH15" s="122"/>
      <c r="DI15" s="122"/>
      <c r="DJ15" s="109"/>
      <c r="DK15" s="119"/>
      <c r="DL15" s="108"/>
      <c r="DM15" s="108"/>
      <c r="DN15" s="109"/>
      <c r="DR15" s="122"/>
      <c r="DS15" s="122"/>
      <c r="DT15" s="109"/>
      <c r="DU15" s="119"/>
      <c r="DV15" s="108"/>
      <c r="DW15" s="108"/>
      <c r="DX15" s="109"/>
      <c r="EB15" s="122"/>
      <c r="EC15" s="122"/>
      <c r="ED15" s="109"/>
      <c r="EE15" s="119"/>
      <c r="EF15" s="108"/>
      <c r="EG15" s="108"/>
      <c r="EH15" s="109"/>
      <c r="EL15" s="122"/>
      <c r="EM15" s="122"/>
      <c r="EN15" s="109"/>
      <c r="EO15" s="119"/>
      <c r="EP15" s="108"/>
      <c r="EQ15" s="108"/>
      <c r="ER15" s="109"/>
      <c r="EV15" s="122"/>
      <c r="EW15" s="122"/>
      <c r="EX15" s="109"/>
      <c r="EY15" s="119"/>
      <c r="EZ15" s="108"/>
      <c r="FA15" s="108"/>
      <c r="FB15" s="109"/>
      <c r="FF15" s="122"/>
      <c r="FG15" s="122"/>
      <c r="FH15" s="109"/>
      <c r="FI15" s="119"/>
      <c r="FJ15" s="108"/>
      <c r="FK15" s="108"/>
      <c r="FL15" s="109"/>
      <c r="FP15" s="122"/>
      <c r="FQ15" s="122"/>
      <c r="FR15" s="109"/>
      <c r="FS15" s="119"/>
      <c r="FT15" s="108"/>
      <c r="FU15" s="108"/>
      <c r="FV15" s="109"/>
      <c r="FZ15" s="122"/>
      <c r="GA15" s="122"/>
      <c r="GB15" s="109"/>
      <c r="GC15" s="119"/>
      <c r="GD15" s="108"/>
      <c r="GE15" s="108"/>
      <c r="GF15" s="109"/>
      <c r="GJ15" s="122"/>
      <c r="GK15" s="122"/>
      <c r="GL15" s="109"/>
      <c r="GM15" s="119"/>
      <c r="GN15" s="108"/>
      <c r="GO15" s="108"/>
      <c r="GP15" s="109"/>
      <c r="GT15" s="122"/>
      <c r="GU15" s="122"/>
      <c r="GV15" s="109"/>
      <c r="GW15" s="119"/>
      <c r="GX15" s="108"/>
      <c r="GY15" s="108"/>
      <c r="GZ15" s="109"/>
      <c r="HD15" s="122"/>
      <c r="HE15" s="122"/>
      <c r="HF15" s="109"/>
      <c r="HG15" s="119"/>
      <c r="HH15" s="108"/>
      <c r="HI15" s="108"/>
      <c r="HJ15" s="109"/>
      <c r="HN15" s="122"/>
      <c r="HO15" s="122"/>
      <c r="HP15" s="109"/>
      <c r="HQ15" s="119"/>
      <c r="HR15" s="108"/>
      <c r="HS15" s="108"/>
      <c r="HT15" s="109"/>
      <c r="HX15" s="122"/>
      <c r="HY15" s="122"/>
      <c r="HZ15" s="109"/>
      <c r="IA15" s="119"/>
      <c r="IB15" s="108"/>
      <c r="IC15" s="108"/>
      <c r="ID15" s="109"/>
      <c r="IH15" s="122"/>
      <c r="II15" s="122"/>
      <c r="IJ15" s="109"/>
      <c r="IK15" s="119"/>
      <c r="IL15" s="108"/>
      <c r="IM15" s="108"/>
      <c r="IN15" s="109"/>
      <c r="IR15" s="122"/>
      <c r="IS15" s="122"/>
      <c r="IT15" s="109"/>
      <c r="IU15" s="119"/>
      <c r="IV15" s="108"/>
      <c r="IW15" s="108"/>
      <c r="IX15" s="109"/>
    </row>
    <row r="16" spans="1:258" s="120" customFormat="1">
      <c r="A16" s="108">
        <v>1948</v>
      </c>
      <c r="B16" s="109" t="s">
        <v>13</v>
      </c>
      <c r="C16" s="109" t="s">
        <v>1966</v>
      </c>
      <c r="D16" s="120" t="s">
        <v>1410</v>
      </c>
      <c r="E16" s="120" t="s">
        <v>1400</v>
      </c>
      <c r="F16" s="105" t="s">
        <v>1517</v>
      </c>
      <c r="G16" s="121">
        <v>18.98</v>
      </c>
      <c r="H16" s="121">
        <v>29</v>
      </c>
      <c r="I16" s="111">
        <v>1</v>
      </c>
      <c r="J16" s="111"/>
      <c r="K16" s="124">
        <v>18.98</v>
      </c>
      <c r="L16" s="190"/>
      <c r="M16" s="111"/>
      <c r="N16" s="111"/>
      <c r="O16" s="111"/>
      <c r="P16" s="119" t="e">
        <f>INDEX([4]Sheet2!$K$1:$R$38,MATCH(A16,[4]Sheet2!$K$1:$K$38,0),MATCH(F16,[4]Sheet2!$K$1:$R$1,0))</f>
        <v>#N/A</v>
      </c>
      <c r="Q16" s="108" t="s">
        <v>167</v>
      </c>
      <c r="R16" s="120">
        <f>MATCH(Q16,[4]Sheet2!A:A,)</f>
        <v>3</v>
      </c>
      <c r="T16" s="105"/>
      <c r="V16" s="105" t="e">
        <f t="shared" si="0"/>
        <v>#N/A</v>
      </c>
      <c r="W16" s="105" t="s">
        <v>347</v>
      </c>
      <c r="X16" s="105" t="e">
        <f t="shared" si="1"/>
        <v>#N/A</v>
      </c>
      <c r="Y16" s="105" t="e">
        <f t="shared" si="2"/>
        <v>#N/A</v>
      </c>
      <c r="Z16" s="105"/>
      <c r="AA16" s="108"/>
      <c r="AB16" s="109"/>
      <c r="AF16" s="122"/>
      <c r="AG16" s="122"/>
      <c r="AH16" s="109"/>
      <c r="AI16" s="119"/>
      <c r="AJ16" s="108"/>
      <c r="AK16" s="108"/>
      <c r="AL16" s="109"/>
      <c r="AP16" s="122"/>
      <c r="AQ16" s="122"/>
      <c r="AR16" s="109"/>
      <c r="AS16" s="119"/>
      <c r="AT16" s="108"/>
      <c r="AU16" s="108"/>
      <c r="AV16" s="109"/>
      <c r="AZ16" s="122"/>
      <c r="BA16" s="122"/>
      <c r="BB16" s="109"/>
      <c r="BC16" s="119"/>
      <c r="BD16" s="108"/>
      <c r="BE16" s="108"/>
      <c r="BF16" s="109"/>
      <c r="BJ16" s="122"/>
      <c r="BK16" s="122"/>
      <c r="BL16" s="109"/>
      <c r="BM16" s="119"/>
      <c r="BN16" s="108"/>
      <c r="BO16" s="108"/>
      <c r="BP16" s="109"/>
      <c r="BT16" s="122"/>
      <c r="BU16" s="122"/>
      <c r="BV16" s="109"/>
      <c r="BW16" s="119"/>
      <c r="BX16" s="108"/>
      <c r="BY16" s="108"/>
      <c r="BZ16" s="109"/>
      <c r="CD16" s="122"/>
      <c r="CE16" s="122"/>
      <c r="CF16" s="109"/>
      <c r="CG16" s="119"/>
      <c r="CH16" s="108"/>
      <c r="CI16" s="108"/>
      <c r="CJ16" s="109"/>
      <c r="CN16" s="122"/>
      <c r="CO16" s="122"/>
      <c r="CP16" s="109"/>
      <c r="CQ16" s="119"/>
      <c r="CR16" s="108"/>
      <c r="CS16" s="108"/>
      <c r="CT16" s="109"/>
      <c r="CX16" s="122"/>
      <c r="CY16" s="122"/>
      <c r="CZ16" s="109"/>
      <c r="DA16" s="119"/>
      <c r="DB16" s="108"/>
      <c r="DC16" s="108"/>
      <c r="DD16" s="109"/>
      <c r="DH16" s="122"/>
      <c r="DI16" s="122"/>
      <c r="DJ16" s="109"/>
      <c r="DK16" s="119"/>
      <c r="DL16" s="108"/>
      <c r="DM16" s="108"/>
      <c r="DN16" s="109"/>
      <c r="DR16" s="122"/>
      <c r="DS16" s="122"/>
      <c r="DT16" s="109"/>
      <c r="DU16" s="119"/>
      <c r="DV16" s="108"/>
      <c r="DW16" s="108"/>
      <c r="DX16" s="109"/>
      <c r="EB16" s="122"/>
      <c r="EC16" s="122"/>
      <c r="ED16" s="109"/>
      <c r="EE16" s="119"/>
      <c r="EF16" s="108"/>
      <c r="EG16" s="108"/>
      <c r="EH16" s="109"/>
      <c r="EL16" s="122"/>
      <c r="EM16" s="122"/>
      <c r="EN16" s="109"/>
      <c r="EO16" s="119"/>
      <c r="EP16" s="108"/>
      <c r="EQ16" s="108"/>
      <c r="ER16" s="109"/>
      <c r="EV16" s="122"/>
      <c r="EW16" s="122"/>
      <c r="EX16" s="109"/>
      <c r="EY16" s="119"/>
      <c r="EZ16" s="108"/>
      <c r="FA16" s="108"/>
      <c r="FB16" s="109"/>
      <c r="FF16" s="122"/>
      <c r="FG16" s="122"/>
      <c r="FH16" s="109"/>
      <c r="FI16" s="119"/>
      <c r="FJ16" s="108"/>
      <c r="FK16" s="108"/>
      <c r="FL16" s="109"/>
      <c r="FP16" s="122"/>
      <c r="FQ16" s="122"/>
      <c r="FR16" s="109"/>
      <c r="FS16" s="119"/>
      <c r="FT16" s="108"/>
      <c r="FU16" s="108"/>
      <c r="FV16" s="109"/>
      <c r="FZ16" s="122"/>
      <c r="GA16" s="122"/>
      <c r="GB16" s="109"/>
      <c r="GC16" s="119"/>
      <c r="GD16" s="108"/>
      <c r="GE16" s="108"/>
      <c r="GF16" s="109"/>
      <c r="GJ16" s="122"/>
      <c r="GK16" s="122"/>
      <c r="GL16" s="109"/>
      <c r="GM16" s="119"/>
      <c r="GN16" s="108"/>
      <c r="GO16" s="108"/>
      <c r="GP16" s="109"/>
      <c r="GT16" s="122"/>
      <c r="GU16" s="122"/>
      <c r="GV16" s="109"/>
      <c r="GW16" s="119"/>
      <c r="GX16" s="108"/>
      <c r="GY16" s="108"/>
      <c r="GZ16" s="109"/>
      <c r="HD16" s="122"/>
      <c r="HE16" s="122"/>
      <c r="HF16" s="109"/>
      <c r="HG16" s="119"/>
      <c r="HH16" s="108"/>
      <c r="HI16" s="108"/>
      <c r="HJ16" s="109"/>
      <c r="HN16" s="122"/>
      <c r="HO16" s="122"/>
      <c r="HP16" s="109"/>
      <c r="HQ16" s="119"/>
      <c r="HR16" s="108"/>
      <c r="HS16" s="108"/>
      <c r="HT16" s="109"/>
      <c r="HX16" s="122"/>
      <c r="HY16" s="122"/>
      <c r="HZ16" s="109"/>
      <c r="IA16" s="119"/>
      <c r="IB16" s="108"/>
      <c r="IC16" s="108"/>
      <c r="ID16" s="109"/>
      <c r="IH16" s="122"/>
      <c r="II16" s="122"/>
      <c r="IJ16" s="109"/>
      <c r="IK16" s="119"/>
      <c r="IL16" s="108"/>
      <c r="IM16" s="108"/>
      <c r="IN16" s="109"/>
      <c r="IR16" s="122"/>
      <c r="IS16" s="122"/>
      <c r="IT16" s="109"/>
      <c r="IU16" s="119"/>
      <c r="IV16" s="108"/>
      <c r="IW16" s="108"/>
      <c r="IX16" s="109"/>
    </row>
    <row r="17" spans="1:26" s="120" customFormat="1">
      <c r="A17" s="108">
        <v>1949</v>
      </c>
      <c r="B17" s="109"/>
      <c r="C17" s="109" t="s">
        <v>1966</v>
      </c>
      <c r="D17" s="120" t="s">
        <v>1411</v>
      </c>
      <c r="E17" s="120" t="s">
        <v>1400</v>
      </c>
      <c r="F17" s="108" t="s">
        <v>316</v>
      </c>
      <c r="G17" s="121">
        <v>19.489999999999998</v>
      </c>
      <c r="H17" s="121">
        <v>21</v>
      </c>
      <c r="I17" s="111">
        <v>1</v>
      </c>
      <c r="J17" s="111"/>
      <c r="K17" s="118">
        <v>19.489999999999998</v>
      </c>
      <c r="L17" s="111"/>
      <c r="M17" s="111"/>
      <c r="N17" s="111"/>
      <c r="O17" s="111"/>
      <c r="P17" s="119" t="e">
        <f>INDEX([4]Sheet2!$K$1:$R$38,MATCH(A17,[4]Sheet2!$K$1:$K$38,0),MATCH(F17,[4]Sheet2!$K$1:$R$1,0))</f>
        <v>#N/A</v>
      </c>
      <c r="Q17" s="108">
        <v>1949</v>
      </c>
      <c r="R17" s="120">
        <f>MATCH(Q17,[4]Sheet2!A:A,)</f>
        <v>4</v>
      </c>
      <c r="S17" s="125"/>
      <c r="T17" s="105"/>
      <c r="V17" s="105" t="e">
        <f t="shared" si="0"/>
        <v>#N/A</v>
      </c>
      <c r="W17" s="105" t="s">
        <v>351</v>
      </c>
      <c r="X17" s="105" t="e">
        <f t="shared" si="1"/>
        <v>#N/A</v>
      </c>
      <c r="Y17" s="105" t="e">
        <f t="shared" si="2"/>
        <v>#N/A</v>
      </c>
      <c r="Z17" s="105"/>
    </row>
    <row r="18" spans="1:26" s="120" customFormat="1">
      <c r="A18" s="108">
        <v>1949</v>
      </c>
      <c r="B18" s="109"/>
      <c r="C18" s="109" t="s">
        <v>1966</v>
      </c>
      <c r="D18" s="120" t="s">
        <v>1412</v>
      </c>
      <c r="E18" s="120" t="s">
        <v>1400</v>
      </c>
      <c r="F18" s="120" t="s">
        <v>1413</v>
      </c>
      <c r="G18" s="121">
        <v>19.489999999999998</v>
      </c>
      <c r="H18" s="122">
        <v>69</v>
      </c>
      <c r="I18" s="111">
        <v>1</v>
      </c>
      <c r="J18" s="111"/>
      <c r="K18" s="118">
        <v>19.489999999999998</v>
      </c>
      <c r="L18" s="111"/>
      <c r="M18" s="111"/>
      <c r="N18" s="111"/>
      <c r="O18" s="111"/>
      <c r="P18" s="119">
        <f>INDEX([4]Sheet2!$K$1:$R$38,MATCH(A18,[4]Sheet2!$K$1:$K$38,0),MATCH(F18,[4]Sheet2!$K$1:$R$1,0))</f>
        <v>22</v>
      </c>
      <c r="Q18" s="108" t="s">
        <v>1414</v>
      </c>
      <c r="R18" s="120" t="e">
        <f>MATCH(Q18,[4]Sheet2!A:A,)</f>
        <v>#N/A</v>
      </c>
      <c r="S18" s="125"/>
      <c r="T18" s="105"/>
      <c r="V18" s="105" t="e">
        <f t="shared" si="0"/>
        <v>#N/A</v>
      </c>
      <c r="W18" s="105" t="s">
        <v>354</v>
      </c>
      <c r="X18" s="105" t="e">
        <f t="shared" si="1"/>
        <v>#N/A</v>
      </c>
      <c r="Y18" s="105" t="e">
        <f t="shared" si="2"/>
        <v>#N/A</v>
      </c>
      <c r="Z18" s="105"/>
    </row>
    <row r="19" spans="1:26" s="120" customFormat="1">
      <c r="A19" s="108">
        <v>1950</v>
      </c>
      <c r="B19" s="109"/>
      <c r="C19" s="109" t="s">
        <v>1966</v>
      </c>
      <c r="D19" s="120" t="s">
        <v>1415</v>
      </c>
      <c r="E19" s="120" t="s">
        <v>1400</v>
      </c>
      <c r="F19" s="108" t="s">
        <v>316</v>
      </c>
      <c r="G19" s="121">
        <v>18.489999999999998</v>
      </c>
      <c r="H19" s="122">
        <v>19</v>
      </c>
      <c r="I19" s="111">
        <v>1</v>
      </c>
      <c r="J19" s="111"/>
      <c r="K19" s="118">
        <v>18.489999999999998</v>
      </c>
      <c r="L19" s="111"/>
      <c r="M19" s="111"/>
      <c r="N19" s="111"/>
      <c r="O19" s="111"/>
      <c r="P19" s="119" t="e">
        <f>INDEX([4]Sheet2!$K$1:$R$38,MATCH(A19,[4]Sheet2!$K$1:$K$38,0),MATCH(F19,[4]Sheet2!$K$1:$R$1,0))</f>
        <v>#N/A</v>
      </c>
      <c r="Q19" s="108">
        <v>1950</v>
      </c>
      <c r="R19" s="120">
        <f>MATCH(Q19,[4]Sheet2!A:A,)</f>
        <v>7</v>
      </c>
      <c r="S19" s="125"/>
      <c r="T19" s="105"/>
      <c r="V19" s="105" t="e">
        <f t="shared" si="0"/>
        <v>#N/A</v>
      </c>
      <c r="W19" s="105" t="s">
        <v>359</v>
      </c>
      <c r="X19" s="105" t="e">
        <f t="shared" si="1"/>
        <v>#N/A</v>
      </c>
      <c r="Y19" s="105" t="e">
        <f t="shared" si="2"/>
        <v>#N/A</v>
      </c>
      <c r="Z19" s="105"/>
    </row>
    <row r="20" spans="1:26" s="120" customFormat="1">
      <c r="A20" s="108">
        <v>1950</v>
      </c>
      <c r="B20" s="109" t="s">
        <v>13</v>
      </c>
      <c r="C20" s="109" t="s">
        <v>1966</v>
      </c>
      <c r="D20" s="120" t="s">
        <v>1416</v>
      </c>
      <c r="E20" s="120" t="s">
        <v>1400</v>
      </c>
      <c r="F20" s="105" t="s">
        <v>1517</v>
      </c>
      <c r="G20" s="121">
        <v>17.489999999999998</v>
      </c>
      <c r="H20" s="122">
        <v>34</v>
      </c>
      <c r="I20" s="111">
        <v>1</v>
      </c>
      <c r="J20" s="111"/>
      <c r="K20" s="118">
        <v>17.489999999999998</v>
      </c>
      <c r="L20" s="111"/>
      <c r="M20" s="111"/>
      <c r="N20" s="111"/>
      <c r="O20" s="111"/>
      <c r="P20" s="119" t="e">
        <f>INDEX([4]Sheet2!$K$1:$R$38,MATCH(A20,[4]Sheet2!$K$1:$K$38,0),MATCH(F20,[4]Sheet2!$K$1:$R$1,0))</f>
        <v>#N/A</v>
      </c>
      <c r="Q20" s="108" t="s">
        <v>188</v>
      </c>
      <c r="R20" s="120">
        <f>MATCH(Q20,[4]Sheet2!A:A,)</f>
        <v>8</v>
      </c>
      <c r="S20" s="125"/>
      <c r="T20" s="125"/>
      <c r="U20" s="125"/>
      <c r="V20" s="105" t="e">
        <f t="shared" si="0"/>
        <v>#N/A</v>
      </c>
      <c r="W20" s="105" t="s">
        <v>363</v>
      </c>
      <c r="X20" s="105" t="e">
        <f t="shared" si="1"/>
        <v>#N/A</v>
      </c>
      <c r="Y20" s="105" t="e">
        <f t="shared" si="2"/>
        <v>#N/A</v>
      </c>
      <c r="Z20" s="105"/>
    </row>
    <row r="21" spans="1:26" s="120" customFormat="1">
      <c r="A21" s="108">
        <v>1951</v>
      </c>
      <c r="B21" s="109"/>
      <c r="C21" s="109" t="s">
        <v>1966</v>
      </c>
      <c r="D21" s="120" t="s">
        <v>1417</v>
      </c>
      <c r="E21" s="120" t="s">
        <v>1400</v>
      </c>
      <c r="F21" s="108" t="s">
        <v>316</v>
      </c>
      <c r="G21" s="121">
        <v>16.29</v>
      </c>
      <c r="H21" s="122">
        <v>19</v>
      </c>
      <c r="I21" s="111">
        <v>1</v>
      </c>
      <c r="J21" s="111"/>
      <c r="K21" s="118">
        <v>16.29</v>
      </c>
      <c r="L21" s="111"/>
      <c r="M21" s="111"/>
      <c r="N21" s="111"/>
      <c r="O21" s="111"/>
      <c r="P21" s="119" t="e">
        <f>INDEX([4]Sheet2!$K$1:$R$38,MATCH(A21,[4]Sheet2!$K$1:$K$38,0),MATCH(F21,[4]Sheet2!$K$1:$R$1,0))</f>
        <v>#N/A</v>
      </c>
      <c r="Q21" s="108">
        <v>1951</v>
      </c>
      <c r="R21" s="120">
        <f>MATCH(Q21,[4]Sheet2!A:A,)</f>
        <v>9</v>
      </c>
      <c r="S21" s="125"/>
      <c r="T21" s="125"/>
      <c r="U21" s="125"/>
      <c r="V21" s="105" t="e">
        <f t="shared" si="0"/>
        <v>#N/A</v>
      </c>
      <c r="W21" s="105" t="s">
        <v>368</v>
      </c>
      <c r="X21" s="105" t="e">
        <f t="shared" si="1"/>
        <v>#N/A</v>
      </c>
      <c r="Y21" s="105" t="e">
        <f t="shared" si="2"/>
        <v>#N/A</v>
      </c>
      <c r="Z21" s="105"/>
    </row>
    <row r="22" spans="1:26" s="120" customFormat="1">
      <c r="A22" s="108">
        <v>1951</v>
      </c>
      <c r="B22" s="109" t="s">
        <v>13</v>
      </c>
      <c r="C22" s="109" t="s">
        <v>1966</v>
      </c>
      <c r="D22" s="120" t="s">
        <v>1418</v>
      </c>
      <c r="E22" s="120" t="s">
        <v>1400</v>
      </c>
      <c r="F22" s="120" t="s">
        <v>1419</v>
      </c>
      <c r="G22" s="121">
        <v>17</v>
      </c>
      <c r="H22" s="122">
        <v>44</v>
      </c>
      <c r="I22" s="111">
        <v>1</v>
      </c>
      <c r="J22" s="111"/>
      <c r="K22" s="118">
        <v>17</v>
      </c>
      <c r="L22" s="111"/>
      <c r="M22" s="111"/>
      <c r="N22" s="111"/>
      <c r="O22" s="111"/>
      <c r="P22" s="119">
        <f>INDEX([4]Sheet2!$K$1:$R$38,MATCH(A22,[4]Sheet2!$K$1:$K$38,0),MATCH(F22,[4]Sheet2!$K$1:$R$1,0))</f>
        <v>56</v>
      </c>
      <c r="Q22" s="108" t="s">
        <v>254</v>
      </c>
      <c r="R22" s="120">
        <f>MATCH(Q22,[4]Sheet2!A:A,)</f>
        <v>10</v>
      </c>
      <c r="S22" s="125"/>
      <c r="T22" s="125"/>
      <c r="U22" s="125"/>
      <c r="V22" s="105" t="e">
        <f t="shared" si="0"/>
        <v>#N/A</v>
      </c>
      <c r="W22" s="105" t="s">
        <v>371</v>
      </c>
      <c r="X22" s="105" t="e">
        <f t="shared" si="1"/>
        <v>#N/A</v>
      </c>
      <c r="Y22" s="105" t="e">
        <f t="shared" si="2"/>
        <v>#N/A</v>
      </c>
      <c r="Z22" s="105"/>
    </row>
    <row r="23" spans="1:26" s="120" customFormat="1">
      <c r="A23" s="108">
        <v>1951</v>
      </c>
      <c r="B23" s="109" t="s">
        <v>12</v>
      </c>
      <c r="C23" s="109" t="s">
        <v>1966</v>
      </c>
      <c r="D23" s="120" t="s">
        <v>1420</v>
      </c>
      <c r="E23" s="120" t="s">
        <v>1400</v>
      </c>
      <c r="F23" s="120" t="s">
        <v>1413</v>
      </c>
      <c r="G23" s="121">
        <v>17</v>
      </c>
      <c r="H23" s="122">
        <v>27</v>
      </c>
      <c r="I23" s="111">
        <v>1</v>
      </c>
      <c r="J23" s="111"/>
      <c r="K23" s="118">
        <v>17</v>
      </c>
      <c r="L23" s="111"/>
      <c r="M23" s="111"/>
      <c r="N23" s="111"/>
      <c r="O23" s="111"/>
      <c r="P23" s="119">
        <f>INDEX([4]Sheet2!$K$1:$R$38,MATCH(A23,[4]Sheet2!$K$1:$K$38,0),MATCH(F23,[4]Sheet2!$K$1:$R$1,0))</f>
        <v>12</v>
      </c>
      <c r="Q23" s="108" t="s">
        <v>197</v>
      </c>
      <c r="R23" s="120">
        <f>MATCH(Q23,[4]Sheet2!A:A,)</f>
        <v>11</v>
      </c>
      <c r="S23" s="125"/>
      <c r="T23" s="125"/>
      <c r="U23" s="125"/>
      <c r="V23" s="105" t="e">
        <f t="shared" si="0"/>
        <v>#N/A</v>
      </c>
      <c r="W23" s="105" t="s">
        <v>373</v>
      </c>
      <c r="X23" s="105" t="e">
        <f t="shared" si="1"/>
        <v>#N/A</v>
      </c>
      <c r="Y23" s="105" t="e">
        <f t="shared" si="2"/>
        <v>#N/A</v>
      </c>
      <c r="Z23" s="105"/>
    </row>
    <row r="24" spans="1:26" s="120" customFormat="1">
      <c r="A24" s="108">
        <v>1952</v>
      </c>
      <c r="B24" s="109"/>
      <c r="C24" s="109" t="s">
        <v>1966</v>
      </c>
      <c r="D24" s="120" t="s">
        <v>1421</v>
      </c>
      <c r="E24" s="120" t="s">
        <v>1400</v>
      </c>
      <c r="F24" s="120" t="s">
        <v>1413</v>
      </c>
      <c r="G24" s="121">
        <v>14.5</v>
      </c>
      <c r="H24" s="122">
        <v>21</v>
      </c>
      <c r="I24" s="111">
        <v>1</v>
      </c>
      <c r="J24" s="111"/>
      <c r="K24" s="118">
        <v>14.5</v>
      </c>
      <c r="L24" s="111"/>
      <c r="M24" s="111"/>
      <c r="N24" s="111"/>
      <c r="O24" s="111"/>
      <c r="P24" s="119">
        <f>INDEX([4]Sheet2!$K$1:$R$38,MATCH(A24,[4]Sheet2!$K$1:$K$38,0),MATCH(F24,[4]Sheet2!$K$1:$R$1,0))</f>
        <v>12</v>
      </c>
      <c r="Q24" s="108">
        <v>1952</v>
      </c>
      <c r="R24" s="120">
        <f>MATCH(Q24,[4]Sheet2!A:A,)</f>
        <v>12</v>
      </c>
      <c r="S24" s="125"/>
      <c r="T24" s="125"/>
      <c r="U24" s="125"/>
      <c r="V24" s="105" t="e">
        <f t="shared" si="0"/>
        <v>#N/A</v>
      </c>
      <c r="W24" s="105" t="s">
        <v>376</v>
      </c>
      <c r="X24" s="105" t="e">
        <f t="shared" si="1"/>
        <v>#N/A</v>
      </c>
      <c r="Y24" s="105" t="e">
        <f t="shared" si="2"/>
        <v>#N/A</v>
      </c>
      <c r="Z24" s="105"/>
    </row>
    <row r="25" spans="1:26" s="120" customFormat="1">
      <c r="A25" s="108">
        <v>1953</v>
      </c>
      <c r="B25" s="109" t="s">
        <v>13</v>
      </c>
      <c r="C25" s="109" t="s">
        <v>1966</v>
      </c>
      <c r="D25" s="120" t="s">
        <v>1422</v>
      </c>
      <c r="E25" s="120" t="s">
        <v>1400</v>
      </c>
      <c r="F25" s="120" t="s">
        <v>1413</v>
      </c>
      <c r="G25" s="121">
        <v>12.13</v>
      </c>
      <c r="H25" s="122">
        <v>21</v>
      </c>
      <c r="I25" s="111">
        <v>1</v>
      </c>
      <c r="J25" s="111"/>
      <c r="K25" s="118">
        <v>12.13</v>
      </c>
      <c r="L25" s="111"/>
      <c r="M25" s="111"/>
      <c r="N25" s="111"/>
      <c r="O25" s="111"/>
      <c r="P25" s="119">
        <f>INDEX([4]Sheet2!$K$1:$R$38,MATCH(A25,[4]Sheet2!$K$1:$K$38,0),MATCH(F25,[4]Sheet2!$K$1:$R$1,0))</f>
        <v>15</v>
      </c>
      <c r="Q25" s="108" t="s">
        <v>212</v>
      </c>
      <c r="R25" s="120">
        <f>MATCH(Q25,[4]Sheet2!A:A,)</f>
        <v>16</v>
      </c>
      <c r="S25" s="125"/>
      <c r="T25" s="125"/>
      <c r="U25" s="125"/>
      <c r="V25" s="105" t="e">
        <f t="shared" si="0"/>
        <v>#N/A</v>
      </c>
      <c r="W25" s="105" t="s">
        <v>378</v>
      </c>
      <c r="X25" s="105" t="e">
        <f t="shared" si="1"/>
        <v>#N/A</v>
      </c>
      <c r="Y25" s="105" t="e">
        <f t="shared" si="2"/>
        <v>#N/A</v>
      </c>
      <c r="Z25" s="105"/>
    </row>
    <row r="26" spans="1:26" s="120" customFormat="1">
      <c r="A26" s="108">
        <v>1954</v>
      </c>
      <c r="B26" s="109"/>
      <c r="C26" s="109" t="s">
        <v>1966</v>
      </c>
      <c r="D26" s="120" t="s">
        <v>1423</v>
      </c>
      <c r="E26" s="120" t="s">
        <v>1400</v>
      </c>
      <c r="F26" s="120" t="s">
        <v>1413</v>
      </c>
      <c r="G26" s="121">
        <v>13.02</v>
      </c>
      <c r="H26" s="122">
        <v>21</v>
      </c>
      <c r="I26" s="111">
        <v>1</v>
      </c>
      <c r="J26" s="111"/>
      <c r="K26" s="118">
        <v>13.02</v>
      </c>
      <c r="L26" s="111"/>
      <c r="M26" s="111"/>
      <c r="N26" s="111"/>
      <c r="O26" s="111"/>
      <c r="P26" s="119">
        <f>INDEX([4]Sheet2!$K$1:$R$38,MATCH(A26,[4]Sheet2!$K$1:$K$38,0),MATCH(F26,[4]Sheet2!$K$1:$R$1,0))</f>
        <v>12</v>
      </c>
      <c r="Q26" s="108">
        <v>1954</v>
      </c>
      <c r="R26" s="120">
        <f>MATCH(Q26,[4]Sheet2!A:A,)</f>
        <v>18</v>
      </c>
      <c r="S26" s="125"/>
      <c r="T26" s="125"/>
      <c r="U26" s="125"/>
      <c r="V26" s="105" t="e">
        <f t="shared" si="0"/>
        <v>#N/A</v>
      </c>
      <c r="W26" s="105" t="s">
        <v>23</v>
      </c>
      <c r="X26" s="105" t="e">
        <f t="shared" si="1"/>
        <v>#N/A</v>
      </c>
      <c r="Y26" s="105" t="e">
        <f t="shared" si="2"/>
        <v>#N/A</v>
      </c>
      <c r="Z26" s="105"/>
    </row>
    <row r="27" spans="1:26" s="120" customFormat="1">
      <c r="A27" s="108">
        <v>1955</v>
      </c>
      <c r="B27" s="109"/>
      <c r="C27" s="109" t="s">
        <v>1966</v>
      </c>
      <c r="D27" s="120" t="s">
        <v>1424</v>
      </c>
      <c r="E27" s="120" t="s">
        <v>1400</v>
      </c>
      <c r="F27" s="120" t="s">
        <v>1413</v>
      </c>
      <c r="G27" s="121">
        <v>19.350000000000001</v>
      </c>
      <c r="H27" s="122">
        <v>32</v>
      </c>
      <c r="I27" s="111">
        <v>1</v>
      </c>
      <c r="J27" s="111"/>
      <c r="K27" s="118">
        <v>19.350000000000001</v>
      </c>
      <c r="L27" s="111"/>
      <c r="M27" s="111"/>
      <c r="N27" s="111"/>
      <c r="O27" s="111"/>
      <c r="P27" s="119">
        <f>INDEX([4]Sheet2!$K$1:$R$38,MATCH(A27,[4]Sheet2!$K$1:$K$38,0),MATCH(F27,[4]Sheet2!$K$1:$R$1,0))</f>
        <v>12</v>
      </c>
      <c r="Q27" s="108">
        <v>1955</v>
      </c>
      <c r="R27" s="120">
        <f>MATCH(Q27,[4]Sheet2!A:A,)</f>
        <v>21</v>
      </c>
      <c r="S27" s="125"/>
      <c r="T27" s="125"/>
      <c r="U27" s="125"/>
      <c r="V27" s="105" t="e">
        <f t="shared" si="0"/>
        <v>#N/A</v>
      </c>
      <c r="W27" s="105" t="s">
        <v>382</v>
      </c>
      <c r="X27" s="105" t="e">
        <f t="shared" si="1"/>
        <v>#N/A</v>
      </c>
      <c r="Y27" s="105" t="e">
        <f t="shared" si="2"/>
        <v>#N/A</v>
      </c>
      <c r="Z27" s="105"/>
    </row>
    <row r="28" spans="1:26" s="120" customFormat="1">
      <c r="A28" s="108">
        <v>1956</v>
      </c>
      <c r="B28" s="109"/>
      <c r="C28" s="109" t="s">
        <v>1966</v>
      </c>
      <c r="D28" s="120" t="s">
        <v>1425</v>
      </c>
      <c r="E28" s="120" t="s">
        <v>1400</v>
      </c>
      <c r="F28" s="120" t="s">
        <v>1413</v>
      </c>
      <c r="G28" s="121">
        <v>20.28</v>
      </c>
      <c r="H28" s="122">
        <v>21</v>
      </c>
      <c r="I28" s="111">
        <v>1</v>
      </c>
      <c r="J28" s="111"/>
      <c r="K28" s="118">
        <v>20.28</v>
      </c>
      <c r="L28" s="111"/>
      <c r="M28" s="111"/>
      <c r="N28" s="111"/>
      <c r="O28" s="111"/>
      <c r="P28" s="119">
        <f>INDEX([4]Sheet2!$K$1:$R$38,MATCH(A28,[4]Sheet2!$K$1:$K$38,0),MATCH(F28,[4]Sheet2!$K$1:$R$1,0))</f>
        <v>15</v>
      </c>
      <c r="Q28" s="108">
        <v>1956</v>
      </c>
      <c r="R28" s="120">
        <f>MATCH(Q28,[4]Sheet2!A:A,)</f>
        <v>23</v>
      </c>
      <c r="V28" s="105" t="e">
        <f>MATCH($V$3&amp;W27,$C:$C,0)</f>
        <v>#N/A</v>
      </c>
      <c r="W28" s="105" t="s">
        <v>385</v>
      </c>
      <c r="X28" s="105" t="e">
        <f t="shared" si="1"/>
        <v>#N/A</v>
      </c>
      <c r="Y28" s="105" t="e">
        <f t="shared" si="2"/>
        <v>#N/A</v>
      </c>
      <c r="Z28" s="105"/>
    </row>
    <row r="29" spans="1:26" s="120" customFormat="1">
      <c r="A29" s="108">
        <v>1956</v>
      </c>
      <c r="B29" s="109"/>
      <c r="C29" s="109" t="s">
        <v>1966</v>
      </c>
      <c r="D29" s="120" t="s">
        <v>1426</v>
      </c>
      <c r="E29" s="120" t="s">
        <v>1400</v>
      </c>
      <c r="F29" s="120" t="s">
        <v>1419</v>
      </c>
      <c r="G29" s="121">
        <v>20.28</v>
      </c>
      <c r="H29" s="122">
        <v>21</v>
      </c>
      <c r="I29" s="111">
        <v>1</v>
      </c>
      <c r="J29" s="111"/>
      <c r="K29" s="118">
        <v>20.28</v>
      </c>
      <c r="L29" s="111"/>
      <c r="M29" s="111"/>
      <c r="N29" s="111"/>
      <c r="O29" s="111"/>
      <c r="P29" s="119">
        <f>INDEX([4]Sheet2!$K$1:$R$38,MATCH(A29,[4]Sheet2!$K$1:$K$38,0),MATCH(F29,[4]Sheet2!$K$1:$R$1,0))</f>
        <v>36</v>
      </c>
      <c r="Q29" s="108">
        <v>1956</v>
      </c>
      <c r="R29" s="120">
        <f>MATCH(Q29,[4]Sheet2!A:A,)</f>
        <v>23</v>
      </c>
      <c r="V29" s="105" t="e">
        <f>MATCH($V$3&amp;W28,$C:$C,0)</f>
        <v>#N/A</v>
      </c>
      <c r="W29" s="105" t="s">
        <v>387</v>
      </c>
      <c r="X29" s="105" t="e">
        <f t="shared" si="1"/>
        <v>#N/A</v>
      </c>
      <c r="Y29" s="105" t="e">
        <f t="shared" si="2"/>
        <v>#N/A</v>
      </c>
      <c r="Z29" s="105"/>
    </row>
    <row r="30" spans="1:26" s="120" customFormat="1">
      <c r="A30" s="108">
        <v>1957</v>
      </c>
      <c r="B30" s="109"/>
      <c r="C30" s="109" t="s">
        <v>1966</v>
      </c>
      <c r="D30" s="120" t="s">
        <v>1427</v>
      </c>
      <c r="E30" s="120" t="s">
        <v>1400</v>
      </c>
      <c r="F30" s="120" t="s">
        <v>1413</v>
      </c>
      <c r="G30" s="121">
        <v>14.75</v>
      </c>
      <c r="H30" s="122">
        <v>21</v>
      </c>
      <c r="I30" s="111">
        <v>1</v>
      </c>
      <c r="J30" s="111"/>
      <c r="K30" s="118">
        <v>14.75</v>
      </c>
      <c r="L30" s="111"/>
      <c r="M30" s="111"/>
      <c r="N30" s="111"/>
      <c r="O30" s="111"/>
      <c r="P30" s="119">
        <f>INDEX([4]Sheet2!$K$1:$R$38,MATCH(A30,[4]Sheet2!$K$1:$K$38,0),MATCH(F30,[4]Sheet2!$K$1:$R$1,0))</f>
        <v>12</v>
      </c>
      <c r="Q30" s="108">
        <v>1957</v>
      </c>
      <c r="R30" s="120">
        <f>MATCH(Q30,[4]Sheet2!A:A,)</f>
        <v>24</v>
      </c>
      <c r="V30" s="105" t="e">
        <f>MATCH($V$3&amp;W29,$C:$C,0)</f>
        <v>#N/A</v>
      </c>
      <c r="W30" s="105" t="s">
        <v>389</v>
      </c>
      <c r="X30" s="105" t="e">
        <f t="shared" si="1"/>
        <v>#N/A</v>
      </c>
      <c r="Y30" s="105" t="e">
        <f t="shared" si="2"/>
        <v>#N/A</v>
      </c>
      <c r="Z30" s="105"/>
    </row>
    <row r="31" spans="1:26" s="120" customFormat="1">
      <c r="A31" s="108">
        <v>1957</v>
      </c>
      <c r="B31" s="109" t="s">
        <v>13</v>
      </c>
      <c r="C31" s="109" t="s">
        <v>1966</v>
      </c>
      <c r="D31" s="120" t="s">
        <v>1428</v>
      </c>
      <c r="E31" s="120" t="s">
        <v>1400</v>
      </c>
      <c r="F31" s="120" t="s">
        <v>1419</v>
      </c>
      <c r="G31" s="121">
        <v>14.64</v>
      </c>
      <c r="H31" s="122">
        <v>21</v>
      </c>
      <c r="I31" s="111">
        <v>1</v>
      </c>
      <c r="J31" s="111"/>
      <c r="K31" s="118">
        <v>14.64</v>
      </c>
      <c r="L31" s="111"/>
      <c r="M31" s="111"/>
      <c r="N31" s="111"/>
      <c r="O31" s="111"/>
      <c r="P31" s="119">
        <f>INDEX([4]Sheet2!$K$1:$R$38,MATCH(A31,[4]Sheet2!$K$1:$K$38,0),MATCH(F31,[4]Sheet2!$K$1:$R$1,0))</f>
        <v>38</v>
      </c>
      <c r="Q31" s="108" t="s">
        <v>275</v>
      </c>
      <c r="R31" s="120">
        <f>MATCH(Q31,[4]Sheet2!A:A,)</f>
        <v>25</v>
      </c>
      <c r="V31" s="105" t="e">
        <f>MATCH($V$3&amp;W30,$C:$C,0)</f>
        <v>#N/A</v>
      </c>
      <c r="W31" s="105" t="s">
        <v>392</v>
      </c>
      <c r="X31" s="105" t="e">
        <f t="shared" si="1"/>
        <v>#N/A</v>
      </c>
      <c r="Y31" s="105" t="e">
        <f t="shared" si="2"/>
        <v>#N/A</v>
      </c>
      <c r="Z31" s="105"/>
    </row>
    <row r="32" spans="1:26" s="120" customFormat="1">
      <c r="A32" s="108">
        <v>1958</v>
      </c>
      <c r="B32" s="109" t="s">
        <v>13</v>
      </c>
      <c r="C32" s="109" t="s">
        <v>1966</v>
      </c>
      <c r="D32" s="120" t="s">
        <v>1429</v>
      </c>
      <c r="E32" s="120" t="s">
        <v>1400</v>
      </c>
      <c r="F32" s="120" t="s">
        <v>1413</v>
      </c>
      <c r="G32" s="121">
        <v>14</v>
      </c>
      <c r="H32" s="122">
        <v>21</v>
      </c>
      <c r="I32" s="111">
        <v>1</v>
      </c>
      <c r="J32" s="111"/>
      <c r="K32" s="118">
        <v>14</v>
      </c>
      <c r="L32" s="111"/>
      <c r="M32" s="111"/>
      <c r="N32" s="111"/>
      <c r="O32" s="111"/>
      <c r="P32" s="119">
        <f>INDEX([4]Sheet2!$K$1:$R$38,MATCH(A32,[4]Sheet2!$K$1:$K$38,0),MATCH(F32,[4]Sheet2!$K$1:$R$1,0))</f>
        <v>14</v>
      </c>
      <c r="Q32" s="108" t="s">
        <v>278</v>
      </c>
      <c r="R32" s="120">
        <f>MATCH(Q32,[4]Sheet2!A:A,)</f>
        <v>27</v>
      </c>
    </row>
    <row r="33" spans="1:18" s="120" customFormat="1">
      <c r="A33" s="108">
        <v>1959</v>
      </c>
      <c r="B33" s="109"/>
      <c r="C33" s="109" t="s">
        <v>1966</v>
      </c>
      <c r="D33" s="120" t="s">
        <v>1430</v>
      </c>
      <c r="E33" s="120" t="s">
        <v>1400</v>
      </c>
      <c r="F33" s="120" t="s">
        <v>1413</v>
      </c>
      <c r="G33" s="121">
        <v>12.93</v>
      </c>
      <c r="H33" s="122">
        <v>21</v>
      </c>
      <c r="I33" s="111">
        <v>1</v>
      </c>
      <c r="J33" s="111"/>
      <c r="K33" s="118">
        <v>12.93</v>
      </c>
      <c r="L33" s="111"/>
      <c r="M33" s="111"/>
      <c r="N33" s="111"/>
      <c r="O33" s="111"/>
      <c r="P33" s="119">
        <f>INDEX([4]Sheet2!$K$1:$R$38,MATCH(A33,[4]Sheet2!$K$1:$K$38,0),MATCH(F33,[4]Sheet2!$K$1:$R$1,0))</f>
        <v>15</v>
      </c>
      <c r="Q33" s="108">
        <v>1959</v>
      </c>
      <c r="R33" s="120">
        <f>MATCH(Q33,[4]Sheet2!A:A,)</f>
        <v>28</v>
      </c>
    </row>
    <row r="34" spans="1:18" s="120" customFormat="1">
      <c r="A34" s="108">
        <v>1959</v>
      </c>
      <c r="B34" s="109"/>
      <c r="C34" s="109" t="s">
        <v>1966</v>
      </c>
      <c r="D34" s="120" t="s">
        <v>1431</v>
      </c>
      <c r="E34" s="120" t="s">
        <v>1400</v>
      </c>
      <c r="F34" s="120" t="s">
        <v>1419</v>
      </c>
      <c r="G34" s="121">
        <v>14.19</v>
      </c>
      <c r="H34" s="122">
        <v>21</v>
      </c>
      <c r="I34" s="111">
        <v>1</v>
      </c>
      <c r="J34" s="111"/>
      <c r="K34" s="118">
        <v>12.93</v>
      </c>
      <c r="L34" s="111"/>
      <c r="M34" s="111"/>
      <c r="N34" s="111"/>
      <c r="O34" s="111"/>
      <c r="P34" s="119">
        <f>INDEX([4]Sheet2!$K$1:$R$38,MATCH(A34,[4]Sheet2!$K$1:$K$38,0),MATCH(F34,[4]Sheet2!$K$1:$R$1,0))</f>
        <v>53</v>
      </c>
      <c r="Q34" s="108">
        <v>1959</v>
      </c>
      <c r="R34" s="120">
        <f>MATCH(Q34,[4]Sheet2!A:A,)</f>
        <v>28</v>
      </c>
    </row>
    <row r="35" spans="1:18" s="120" customFormat="1" ht="12">
      <c r="A35" s="108">
        <v>1960</v>
      </c>
      <c r="B35" s="109"/>
      <c r="C35" s="109" t="s">
        <v>1966</v>
      </c>
      <c r="D35" s="120" t="s">
        <v>1432</v>
      </c>
      <c r="E35" s="120" t="s">
        <v>1400</v>
      </c>
      <c r="F35" s="120" t="s">
        <v>1413</v>
      </c>
      <c r="G35" s="122">
        <v>11</v>
      </c>
      <c r="H35" s="122">
        <v>21</v>
      </c>
      <c r="I35" s="111">
        <v>1</v>
      </c>
      <c r="J35" s="111"/>
      <c r="K35" s="118">
        <v>14.19</v>
      </c>
      <c r="L35" s="111"/>
      <c r="M35" s="111"/>
      <c r="N35" s="111"/>
      <c r="O35" s="111"/>
      <c r="P35" s="119">
        <f>INDEX([4]Sheet2!$K$1:$R$38,MATCH(A35,[4]Sheet2!$K$1:$K$38,0),MATCH(F35,[4]Sheet2!$K$1:$R$1,0))</f>
        <v>12</v>
      </c>
      <c r="Q35" s="108" t="s">
        <v>1433</v>
      </c>
      <c r="R35" s="120" t="e">
        <f>MATCH(Q35,[4]Sheet2!A:A,)</f>
        <v>#N/A</v>
      </c>
    </row>
    <row r="36" spans="1:18" s="120" customFormat="1">
      <c r="A36" s="108">
        <v>1960</v>
      </c>
      <c r="B36" s="109"/>
      <c r="C36" s="109" t="s">
        <v>1966</v>
      </c>
      <c r="D36" s="120" t="s">
        <v>1434</v>
      </c>
      <c r="E36" s="120" t="s">
        <v>1400</v>
      </c>
      <c r="F36" s="120" t="s">
        <v>1413</v>
      </c>
      <c r="G36" s="121">
        <v>14.19</v>
      </c>
      <c r="H36" s="122">
        <v>21</v>
      </c>
      <c r="I36" s="111">
        <v>1</v>
      </c>
      <c r="J36" s="111"/>
      <c r="K36" s="118">
        <v>14.19</v>
      </c>
      <c r="L36" s="111"/>
      <c r="M36" s="111"/>
      <c r="N36" s="111"/>
      <c r="O36" s="111"/>
      <c r="P36" s="119">
        <f>INDEX([4]Sheet2!$K$1:$R$38,MATCH(A36,[4]Sheet2!$K$1:$K$38,0),MATCH(F36,[4]Sheet2!$K$1:$R$1,0))</f>
        <v>12</v>
      </c>
      <c r="Q36" s="108">
        <v>1960</v>
      </c>
      <c r="R36" s="120">
        <f>MATCH(Q36,[4]Sheet2!A:A,)</f>
        <v>30</v>
      </c>
    </row>
    <row r="37" spans="1:18" s="120" customFormat="1">
      <c r="A37" s="108">
        <v>1961</v>
      </c>
      <c r="B37" s="109"/>
      <c r="C37" s="109" t="s">
        <v>1966</v>
      </c>
      <c r="D37" s="120" t="s">
        <v>1435</v>
      </c>
      <c r="E37" s="120" t="s">
        <v>1400</v>
      </c>
      <c r="F37" s="105" t="s">
        <v>1517</v>
      </c>
      <c r="G37" s="121">
        <v>13.75</v>
      </c>
      <c r="H37" s="122">
        <v>21</v>
      </c>
      <c r="I37" s="111">
        <v>1</v>
      </c>
      <c r="J37" s="111"/>
      <c r="K37" s="118">
        <v>13.75</v>
      </c>
      <c r="L37" s="111"/>
      <c r="M37" s="111"/>
      <c r="N37" s="111"/>
      <c r="O37" s="111"/>
      <c r="P37" s="119" t="e">
        <f>INDEX([4]Sheet2!$K$1:$R$38,MATCH(A37,[4]Sheet2!$K$1:$K$38,0),MATCH(F37,[4]Sheet2!$K$1:$R$1,0))</f>
        <v>#N/A</v>
      </c>
      <c r="Q37" s="108">
        <v>1961</v>
      </c>
      <c r="R37" s="120">
        <f>MATCH(Q37,[4]Sheet2!A:A,)</f>
        <v>32</v>
      </c>
    </row>
    <row r="38" spans="1:18" s="120" customFormat="1">
      <c r="A38" s="108">
        <v>1962</v>
      </c>
      <c r="B38" s="109"/>
      <c r="C38" s="109" t="s">
        <v>1966</v>
      </c>
      <c r="D38" s="120" t="s">
        <v>1436</v>
      </c>
      <c r="E38" s="120" t="s">
        <v>1400</v>
      </c>
      <c r="F38" s="105" t="s">
        <v>1517</v>
      </c>
      <c r="G38" s="121">
        <v>13.98</v>
      </c>
      <c r="H38" s="122">
        <v>21</v>
      </c>
      <c r="I38" s="111">
        <v>1</v>
      </c>
      <c r="J38" s="111"/>
      <c r="K38" s="118">
        <v>13.98</v>
      </c>
      <c r="L38" s="111"/>
      <c r="M38" s="111"/>
      <c r="N38" s="111"/>
      <c r="O38" s="111"/>
      <c r="P38" s="119" t="e">
        <f>INDEX([4]Sheet2!$K$1:$R$38,MATCH(A38,[4]Sheet2!$K$1:$K$38,0),MATCH(F38,[4]Sheet2!$K$1:$R$1,0))</f>
        <v>#N/A</v>
      </c>
      <c r="Q38" s="108">
        <v>1962</v>
      </c>
      <c r="R38" s="120">
        <f>MATCH(Q38,[4]Sheet2!A:A,)</f>
        <v>35</v>
      </c>
    </row>
    <row r="39" spans="1:18" s="120" customFormat="1">
      <c r="A39" s="108">
        <v>1962</v>
      </c>
      <c r="B39" s="109"/>
      <c r="C39" s="109" t="s">
        <v>1966</v>
      </c>
      <c r="D39" s="120" t="s">
        <v>1437</v>
      </c>
      <c r="E39" s="120" t="s">
        <v>1400</v>
      </c>
      <c r="F39" s="105" t="s">
        <v>1517</v>
      </c>
      <c r="G39" s="121">
        <v>13.98</v>
      </c>
      <c r="H39" s="122">
        <v>21</v>
      </c>
      <c r="I39" s="111">
        <v>1</v>
      </c>
      <c r="J39" s="111"/>
      <c r="K39" s="118">
        <v>13.98</v>
      </c>
      <c r="L39" s="111"/>
      <c r="M39" s="111"/>
      <c r="N39" s="111"/>
      <c r="O39" s="111"/>
      <c r="P39" s="119" t="e">
        <f>INDEX([4]Sheet2!$K$1:$R$38,MATCH(A39,[4]Sheet2!$K$1:$K$38,0),MATCH(F39,[4]Sheet2!$K$1:$R$1,0))</f>
        <v>#N/A</v>
      </c>
      <c r="Q39" s="108">
        <v>1962</v>
      </c>
      <c r="R39" s="120">
        <f>MATCH(Q39,[4]Sheet2!A:A,)</f>
        <v>35</v>
      </c>
    </row>
    <row r="40" spans="1:18" s="120" customFormat="1">
      <c r="A40" s="108">
        <v>1962</v>
      </c>
      <c r="B40" s="109"/>
      <c r="C40" s="109" t="s">
        <v>1966</v>
      </c>
      <c r="D40" s="120" t="s">
        <v>1438</v>
      </c>
      <c r="E40" s="120" t="s">
        <v>1400</v>
      </c>
      <c r="F40" s="105" t="s">
        <v>1517</v>
      </c>
      <c r="G40" s="121">
        <v>13.98</v>
      </c>
      <c r="H40" s="122">
        <v>21</v>
      </c>
      <c r="I40" s="111">
        <v>1</v>
      </c>
      <c r="J40" s="111"/>
      <c r="K40" s="118">
        <v>13.98</v>
      </c>
      <c r="L40" s="111"/>
      <c r="M40" s="111"/>
      <c r="N40" s="111"/>
      <c r="O40" s="111"/>
      <c r="P40" s="119" t="e">
        <f>INDEX([4]Sheet2!$K$1:$R$38,MATCH(A40,[4]Sheet2!$K$1:$K$38,0),MATCH(F40,[4]Sheet2!$K$1:$R$1,0))</f>
        <v>#N/A</v>
      </c>
      <c r="Q40" s="120" t="s">
        <v>1439</v>
      </c>
      <c r="R40" s="120" t="e">
        <f>MATCH(Q40,[4]Sheet2!A:A,)</f>
        <v>#N/A</v>
      </c>
    </row>
    <row r="41" spans="1:18" s="120" customFormat="1">
      <c r="A41" s="108">
        <v>1963</v>
      </c>
      <c r="B41" s="109" t="s">
        <v>13</v>
      </c>
      <c r="C41" s="109" t="s">
        <v>1966</v>
      </c>
      <c r="D41" s="120" t="s">
        <v>1440</v>
      </c>
      <c r="E41" s="120" t="s">
        <v>1400</v>
      </c>
      <c r="F41" s="105" t="s">
        <v>1517</v>
      </c>
      <c r="G41" s="121">
        <v>11.92</v>
      </c>
      <c r="H41" s="122">
        <v>21</v>
      </c>
      <c r="I41" s="111">
        <v>1</v>
      </c>
      <c r="J41" s="111"/>
      <c r="K41" s="118">
        <v>11.92</v>
      </c>
      <c r="L41" s="111"/>
      <c r="M41" s="111"/>
      <c r="N41" s="111"/>
      <c r="O41" s="111"/>
      <c r="P41" s="119" t="e">
        <f>INDEX([4]Sheet2!$K$1:$R$38,MATCH(A41,[4]Sheet2!$K$1:$K$38,0),MATCH(F41,[4]Sheet2!$K$1:$R$1,0))</f>
        <v>#N/A</v>
      </c>
      <c r="Q41" s="120" t="s">
        <v>79</v>
      </c>
      <c r="R41" s="120">
        <f>MATCH(Q41,[4]Sheet2!A:A,)</f>
        <v>38</v>
      </c>
    </row>
    <row r="42" spans="1:18" s="120" customFormat="1">
      <c r="A42" s="108">
        <v>1963</v>
      </c>
      <c r="B42" s="109"/>
      <c r="C42" s="109" t="s">
        <v>1966</v>
      </c>
      <c r="D42" s="120" t="s">
        <v>1441</v>
      </c>
      <c r="E42" s="120" t="s">
        <v>1400</v>
      </c>
      <c r="F42" s="105" t="s">
        <v>1517</v>
      </c>
      <c r="G42" s="121">
        <v>11.92</v>
      </c>
      <c r="H42" s="122">
        <v>21</v>
      </c>
      <c r="I42" s="111">
        <v>1</v>
      </c>
      <c r="J42" s="111"/>
      <c r="K42" s="118">
        <v>11.19</v>
      </c>
      <c r="L42" s="111"/>
      <c r="M42" s="111"/>
      <c r="N42" s="111"/>
      <c r="O42" s="111"/>
      <c r="P42" s="119" t="e">
        <f>INDEX([4]Sheet2!$K$1:$R$38,MATCH(A42,[4]Sheet2!$K$1:$K$38,0),MATCH(F42,[4]Sheet2!$K$1:$R$1,0))</f>
        <v>#N/A</v>
      </c>
      <c r="Q42" s="108">
        <v>1963</v>
      </c>
      <c r="R42" s="120">
        <f>MATCH(Q42,[4]Sheet2!A:A,)</f>
        <v>37</v>
      </c>
    </row>
    <row r="43" spans="1:18" s="120" customFormat="1">
      <c r="A43" s="108">
        <v>1963</v>
      </c>
      <c r="B43" s="109"/>
      <c r="C43" s="109" t="s">
        <v>1966</v>
      </c>
      <c r="D43" s="120" t="s">
        <v>1442</v>
      </c>
      <c r="E43" s="120" t="s">
        <v>1400</v>
      </c>
      <c r="F43" s="108" t="s">
        <v>316</v>
      </c>
      <c r="G43" s="121">
        <v>11.92</v>
      </c>
      <c r="H43" s="122">
        <v>19</v>
      </c>
      <c r="I43" s="111">
        <v>1</v>
      </c>
      <c r="J43" s="111"/>
      <c r="K43" s="118">
        <v>11.19</v>
      </c>
      <c r="L43" s="111"/>
      <c r="M43" s="111"/>
      <c r="N43" s="111"/>
      <c r="O43" s="111"/>
      <c r="P43" s="119" t="e">
        <f>INDEX([4]Sheet2!$K$1:$R$38,MATCH(A43,[4]Sheet2!$K$1:$K$38,0),MATCH(F43,[4]Sheet2!$K$1:$R$1,0))</f>
        <v>#N/A</v>
      </c>
      <c r="Q43" s="108">
        <v>1963</v>
      </c>
      <c r="R43" s="120">
        <f>MATCH(Q43,[4]Sheet2!A:A,)</f>
        <v>37</v>
      </c>
    </row>
    <row r="44" spans="1:18">
      <c r="A44" s="126">
        <v>1964</v>
      </c>
      <c r="B44" s="127"/>
      <c r="C44" s="109" t="s">
        <v>1966</v>
      </c>
      <c r="D44" s="105" t="s">
        <v>1443</v>
      </c>
      <c r="E44" s="105" t="s">
        <v>1403</v>
      </c>
      <c r="F44" s="105"/>
      <c r="G44" s="128">
        <v>0.5</v>
      </c>
      <c r="H44" s="128">
        <v>12.56</v>
      </c>
      <c r="I44" s="129">
        <v>1</v>
      </c>
      <c r="J44" s="129"/>
      <c r="K44" s="130">
        <v>12.56</v>
      </c>
      <c r="L44" s="111"/>
      <c r="M44" s="129"/>
      <c r="N44" s="129"/>
      <c r="O44" s="129"/>
      <c r="P44" s="131">
        <f>IF(VLOOKUP(A44,[4]Sheet2!$A$39:$C$140,3)="F.V.",0.5,VLOOKUP(A44,[4]Sheet2!$A$39:$C$140,3))</f>
        <v>3.7</v>
      </c>
      <c r="Q44" s="126">
        <v>1964</v>
      </c>
      <c r="R44" s="105">
        <f>MATCH(Q44,[4]Sheet2!A:A,)</f>
        <v>39</v>
      </c>
    </row>
    <row r="45" spans="1:18">
      <c r="A45" s="126">
        <v>1964</v>
      </c>
      <c r="B45" s="127"/>
      <c r="C45" s="109" t="s">
        <v>1966</v>
      </c>
      <c r="D45" s="105" t="s">
        <v>1444</v>
      </c>
      <c r="E45" s="105" t="s">
        <v>1403</v>
      </c>
      <c r="F45" s="105"/>
      <c r="G45" s="128">
        <v>0.5</v>
      </c>
      <c r="H45" s="128">
        <v>12.56</v>
      </c>
      <c r="I45" s="129">
        <v>1</v>
      </c>
      <c r="J45" s="129"/>
      <c r="K45" s="130">
        <v>12.56</v>
      </c>
      <c r="L45" s="111"/>
      <c r="M45" s="129"/>
      <c r="N45" s="129"/>
      <c r="O45" s="129"/>
      <c r="P45" s="131">
        <f>IF(VLOOKUP(A45,[4]Sheet2!$A$39:$C$140,3)="F.V.",0.5,VLOOKUP(A45,[4]Sheet2!$A$39:$C$140,3))</f>
        <v>3.7</v>
      </c>
      <c r="Q45" s="126">
        <v>1964</v>
      </c>
      <c r="R45" s="105">
        <f>MATCH(Q45,[4]Sheet2!A:A,)</f>
        <v>39</v>
      </c>
    </row>
    <row r="46" spans="1:18">
      <c r="A46" s="126">
        <v>1964</v>
      </c>
      <c r="B46" s="127"/>
      <c r="C46" s="109" t="s">
        <v>1966</v>
      </c>
      <c r="D46" s="105" t="s">
        <v>1445</v>
      </c>
      <c r="E46" s="105" t="s">
        <v>1403</v>
      </c>
      <c r="F46" s="105"/>
      <c r="G46" s="128">
        <v>0.5</v>
      </c>
      <c r="H46" s="128">
        <v>12.56</v>
      </c>
      <c r="I46" s="129">
        <v>1</v>
      </c>
      <c r="J46" s="129"/>
      <c r="K46" s="130">
        <v>12.56</v>
      </c>
      <c r="L46" s="111"/>
      <c r="M46" s="129"/>
      <c r="N46" s="129"/>
      <c r="O46" s="129"/>
      <c r="P46" s="131">
        <f>IF(VLOOKUP(A46,[4]Sheet2!$A$39:$C$140,3)="F.V.",0.5,VLOOKUP(A46,[4]Sheet2!$A$39:$C$140,3))</f>
        <v>3.7</v>
      </c>
      <c r="Q46" s="126">
        <v>1964</v>
      </c>
      <c r="R46" s="105">
        <f>MATCH(Q46,[4]Sheet2!A:A,)</f>
        <v>39</v>
      </c>
    </row>
    <row r="47" spans="1:18">
      <c r="A47" s="126">
        <v>1964</v>
      </c>
      <c r="B47" s="127"/>
      <c r="C47" s="109" t="s">
        <v>1966</v>
      </c>
      <c r="D47" s="105" t="s">
        <v>1446</v>
      </c>
      <c r="E47" s="105" t="s">
        <v>1403</v>
      </c>
      <c r="F47" s="105" t="s">
        <v>1517</v>
      </c>
      <c r="G47" s="128">
        <v>0.5</v>
      </c>
      <c r="H47" s="128">
        <v>12.56</v>
      </c>
      <c r="I47" s="129">
        <v>1</v>
      </c>
      <c r="J47" s="129"/>
      <c r="K47" s="130">
        <v>12.56</v>
      </c>
      <c r="L47" s="111"/>
      <c r="M47" s="129"/>
      <c r="N47" s="129"/>
      <c r="O47" s="129"/>
      <c r="P47" s="131">
        <f>IF(VLOOKUP(A47,[4]Sheet2!$A$39:$C$140,3)="F.V.",0.5,VLOOKUP(A47,[4]Sheet2!$A$39:$C$140,3))</f>
        <v>3.7</v>
      </c>
      <c r="Q47" s="126">
        <v>1964</v>
      </c>
      <c r="R47" s="105">
        <f>MATCH(Q47,[4]Sheet2!A:A,)</f>
        <v>39</v>
      </c>
    </row>
    <row r="48" spans="1:18">
      <c r="A48" s="126">
        <v>1964</v>
      </c>
      <c r="B48" s="127"/>
      <c r="C48" s="109" t="s">
        <v>1966</v>
      </c>
      <c r="D48" s="105" t="s">
        <v>1447</v>
      </c>
      <c r="E48" s="105" t="s">
        <v>1403</v>
      </c>
      <c r="F48" s="120" t="s">
        <v>1413</v>
      </c>
      <c r="G48" s="128">
        <v>0.5</v>
      </c>
      <c r="H48" s="128">
        <v>12.56</v>
      </c>
      <c r="I48" s="129">
        <v>1</v>
      </c>
      <c r="J48" s="129"/>
      <c r="K48" s="130">
        <v>12.56</v>
      </c>
      <c r="L48" s="111"/>
      <c r="M48" s="129"/>
      <c r="N48" s="129"/>
      <c r="O48" s="129"/>
      <c r="P48" s="131">
        <f>IF(VLOOKUP(A48,[4]Sheet2!$A$39:$C$140,3)="F.V.",0.5,VLOOKUP(A48,[4]Sheet2!$A$39:$C$140,3))</f>
        <v>3.7</v>
      </c>
      <c r="Q48" s="126">
        <v>1965</v>
      </c>
      <c r="R48" s="105">
        <f>MATCH(Q48,[4]Sheet2!A:A,)</f>
        <v>41</v>
      </c>
    </row>
    <row r="49" spans="1:18">
      <c r="A49" s="126">
        <v>1965</v>
      </c>
      <c r="B49" s="127"/>
      <c r="C49" s="109" t="s">
        <v>1966</v>
      </c>
      <c r="D49" s="105" t="s">
        <v>1448</v>
      </c>
      <c r="E49" s="105" t="s">
        <v>1403</v>
      </c>
      <c r="F49" s="105" t="s">
        <v>1517</v>
      </c>
      <c r="G49" s="128">
        <v>0.5</v>
      </c>
      <c r="H49" s="128">
        <v>5.01</v>
      </c>
      <c r="I49" s="129">
        <v>1</v>
      </c>
      <c r="J49" s="129"/>
      <c r="K49" s="130">
        <v>5.01</v>
      </c>
      <c r="L49" s="111"/>
      <c r="M49" s="129"/>
      <c r="N49" s="129"/>
      <c r="O49" s="129"/>
      <c r="P49" s="131">
        <v>0.5</v>
      </c>
      <c r="Q49" s="126">
        <v>1964</v>
      </c>
      <c r="R49" s="105">
        <f>MATCH(Q49,[4]Sheet2!A:A,)</f>
        <v>39</v>
      </c>
    </row>
    <row r="50" spans="1:18">
      <c r="A50" s="126">
        <v>1965</v>
      </c>
      <c r="B50" s="127"/>
      <c r="C50" s="109" t="s">
        <v>1966</v>
      </c>
      <c r="D50" s="105" t="s">
        <v>1449</v>
      </c>
      <c r="E50" s="105" t="s">
        <v>1403</v>
      </c>
      <c r="F50" s="105" t="s">
        <v>1450</v>
      </c>
      <c r="G50" s="128">
        <v>0.5</v>
      </c>
      <c r="H50" s="128">
        <v>5.01</v>
      </c>
      <c r="I50" s="129">
        <v>1</v>
      </c>
      <c r="J50" s="129"/>
      <c r="K50" s="130">
        <v>5.01</v>
      </c>
      <c r="L50" s="111"/>
      <c r="M50" s="129"/>
      <c r="N50" s="129"/>
      <c r="O50" s="129"/>
      <c r="P50" s="131">
        <f>IF(VLOOKUP(A50,[4]Sheet2!$A$39:$C$140,3)="F.V.",0.5,VLOOKUP(A50,[4]Sheet2!$A$39:$C$140,3))</f>
        <v>1.7</v>
      </c>
      <c r="Q50" s="126">
        <v>1965</v>
      </c>
      <c r="R50" s="105">
        <f>MATCH(Q50,[4]Sheet2!A:A,)</f>
        <v>41</v>
      </c>
    </row>
    <row r="51" spans="1:18">
      <c r="A51" s="126">
        <v>1965</v>
      </c>
      <c r="B51" s="127"/>
      <c r="C51" s="109" t="s">
        <v>1966</v>
      </c>
      <c r="D51" s="105" t="s">
        <v>1451</v>
      </c>
      <c r="E51" s="105" t="s">
        <v>1403</v>
      </c>
      <c r="F51" s="105"/>
      <c r="G51" s="128">
        <v>0.5</v>
      </c>
      <c r="H51" s="128">
        <v>5.01</v>
      </c>
      <c r="I51" s="129">
        <v>1</v>
      </c>
      <c r="J51" s="129"/>
      <c r="K51" s="130">
        <v>5.01</v>
      </c>
      <c r="L51" s="111"/>
      <c r="M51" s="129"/>
      <c r="N51" s="129"/>
      <c r="O51" s="129"/>
      <c r="P51" s="131">
        <f>IF(VLOOKUP(A51,[4]Sheet2!$A$39:$C$140,3)="F.V.",0.5,VLOOKUP(A51,[4]Sheet2!$A$39:$C$140,3))</f>
        <v>1.7</v>
      </c>
      <c r="Q51" s="126">
        <v>1966</v>
      </c>
      <c r="R51" s="105">
        <f>MATCH(Q51,[4]Sheet2!A:A,)</f>
        <v>42</v>
      </c>
    </row>
    <row r="52" spans="1:18">
      <c r="A52" s="126">
        <v>1966</v>
      </c>
      <c r="B52" s="127"/>
      <c r="C52" s="109" t="s">
        <v>1966</v>
      </c>
      <c r="D52" s="105" t="s">
        <v>1452</v>
      </c>
      <c r="E52" s="105" t="s">
        <v>1403</v>
      </c>
      <c r="F52" s="105"/>
      <c r="G52" s="128">
        <v>0.5</v>
      </c>
      <c r="H52" s="128">
        <v>4.9000000000000004</v>
      </c>
      <c r="I52" s="129">
        <v>1</v>
      </c>
      <c r="J52" s="129"/>
      <c r="K52" s="130">
        <v>4.9000000000000004</v>
      </c>
      <c r="L52" s="111"/>
      <c r="M52" s="129"/>
      <c r="N52" s="129"/>
      <c r="O52" s="129"/>
      <c r="P52" s="131">
        <f>IF(VLOOKUP(A52,[4]Sheet2!$A$39:$C$140,3)="F.V.",0.5,VLOOKUP(A52,[4]Sheet2!$A$39:$C$140,3))</f>
        <v>1.4</v>
      </c>
      <c r="Q52" s="126">
        <v>1966</v>
      </c>
      <c r="R52" s="105">
        <f>MATCH(Q52,[4]Sheet2!A:A,)</f>
        <v>42</v>
      </c>
    </row>
    <row r="53" spans="1:18">
      <c r="A53" s="126">
        <v>1966</v>
      </c>
      <c r="B53" s="127"/>
      <c r="C53" s="109" t="s">
        <v>1966</v>
      </c>
      <c r="D53" s="105" t="s">
        <v>1453</v>
      </c>
      <c r="E53" s="105" t="s">
        <v>1403</v>
      </c>
      <c r="F53" s="105"/>
      <c r="G53" s="128">
        <v>0.5</v>
      </c>
      <c r="H53" s="128">
        <v>4.9000000000000004</v>
      </c>
      <c r="I53" s="129">
        <v>1</v>
      </c>
      <c r="J53" s="129"/>
      <c r="K53" s="130">
        <v>4.9000000000000004</v>
      </c>
      <c r="L53" s="111"/>
      <c r="M53" s="129"/>
      <c r="N53" s="129"/>
      <c r="O53" s="129"/>
      <c r="P53" s="131">
        <f>IF(VLOOKUP(A53,[4]Sheet2!$A$39:$C$140,3)="F.V.",0.5,VLOOKUP(A53,[4]Sheet2!$A$39:$C$140,3))</f>
        <v>1.4</v>
      </c>
      <c r="Q53" s="126">
        <v>1966</v>
      </c>
      <c r="R53" s="105">
        <f>MATCH(Q53,[4]Sheet2!A:A,)</f>
        <v>42</v>
      </c>
    </row>
    <row r="54" spans="1:18">
      <c r="A54" s="126">
        <v>1966</v>
      </c>
      <c r="B54" s="127"/>
      <c r="C54" s="109" t="s">
        <v>1966</v>
      </c>
      <c r="D54" s="105" t="s">
        <v>1454</v>
      </c>
      <c r="E54" s="105" t="s">
        <v>1403</v>
      </c>
      <c r="F54" s="120" t="s">
        <v>1413</v>
      </c>
      <c r="G54" s="128">
        <v>0.5</v>
      </c>
      <c r="H54" s="128">
        <v>4.9000000000000004</v>
      </c>
      <c r="I54" s="129">
        <v>1</v>
      </c>
      <c r="J54" s="129"/>
      <c r="K54" s="130">
        <v>4.9000000000000004</v>
      </c>
      <c r="L54" s="111"/>
      <c r="M54" s="129"/>
      <c r="N54" s="129"/>
      <c r="O54" s="129"/>
      <c r="P54" s="131">
        <f>IF(VLOOKUP(A54,[4]Sheet2!$A$39:$C$140,3)="F.V.",0.5,VLOOKUP(A54,[4]Sheet2!$A$39:$C$140,3))</f>
        <v>1.4</v>
      </c>
      <c r="Q54" s="126">
        <v>1967</v>
      </c>
      <c r="R54" s="105">
        <f>MATCH(Q54,[4]Sheet2!A:A,)</f>
        <v>43</v>
      </c>
    </row>
    <row r="55" spans="1:18">
      <c r="A55" s="126">
        <v>1967</v>
      </c>
      <c r="B55" s="127"/>
      <c r="C55" s="109" t="s">
        <v>1966</v>
      </c>
      <c r="D55" s="105" t="s">
        <v>1455</v>
      </c>
      <c r="E55" s="105" t="s">
        <v>1403</v>
      </c>
      <c r="F55" s="105"/>
      <c r="G55" s="128">
        <v>0.5</v>
      </c>
      <c r="H55" s="128">
        <v>5.2</v>
      </c>
      <c r="I55" s="129">
        <v>1</v>
      </c>
      <c r="J55" s="129"/>
      <c r="K55" s="130">
        <v>5.2</v>
      </c>
      <c r="L55" s="111"/>
      <c r="M55" s="129"/>
      <c r="N55" s="129"/>
      <c r="O55" s="129"/>
      <c r="P55" s="131">
        <f>IF(VLOOKUP(A55,[4]Sheet2!$A$39:$C$140,3)="F.V.",0.5,VLOOKUP(A55,[4]Sheet2!$A$39:$C$140,3))</f>
        <v>1.6</v>
      </c>
      <c r="Q55" s="126">
        <v>1967</v>
      </c>
      <c r="R55" s="105">
        <f>MATCH(Q55,[4]Sheet2!A:A,)</f>
        <v>43</v>
      </c>
    </row>
    <row r="56" spans="1:18">
      <c r="A56" s="126">
        <v>1967</v>
      </c>
      <c r="B56" s="127"/>
      <c r="C56" s="109" t="s">
        <v>1966</v>
      </c>
      <c r="D56" s="105" t="s">
        <v>1456</v>
      </c>
      <c r="E56" s="105" t="s">
        <v>1403</v>
      </c>
      <c r="F56" s="105"/>
      <c r="G56" s="128">
        <v>0.5</v>
      </c>
      <c r="H56" s="128">
        <v>5.2</v>
      </c>
      <c r="I56" s="129">
        <v>1</v>
      </c>
      <c r="J56" s="129"/>
      <c r="K56" s="130">
        <v>5.2</v>
      </c>
      <c r="L56" s="111"/>
      <c r="M56" s="129"/>
      <c r="N56" s="129"/>
      <c r="O56" s="129"/>
      <c r="P56" s="131">
        <f>IF(VLOOKUP(A56,[4]Sheet2!$A$39:$C$140,3)="F.V.",0.5,VLOOKUP(A56,[4]Sheet2!$A$39:$C$140,3))</f>
        <v>1.6</v>
      </c>
      <c r="Q56" s="126">
        <v>1967</v>
      </c>
      <c r="R56" s="105">
        <f>MATCH(Q56,[4]Sheet2!A:A,)</f>
        <v>43</v>
      </c>
    </row>
    <row r="57" spans="1:18">
      <c r="A57" s="126">
        <v>1967</v>
      </c>
      <c r="B57" s="127"/>
      <c r="C57" s="109" t="s">
        <v>1966</v>
      </c>
      <c r="D57" s="105" t="s">
        <v>1457</v>
      </c>
      <c r="E57" s="105" t="s">
        <v>1403</v>
      </c>
      <c r="F57" s="105"/>
      <c r="G57" s="128">
        <v>0.5</v>
      </c>
      <c r="H57" s="128">
        <v>5.2</v>
      </c>
      <c r="I57" s="129">
        <v>1</v>
      </c>
      <c r="J57" s="129"/>
      <c r="K57" s="130">
        <v>5.2</v>
      </c>
      <c r="L57" s="111"/>
      <c r="M57" s="129"/>
      <c r="N57" s="129"/>
      <c r="O57" s="129"/>
      <c r="P57" s="131">
        <f>IF(VLOOKUP(A57,[4]Sheet2!$A$39:$C$140,3)="F.V.",0.5,VLOOKUP(A57,[4]Sheet2!$A$39:$C$140,3))</f>
        <v>1.6</v>
      </c>
      <c r="Q57" s="126">
        <v>1967</v>
      </c>
      <c r="R57" s="105">
        <f>MATCH(Q57,[4]Sheet2!A:A,)</f>
        <v>43</v>
      </c>
    </row>
    <row r="58" spans="1:18">
      <c r="A58" s="126">
        <v>1967</v>
      </c>
      <c r="B58" s="127"/>
      <c r="C58" s="109" t="s">
        <v>1966</v>
      </c>
      <c r="D58" s="105" t="s">
        <v>1458</v>
      </c>
      <c r="E58" s="105" t="s">
        <v>1403</v>
      </c>
      <c r="F58" s="105"/>
      <c r="G58" s="128">
        <v>0.5</v>
      </c>
      <c r="H58" s="128">
        <v>5.2</v>
      </c>
      <c r="I58" s="129">
        <v>1</v>
      </c>
      <c r="J58" s="129"/>
      <c r="K58" s="130">
        <v>5.2</v>
      </c>
      <c r="L58" s="111"/>
      <c r="M58" s="129"/>
      <c r="N58" s="129"/>
      <c r="O58" s="129"/>
      <c r="P58" s="131">
        <f>IF(VLOOKUP(A58,[4]Sheet2!$A$39:$C$140,3)="F.V.",0.5,VLOOKUP(A58,[4]Sheet2!$A$39:$C$140,3))</f>
        <v>1.6</v>
      </c>
      <c r="Q58" s="126">
        <v>1967</v>
      </c>
      <c r="R58" s="105">
        <f>MATCH(Q58,[4]Sheet2!A:A,)</f>
        <v>43</v>
      </c>
    </row>
    <row r="59" spans="1:18">
      <c r="A59" s="126">
        <v>1967</v>
      </c>
      <c r="B59" s="127"/>
      <c r="C59" s="109" t="s">
        <v>1966</v>
      </c>
      <c r="D59" s="105" t="s">
        <v>1459</v>
      </c>
      <c r="E59" s="105" t="s">
        <v>1403</v>
      </c>
      <c r="F59" s="105"/>
      <c r="G59" s="128">
        <v>0.5</v>
      </c>
      <c r="H59" s="128">
        <v>5.2</v>
      </c>
      <c r="I59" s="129">
        <v>1</v>
      </c>
      <c r="J59" s="129"/>
      <c r="K59" s="130">
        <v>5.2</v>
      </c>
      <c r="L59" s="111"/>
      <c r="M59" s="129"/>
      <c r="N59" s="129"/>
      <c r="O59" s="129"/>
      <c r="P59" s="131">
        <f>IF(VLOOKUP(A59,[4]Sheet2!$A$39:$C$140,3)="F.V.",0.5,VLOOKUP(A59,[4]Sheet2!$A$39:$C$140,3))</f>
        <v>1.6</v>
      </c>
      <c r="Q59" s="126">
        <v>1967</v>
      </c>
      <c r="R59" s="105">
        <f>MATCH(Q59,[4]Sheet2!A:A,)</f>
        <v>43</v>
      </c>
    </row>
    <row r="60" spans="1:18">
      <c r="A60" s="126">
        <v>1967</v>
      </c>
      <c r="B60" s="127"/>
      <c r="C60" s="109" t="s">
        <v>1966</v>
      </c>
      <c r="D60" s="105" t="s">
        <v>1460</v>
      </c>
      <c r="E60" s="105" t="s">
        <v>1403</v>
      </c>
      <c r="F60" s="120" t="s">
        <v>1413</v>
      </c>
      <c r="G60" s="128">
        <v>0.5</v>
      </c>
      <c r="H60" s="128">
        <v>5.2</v>
      </c>
      <c r="I60" s="129">
        <v>1</v>
      </c>
      <c r="J60" s="129"/>
      <c r="K60" s="130">
        <v>5.2</v>
      </c>
      <c r="L60" s="111"/>
      <c r="M60" s="129"/>
      <c r="N60" s="129"/>
      <c r="O60" s="129"/>
      <c r="P60" s="131">
        <f>IF(VLOOKUP(A60,[4]Sheet2!$A$39:$C$140,3)="F.V.",0.5,VLOOKUP(A60,[4]Sheet2!$A$39:$C$140,3))</f>
        <v>1.6</v>
      </c>
      <c r="Q60" s="126">
        <v>1968</v>
      </c>
      <c r="R60" s="105" t="e">
        <f>MATCH(Q60,[4]Sheet2!A:A,)</f>
        <v>#N/A</v>
      </c>
    </row>
    <row r="61" spans="1:18">
      <c r="A61" s="126">
        <v>1967</v>
      </c>
      <c r="B61" s="127"/>
      <c r="C61" s="109" t="s">
        <v>1966</v>
      </c>
      <c r="D61" s="105" t="s">
        <v>1461</v>
      </c>
      <c r="E61" s="105" t="s">
        <v>1403</v>
      </c>
      <c r="F61" s="120" t="s">
        <v>1413</v>
      </c>
      <c r="G61" s="128">
        <v>0.5</v>
      </c>
      <c r="H61" s="128">
        <v>7.56</v>
      </c>
      <c r="I61" s="129">
        <v>1</v>
      </c>
      <c r="J61" s="129"/>
      <c r="K61" s="130">
        <v>5.2</v>
      </c>
      <c r="L61" s="111"/>
      <c r="M61" s="129"/>
      <c r="N61" s="129"/>
      <c r="O61" s="129"/>
      <c r="P61" s="131"/>
      <c r="Q61" s="126"/>
    </row>
    <row r="62" spans="1:18">
      <c r="A62" s="126">
        <v>1968</v>
      </c>
      <c r="B62" s="127" t="s">
        <v>13</v>
      </c>
      <c r="C62" s="109" t="s">
        <v>1966</v>
      </c>
      <c r="D62" s="105" t="s">
        <v>1462</v>
      </c>
      <c r="E62" s="105" t="s">
        <v>1403</v>
      </c>
      <c r="F62" s="105"/>
      <c r="G62" s="128">
        <v>0.5</v>
      </c>
      <c r="H62" s="128">
        <v>4.57</v>
      </c>
      <c r="I62" s="129">
        <v>1</v>
      </c>
      <c r="J62" s="129"/>
      <c r="K62" s="130">
        <v>4.57</v>
      </c>
      <c r="L62" s="111"/>
      <c r="M62" s="129"/>
      <c r="N62" s="129"/>
      <c r="O62" s="129"/>
      <c r="P62" s="131">
        <v>1</v>
      </c>
      <c r="Q62" s="126" t="s">
        <v>93</v>
      </c>
      <c r="R62" s="105">
        <f>MATCH(Q62,[4]Sheet2!A:A,)</f>
        <v>44</v>
      </c>
    </row>
    <row r="63" spans="1:18">
      <c r="A63" s="126">
        <v>1968</v>
      </c>
      <c r="B63" s="127" t="s">
        <v>13</v>
      </c>
      <c r="C63" s="109" t="s">
        <v>1966</v>
      </c>
      <c r="D63" s="105" t="s">
        <v>1463</v>
      </c>
      <c r="E63" s="105" t="s">
        <v>1403</v>
      </c>
      <c r="F63" s="120" t="s">
        <v>1413</v>
      </c>
      <c r="G63" s="128">
        <v>0.5</v>
      </c>
      <c r="H63" s="128">
        <v>4.57</v>
      </c>
      <c r="I63" s="129">
        <v>1</v>
      </c>
      <c r="J63" s="129"/>
      <c r="K63" s="130">
        <v>4.57</v>
      </c>
      <c r="L63" s="111"/>
      <c r="M63" s="129"/>
      <c r="N63" s="129"/>
      <c r="O63" s="129"/>
      <c r="P63" s="131">
        <v>2</v>
      </c>
      <c r="Q63" s="126" t="s">
        <v>575</v>
      </c>
      <c r="R63" s="105">
        <f>MATCH(Q63,[4]Sheet2!A:A,)</f>
        <v>45</v>
      </c>
    </row>
    <row r="64" spans="1:18">
      <c r="A64" s="126">
        <v>1968</v>
      </c>
      <c r="B64" s="127" t="s">
        <v>13</v>
      </c>
      <c r="C64" s="109" t="s">
        <v>1966</v>
      </c>
      <c r="D64" s="105" t="s">
        <v>1464</v>
      </c>
      <c r="E64" s="105" t="s">
        <v>1403</v>
      </c>
      <c r="F64" s="120" t="s">
        <v>1413</v>
      </c>
      <c r="G64" s="128">
        <v>0.5</v>
      </c>
      <c r="H64" s="128">
        <v>4.57</v>
      </c>
      <c r="I64" s="129">
        <v>1</v>
      </c>
      <c r="J64" s="129"/>
      <c r="K64" s="130">
        <v>4.57</v>
      </c>
      <c r="L64" s="111"/>
      <c r="M64" s="129"/>
      <c r="N64" s="129"/>
      <c r="O64" s="129"/>
      <c r="P64" s="131"/>
      <c r="Q64" s="126" t="s">
        <v>93</v>
      </c>
      <c r="R64" s="105">
        <f>MATCH(Q64,[4]Sheet2!A:A,)</f>
        <v>44</v>
      </c>
    </row>
    <row r="65" spans="1:18">
      <c r="A65" s="126">
        <v>1969</v>
      </c>
      <c r="B65" s="127" t="s">
        <v>13</v>
      </c>
      <c r="C65" s="109" t="s">
        <v>1966</v>
      </c>
      <c r="D65" s="105" t="s">
        <v>1465</v>
      </c>
      <c r="E65" s="105" t="s">
        <v>1403</v>
      </c>
      <c r="F65" s="120" t="s">
        <v>1413</v>
      </c>
      <c r="G65" s="128">
        <v>0.5</v>
      </c>
      <c r="H65" s="128">
        <v>4.99</v>
      </c>
      <c r="I65" s="129">
        <v>1</v>
      </c>
      <c r="J65" s="129"/>
      <c r="K65" s="130">
        <v>4.99</v>
      </c>
      <c r="L65" s="111"/>
      <c r="M65" s="129"/>
      <c r="N65" s="129"/>
      <c r="O65" s="129"/>
      <c r="P65" s="131">
        <v>3</v>
      </c>
      <c r="Q65" s="126" t="s">
        <v>575</v>
      </c>
      <c r="R65" s="105">
        <f>MATCH(Q65,[4]Sheet2!A:A,)</f>
        <v>45</v>
      </c>
    </row>
    <row r="66" spans="1:18">
      <c r="A66" s="126">
        <v>1969</v>
      </c>
      <c r="B66" s="127" t="s">
        <v>13</v>
      </c>
      <c r="C66" s="109" t="s">
        <v>1966</v>
      </c>
      <c r="D66" s="105" t="s">
        <v>1466</v>
      </c>
      <c r="E66" s="105" t="s">
        <v>1403</v>
      </c>
      <c r="F66" s="120" t="s">
        <v>1413</v>
      </c>
      <c r="G66" s="128">
        <v>0.5</v>
      </c>
      <c r="H66" s="128">
        <v>4.99</v>
      </c>
      <c r="I66" s="129">
        <v>1</v>
      </c>
      <c r="J66" s="129"/>
      <c r="K66" s="130">
        <v>4.99</v>
      </c>
      <c r="L66" s="111"/>
      <c r="M66" s="129"/>
      <c r="N66" s="129"/>
      <c r="O66" s="129"/>
      <c r="P66" s="131"/>
      <c r="Q66" s="126" t="s">
        <v>575</v>
      </c>
      <c r="R66" s="105">
        <f>MATCH(Q66,[4]Sheet2!A:A,)</f>
        <v>45</v>
      </c>
    </row>
    <row r="67" spans="1:18">
      <c r="A67" s="126">
        <v>1969</v>
      </c>
      <c r="B67" s="127" t="s">
        <v>13</v>
      </c>
      <c r="C67" s="109" t="s">
        <v>1966</v>
      </c>
      <c r="D67" s="105" t="s">
        <v>1467</v>
      </c>
      <c r="E67" s="105" t="s">
        <v>1403</v>
      </c>
      <c r="F67" s="120" t="s">
        <v>1413</v>
      </c>
      <c r="G67" s="128">
        <v>0.5</v>
      </c>
      <c r="H67" s="128">
        <v>4.99</v>
      </c>
      <c r="I67" s="129">
        <v>1</v>
      </c>
      <c r="J67" s="129"/>
      <c r="K67" s="130">
        <v>4.99</v>
      </c>
      <c r="L67" s="111"/>
      <c r="M67" s="129"/>
      <c r="N67" s="129"/>
      <c r="O67" s="129"/>
      <c r="P67" s="131"/>
      <c r="Q67" s="126" t="s">
        <v>575</v>
      </c>
      <c r="R67" s="105">
        <f>MATCH(Q67,[4]Sheet2!A:A,)</f>
        <v>45</v>
      </c>
    </row>
    <row r="68" spans="1:18">
      <c r="A68" s="126">
        <v>1969</v>
      </c>
      <c r="B68" s="127" t="s">
        <v>13</v>
      </c>
      <c r="C68" s="109" t="s">
        <v>1966</v>
      </c>
      <c r="D68" s="105" t="s">
        <v>1468</v>
      </c>
      <c r="E68" s="105" t="s">
        <v>1403</v>
      </c>
      <c r="F68" s="120" t="s">
        <v>1413</v>
      </c>
      <c r="G68" s="128">
        <v>0.5</v>
      </c>
      <c r="H68" s="128">
        <v>4.99</v>
      </c>
      <c r="I68" s="129">
        <v>1</v>
      </c>
      <c r="J68" s="129"/>
      <c r="K68" s="130">
        <v>4.99</v>
      </c>
      <c r="L68" s="111"/>
      <c r="M68" s="129"/>
      <c r="N68" s="129"/>
      <c r="O68" s="129"/>
      <c r="P68" s="131"/>
      <c r="Q68" s="126" t="s">
        <v>575</v>
      </c>
      <c r="R68" s="105">
        <f>MATCH(Q68,[4]Sheet2!A:A,)</f>
        <v>45</v>
      </c>
    </row>
    <row r="69" spans="1:18">
      <c r="A69" s="126">
        <v>1969</v>
      </c>
      <c r="B69" s="127" t="s">
        <v>13</v>
      </c>
      <c r="C69" s="109" t="s">
        <v>1966</v>
      </c>
      <c r="D69" s="105" t="s">
        <v>1469</v>
      </c>
      <c r="E69" s="105" t="s">
        <v>1403</v>
      </c>
      <c r="F69" s="120" t="s">
        <v>1413</v>
      </c>
      <c r="G69" s="128">
        <v>0.5</v>
      </c>
      <c r="H69" s="128">
        <v>4.99</v>
      </c>
      <c r="I69" s="129">
        <v>1</v>
      </c>
      <c r="J69" s="129"/>
      <c r="K69" s="130">
        <v>4.99</v>
      </c>
      <c r="L69" s="111"/>
      <c r="M69" s="129"/>
      <c r="N69" s="129"/>
      <c r="O69" s="129"/>
      <c r="P69" s="131"/>
      <c r="Q69" s="126" t="s">
        <v>575</v>
      </c>
      <c r="R69" s="105">
        <f>MATCH(Q69,[4]Sheet2!A:A,)</f>
        <v>45</v>
      </c>
    </row>
    <row r="70" spans="1:18">
      <c r="A70" s="126">
        <v>1969</v>
      </c>
      <c r="B70" s="127" t="s">
        <v>13</v>
      </c>
      <c r="C70" s="109" t="s">
        <v>1966</v>
      </c>
      <c r="D70" s="105" t="s">
        <v>1470</v>
      </c>
      <c r="E70" s="105" t="s">
        <v>1403</v>
      </c>
      <c r="F70" s="120" t="s">
        <v>1413</v>
      </c>
      <c r="G70" s="128">
        <v>0.5</v>
      </c>
      <c r="H70" s="128">
        <v>4.99</v>
      </c>
      <c r="I70" s="129">
        <v>1</v>
      </c>
      <c r="J70" s="129"/>
      <c r="K70" s="130">
        <v>4.99</v>
      </c>
      <c r="L70" s="111"/>
      <c r="M70" s="129"/>
      <c r="N70" s="129"/>
      <c r="O70" s="129"/>
      <c r="P70" s="131"/>
      <c r="Q70" s="126" t="s">
        <v>575</v>
      </c>
      <c r="R70" s="105">
        <f>MATCH(Q70,[4]Sheet2!A:A,)</f>
        <v>45</v>
      </c>
    </row>
    <row r="71" spans="1:18">
      <c r="A71" s="126">
        <v>1969</v>
      </c>
      <c r="B71" s="127" t="s">
        <v>13</v>
      </c>
      <c r="C71" s="109" t="s">
        <v>1966</v>
      </c>
      <c r="D71" s="105" t="s">
        <v>1471</v>
      </c>
      <c r="E71" s="105" t="s">
        <v>1403</v>
      </c>
      <c r="F71" s="120" t="s">
        <v>1413</v>
      </c>
      <c r="G71" s="128">
        <v>0.5</v>
      </c>
      <c r="H71" s="128">
        <v>4.99</v>
      </c>
      <c r="I71" s="129">
        <v>1</v>
      </c>
      <c r="J71" s="129"/>
      <c r="K71" s="130">
        <v>4.99</v>
      </c>
      <c r="L71" s="111"/>
      <c r="M71" s="129"/>
      <c r="N71" s="129"/>
      <c r="O71" s="129"/>
      <c r="P71" s="131"/>
      <c r="Q71" s="126" t="s">
        <v>575</v>
      </c>
      <c r="R71" s="105">
        <f>MATCH(Q71,[4]Sheet2!A:A,)</f>
        <v>45</v>
      </c>
    </row>
    <row r="72" spans="1:18">
      <c r="A72" s="126">
        <v>1969</v>
      </c>
      <c r="B72" s="127"/>
      <c r="C72" s="109" t="s">
        <v>1966</v>
      </c>
      <c r="D72" s="105" t="s">
        <v>1472</v>
      </c>
      <c r="E72" s="105" t="s">
        <v>1403</v>
      </c>
      <c r="F72" s="120" t="s">
        <v>1413</v>
      </c>
      <c r="G72" s="128">
        <v>0.5</v>
      </c>
      <c r="H72" s="128">
        <v>7.56</v>
      </c>
      <c r="I72" s="129">
        <v>1</v>
      </c>
      <c r="J72" s="129"/>
      <c r="K72" s="130">
        <v>4.99</v>
      </c>
      <c r="L72" s="111"/>
      <c r="M72" s="129"/>
      <c r="N72" s="129"/>
      <c r="O72" s="129"/>
      <c r="P72" s="131"/>
      <c r="Q72" s="126"/>
    </row>
    <row r="73" spans="1:18">
      <c r="A73" s="126">
        <v>1971</v>
      </c>
      <c r="B73" s="127"/>
      <c r="C73" s="109" t="s">
        <v>1966</v>
      </c>
      <c r="D73" s="105" t="s">
        <v>1473</v>
      </c>
      <c r="E73" s="105" t="s">
        <v>1403</v>
      </c>
      <c r="F73" s="105"/>
      <c r="G73" s="128">
        <v>0.5</v>
      </c>
      <c r="H73" s="128">
        <v>2.87</v>
      </c>
      <c r="I73" s="129">
        <v>1</v>
      </c>
      <c r="J73" s="129"/>
      <c r="K73" s="130">
        <v>2.87</v>
      </c>
      <c r="L73" s="111"/>
      <c r="M73" s="129"/>
      <c r="N73" s="129"/>
      <c r="O73" s="129"/>
      <c r="P73" s="131">
        <f>IF(VLOOKUP(A73,[4]Sheet2!$A$39:$C$140,3)="F.V.",0.5,VLOOKUP(A73,[4]Sheet2!$A$39:$C$140,3))</f>
        <v>0.5</v>
      </c>
      <c r="Q73" s="126">
        <v>1971</v>
      </c>
      <c r="R73" s="105">
        <f>MATCH(Q73,[4]Sheet2!A:A,)</f>
        <v>47</v>
      </c>
    </row>
    <row r="74" spans="1:18">
      <c r="A74" s="126">
        <v>1971</v>
      </c>
      <c r="B74" s="127"/>
      <c r="C74" s="109" t="s">
        <v>1966</v>
      </c>
      <c r="D74" s="105" t="s">
        <v>1474</v>
      </c>
      <c r="E74" s="105" t="s">
        <v>1403</v>
      </c>
      <c r="F74" s="105"/>
      <c r="G74" s="128">
        <v>0.5</v>
      </c>
      <c r="H74" s="128">
        <v>2.87</v>
      </c>
      <c r="I74" s="129">
        <v>1</v>
      </c>
      <c r="J74" s="129"/>
      <c r="K74" s="130">
        <v>2.87</v>
      </c>
      <c r="L74" s="111"/>
      <c r="M74" s="129"/>
      <c r="N74" s="129"/>
      <c r="O74" s="129"/>
      <c r="P74" s="131">
        <f>IF(VLOOKUP(A74,[4]Sheet2!$A$39:$C$140,3)="F.V.",0.5,VLOOKUP(A74,[4]Sheet2!$A$39:$C$140,3))</f>
        <v>0.5</v>
      </c>
      <c r="Q74" s="126">
        <v>1971</v>
      </c>
      <c r="R74" s="105">
        <f>MATCH(Q74,[4]Sheet2!A:A,)</f>
        <v>47</v>
      </c>
    </row>
    <row r="75" spans="1:18">
      <c r="A75" s="126">
        <v>1971</v>
      </c>
      <c r="B75" s="127"/>
      <c r="C75" s="109" t="s">
        <v>1966</v>
      </c>
      <c r="D75" s="105" t="s">
        <v>1475</v>
      </c>
      <c r="E75" s="105" t="s">
        <v>1403</v>
      </c>
      <c r="F75" s="105"/>
      <c r="G75" s="128">
        <v>0.5</v>
      </c>
      <c r="H75" s="128">
        <v>2.87</v>
      </c>
      <c r="I75" s="129">
        <v>1</v>
      </c>
      <c r="J75" s="129"/>
      <c r="K75" s="130">
        <v>2.87</v>
      </c>
      <c r="L75" s="111"/>
      <c r="M75" s="129"/>
      <c r="N75" s="129"/>
      <c r="O75" s="129"/>
      <c r="P75" s="131">
        <f>IF(VLOOKUP(A75,[4]Sheet2!$A$39:$C$140,3)="F.V.",0.5,VLOOKUP(A75,[4]Sheet2!$A$39:$C$140,3))</f>
        <v>0.5</v>
      </c>
      <c r="Q75" s="126">
        <v>1971</v>
      </c>
      <c r="R75" s="105">
        <f>MATCH(Q75,[4]Sheet2!A:A,)</f>
        <v>47</v>
      </c>
    </row>
    <row r="76" spans="1:18">
      <c r="A76" s="126">
        <v>1971</v>
      </c>
      <c r="B76" s="127"/>
      <c r="C76" s="109" t="s">
        <v>1966</v>
      </c>
      <c r="D76" s="105" t="s">
        <v>1476</v>
      </c>
      <c r="E76" s="105" t="s">
        <v>1403</v>
      </c>
      <c r="F76" s="105"/>
      <c r="G76" s="128">
        <v>0.5</v>
      </c>
      <c r="H76" s="128">
        <v>2.87</v>
      </c>
      <c r="I76" s="129">
        <v>1</v>
      </c>
      <c r="J76" s="129"/>
      <c r="K76" s="130">
        <v>2.87</v>
      </c>
      <c r="L76" s="111"/>
      <c r="M76" s="129"/>
      <c r="N76" s="129"/>
      <c r="O76" s="129"/>
      <c r="P76" s="131">
        <f>IF(VLOOKUP(A76,[4]Sheet2!$A$39:$C$140,3)="F.V.",0.5,VLOOKUP(A76,[4]Sheet2!$A$39:$C$140,3))</f>
        <v>0.5</v>
      </c>
      <c r="Q76" s="126">
        <v>1971</v>
      </c>
      <c r="R76" s="105">
        <f>MATCH(Q76,[4]Sheet2!A:A,)</f>
        <v>47</v>
      </c>
    </row>
    <row r="77" spans="1:18">
      <c r="A77" s="126">
        <v>1971</v>
      </c>
      <c r="B77" s="127" t="s">
        <v>13</v>
      </c>
      <c r="C77" s="109" t="s">
        <v>1966</v>
      </c>
      <c r="D77" s="105" t="s">
        <v>1477</v>
      </c>
      <c r="E77" s="105" t="s">
        <v>1403</v>
      </c>
      <c r="F77" s="105"/>
      <c r="G77" s="128">
        <v>0.5</v>
      </c>
      <c r="H77" s="128">
        <v>3.19</v>
      </c>
      <c r="I77" s="129">
        <v>1</v>
      </c>
      <c r="J77" s="129"/>
      <c r="K77" s="130">
        <v>3.19</v>
      </c>
      <c r="L77" s="111"/>
      <c r="M77" s="129"/>
      <c r="N77" s="129"/>
      <c r="O77" s="129"/>
      <c r="P77" s="131">
        <f>IF(VLOOKUP(A77,[4]Sheet2!$A$39:$C$140,3)="F.V.",0.5,VLOOKUP(A77,[4]Sheet2!$A$39:$C$140,3))</f>
        <v>0.5</v>
      </c>
      <c r="Q77" s="105" t="s">
        <v>255</v>
      </c>
      <c r="R77" s="105">
        <f>MATCH(Q77,[4]Sheet2!A:A,)</f>
        <v>48</v>
      </c>
    </row>
    <row r="78" spans="1:18">
      <c r="A78" s="126">
        <v>1971</v>
      </c>
      <c r="B78" s="127"/>
      <c r="C78" s="109" t="s">
        <v>1966</v>
      </c>
      <c r="D78" s="105" t="s">
        <v>1478</v>
      </c>
      <c r="E78" s="105" t="s">
        <v>1403</v>
      </c>
      <c r="F78" s="105"/>
      <c r="G78" s="128">
        <v>0.5</v>
      </c>
      <c r="H78" s="128">
        <v>2.87</v>
      </c>
      <c r="I78" s="129">
        <v>1</v>
      </c>
      <c r="J78" s="129"/>
      <c r="K78" s="130">
        <v>2.87</v>
      </c>
      <c r="L78" s="111"/>
      <c r="M78" s="129"/>
      <c r="N78" s="129"/>
      <c r="O78" s="129"/>
      <c r="P78" s="131">
        <f>IF(VLOOKUP(A78,[4]Sheet2!$A$39:$C$140,3)="F.V.",0.5,VLOOKUP(A78,[4]Sheet2!$A$39:$C$140,3))</f>
        <v>0.5</v>
      </c>
      <c r="Q78" s="126">
        <v>1971</v>
      </c>
      <c r="R78" s="105">
        <f>MATCH(Q78,[4]Sheet2!A:A,)</f>
        <v>47</v>
      </c>
    </row>
    <row r="79" spans="1:18">
      <c r="A79" s="126">
        <v>1971</v>
      </c>
      <c r="B79" s="127"/>
      <c r="C79" s="109" t="s">
        <v>1966</v>
      </c>
      <c r="D79" s="105" t="s">
        <v>1479</v>
      </c>
      <c r="E79" s="105" t="s">
        <v>1403</v>
      </c>
      <c r="F79" s="105"/>
      <c r="G79" s="128">
        <v>0.5</v>
      </c>
      <c r="H79" s="128">
        <v>2.87</v>
      </c>
      <c r="I79" s="129">
        <v>1</v>
      </c>
      <c r="J79" s="129"/>
      <c r="K79" s="130">
        <v>2.87</v>
      </c>
      <c r="L79" s="111"/>
      <c r="M79" s="129"/>
      <c r="N79" s="129"/>
      <c r="O79" s="129"/>
      <c r="P79" s="131">
        <f>IF(VLOOKUP(A79,[4]Sheet2!$A$39:$C$140,3)="F.V.",0.5,VLOOKUP(A79,[4]Sheet2!$A$39:$C$140,3))</f>
        <v>0.5</v>
      </c>
      <c r="Q79" s="126">
        <v>1971</v>
      </c>
      <c r="R79" s="105">
        <f>MATCH(Q79,[4]Sheet2!A:A,)</f>
        <v>47</v>
      </c>
    </row>
    <row r="80" spans="1:18">
      <c r="A80" s="126">
        <v>1971</v>
      </c>
      <c r="B80" s="127"/>
      <c r="C80" s="109" t="s">
        <v>1966</v>
      </c>
      <c r="D80" s="105" t="s">
        <v>1480</v>
      </c>
      <c r="E80" s="105" t="s">
        <v>1403</v>
      </c>
      <c r="F80" s="105"/>
      <c r="G80" s="128">
        <v>0.5</v>
      </c>
      <c r="H80" s="128">
        <v>2.87</v>
      </c>
      <c r="I80" s="129">
        <v>1</v>
      </c>
      <c r="J80" s="129"/>
      <c r="K80" s="130">
        <v>2.87</v>
      </c>
      <c r="L80" s="111"/>
      <c r="M80" s="129"/>
      <c r="N80" s="129"/>
      <c r="O80" s="129"/>
      <c r="P80" s="131">
        <f>IF(VLOOKUP(A80,[4]Sheet2!$A$39:$C$140,3)="F.V.",0.5,VLOOKUP(A80,[4]Sheet2!$A$39:$C$140,3))</f>
        <v>0.5</v>
      </c>
      <c r="Q80" s="126">
        <v>1971</v>
      </c>
      <c r="R80" s="105">
        <f>MATCH(Q80,[4]Sheet2!A:A,)</f>
        <v>47</v>
      </c>
    </row>
    <row r="81" spans="1:18">
      <c r="A81" s="126">
        <v>1971</v>
      </c>
      <c r="B81" s="127"/>
      <c r="C81" s="109" t="s">
        <v>1966</v>
      </c>
      <c r="D81" s="105" t="s">
        <v>1481</v>
      </c>
      <c r="E81" s="105" t="s">
        <v>1403</v>
      </c>
      <c r="F81" s="105"/>
      <c r="G81" s="128">
        <v>0.5</v>
      </c>
      <c r="H81" s="128">
        <v>2.87</v>
      </c>
      <c r="I81" s="129">
        <v>1</v>
      </c>
      <c r="J81" s="129"/>
      <c r="K81" s="130">
        <v>2.87</v>
      </c>
      <c r="L81" s="111"/>
      <c r="M81" s="129"/>
      <c r="N81" s="129"/>
      <c r="O81" s="129"/>
      <c r="P81" s="131">
        <f>IF(VLOOKUP(A81,[4]Sheet2!$A$39:$C$140,3)="F.V.",0.5,VLOOKUP(A81,[4]Sheet2!$A$39:$C$140,3))</f>
        <v>0.5</v>
      </c>
      <c r="Q81" s="126">
        <v>1971</v>
      </c>
      <c r="R81" s="105">
        <f>MATCH(Q81,[4]Sheet2!A:A,)</f>
        <v>47</v>
      </c>
    </row>
    <row r="82" spans="1:18">
      <c r="A82" s="126">
        <v>1971</v>
      </c>
      <c r="B82" s="127"/>
      <c r="C82" s="109" t="s">
        <v>1966</v>
      </c>
      <c r="D82" s="105" t="s">
        <v>1482</v>
      </c>
      <c r="E82" s="105" t="s">
        <v>1403</v>
      </c>
      <c r="F82" s="105"/>
      <c r="G82" s="128">
        <v>0.5</v>
      </c>
      <c r="H82" s="128">
        <v>2.87</v>
      </c>
      <c r="I82" s="129">
        <v>1</v>
      </c>
      <c r="J82" s="129"/>
      <c r="K82" s="130">
        <v>2.87</v>
      </c>
      <c r="L82" s="111"/>
      <c r="M82" s="129"/>
      <c r="N82" s="129"/>
      <c r="O82" s="129"/>
      <c r="P82" s="131">
        <f>IF(VLOOKUP(A82,[4]Sheet2!$A$39:$C$140,3)="F.V.",0.5,VLOOKUP(A82,[4]Sheet2!$A$39:$C$140,3))</f>
        <v>0.5</v>
      </c>
      <c r="Q82" s="126">
        <v>1971</v>
      </c>
      <c r="R82" s="105">
        <f>MATCH(Q82,[4]Sheet2!A:A,)</f>
        <v>47</v>
      </c>
    </row>
    <row r="83" spans="1:18">
      <c r="A83" s="126">
        <v>1971</v>
      </c>
      <c r="B83" s="127"/>
      <c r="C83" s="109" t="s">
        <v>1966</v>
      </c>
      <c r="D83" s="105" t="s">
        <v>1483</v>
      </c>
      <c r="E83" s="105" t="s">
        <v>1403</v>
      </c>
      <c r="F83" s="105"/>
      <c r="G83" s="128">
        <v>0.5</v>
      </c>
      <c r="H83" s="128">
        <v>2.87</v>
      </c>
      <c r="I83" s="129">
        <v>1</v>
      </c>
      <c r="J83" s="129"/>
      <c r="K83" s="130">
        <v>2.87</v>
      </c>
      <c r="L83" s="111"/>
      <c r="M83" s="129"/>
      <c r="N83" s="129"/>
      <c r="O83" s="129"/>
      <c r="P83" s="131">
        <f>IF(VLOOKUP(A83,[4]Sheet2!$A$39:$C$140,3)="F.V.",0.5,VLOOKUP(A83,[4]Sheet2!$A$39:$C$140,3))</f>
        <v>0.5</v>
      </c>
      <c r="Q83" s="126">
        <v>1971</v>
      </c>
      <c r="R83" s="105">
        <f>MATCH(Q83,[4]Sheet2!A:A,)</f>
        <v>47</v>
      </c>
    </row>
    <row r="84" spans="1:18">
      <c r="A84" s="126">
        <v>1971</v>
      </c>
      <c r="B84" s="127" t="s">
        <v>13</v>
      </c>
      <c r="C84" s="109" t="s">
        <v>1966</v>
      </c>
      <c r="D84" s="105" t="s">
        <v>1484</v>
      </c>
      <c r="E84" s="105" t="s">
        <v>1403</v>
      </c>
      <c r="F84" s="105"/>
      <c r="G84" s="128">
        <v>0.5</v>
      </c>
      <c r="H84" s="128">
        <v>3.19</v>
      </c>
      <c r="I84" s="129">
        <v>1</v>
      </c>
      <c r="J84" s="129"/>
      <c r="K84" s="130">
        <v>3.19</v>
      </c>
      <c r="L84" s="111"/>
      <c r="M84" s="129"/>
      <c r="N84" s="129"/>
      <c r="O84" s="129"/>
      <c r="P84" s="131">
        <f>IF(VLOOKUP(A84,[4]Sheet2!$A$39:$C$140,3)="F.V.",0.5,VLOOKUP(A84,[4]Sheet2!$A$39:$C$140,3))</f>
        <v>0.5</v>
      </c>
      <c r="Q84" s="105" t="s">
        <v>255</v>
      </c>
      <c r="R84" s="105">
        <f>MATCH(Q84,[4]Sheet2!A:A,)</f>
        <v>48</v>
      </c>
    </row>
    <row r="85" spans="1:18">
      <c r="A85" s="126">
        <v>1971</v>
      </c>
      <c r="B85" s="127" t="s">
        <v>13</v>
      </c>
      <c r="C85" s="109" t="s">
        <v>1966</v>
      </c>
      <c r="D85" s="105" t="s">
        <v>1485</v>
      </c>
      <c r="E85" s="105" t="s">
        <v>1403</v>
      </c>
      <c r="F85" s="105"/>
      <c r="G85" s="128">
        <v>0.5</v>
      </c>
      <c r="H85" s="128">
        <v>3.19</v>
      </c>
      <c r="I85" s="129">
        <v>1</v>
      </c>
      <c r="J85" s="129"/>
      <c r="K85" s="130">
        <v>3.19</v>
      </c>
      <c r="L85" s="111"/>
      <c r="M85" s="129"/>
      <c r="N85" s="129"/>
      <c r="O85" s="129"/>
      <c r="P85" s="131">
        <f>IF(VLOOKUP(A85,[4]Sheet2!$A$39:$C$140,3)="F.V.",0.5,VLOOKUP(A85,[4]Sheet2!$A$39:$C$140,3))</f>
        <v>0.5</v>
      </c>
      <c r="Q85" s="105" t="s">
        <v>255</v>
      </c>
      <c r="R85" s="105">
        <f>MATCH(Q85,[4]Sheet2!A:A,)</f>
        <v>48</v>
      </c>
    </row>
    <row r="86" spans="1:18">
      <c r="A86" s="126">
        <v>1971</v>
      </c>
      <c r="B86" s="127" t="s">
        <v>13</v>
      </c>
      <c r="C86" s="109" t="s">
        <v>1966</v>
      </c>
      <c r="D86" s="105" t="s">
        <v>1486</v>
      </c>
      <c r="E86" s="105" t="s">
        <v>1403</v>
      </c>
      <c r="F86" s="105"/>
      <c r="G86" s="128">
        <v>0.5</v>
      </c>
      <c r="H86" s="128">
        <v>3.19</v>
      </c>
      <c r="I86" s="129">
        <v>1</v>
      </c>
      <c r="J86" s="129"/>
      <c r="K86" s="130">
        <v>3.19</v>
      </c>
      <c r="L86" s="111"/>
      <c r="M86" s="129"/>
      <c r="N86" s="129"/>
      <c r="O86" s="129"/>
      <c r="P86" s="131">
        <f>IF(VLOOKUP(A86,[4]Sheet2!$A$39:$C$140,3)="F.V.",0.5,VLOOKUP(A86,[4]Sheet2!$A$39:$C$140,3))</f>
        <v>0.5</v>
      </c>
      <c r="Q86" s="105" t="s">
        <v>255</v>
      </c>
      <c r="R86" s="105">
        <f>MATCH(Q86,[4]Sheet2!A:A,)</f>
        <v>48</v>
      </c>
    </row>
    <row r="87" spans="1:18">
      <c r="A87" s="126">
        <v>1971</v>
      </c>
      <c r="B87" s="127"/>
      <c r="C87" s="109" t="s">
        <v>1966</v>
      </c>
      <c r="D87" s="105" t="s">
        <v>1487</v>
      </c>
      <c r="E87" s="105" t="s">
        <v>1403</v>
      </c>
      <c r="F87" s="105"/>
      <c r="G87" s="128">
        <v>0.5</v>
      </c>
      <c r="H87" s="128">
        <v>2.87</v>
      </c>
      <c r="I87" s="129">
        <v>1</v>
      </c>
      <c r="J87" s="129"/>
      <c r="K87" s="130">
        <v>2.87</v>
      </c>
      <c r="L87" s="111"/>
      <c r="M87" s="129"/>
      <c r="N87" s="129"/>
      <c r="O87" s="129"/>
      <c r="P87" s="131">
        <f>IF(VLOOKUP(A87,[4]Sheet2!$A$39:$C$140,3)="F.V.",0.5,VLOOKUP(A87,[4]Sheet2!$A$39:$C$140,3))</f>
        <v>0.5</v>
      </c>
      <c r="Q87" s="126">
        <v>1971</v>
      </c>
      <c r="R87" s="105">
        <f>MATCH(Q87,[4]Sheet2!A:A,)</f>
        <v>47</v>
      </c>
    </row>
    <row r="88" spans="1:18">
      <c r="A88" s="126">
        <v>1971</v>
      </c>
      <c r="B88" s="127" t="s">
        <v>13</v>
      </c>
      <c r="C88" s="109" t="s">
        <v>1966</v>
      </c>
      <c r="D88" s="105" t="s">
        <v>1488</v>
      </c>
      <c r="E88" s="105" t="s">
        <v>1403</v>
      </c>
      <c r="F88" s="105"/>
      <c r="G88" s="128">
        <v>0.5</v>
      </c>
      <c r="H88" s="128">
        <v>3.19</v>
      </c>
      <c r="I88" s="129">
        <v>1</v>
      </c>
      <c r="J88" s="129"/>
      <c r="K88" s="130">
        <v>3.19</v>
      </c>
      <c r="L88" s="111"/>
      <c r="M88" s="129"/>
      <c r="N88" s="129"/>
      <c r="O88" s="129"/>
      <c r="P88" s="131">
        <f>IF(VLOOKUP(A88,[4]Sheet2!$A$39:$C$140,3)="F.V.",0.5,VLOOKUP(A88,[4]Sheet2!$A$39:$C$140,3))</f>
        <v>0.5</v>
      </c>
      <c r="Q88" s="105" t="s">
        <v>255</v>
      </c>
      <c r="R88" s="105">
        <f>MATCH(Q88,[4]Sheet2!A:A,)</f>
        <v>48</v>
      </c>
    </row>
    <row r="89" spans="1:18">
      <c r="A89" s="126">
        <v>1971</v>
      </c>
      <c r="B89" s="127"/>
      <c r="C89" s="109" t="s">
        <v>1966</v>
      </c>
      <c r="D89" s="105" t="s">
        <v>1489</v>
      </c>
      <c r="E89" s="105" t="s">
        <v>1403</v>
      </c>
      <c r="F89" s="105"/>
      <c r="G89" s="128">
        <v>0.5</v>
      </c>
      <c r="H89" s="128">
        <v>2.87</v>
      </c>
      <c r="I89" s="129">
        <v>1</v>
      </c>
      <c r="J89" s="129"/>
      <c r="K89" s="130">
        <v>2.87</v>
      </c>
      <c r="L89" s="111"/>
      <c r="M89" s="129"/>
      <c r="N89" s="129"/>
      <c r="O89" s="129"/>
      <c r="P89" s="131">
        <f>IF(VLOOKUP(A89,[4]Sheet2!$A$39:$C$140,3)="F.V.",0.5,VLOOKUP(A89,[4]Sheet2!$A$39:$C$140,3))</f>
        <v>0.5</v>
      </c>
      <c r="Q89" s="126">
        <v>1971</v>
      </c>
      <c r="R89" s="105">
        <f>MATCH(Q89,[4]Sheet2!A:A,)</f>
        <v>47</v>
      </c>
    </row>
    <row r="90" spans="1:18">
      <c r="A90" s="126">
        <v>1971</v>
      </c>
      <c r="B90" s="127"/>
      <c r="C90" s="109" t="s">
        <v>1966</v>
      </c>
      <c r="D90" s="105" t="s">
        <v>1490</v>
      </c>
      <c r="E90" s="105" t="s">
        <v>1403</v>
      </c>
      <c r="F90" s="105"/>
      <c r="G90" s="128">
        <v>0.5</v>
      </c>
      <c r="H90" s="128">
        <v>2.87</v>
      </c>
      <c r="I90" s="129">
        <v>1</v>
      </c>
      <c r="J90" s="129"/>
      <c r="K90" s="130">
        <v>2.87</v>
      </c>
      <c r="L90" s="111"/>
      <c r="M90" s="129"/>
      <c r="N90" s="129"/>
      <c r="O90" s="129"/>
      <c r="P90" s="131">
        <f>IF(VLOOKUP(A90,[4]Sheet2!$A$39:$C$140,3)="F.V.",0.5,VLOOKUP(A90,[4]Sheet2!$A$39:$C$140,3))</f>
        <v>0.5</v>
      </c>
      <c r="Q90" s="126">
        <v>1971</v>
      </c>
      <c r="R90" s="105">
        <f>MATCH(Q90,[4]Sheet2!A:A,)</f>
        <v>47</v>
      </c>
    </row>
    <row r="91" spans="1:18">
      <c r="A91" s="126">
        <v>1971</v>
      </c>
      <c r="B91" s="127"/>
      <c r="C91" s="109" t="s">
        <v>1966</v>
      </c>
      <c r="D91" s="105" t="s">
        <v>1491</v>
      </c>
      <c r="E91" s="105" t="s">
        <v>1403</v>
      </c>
      <c r="F91" s="105"/>
      <c r="G91" s="128">
        <v>0.5</v>
      </c>
      <c r="H91" s="128">
        <v>3.38</v>
      </c>
      <c r="I91" s="129">
        <v>1</v>
      </c>
      <c r="J91" s="129"/>
      <c r="K91" s="130" t="e">
        <f>VLOOKUP(C91,[4]!Table_0__2[#Data],2,0)</f>
        <v>#REF!</v>
      </c>
      <c r="L91" s="111"/>
      <c r="M91" s="129"/>
      <c r="N91" s="129"/>
      <c r="O91" s="129"/>
      <c r="P91" s="131">
        <f>IF(VLOOKUP(A91,[4]Sheet2!$A$39:$C$140,3)="F.V.",0.5,VLOOKUP(A91,[4]Sheet2!$A$39:$C$140,3))</f>
        <v>0.5</v>
      </c>
      <c r="Q91" s="126">
        <v>1972</v>
      </c>
    </row>
    <row r="92" spans="1:18">
      <c r="A92" s="126">
        <v>1971</v>
      </c>
      <c r="B92" s="127"/>
      <c r="C92" s="109" t="s">
        <v>1966</v>
      </c>
      <c r="D92" s="105" t="s">
        <v>1492</v>
      </c>
      <c r="E92" s="105" t="s">
        <v>1403</v>
      </c>
      <c r="F92" s="105"/>
      <c r="G92" s="128">
        <v>0.5</v>
      </c>
      <c r="H92" s="128">
        <v>3.38</v>
      </c>
      <c r="I92" s="129">
        <v>1</v>
      </c>
      <c r="J92" s="129"/>
      <c r="K92" s="130" t="e">
        <f>VLOOKUP(C92,[4]!Table_0__2[#Data],2,0)</f>
        <v>#REF!</v>
      </c>
      <c r="L92" s="111"/>
      <c r="M92" s="129"/>
      <c r="N92" s="129"/>
      <c r="O92" s="129"/>
      <c r="P92" s="131">
        <f>IF(VLOOKUP(A92,[4]Sheet2!$A$39:$C$140,3)="F.V.",0.5,VLOOKUP(A92,[4]Sheet2!$A$39:$C$140,3))</f>
        <v>0.5</v>
      </c>
      <c r="Q92" s="126">
        <v>1973</v>
      </c>
    </row>
    <row r="93" spans="1:18">
      <c r="A93" s="126">
        <v>1972</v>
      </c>
      <c r="B93" s="127"/>
      <c r="C93" s="109" t="s">
        <v>1966</v>
      </c>
      <c r="D93" s="105" t="s">
        <v>1493</v>
      </c>
      <c r="E93" s="105" t="s">
        <v>1403</v>
      </c>
      <c r="F93" s="105"/>
      <c r="G93" s="128">
        <v>0.5</v>
      </c>
      <c r="H93" s="128">
        <v>3</v>
      </c>
      <c r="I93" s="129">
        <v>1</v>
      </c>
      <c r="J93" s="129"/>
      <c r="K93" s="130">
        <v>3</v>
      </c>
      <c r="L93" s="111"/>
      <c r="M93" s="129"/>
      <c r="N93" s="129"/>
      <c r="O93" s="129"/>
      <c r="P93" s="131">
        <f>IF(VLOOKUP(A93,[4]Sheet2!$A$39:$C$140,3)="F.V.",0.5,VLOOKUP(A93,[4]Sheet2!$A$39:$C$140,3))</f>
        <v>0.5</v>
      </c>
      <c r="Q93" s="126">
        <v>1972</v>
      </c>
      <c r="R93" s="105">
        <f>MATCH(Q93,[4]Sheet2!A:A,)</f>
        <v>49</v>
      </c>
    </row>
    <row r="94" spans="1:18">
      <c r="A94" s="126">
        <v>1972</v>
      </c>
      <c r="B94" s="127"/>
      <c r="C94" s="109" t="s">
        <v>1966</v>
      </c>
      <c r="D94" s="105" t="s">
        <v>1494</v>
      </c>
      <c r="E94" s="105" t="s">
        <v>1403</v>
      </c>
      <c r="F94" s="105"/>
      <c r="G94" s="128">
        <v>0.5</v>
      </c>
      <c r="H94" s="128">
        <v>3</v>
      </c>
      <c r="I94" s="129">
        <v>1</v>
      </c>
      <c r="J94" s="129"/>
      <c r="K94" s="130">
        <v>3</v>
      </c>
      <c r="L94" s="111"/>
      <c r="M94" s="129"/>
      <c r="N94" s="129"/>
      <c r="O94" s="129"/>
      <c r="P94" s="131">
        <f>IF(VLOOKUP(A94,[4]Sheet2!$A$39:$C$140,3)="F.V.",0.5,VLOOKUP(A94,[4]Sheet2!$A$39:$C$140,3))</f>
        <v>0.5</v>
      </c>
      <c r="Q94" s="126">
        <v>1972</v>
      </c>
      <c r="R94" s="105">
        <f>MATCH(Q94,[4]Sheet2!A:A,)</f>
        <v>49</v>
      </c>
    </row>
    <row r="95" spans="1:18">
      <c r="A95" s="126">
        <v>1972</v>
      </c>
      <c r="B95" s="127"/>
      <c r="C95" s="109" t="s">
        <v>1966</v>
      </c>
      <c r="D95" s="105" t="s">
        <v>1495</v>
      </c>
      <c r="E95" s="105" t="s">
        <v>1403</v>
      </c>
      <c r="F95" s="105"/>
      <c r="G95" s="128">
        <v>0.5</v>
      </c>
      <c r="H95" s="128">
        <v>3</v>
      </c>
      <c r="I95" s="129">
        <v>1</v>
      </c>
      <c r="J95" s="129"/>
      <c r="K95" s="130">
        <v>3</v>
      </c>
      <c r="L95" s="111"/>
      <c r="M95" s="129"/>
      <c r="N95" s="129"/>
      <c r="O95" s="129"/>
      <c r="P95" s="131">
        <f>IF(VLOOKUP(A95,[4]Sheet2!$A$39:$C$140,3)="F.V.",0.5,VLOOKUP(A95,[4]Sheet2!$A$39:$C$140,3))</f>
        <v>0.5</v>
      </c>
      <c r="Q95" s="126">
        <v>1972</v>
      </c>
      <c r="R95" s="105">
        <f>MATCH(Q95,[4]Sheet2!A:A,)</f>
        <v>49</v>
      </c>
    </row>
    <row r="96" spans="1:18">
      <c r="A96" s="126">
        <v>1972</v>
      </c>
      <c r="B96" s="127"/>
      <c r="C96" s="109" t="s">
        <v>1966</v>
      </c>
      <c r="D96" s="105" t="s">
        <v>1496</v>
      </c>
      <c r="E96" s="105" t="s">
        <v>1403</v>
      </c>
      <c r="F96" s="105"/>
      <c r="G96" s="128">
        <v>0.5</v>
      </c>
      <c r="H96" s="128">
        <v>3</v>
      </c>
      <c r="I96" s="129">
        <v>1</v>
      </c>
      <c r="J96" s="129"/>
      <c r="K96" s="130">
        <v>3</v>
      </c>
      <c r="L96" s="111"/>
      <c r="M96" s="129"/>
      <c r="N96" s="129"/>
      <c r="O96" s="129"/>
      <c r="P96" s="131">
        <f>IF(VLOOKUP(A96,[4]Sheet2!$A$39:$C$140,3)="F.V.",0.5,VLOOKUP(A96,[4]Sheet2!$A$39:$C$140,3))</f>
        <v>0.5</v>
      </c>
      <c r="Q96" s="126">
        <v>1972</v>
      </c>
      <c r="R96" s="105">
        <f>MATCH(Q96,[4]Sheet2!A:A,)</f>
        <v>49</v>
      </c>
    </row>
    <row r="97" spans="1:18">
      <c r="A97" s="126">
        <v>1972</v>
      </c>
      <c r="B97" s="127"/>
      <c r="C97" s="109" t="s">
        <v>1966</v>
      </c>
      <c r="D97" s="105" t="s">
        <v>1497</v>
      </c>
      <c r="E97" s="105" t="s">
        <v>1403</v>
      </c>
      <c r="F97" s="105"/>
      <c r="G97" s="128">
        <v>0.5</v>
      </c>
      <c r="H97" s="128">
        <v>3</v>
      </c>
      <c r="I97" s="129">
        <v>1</v>
      </c>
      <c r="J97" s="129"/>
      <c r="K97" s="130">
        <v>3</v>
      </c>
      <c r="L97" s="111"/>
      <c r="M97" s="129"/>
      <c r="N97" s="129"/>
      <c r="O97" s="129"/>
      <c r="P97" s="131">
        <f>IF(VLOOKUP(A97,[4]Sheet2!$A$39:$C$140,3)="F.V.",0.5,VLOOKUP(A97,[4]Sheet2!$A$39:$C$140,3))</f>
        <v>0.5</v>
      </c>
      <c r="Q97" s="126">
        <v>1972</v>
      </c>
      <c r="R97" s="105">
        <f>MATCH(Q97,[4]Sheet2!A:A,)</f>
        <v>49</v>
      </c>
    </row>
    <row r="98" spans="1:18">
      <c r="A98" s="126">
        <v>1972</v>
      </c>
      <c r="B98" s="127"/>
      <c r="C98" s="109" t="s">
        <v>1966</v>
      </c>
      <c r="D98" s="105" t="s">
        <v>1498</v>
      </c>
      <c r="E98" s="105" t="s">
        <v>1403</v>
      </c>
      <c r="F98" s="105"/>
      <c r="G98" s="128">
        <v>0.5</v>
      </c>
      <c r="H98" s="128">
        <v>3</v>
      </c>
      <c r="I98" s="129">
        <v>1</v>
      </c>
      <c r="J98" s="129"/>
      <c r="K98" s="130">
        <v>3</v>
      </c>
      <c r="L98" s="111"/>
      <c r="M98" s="129"/>
      <c r="N98" s="129"/>
      <c r="O98" s="129"/>
      <c r="P98" s="131">
        <f>IF(VLOOKUP(A98,[4]Sheet2!$A$39:$C$140,3)="F.V.",0.5,VLOOKUP(A98,[4]Sheet2!$A$39:$C$140,3))</f>
        <v>0.5</v>
      </c>
      <c r="Q98" s="126">
        <v>1972</v>
      </c>
      <c r="R98" s="105">
        <f>MATCH(Q98,[4]Sheet2!A:A,)</f>
        <v>49</v>
      </c>
    </row>
    <row r="99" spans="1:18">
      <c r="A99" s="126">
        <v>1973</v>
      </c>
      <c r="B99" s="127"/>
      <c r="C99" s="109" t="s">
        <v>1966</v>
      </c>
      <c r="D99" s="105" t="s">
        <v>1499</v>
      </c>
      <c r="E99" s="105" t="s">
        <v>1403</v>
      </c>
      <c r="F99" s="105"/>
      <c r="G99" s="128">
        <v>0.5</v>
      </c>
      <c r="H99" s="128">
        <v>2.14</v>
      </c>
      <c r="I99" s="129">
        <v>1</v>
      </c>
      <c r="J99" s="129"/>
      <c r="K99" s="130">
        <v>2.14</v>
      </c>
      <c r="L99" s="111"/>
      <c r="M99" s="129"/>
      <c r="N99" s="129"/>
      <c r="O99" s="129"/>
      <c r="P99" s="131">
        <f>IF(VLOOKUP(A99,[4]Sheet2!$A$39:$C$140,3)="F.V.",0.5,VLOOKUP(A99,[4]Sheet2!$A$39:$C$140,3))</f>
        <v>0.5</v>
      </c>
      <c r="Q99" s="126">
        <v>1973</v>
      </c>
      <c r="R99" s="105">
        <f>MATCH(Q99,[4]Sheet2!A:A,)</f>
        <v>51</v>
      </c>
    </row>
    <row r="100" spans="1:18">
      <c r="A100" s="126">
        <v>1973</v>
      </c>
      <c r="B100" s="127"/>
      <c r="C100" s="109" t="s">
        <v>1966</v>
      </c>
      <c r="D100" s="105" t="s">
        <v>1500</v>
      </c>
      <c r="E100" s="105" t="s">
        <v>1403</v>
      </c>
      <c r="F100" s="105"/>
      <c r="G100" s="128">
        <v>0.5</v>
      </c>
      <c r="H100" s="128">
        <v>2.14</v>
      </c>
      <c r="I100" s="129">
        <v>1</v>
      </c>
      <c r="J100" s="129"/>
      <c r="K100" s="130">
        <v>2.14</v>
      </c>
      <c r="L100" s="111"/>
      <c r="M100" s="129"/>
      <c r="N100" s="129"/>
      <c r="O100" s="129"/>
      <c r="P100" s="131">
        <f>IF(VLOOKUP(A100,[4]Sheet2!$A$39:$C$140,3)="F.V.",0.5,VLOOKUP(A100,[4]Sheet2!$A$39:$C$140,3))</f>
        <v>0.5</v>
      </c>
      <c r="Q100" s="126">
        <v>1973</v>
      </c>
      <c r="R100" s="105">
        <f>MATCH(Q100,[4]Sheet2!A:A,)</f>
        <v>51</v>
      </c>
    </row>
    <row r="101" spans="1:18">
      <c r="A101" s="126">
        <v>1973</v>
      </c>
      <c r="B101" s="127"/>
      <c r="C101" s="109" t="s">
        <v>1966</v>
      </c>
      <c r="D101" s="105" t="s">
        <v>1501</v>
      </c>
      <c r="E101" s="105" t="s">
        <v>1403</v>
      </c>
      <c r="F101" s="105"/>
      <c r="G101" s="128">
        <v>0.5</v>
      </c>
      <c r="H101" s="128">
        <v>2.14</v>
      </c>
      <c r="I101" s="129">
        <v>1</v>
      </c>
      <c r="J101" s="129"/>
      <c r="K101" s="130">
        <v>2.14</v>
      </c>
      <c r="L101" s="111"/>
      <c r="M101" s="129"/>
      <c r="N101" s="129"/>
      <c r="O101" s="129"/>
      <c r="P101" s="131">
        <f>IF(VLOOKUP(A101,[4]Sheet2!$A$39:$C$140,3)="F.V.",0.5,VLOOKUP(A101,[4]Sheet2!$A$39:$C$140,3))</f>
        <v>0.5</v>
      </c>
      <c r="Q101" s="126">
        <v>1973</v>
      </c>
      <c r="R101" s="105">
        <f>MATCH(Q101,[4]Sheet2!A:A,)</f>
        <v>51</v>
      </c>
    </row>
    <row r="102" spans="1:18">
      <c r="A102" s="126">
        <v>1973</v>
      </c>
      <c r="B102" s="127"/>
      <c r="C102" s="109" t="s">
        <v>1966</v>
      </c>
      <c r="D102" s="105" t="s">
        <v>1502</v>
      </c>
      <c r="E102" s="105" t="s">
        <v>1403</v>
      </c>
      <c r="F102" s="105"/>
      <c r="G102" s="128">
        <v>0.5</v>
      </c>
      <c r="H102" s="128">
        <v>2.14</v>
      </c>
      <c r="I102" s="129">
        <v>1</v>
      </c>
      <c r="J102" s="129"/>
      <c r="K102" s="130">
        <v>2.14</v>
      </c>
      <c r="L102" s="111"/>
      <c r="M102" s="129"/>
      <c r="N102" s="129"/>
      <c r="O102" s="129"/>
      <c r="P102" s="131">
        <f>IF(VLOOKUP(A102,[4]Sheet2!$A$39:$C$140,3)="F.V.",0.5,VLOOKUP(A102,[4]Sheet2!$A$39:$C$140,3))</f>
        <v>0.5</v>
      </c>
      <c r="Q102" s="126">
        <v>1973</v>
      </c>
      <c r="R102" s="105">
        <f>MATCH(Q102,[4]Sheet2!A:A,)</f>
        <v>51</v>
      </c>
    </row>
    <row r="103" spans="1:18">
      <c r="A103" s="126">
        <v>1973</v>
      </c>
      <c r="B103" s="127"/>
      <c r="C103" s="109" t="s">
        <v>1966</v>
      </c>
      <c r="D103" s="105" t="s">
        <v>1503</v>
      </c>
      <c r="E103" s="105" t="s">
        <v>1403</v>
      </c>
      <c r="F103" s="105"/>
      <c r="G103" s="128">
        <v>0.5</v>
      </c>
      <c r="H103" s="128">
        <v>2.14</v>
      </c>
      <c r="I103" s="129">
        <v>1</v>
      </c>
      <c r="J103" s="129"/>
      <c r="K103" s="130">
        <v>2.14</v>
      </c>
      <c r="L103" s="111"/>
      <c r="M103" s="129"/>
      <c r="N103" s="129"/>
      <c r="O103" s="129"/>
      <c r="P103" s="131">
        <f>IF(VLOOKUP(A103,[4]Sheet2!$A$39:$C$140,3)="F.V.",0.5,VLOOKUP(A103,[4]Sheet2!$A$39:$C$140,3))</f>
        <v>0.5</v>
      </c>
      <c r="Q103" s="126">
        <v>1973</v>
      </c>
      <c r="R103" s="105">
        <f>MATCH(Q103,[4]Sheet2!A:A,)</f>
        <v>51</v>
      </c>
    </row>
    <row r="104" spans="1:18">
      <c r="A104" s="126">
        <v>1973</v>
      </c>
      <c r="B104" s="127"/>
      <c r="C104" s="109" t="s">
        <v>1966</v>
      </c>
      <c r="D104" s="105" t="s">
        <v>1504</v>
      </c>
      <c r="E104" s="105" t="s">
        <v>1403</v>
      </c>
      <c r="F104" s="105"/>
      <c r="G104" s="128">
        <v>0.5</v>
      </c>
      <c r="H104" s="128">
        <v>3.38</v>
      </c>
      <c r="I104" s="129">
        <v>1</v>
      </c>
      <c r="J104" s="129"/>
      <c r="K104" s="130">
        <v>2.14</v>
      </c>
      <c r="L104" s="111"/>
      <c r="M104" s="129"/>
      <c r="N104" s="129"/>
      <c r="O104" s="129"/>
      <c r="P104" s="131">
        <f>IF(VLOOKUP(A104,[4]Sheet2!$A$39:$C$140,3)="F.V.",0.5,VLOOKUP(A104,[4]Sheet2!$A$39:$C$140,3))</f>
        <v>0.5</v>
      </c>
      <c r="Q104" s="126">
        <v>1974</v>
      </c>
    </row>
    <row r="105" spans="1:18">
      <c r="A105" s="126">
        <v>1974</v>
      </c>
      <c r="B105" s="127"/>
      <c r="C105" s="109" t="s">
        <v>1966</v>
      </c>
      <c r="D105" s="105" t="s">
        <v>1505</v>
      </c>
      <c r="E105" s="105" t="s">
        <v>1403</v>
      </c>
      <c r="F105" s="105"/>
      <c r="G105" s="128">
        <v>0.5</v>
      </c>
      <c r="H105" s="128">
        <v>2.93</v>
      </c>
      <c r="I105" s="129">
        <v>1</v>
      </c>
      <c r="J105" s="129"/>
      <c r="K105" s="130">
        <v>2.93</v>
      </c>
      <c r="L105" s="111"/>
      <c r="M105" s="129"/>
      <c r="N105" s="129"/>
      <c r="O105" s="129"/>
      <c r="P105" s="131">
        <f>IF(VLOOKUP(A105,[4]Sheet2!$A$39:$C$140,3)="F.V.",0.5,VLOOKUP(A105,[4]Sheet2!$A$39:$C$140,3))</f>
        <v>0.5</v>
      </c>
      <c r="Q105" s="126">
        <v>1974</v>
      </c>
      <c r="R105" s="105">
        <f>MATCH(Q105,[4]Sheet2!A:A,)</f>
        <v>53</v>
      </c>
    </row>
    <row r="106" spans="1:18">
      <c r="A106" s="126">
        <v>1974</v>
      </c>
      <c r="B106" s="127"/>
      <c r="C106" s="109" t="s">
        <v>1966</v>
      </c>
      <c r="D106" s="105" t="s">
        <v>1505</v>
      </c>
      <c r="E106" s="105" t="s">
        <v>1403</v>
      </c>
      <c r="F106" s="105"/>
      <c r="G106" s="128">
        <v>0.5</v>
      </c>
      <c r="H106" s="128">
        <v>2.93</v>
      </c>
      <c r="I106" s="129">
        <v>1</v>
      </c>
      <c r="J106" s="129"/>
      <c r="K106" s="130">
        <v>2.93</v>
      </c>
      <c r="L106" s="111"/>
      <c r="M106" s="129"/>
      <c r="N106" s="129"/>
      <c r="O106" s="129"/>
      <c r="P106" s="131">
        <f>IF(VLOOKUP(A106,[4]Sheet2!$A$39:$C$140,3)="F.V.",0.5,VLOOKUP(A106,[4]Sheet2!$A$39:$C$140,3))</f>
        <v>0.5</v>
      </c>
      <c r="Q106" s="126">
        <v>1974</v>
      </c>
      <c r="R106" s="105">
        <f>MATCH(Q106,[4]Sheet2!A:A,)</f>
        <v>53</v>
      </c>
    </row>
    <row r="107" spans="1:18">
      <c r="A107" s="126">
        <v>1974</v>
      </c>
      <c r="B107" s="127"/>
      <c r="C107" s="109" t="s">
        <v>1966</v>
      </c>
      <c r="D107" s="105" t="s">
        <v>1505</v>
      </c>
      <c r="E107" s="105" t="s">
        <v>1403</v>
      </c>
      <c r="F107" s="105"/>
      <c r="G107" s="128">
        <v>0.5</v>
      </c>
      <c r="H107" s="128">
        <v>2.93</v>
      </c>
      <c r="I107" s="129">
        <v>1</v>
      </c>
      <c r="J107" s="129"/>
      <c r="K107" s="130">
        <v>2.93</v>
      </c>
      <c r="L107" s="111"/>
      <c r="M107" s="129"/>
      <c r="N107" s="129"/>
      <c r="O107" s="129"/>
      <c r="P107" s="131">
        <f>IF(VLOOKUP(A107,[4]Sheet2!$A$39:$C$140,3)="F.V.",0.5,VLOOKUP(A107,[4]Sheet2!$A$39:$C$140,3))</f>
        <v>0.5</v>
      </c>
      <c r="Q107" s="126">
        <v>1974</v>
      </c>
      <c r="R107" s="105">
        <f>MATCH(Q107,[4]Sheet2!A:A,)</f>
        <v>53</v>
      </c>
    </row>
    <row r="108" spans="1:18">
      <c r="A108" s="126">
        <v>1974</v>
      </c>
      <c r="B108" s="127"/>
      <c r="C108" s="109" t="s">
        <v>1966</v>
      </c>
      <c r="D108" s="105" t="s">
        <v>1506</v>
      </c>
      <c r="E108" s="105" t="s">
        <v>1403</v>
      </c>
      <c r="F108" s="105"/>
      <c r="G108" s="128">
        <v>0.5</v>
      </c>
      <c r="H108" s="128">
        <v>2.93</v>
      </c>
      <c r="I108" s="129">
        <v>1</v>
      </c>
      <c r="J108" s="129"/>
      <c r="K108" s="130">
        <v>2.93</v>
      </c>
      <c r="L108" s="111"/>
      <c r="M108" s="129"/>
      <c r="N108" s="129"/>
      <c r="O108" s="129"/>
      <c r="P108" s="131">
        <f>IF(VLOOKUP(A108,[4]Sheet2!$A$39:$C$140,3)="F.V.",0.5,VLOOKUP(A108,[4]Sheet2!$A$39:$C$140,3))</f>
        <v>0.5</v>
      </c>
      <c r="Q108" s="126">
        <v>1974</v>
      </c>
      <c r="R108" s="105">
        <f>MATCH(Q108,[4]Sheet2!A:A,)</f>
        <v>53</v>
      </c>
    </row>
    <row r="109" spans="1:18">
      <c r="A109" s="126">
        <v>1974</v>
      </c>
      <c r="B109" s="127"/>
      <c r="C109" s="109" t="s">
        <v>1966</v>
      </c>
      <c r="D109" s="105" t="s">
        <v>1507</v>
      </c>
      <c r="E109" s="105" t="s">
        <v>1403</v>
      </c>
      <c r="F109" s="105"/>
      <c r="G109" s="128">
        <v>0.5</v>
      </c>
      <c r="H109" s="128">
        <v>2.93</v>
      </c>
      <c r="I109" s="129">
        <v>1</v>
      </c>
      <c r="J109" s="129"/>
      <c r="K109" s="130">
        <v>2.93</v>
      </c>
      <c r="L109" s="111"/>
      <c r="M109" s="129"/>
      <c r="N109" s="129"/>
      <c r="O109" s="129"/>
      <c r="P109" s="131">
        <f>IF(VLOOKUP(A109,[4]Sheet2!$A$39:$C$140,3)="F.V.",0.5,VLOOKUP(A109,[4]Sheet2!$A$39:$C$140,3))</f>
        <v>0.5</v>
      </c>
      <c r="Q109" s="126">
        <v>1974</v>
      </c>
      <c r="R109" s="105">
        <f>MATCH(Q109,[4]Sheet2!A:A,)</f>
        <v>53</v>
      </c>
    </row>
    <row r="110" spans="1:18">
      <c r="A110" s="126">
        <v>1974</v>
      </c>
      <c r="B110" s="127"/>
      <c r="C110" s="109" t="s">
        <v>1966</v>
      </c>
      <c r="D110" s="105" t="s">
        <v>1508</v>
      </c>
      <c r="E110" s="105" t="s">
        <v>1403</v>
      </c>
      <c r="F110" s="105"/>
      <c r="G110" s="128">
        <v>0.5</v>
      </c>
      <c r="H110" s="128">
        <v>2.93</v>
      </c>
      <c r="I110" s="129">
        <v>1</v>
      </c>
      <c r="J110" s="129"/>
      <c r="K110" s="130">
        <v>2.93</v>
      </c>
      <c r="L110" s="111"/>
      <c r="M110" s="129"/>
      <c r="N110" s="129"/>
      <c r="O110" s="129"/>
      <c r="P110" s="131">
        <f>IF(VLOOKUP(A110,[4]Sheet2!$A$39:$C$140,3)="F.V.",0.5,VLOOKUP(A110,[4]Sheet2!$A$39:$C$140,3))</f>
        <v>0.5</v>
      </c>
      <c r="Q110" s="126">
        <v>1974</v>
      </c>
      <c r="R110" s="105">
        <f>MATCH(Q110,[4]Sheet2!A:A,)</f>
        <v>53</v>
      </c>
    </row>
    <row r="111" spans="1:18">
      <c r="A111" s="126">
        <v>1974</v>
      </c>
      <c r="B111" s="127"/>
      <c r="C111" s="109" t="s">
        <v>1966</v>
      </c>
      <c r="D111" s="105" t="s">
        <v>1509</v>
      </c>
      <c r="E111" s="105" t="s">
        <v>1403</v>
      </c>
      <c r="F111" s="105"/>
      <c r="G111" s="128">
        <v>0.5</v>
      </c>
      <c r="H111" s="128">
        <v>2.93</v>
      </c>
      <c r="I111" s="129">
        <v>1</v>
      </c>
      <c r="J111" s="129"/>
      <c r="K111" s="130">
        <v>2.93</v>
      </c>
      <c r="L111" s="111"/>
      <c r="M111" s="129"/>
      <c r="N111" s="129"/>
      <c r="O111" s="129"/>
      <c r="P111" s="131">
        <f>IF(VLOOKUP(A111,[4]Sheet2!$A$39:$C$140,3)="F.V.",0.5,VLOOKUP(A111,[4]Sheet2!$A$39:$C$140,3))</f>
        <v>0.5</v>
      </c>
      <c r="Q111" s="126">
        <v>1974</v>
      </c>
      <c r="R111" s="105">
        <f>MATCH(Q111,[4]Sheet2!A:A,)</f>
        <v>53</v>
      </c>
    </row>
    <row r="112" spans="1:18">
      <c r="A112" s="126">
        <v>1974</v>
      </c>
      <c r="B112" s="127"/>
      <c r="C112" s="109" t="s">
        <v>1966</v>
      </c>
      <c r="D112" s="105" t="s">
        <v>1510</v>
      </c>
      <c r="E112" s="105" t="s">
        <v>1403</v>
      </c>
      <c r="F112" s="105"/>
      <c r="G112" s="128">
        <v>0.5</v>
      </c>
      <c r="H112" s="128">
        <v>2.93</v>
      </c>
      <c r="I112" s="129">
        <v>1</v>
      </c>
      <c r="J112" s="129"/>
      <c r="K112" s="130">
        <v>2.93</v>
      </c>
      <c r="L112" s="111"/>
      <c r="M112" s="129"/>
      <c r="N112" s="129"/>
      <c r="O112" s="129"/>
      <c r="P112" s="131">
        <f>IF(VLOOKUP(A112,[4]Sheet2!$A$39:$C$140,3)="F.V.",0.5,VLOOKUP(A112,[4]Sheet2!$A$39:$C$140,3))</f>
        <v>0.5</v>
      </c>
      <c r="Q112" s="126">
        <v>1974</v>
      </c>
      <c r="R112" s="105">
        <f>MATCH(Q112,[4]Sheet2!A:A,)</f>
        <v>53</v>
      </c>
    </row>
    <row r="113" spans="1:18">
      <c r="A113" s="126">
        <v>1974</v>
      </c>
      <c r="B113" s="127"/>
      <c r="C113" s="109" t="s">
        <v>1966</v>
      </c>
      <c r="D113" s="105" t="s">
        <v>1511</v>
      </c>
      <c r="E113" s="105" t="s">
        <v>1403</v>
      </c>
      <c r="F113" s="105"/>
      <c r="G113" s="128">
        <v>0.5</v>
      </c>
      <c r="H113" s="128">
        <v>2.93</v>
      </c>
      <c r="I113" s="129">
        <v>1</v>
      </c>
      <c r="J113" s="129"/>
      <c r="K113" s="130">
        <v>2.93</v>
      </c>
      <c r="L113" s="111"/>
      <c r="M113" s="129"/>
      <c r="N113" s="129"/>
      <c r="O113" s="129"/>
      <c r="P113" s="131">
        <f>IF(VLOOKUP(A113,[4]Sheet2!$A$39:$C$140,3)="F.V.",0.5,VLOOKUP(A113,[4]Sheet2!$A$39:$C$140,3))</f>
        <v>0.5</v>
      </c>
      <c r="Q113" s="126">
        <v>1974</v>
      </c>
      <c r="R113" s="105">
        <f>MATCH(Q113,[4]Sheet2!A:A,)</f>
        <v>53</v>
      </c>
    </row>
    <row r="114" spans="1:18">
      <c r="A114" s="126">
        <v>1974</v>
      </c>
      <c r="B114" s="127"/>
      <c r="C114" s="109" t="s">
        <v>1966</v>
      </c>
      <c r="D114" s="105" t="s">
        <v>1512</v>
      </c>
      <c r="E114" s="105" t="s">
        <v>1403</v>
      </c>
      <c r="F114" s="105"/>
      <c r="G114" s="128">
        <v>0.5</v>
      </c>
      <c r="H114" s="128">
        <v>2.93</v>
      </c>
      <c r="I114" s="129">
        <v>1</v>
      </c>
      <c r="J114" s="129"/>
      <c r="K114" s="130">
        <v>2.93</v>
      </c>
      <c r="L114" s="111"/>
      <c r="M114" s="129"/>
      <c r="N114" s="129"/>
      <c r="O114" s="129"/>
      <c r="P114" s="131">
        <f>IF(VLOOKUP(A114,[4]Sheet2!$A$39:$C$140,3)="F.V.",0.5,VLOOKUP(A114,[4]Sheet2!$A$39:$C$140,3))</f>
        <v>0.5</v>
      </c>
      <c r="Q114" s="126">
        <v>1974</v>
      </c>
      <c r="R114" s="105">
        <f>MATCH(Q114,[4]Sheet2!A:A,)</f>
        <v>53</v>
      </c>
    </row>
    <row r="115" spans="1:18">
      <c r="A115" s="126">
        <v>1974</v>
      </c>
      <c r="B115" s="127" t="s">
        <v>13</v>
      </c>
      <c r="C115" s="109" t="s">
        <v>1966</v>
      </c>
      <c r="D115" s="105" t="s">
        <v>1513</v>
      </c>
      <c r="E115" s="105" t="s">
        <v>1403</v>
      </c>
      <c r="F115" s="105"/>
      <c r="G115" s="128">
        <v>0.5</v>
      </c>
      <c r="H115" s="128">
        <v>6.55</v>
      </c>
      <c r="I115" s="129">
        <v>1</v>
      </c>
      <c r="J115" s="129"/>
      <c r="K115" s="130">
        <v>6.65</v>
      </c>
      <c r="L115" s="111"/>
      <c r="M115" s="129"/>
      <c r="N115" s="129"/>
      <c r="O115" s="129"/>
      <c r="P115" s="131">
        <f>IF(VLOOKUP(A115,[4]Sheet2!$A$39:$C$140,3)="F.V.",0.5,VLOOKUP(A115,[4]Sheet2!$A$39:$C$140,3))</f>
        <v>0.5</v>
      </c>
      <c r="Q115" s="105" t="s">
        <v>262</v>
      </c>
      <c r="R115" s="105">
        <f>MATCH(Q115,[4]Sheet2!A:A,)</f>
        <v>54</v>
      </c>
    </row>
    <row r="116" spans="1:18">
      <c r="A116" s="126">
        <v>1974</v>
      </c>
      <c r="B116" s="127"/>
      <c r="C116" s="109" t="s">
        <v>1966</v>
      </c>
      <c r="D116" s="105" t="s">
        <v>1514</v>
      </c>
      <c r="E116" s="105" t="s">
        <v>1403</v>
      </c>
      <c r="F116" s="105"/>
      <c r="G116" s="128">
        <v>0.5</v>
      </c>
      <c r="H116" s="128">
        <v>2.93</v>
      </c>
      <c r="I116" s="129">
        <v>1</v>
      </c>
      <c r="J116" s="129"/>
      <c r="K116" s="130">
        <v>2.93</v>
      </c>
      <c r="L116" s="111"/>
      <c r="M116" s="129"/>
      <c r="N116" s="129"/>
      <c r="O116" s="129"/>
      <c r="P116" s="131">
        <f>IF(VLOOKUP(A116,[4]Sheet2!$A$39:$C$140,3)="F.V.",0.5,VLOOKUP(A116,[4]Sheet2!$A$39:$C$140,3))</f>
        <v>0.5</v>
      </c>
      <c r="Q116" s="126">
        <v>1974</v>
      </c>
      <c r="R116" s="105">
        <f>MATCH(Q116,[4]Sheet2!A:A,)</f>
        <v>53</v>
      </c>
    </row>
    <row r="117" spans="1:18">
      <c r="A117" s="126">
        <v>1974</v>
      </c>
      <c r="B117" s="127"/>
      <c r="C117" s="109" t="s">
        <v>1966</v>
      </c>
      <c r="D117" s="105" t="s">
        <v>1515</v>
      </c>
      <c r="E117" s="105" t="s">
        <v>1403</v>
      </c>
      <c r="F117" s="105"/>
      <c r="G117" s="128">
        <v>0.5</v>
      </c>
      <c r="H117" s="128">
        <v>2.93</v>
      </c>
      <c r="I117" s="129">
        <v>1</v>
      </c>
      <c r="J117" s="129"/>
      <c r="K117" s="130">
        <v>2.93</v>
      </c>
      <c r="L117" s="111"/>
      <c r="M117" s="129"/>
      <c r="N117" s="129"/>
      <c r="O117" s="129"/>
      <c r="P117" s="131">
        <f>IF(VLOOKUP(A117,[4]Sheet2!$A$39:$C$140,3)="F.V.",0.5,VLOOKUP(A117,[4]Sheet2!$A$39:$C$140,3))</f>
        <v>0.5</v>
      </c>
      <c r="Q117" s="126">
        <v>1975</v>
      </c>
      <c r="R117" s="105" t="e">
        <f>MATCH(Q117,[4]Sheet2!A:A,)</f>
        <v>#N/A</v>
      </c>
    </row>
    <row r="118" spans="1:18">
      <c r="A118" s="126">
        <v>1974</v>
      </c>
      <c r="B118" s="127"/>
      <c r="C118" s="109" t="s">
        <v>1966</v>
      </c>
      <c r="D118" s="105" t="s">
        <v>1516</v>
      </c>
      <c r="E118" s="105" t="s">
        <v>1403</v>
      </c>
      <c r="F118" s="120" t="s">
        <v>1413</v>
      </c>
      <c r="G118" s="128">
        <v>0.5</v>
      </c>
      <c r="H118" s="128">
        <v>3.38</v>
      </c>
      <c r="I118" s="129">
        <v>1</v>
      </c>
      <c r="J118" s="129"/>
      <c r="K118" s="130">
        <v>2.93</v>
      </c>
      <c r="L118" s="111"/>
      <c r="M118" s="129"/>
      <c r="N118" s="129"/>
      <c r="O118" s="129"/>
      <c r="P118" s="131">
        <f>IF(VLOOKUP(A118,[4]Sheet2!$A$39:$C$140,3)="F.V.",0.5,VLOOKUP(A118,[4]Sheet2!$A$39:$C$140,3))</f>
        <v>0.5</v>
      </c>
      <c r="Q118" s="126">
        <v>1976</v>
      </c>
    </row>
    <row r="119" spans="1:18">
      <c r="A119" s="126">
        <v>1975</v>
      </c>
      <c r="B119" s="127"/>
      <c r="C119" s="109" t="s">
        <v>1966</v>
      </c>
      <c r="D119" s="105" t="s">
        <v>1505</v>
      </c>
      <c r="E119" s="105" t="s">
        <v>1403</v>
      </c>
      <c r="F119" s="105" t="s">
        <v>1517</v>
      </c>
      <c r="G119" s="128">
        <v>0.5</v>
      </c>
      <c r="H119" s="128">
        <v>0.5</v>
      </c>
      <c r="I119" s="129">
        <v>1</v>
      </c>
      <c r="J119" s="129"/>
      <c r="K119" s="130">
        <v>2.93</v>
      </c>
      <c r="L119" s="111"/>
      <c r="M119" s="129"/>
      <c r="N119" s="129"/>
      <c r="O119" s="129"/>
      <c r="P119" s="131">
        <f>IF(VLOOKUP(A119,[4]Sheet2!$A$39:$C$140,3)="F.V.",0.5,VLOOKUP(A119,[4]Sheet2!$A$39:$C$140,3))</f>
        <v>0.5</v>
      </c>
      <c r="Q119" s="126">
        <v>1977</v>
      </c>
    </row>
    <row r="120" spans="1:18">
      <c r="A120" s="126">
        <v>1976</v>
      </c>
      <c r="B120" s="127"/>
      <c r="C120" s="109" t="s">
        <v>1966</v>
      </c>
      <c r="D120" s="105" t="s">
        <v>1518</v>
      </c>
      <c r="E120" s="105" t="s">
        <v>1403</v>
      </c>
      <c r="F120" s="105"/>
      <c r="G120" s="128">
        <v>0.5</v>
      </c>
      <c r="H120" s="128">
        <v>4.4000000000000004</v>
      </c>
      <c r="I120" s="129">
        <v>1</v>
      </c>
      <c r="J120" s="129"/>
      <c r="K120" s="130">
        <v>4.4000000000000004</v>
      </c>
      <c r="L120" s="111"/>
      <c r="M120" s="129"/>
      <c r="N120" s="129"/>
      <c r="O120" s="129"/>
      <c r="P120" s="131">
        <f>IF(VLOOKUP(A120,[4]Sheet2!$A$39:$C$140,3)="F.V.",0.5,VLOOKUP(A120,[4]Sheet2!$A$39:$C$140,3))</f>
        <v>0.5</v>
      </c>
      <c r="Q120" s="126">
        <v>1978</v>
      </c>
      <c r="R120" s="105">
        <f>MATCH(Q120,[4]Sheet2!A:A,)</f>
        <v>60</v>
      </c>
    </row>
    <row r="121" spans="1:18">
      <c r="A121" s="126">
        <v>1976</v>
      </c>
      <c r="B121" s="127"/>
      <c r="C121" s="109" t="s">
        <v>1966</v>
      </c>
      <c r="D121" s="105" t="s">
        <v>1519</v>
      </c>
      <c r="E121" s="105" t="s">
        <v>1403</v>
      </c>
      <c r="F121" s="105"/>
      <c r="G121" s="128">
        <v>0.5</v>
      </c>
      <c r="H121" s="128">
        <v>4.4000000000000004</v>
      </c>
      <c r="I121" s="129">
        <v>1</v>
      </c>
      <c r="J121" s="129"/>
      <c r="K121" s="130">
        <v>4.4000000000000004</v>
      </c>
      <c r="L121" s="111"/>
      <c r="M121" s="129"/>
      <c r="N121" s="129"/>
      <c r="O121" s="129"/>
      <c r="P121" s="131">
        <f>IF(VLOOKUP(A121,[4]Sheet2!$A$39:$C$140,3)="F.V.",0.5,VLOOKUP(A121,[4]Sheet2!$A$39:$C$140,3))</f>
        <v>0.5</v>
      </c>
      <c r="Q121" s="126">
        <v>1979</v>
      </c>
      <c r="R121" s="105">
        <f>MATCH(Q121,[4]Sheet2!A:A,)</f>
        <v>62</v>
      </c>
    </row>
    <row r="122" spans="1:18">
      <c r="A122" s="126">
        <v>1976</v>
      </c>
      <c r="B122" s="127"/>
      <c r="C122" s="109" t="s">
        <v>1966</v>
      </c>
      <c r="D122" s="105" t="s">
        <v>1520</v>
      </c>
      <c r="E122" s="105" t="s">
        <v>1403</v>
      </c>
      <c r="F122" s="105"/>
      <c r="G122" s="128">
        <v>0.5</v>
      </c>
      <c r="H122" s="128">
        <v>4.4000000000000004</v>
      </c>
      <c r="I122" s="129">
        <v>1</v>
      </c>
      <c r="J122" s="129"/>
      <c r="K122" s="130">
        <v>4.4000000000000004</v>
      </c>
      <c r="L122" s="111"/>
      <c r="M122" s="129"/>
      <c r="N122" s="129"/>
      <c r="O122" s="129"/>
      <c r="P122" s="131">
        <f>IF(VLOOKUP(A122,[4]Sheet2!$A$39:$C$140,3)="F.V.",0.5,VLOOKUP(A122,[4]Sheet2!$A$39:$C$140,3))</f>
        <v>0.5</v>
      </c>
      <c r="Q122" s="126">
        <v>1980</v>
      </c>
      <c r="R122" s="105">
        <f>MATCH(Q122,[4]Sheet2!A:A,)</f>
        <v>64</v>
      </c>
    </row>
    <row r="123" spans="1:18">
      <c r="A123" s="126">
        <v>1976</v>
      </c>
      <c r="B123" s="127"/>
      <c r="C123" s="109" t="s">
        <v>1966</v>
      </c>
      <c r="D123" s="105" t="s">
        <v>1521</v>
      </c>
      <c r="E123" s="105" t="s">
        <v>1403</v>
      </c>
      <c r="F123" s="105"/>
      <c r="G123" s="128">
        <v>0.5</v>
      </c>
      <c r="H123" s="128">
        <v>4.4000000000000004</v>
      </c>
      <c r="I123" s="129">
        <v>1</v>
      </c>
      <c r="J123" s="129"/>
      <c r="K123" s="130">
        <v>4.4000000000000004</v>
      </c>
      <c r="L123" s="111"/>
      <c r="M123" s="129"/>
      <c r="N123" s="129"/>
      <c r="O123" s="129"/>
      <c r="P123" s="131">
        <f>IF(VLOOKUP(A123,[4]Sheet2!$A$39:$C$140,3)="F.V.",0.5,VLOOKUP(A123,[4]Sheet2!$A$39:$C$140,3))</f>
        <v>0.5</v>
      </c>
      <c r="Q123" s="126">
        <v>1981</v>
      </c>
      <c r="R123" s="105">
        <f>MATCH(Q123,[4]Sheet2!A:A,)</f>
        <v>67</v>
      </c>
    </row>
    <row r="124" spans="1:18">
      <c r="A124" s="126">
        <v>1976</v>
      </c>
      <c r="B124" s="127"/>
      <c r="C124" s="109" t="s">
        <v>1966</v>
      </c>
      <c r="D124" s="105" t="s">
        <v>1522</v>
      </c>
      <c r="E124" s="105" t="s">
        <v>1403</v>
      </c>
      <c r="F124" s="105"/>
      <c r="G124" s="128">
        <v>0.5</v>
      </c>
      <c r="H124" s="128">
        <v>4.4000000000000004</v>
      </c>
      <c r="I124" s="129">
        <v>1</v>
      </c>
      <c r="J124" s="129"/>
      <c r="K124" s="130">
        <v>4.4000000000000004</v>
      </c>
      <c r="L124" s="111"/>
      <c r="M124" s="129"/>
      <c r="N124" s="129"/>
      <c r="O124" s="129"/>
      <c r="P124" s="131">
        <f>IF(VLOOKUP(A124,[4]Sheet2!$A$39:$C$140,3)="F.V.",0.5,VLOOKUP(A124,[4]Sheet2!$A$39:$C$140,3))</f>
        <v>0.5</v>
      </c>
      <c r="Q124" s="126">
        <v>1982</v>
      </c>
      <c r="R124" s="105">
        <f>MATCH(Q124,[4]Sheet2!A:A,)</f>
        <v>69</v>
      </c>
    </row>
    <row r="125" spans="1:18">
      <c r="A125" s="126">
        <v>1976</v>
      </c>
      <c r="B125" s="127"/>
      <c r="C125" s="109" t="s">
        <v>1966</v>
      </c>
      <c r="D125" s="105" t="s">
        <v>1523</v>
      </c>
      <c r="E125" s="105" t="s">
        <v>1403</v>
      </c>
      <c r="F125" s="105"/>
      <c r="G125" s="128">
        <v>0.5</v>
      </c>
      <c r="H125" s="128">
        <v>4.4000000000000004</v>
      </c>
      <c r="I125" s="129">
        <v>1</v>
      </c>
      <c r="J125" s="129"/>
      <c r="K125" s="130">
        <v>4.4000000000000004</v>
      </c>
      <c r="L125" s="111"/>
      <c r="M125" s="129"/>
      <c r="N125" s="129"/>
      <c r="O125" s="129"/>
      <c r="P125" s="131">
        <f>IF(VLOOKUP(A125,[4]Sheet2!$A$39:$C$140,3)="F.V.",0.5,VLOOKUP(A125,[4]Sheet2!$A$39:$C$140,3))</f>
        <v>0.5</v>
      </c>
      <c r="Q125" s="126">
        <v>1983</v>
      </c>
      <c r="R125" s="105">
        <f>MATCH(Q125,[4]Sheet2!A:A,)</f>
        <v>71</v>
      </c>
    </row>
    <row r="126" spans="1:18">
      <c r="A126" s="126">
        <v>1976</v>
      </c>
      <c r="B126" s="127"/>
      <c r="C126" s="109" t="s">
        <v>1966</v>
      </c>
      <c r="D126" s="105" t="s">
        <v>1524</v>
      </c>
      <c r="E126" s="105" t="s">
        <v>1403</v>
      </c>
      <c r="F126" s="105"/>
      <c r="G126" s="128">
        <v>0.5</v>
      </c>
      <c r="H126" s="128">
        <v>4.4000000000000004</v>
      </c>
      <c r="I126" s="129">
        <v>1</v>
      </c>
      <c r="J126" s="129"/>
      <c r="K126" s="130">
        <v>4.4000000000000004</v>
      </c>
      <c r="L126" s="111"/>
      <c r="M126" s="129"/>
      <c r="N126" s="129"/>
      <c r="O126" s="129"/>
      <c r="P126" s="131">
        <f>IF(VLOOKUP(A126,[4]Sheet2!$A$39:$C$140,3)="F.V.",0.5,VLOOKUP(A126,[4]Sheet2!$A$39:$C$140,3))</f>
        <v>0.5</v>
      </c>
      <c r="Q126" s="126">
        <v>1984</v>
      </c>
      <c r="R126" s="105">
        <f>MATCH(Q126,[4]Sheet2!A:A,)</f>
        <v>74</v>
      </c>
    </row>
    <row r="127" spans="1:18">
      <c r="A127" s="126">
        <v>1976</v>
      </c>
      <c r="B127" s="127"/>
      <c r="C127" s="109" t="s">
        <v>1966</v>
      </c>
      <c r="D127" s="105" t="s">
        <v>1525</v>
      </c>
      <c r="E127" s="105" t="s">
        <v>1403</v>
      </c>
      <c r="F127" s="105"/>
      <c r="G127" s="128">
        <v>0.5</v>
      </c>
      <c r="H127" s="128">
        <v>4.4000000000000004</v>
      </c>
      <c r="I127" s="129">
        <v>1</v>
      </c>
      <c r="J127" s="129"/>
      <c r="K127" s="130">
        <v>4.4000000000000004</v>
      </c>
      <c r="L127" s="111"/>
      <c r="M127" s="129"/>
      <c r="N127" s="129"/>
      <c r="O127" s="129"/>
      <c r="P127" s="131">
        <f>IF(VLOOKUP(A127,[4]Sheet2!$A$39:$C$140,3)="F.V.",0.5,VLOOKUP(A127,[4]Sheet2!$A$39:$C$140,3))</f>
        <v>0.5</v>
      </c>
      <c r="Q127" s="126">
        <v>1985</v>
      </c>
      <c r="R127" s="105">
        <f>MATCH(Q127,[4]Sheet2!A:A,)</f>
        <v>77</v>
      </c>
    </row>
    <row r="128" spans="1:18">
      <c r="A128" s="126">
        <v>1976</v>
      </c>
      <c r="B128" s="127"/>
      <c r="C128" s="109" t="s">
        <v>1966</v>
      </c>
      <c r="D128" s="105" t="s">
        <v>1526</v>
      </c>
      <c r="E128" s="105" t="s">
        <v>1403</v>
      </c>
      <c r="F128" s="105"/>
      <c r="G128" s="128">
        <v>0.5</v>
      </c>
      <c r="H128" s="128">
        <v>4.4000000000000004</v>
      </c>
      <c r="I128" s="129">
        <v>1</v>
      </c>
      <c r="J128" s="129"/>
      <c r="K128" s="130">
        <v>4.4000000000000004</v>
      </c>
      <c r="L128" s="111"/>
      <c r="M128" s="129"/>
      <c r="N128" s="129"/>
      <c r="O128" s="129"/>
      <c r="P128" s="131">
        <f>IF(VLOOKUP(A128,[4]Sheet2!$A$39:$C$140,3)="F.V.",0.5,VLOOKUP(A128,[4]Sheet2!$A$39:$C$140,3))</f>
        <v>0.5</v>
      </c>
      <c r="Q128" s="126">
        <v>1986</v>
      </c>
      <c r="R128" s="105">
        <f>MATCH(Q128,[4]Sheet2!A:A,)</f>
        <v>79</v>
      </c>
    </row>
    <row r="129" spans="1:18">
      <c r="A129" s="126">
        <v>1976</v>
      </c>
      <c r="B129" s="127"/>
      <c r="C129" s="109" t="s">
        <v>1966</v>
      </c>
      <c r="D129" s="105" t="s">
        <v>1527</v>
      </c>
      <c r="E129" s="105" t="s">
        <v>1403</v>
      </c>
      <c r="F129" s="105"/>
      <c r="G129" s="128">
        <v>0.5</v>
      </c>
      <c r="H129" s="128">
        <v>4.4000000000000004</v>
      </c>
      <c r="I129" s="129">
        <v>1</v>
      </c>
      <c r="J129" s="129"/>
      <c r="K129" s="130">
        <v>4.4000000000000004</v>
      </c>
      <c r="L129" s="111"/>
      <c r="M129" s="129"/>
      <c r="N129" s="129"/>
      <c r="O129" s="129"/>
      <c r="P129" s="131">
        <f>IF(VLOOKUP(A129,[4]Sheet2!$A$39:$C$140,3)="F.V.",0.5,VLOOKUP(A129,[4]Sheet2!$A$39:$C$140,3))</f>
        <v>0.5</v>
      </c>
      <c r="Q129" s="126">
        <v>1987</v>
      </c>
      <c r="R129" s="105">
        <f>MATCH(Q129,[4]Sheet2!A:A,)</f>
        <v>81</v>
      </c>
    </row>
    <row r="130" spans="1:18">
      <c r="A130" s="126">
        <v>1976</v>
      </c>
      <c r="B130" s="127"/>
      <c r="C130" s="109" t="s">
        <v>1966</v>
      </c>
      <c r="D130" s="105" t="s">
        <v>1528</v>
      </c>
      <c r="E130" s="105" t="s">
        <v>1403</v>
      </c>
      <c r="F130" s="105"/>
      <c r="G130" s="128">
        <v>0.5</v>
      </c>
      <c r="H130" s="128">
        <v>4.4000000000000004</v>
      </c>
      <c r="I130" s="129">
        <v>1</v>
      </c>
      <c r="J130" s="129"/>
      <c r="K130" s="130">
        <v>4.4000000000000004</v>
      </c>
      <c r="L130" s="111"/>
      <c r="M130" s="129"/>
      <c r="N130" s="129"/>
      <c r="O130" s="129"/>
      <c r="P130" s="131">
        <f>IF(VLOOKUP(A130,[4]Sheet2!$A$39:$C$140,3)="F.V.",0.5,VLOOKUP(A130,[4]Sheet2!$A$39:$C$140,3))</f>
        <v>0.5</v>
      </c>
      <c r="Q130" s="126">
        <v>1988</v>
      </c>
      <c r="R130" s="105">
        <f>MATCH(Q130,[4]Sheet2!A:A,)</f>
        <v>83</v>
      </c>
    </row>
    <row r="131" spans="1:18">
      <c r="A131" s="126">
        <v>1976</v>
      </c>
      <c r="B131" s="127"/>
      <c r="C131" s="109" t="s">
        <v>1966</v>
      </c>
      <c r="D131" s="105" t="s">
        <v>1529</v>
      </c>
      <c r="E131" s="105" t="s">
        <v>1403</v>
      </c>
      <c r="F131" s="105"/>
      <c r="G131" s="128">
        <v>0.5</v>
      </c>
      <c r="H131" s="128">
        <v>4.4000000000000004</v>
      </c>
      <c r="I131" s="129">
        <v>1</v>
      </c>
      <c r="J131" s="129"/>
      <c r="K131" s="130">
        <v>4.4000000000000004</v>
      </c>
      <c r="L131" s="111"/>
      <c r="M131" s="129"/>
      <c r="N131" s="129"/>
      <c r="O131" s="129"/>
      <c r="P131" s="131">
        <f>IF(VLOOKUP(A131,[4]Sheet2!$A$39:$C$140,3)="F.V.",0.5,VLOOKUP(A131,[4]Sheet2!$A$39:$C$140,3))</f>
        <v>0.5</v>
      </c>
      <c r="Q131" s="126">
        <v>1989</v>
      </c>
      <c r="R131" s="105">
        <f>MATCH(Q131,[4]Sheet2!A:A,)</f>
        <v>86</v>
      </c>
    </row>
    <row r="132" spans="1:18">
      <c r="A132" s="126">
        <v>1976</v>
      </c>
      <c r="B132" s="127"/>
      <c r="C132" s="109" t="s">
        <v>1966</v>
      </c>
      <c r="D132" s="105" t="s">
        <v>1530</v>
      </c>
      <c r="E132" s="105" t="s">
        <v>1403</v>
      </c>
      <c r="F132" s="105"/>
      <c r="G132" s="128">
        <v>0.5</v>
      </c>
      <c r="H132" s="128">
        <v>4.4000000000000004</v>
      </c>
      <c r="I132" s="129">
        <v>1</v>
      </c>
      <c r="J132" s="129"/>
      <c r="K132" s="130">
        <v>4.4000000000000004</v>
      </c>
      <c r="L132" s="111"/>
      <c r="M132" s="129"/>
      <c r="N132" s="129"/>
      <c r="O132" s="129"/>
      <c r="P132" s="131">
        <f>IF(VLOOKUP(A132,[4]Sheet2!$A$39:$C$140,3)="F.V.",0.5,VLOOKUP(A132,[4]Sheet2!$A$39:$C$140,3))</f>
        <v>0.5</v>
      </c>
      <c r="Q132" s="126">
        <v>1990</v>
      </c>
      <c r="R132" s="105">
        <f>MATCH(Q132,[4]Sheet2!A:A,)</f>
        <v>88</v>
      </c>
    </row>
    <row r="133" spans="1:18">
      <c r="A133" s="126">
        <v>1976</v>
      </c>
      <c r="B133" s="127" t="s">
        <v>13</v>
      </c>
      <c r="C133" s="109" t="s">
        <v>1966</v>
      </c>
      <c r="D133" s="105" t="s">
        <v>1531</v>
      </c>
      <c r="E133" s="105" t="s">
        <v>1403</v>
      </c>
      <c r="F133" s="105" t="s">
        <v>1517</v>
      </c>
      <c r="G133" s="128">
        <v>0.5</v>
      </c>
      <c r="H133" s="128">
        <v>3.03</v>
      </c>
      <c r="I133" s="129">
        <v>1</v>
      </c>
      <c r="J133" s="129"/>
      <c r="K133" s="130">
        <v>3.03</v>
      </c>
      <c r="L133" s="111"/>
      <c r="M133" s="129"/>
      <c r="N133" s="129"/>
      <c r="O133" s="129"/>
      <c r="P133" s="131">
        <f>IF(VLOOKUP(A133,[4]Sheet2!$A$39:$C$140,3)="F.V.",0.5,VLOOKUP(A133,[4]Sheet2!$A$39:$C$140,3))</f>
        <v>0.5</v>
      </c>
      <c r="Q133" s="126">
        <v>1991</v>
      </c>
      <c r="R133" s="105">
        <f>MATCH(Q133,[4]Sheet2!A:A,)</f>
        <v>91</v>
      </c>
    </row>
    <row r="134" spans="1:18">
      <c r="A134" s="126">
        <v>1976</v>
      </c>
      <c r="B134" s="127"/>
      <c r="C134" s="109" t="s">
        <v>1966</v>
      </c>
      <c r="D134" s="105" t="s">
        <v>1532</v>
      </c>
      <c r="E134" s="105" t="s">
        <v>1403</v>
      </c>
      <c r="F134" s="105"/>
      <c r="G134" s="128">
        <v>0.5</v>
      </c>
      <c r="H134" s="128">
        <v>4.4000000000000004</v>
      </c>
      <c r="I134" s="129">
        <v>1</v>
      </c>
      <c r="J134" s="129"/>
      <c r="K134" s="130">
        <v>4.4000000000000004</v>
      </c>
      <c r="L134" s="111"/>
      <c r="M134" s="129"/>
      <c r="N134" s="129"/>
      <c r="O134" s="129"/>
      <c r="P134" s="131">
        <f>IF(VLOOKUP(A134,[4]Sheet2!$A$39:$C$140,3)="F.V.",0.5,VLOOKUP(A134,[4]Sheet2!$A$39:$C$140,3))</f>
        <v>0.5</v>
      </c>
      <c r="Q134" s="126">
        <v>1992</v>
      </c>
      <c r="R134" s="105">
        <f>MATCH(Q134,[4]Sheet2!A:A,)</f>
        <v>93</v>
      </c>
    </row>
    <row r="135" spans="1:18">
      <c r="A135" s="126">
        <v>1976</v>
      </c>
      <c r="B135" s="127"/>
      <c r="C135" s="109" t="s">
        <v>1966</v>
      </c>
      <c r="D135" s="105" t="s">
        <v>1533</v>
      </c>
      <c r="E135" s="105" t="s">
        <v>1403</v>
      </c>
      <c r="F135" s="105" t="s">
        <v>1517</v>
      </c>
      <c r="G135" s="128">
        <v>0.5</v>
      </c>
      <c r="H135" s="128">
        <v>4.4000000000000004</v>
      </c>
      <c r="I135" s="129">
        <v>1</v>
      </c>
      <c r="J135" s="129"/>
      <c r="K135" s="130">
        <v>4.4000000000000004</v>
      </c>
      <c r="L135" s="111"/>
      <c r="M135" s="129"/>
      <c r="N135" s="129"/>
      <c r="O135" s="129"/>
      <c r="P135" s="131">
        <f>IF(VLOOKUP(A135,[4]Sheet2!$A$39:$C$140,3)="F.V.",0.5,VLOOKUP(A135,[4]Sheet2!$A$39:$C$140,3))</f>
        <v>0.5</v>
      </c>
      <c r="Q135" s="126">
        <v>1993</v>
      </c>
      <c r="R135" s="105">
        <f>MATCH(Q135,[4]Sheet2!A:A,)</f>
        <v>96</v>
      </c>
    </row>
    <row r="136" spans="1:18">
      <c r="A136" s="126">
        <v>1976</v>
      </c>
      <c r="B136" s="127"/>
      <c r="C136" s="109" t="s">
        <v>1966</v>
      </c>
      <c r="D136" s="105" t="s">
        <v>1534</v>
      </c>
      <c r="E136" s="105" t="s">
        <v>1403</v>
      </c>
      <c r="F136" s="120" t="s">
        <v>1413</v>
      </c>
      <c r="G136" s="128">
        <v>0.5</v>
      </c>
      <c r="H136" s="128">
        <v>3.38</v>
      </c>
      <c r="I136" s="129">
        <v>1</v>
      </c>
      <c r="J136" s="129"/>
      <c r="K136" s="130">
        <v>4.4000000000000004</v>
      </c>
      <c r="L136" s="111"/>
      <c r="M136" s="129"/>
      <c r="N136" s="129"/>
      <c r="O136" s="129"/>
      <c r="P136" s="131">
        <f>IF(VLOOKUP(A136,[4]Sheet2!$A$39:$C$140,3)="F.V.",0.5,VLOOKUP(A136,[4]Sheet2!$A$39:$C$140,3))</f>
        <v>0.5</v>
      </c>
      <c r="Q136" s="126">
        <v>1994</v>
      </c>
      <c r="R136" s="105">
        <f>MATCH(Q136,[4]Sheet2!A:A,)</f>
        <v>98</v>
      </c>
    </row>
    <row r="137" spans="1:18">
      <c r="A137" s="126">
        <v>1976</v>
      </c>
      <c r="B137" s="127"/>
      <c r="C137" s="109" t="s">
        <v>1966</v>
      </c>
      <c r="D137" s="105" t="s">
        <v>1535</v>
      </c>
      <c r="E137" s="105" t="s">
        <v>1403</v>
      </c>
      <c r="F137" s="120" t="s">
        <v>1413</v>
      </c>
      <c r="G137" s="128">
        <v>0.5</v>
      </c>
      <c r="H137" s="128">
        <v>3.38</v>
      </c>
      <c r="I137" s="129">
        <v>1</v>
      </c>
      <c r="J137" s="129"/>
      <c r="K137" s="130" t="e">
        <f>VLOOKUP(C137,[4]!Table_0__2[#Data],2,0)</f>
        <v>#REF!</v>
      </c>
      <c r="L137" s="111"/>
      <c r="M137" s="129"/>
      <c r="N137" s="129"/>
      <c r="O137" s="129"/>
      <c r="P137" s="131">
        <f>IF(VLOOKUP(A137,[4]Sheet2!$A$39:$C$140,3)="F.V.",0.5,VLOOKUP(A137,[4]Sheet2!$A$39:$C$140,3))</f>
        <v>0.5</v>
      </c>
      <c r="Q137" s="126">
        <v>1995</v>
      </c>
    </row>
    <row r="138" spans="1:18">
      <c r="A138" s="126">
        <v>1977</v>
      </c>
      <c r="B138" s="127"/>
      <c r="C138" s="109" t="s">
        <v>1966</v>
      </c>
      <c r="D138" s="105" t="s">
        <v>1536</v>
      </c>
      <c r="E138" s="105" t="s">
        <v>1403</v>
      </c>
      <c r="F138" s="105" t="s">
        <v>1517</v>
      </c>
      <c r="G138" s="128">
        <v>0.5</v>
      </c>
      <c r="H138" s="128">
        <v>2.5299999999999998</v>
      </c>
      <c r="I138" s="129">
        <v>1</v>
      </c>
      <c r="J138" s="129"/>
      <c r="K138" s="130">
        <v>2.5299999999999998</v>
      </c>
      <c r="L138" s="111"/>
      <c r="M138" s="129"/>
      <c r="N138" s="129"/>
      <c r="O138" s="129"/>
      <c r="P138" s="131">
        <f>IF(VLOOKUP(A138,[4]Sheet2!$A$39:$C$140,3)="F.V.",0.5,VLOOKUP(A138,[4]Sheet2!$A$39:$C$140,3))</f>
        <v>0.5</v>
      </c>
      <c r="Q138" s="126">
        <v>1996</v>
      </c>
      <c r="R138" s="105">
        <f>MATCH(Q138,[4]Sheet2!A:A,)</f>
        <v>102</v>
      </c>
    </row>
    <row r="139" spans="1:18">
      <c r="A139" s="126">
        <v>1977</v>
      </c>
      <c r="B139" s="127"/>
      <c r="C139" s="109" t="s">
        <v>1966</v>
      </c>
      <c r="D139" s="105" t="s">
        <v>1537</v>
      </c>
      <c r="E139" s="105" t="s">
        <v>1403</v>
      </c>
      <c r="F139" s="105" t="s">
        <v>1517</v>
      </c>
      <c r="G139" s="128">
        <v>0.5</v>
      </c>
      <c r="H139" s="128">
        <v>2.5299999999999998</v>
      </c>
      <c r="I139" s="129">
        <v>1</v>
      </c>
      <c r="J139" s="129"/>
      <c r="K139" s="130">
        <v>2.5299999999999998</v>
      </c>
      <c r="L139" s="111"/>
      <c r="M139" s="129"/>
      <c r="N139" s="129"/>
      <c r="O139" s="129"/>
      <c r="P139" s="131">
        <f>IF(VLOOKUP(A139,[4]Sheet2!$A$39:$C$140,3)="F.V.",0.5,VLOOKUP(A139,[4]Sheet2!$A$39:$C$140,3))</f>
        <v>0.5</v>
      </c>
      <c r="Q139" s="126">
        <v>1997</v>
      </c>
      <c r="R139" s="105">
        <f>MATCH(Q139,[4]Sheet2!A:A,)</f>
        <v>104</v>
      </c>
    </row>
    <row r="140" spans="1:18">
      <c r="A140" s="126">
        <v>1977</v>
      </c>
      <c r="B140" s="127"/>
      <c r="C140" s="109" t="s">
        <v>1966</v>
      </c>
      <c r="D140" s="105" t="s">
        <v>1538</v>
      </c>
      <c r="E140" s="105" t="s">
        <v>1403</v>
      </c>
      <c r="F140" s="105" t="s">
        <v>1517</v>
      </c>
      <c r="G140" s="128">
        <v>0.5</v>
      </c>
      <c r="H140" s="128">
        <v>2.5299999999999998</v>
      </c>
      <c r="I140" s="129">
        <v>1</v>
      </c>
      <c r="J140" s="129"/>
      <c r="K140" s="130">
        <v>2.5299999999999998</v>
      </c>
      <c r="L140" s="111"/>
      <c r="M140" s="129"/>
      <c r="N140" s="129"/>
      <c r="O140" s="129"/>
      <c r="P140" s="131">
        <f>IF(VLOOKUP(A140,[4]Sheet2!$A$39:$C$140,3)="F.V.",0.5,VLOOKUP(A140,[4]Sheet2!$A$39:$C$140,3))</f>
        <v>0.5</v>
      </c>
      <c r="Q140" s="126">
        <v>1998</v>
      </c>
      <c r="R140" s="105">
        <f>MATCH(Q140,[4]Sheet2!A:A,)</f>
        <v>106</v>
      </c>
    </row>
    <row r="141" spans="1:18">
      <c r="A141" s="126">
        <v>1977</v>
      </c>
      <c r="B141" s="127"/>
      <c r="C141" s="109" t="s">
        <v>1966</v>
      </c>
      <c r="D141" s="105" t="s">
        <v>1539</v>
      </c>
      <c r="E141" s="105" t="s">
        <v>1403</v>
      </c>
      <c r="F141" s="105" t="s">
        <v>507</v>
      </c>
      <c r="G141" s="128">
        <v>0.5</v>
      </c>
      <c r="H141" s="128">
        <v>2.5299999999999998</v>
      </c>
      <c r="I141" s="129">
        <v>1</v>
      </c>
      <c r="J141" s="129"/>
      <c r="K141" s="130">
        <v>2.5299999999999998</v>
      </c>
      <c r="L141" s="111"/>
      <c r="M141" s="129"/>
      <c r="N141" s="129"/>
      <c r="O141" s="129"/>
      <c r="P141" s="131">
        <f>IF(VLOOKUP(A141,[4]Sheet2!$A$39:$C$140,3)="F.V.",0.5,VLOOKUP(A141,[4]Sheet2!$A$39:$C$140,3))</f>
        <v>0.5</v>
      </c>
      <c r="Q141" s="126">
        <v>1999</v>
      </c>
      <c r="R141" s="105">
        <f>MATCH(Q141,[4]Sheet2!A:A,)</f>
        <v>108</v>
      </c>
    </row>
    <row r="142" spans="1:18">
      <c r="A142" s="126">
        <v>1977</v>
      </c>
      <c r="B142" s="127"/>
      <c r="C142" s="109" t="s">
        <v>1966</v>
      </c>
      <c r="D142" s="105" t="s">
        <v>1540</v>
      </c>
      <c r="E142" s="105" t="s">
        <v>1403</v>
      </c>
      <c r="F142" s="120" t="s">
        <v>1413</v>
      </c>
      <c r="G142" s="128">
        <v>0.5</v>
      </c>
      <c r="H142" s="128">
        <v>3.38</v>
      </c>
      <c r="I142" s="129">
        <v>1</v>
      </c>
      <c r="J142" s="129"/>
      <c r="K142" s="130">
        <v>2.5299999999999998</v>
      </c>
      <c r="L142" s="111"/>
      <c r="M142" s="129"/>
      <c r="N142" s="129"/>
      <c r="O142" s="129"/>
      <c r="P142" s="131">
        <f>IF(VLOOKUP(A142,[4]Sheet2!$A$39:$C$140,3)="F.V.",0.5,VLOOKUP(A142,[4]Sheet2!$A$39:$C$140,3))</f>
        <v>0.5</v>
      </c>
      <c r="Q142" s="126">
        <v>2000</v>
      </c>
      <c r="R142" s="105">
        <f>MATCH(Q142,[4]Sheet2!A:A,)</f>
        <v>110</v>
      </c>
    </row>
    <row r="143" spans="1:18">
      <c r="A143" s="126">
        <v>1977</v>
      </c>
      <c r="B143" s="127"/>
      <c r="C143" s="109" t="s">
        <v>1966</v>
      </c>
      <c r="D143" s="105" t="s">
        <v>1541</v>
      </c>
      <c r="E143" s="105" t="s">
        <v>1403</v>
      </c>
      <c r="F143" s="120" t="s">
        <v>1413</v>
      </c>
      <c r="G143" s="128">
        <v>0.5</v>
      </c>
      <c r="H143" s="128">
        <v>3.38</v>
      </c>
      <c r="I143" s="129">
        <v>1</v>
      </c>
      <c r="J143" s="129"/>
      <c r="K143" s="130" t="e">
        <f>VLOOKUP(C143,[4]!Table_0__2[#Data],2,0)</f>
        <v>#REF!</v>
      </c>
      <c r="L143" s="111"/>
      <c r="M143" s="129"/>
      <c r="N143" s="129"/>
      <c r="O143" s="129"/>
      <c r="P143" s="131">
        <f>IF(VLOOKUP(A143,[4]Sheet2!$A$39:$C$140,3)="F.V.",0.5,VLOOKUP(A143,[4]Sheet2!$A$39:$C$140,3))</f>
        <v>0.5</v>
      </c>
      <c r="Q143" s="126">
        <v>2001</v>
      </c>
    </row>
    <row r="144" spans="1:18">
      <c r="A144" s="126">
        <v>1978</v>
      </c>
      <c r="B144" s="127" t="s">
        <v>13</v>
      </c>
      <c r="C144" s="109" t="s">
        <v>1966</v>
      </c>
      <c r="D144" s="105" t="s">
        <v>1542</v>
      </c>
      <c r="E144" s="105" t="s">
        <v>1403</v>
      </c>
      <c r="F144" s="105" t="s">
        <v>1517</v>
      </c>
      <c r="G144" s="128">
        <v>0.5</v>
      </c>
      <c r="H144" s="128">
        <v>2.14</v>
      </c>
      <c r="I144" s="129">
        <v>1</v>
      </c>
      <c r="J144" s="129"/>
      <c r="K144" s="130">
        <v>2.14</v>
      </c>
      <c r="L144" s="111"/>
      <c r="M144" s="129"/>
      <c r="N144" s="129"/>
      <c r="O144" s="129"/>
      <c r="P144" s="131">
        <f>IF(VLOOKUP(A144,[4]Sheet2!$A$39:$C$140,3)="F.V.",0.5,VLOOKUP(A144,[4]Sheet2!$A$39:$C$140,3))</f>
        <v>0.5</v>
      </c>
      <c r="Q144" s="126">
        <v>2002</v>
      </c>
      <c r="R144" s="105">
        <f>MATCH(Q144,[4]Sheet2!A:A,)</f>
        <v>114</v>
      </c>
    </row>
    <row r="145" spans="1:18">
      <c r="A145" s="126">
        <v>1978</v>
      </c>
      <c r="B145" s="127"/>
      <c r="C145" s="109" t="s">
        <v>1966</v>
      </c>
      <c r="D145" s="105" t="s">
        <v>1543</v>
      </c>
      <c r="E145" s="105" t="s">
        <v>1403</v>
      </c>
      <c r="F145" s="120" t="s">
        <v>1413</v>
      </c>
      <c r="G145" s="128">
        <v>0.5</v>
      </c>
      <c r="H145" s="128">
        <v>2.75</v>
      </c>
      <c r="I145" s="129">
        <v>1</v>
      </c>
      <c r="J145" s="129"/>
      <c r="K145" s="130">
        <v>2.75</v>
      </c>
      <c r="L145" s="111"/>
      <c r="M145" s="129"/>
      <c r="N145" s="129"/>
      <c r="O145" s="129"/>
      <c r="P145" s="131">
        <v>0.5</v>
      </c>
      <c r="Q145" s="126">
        <v>1976</v>
      </c>
      <c r="R145" s="105">
        <f>MATCH(Q145,[4]Sheet2!A:A,)</f>
        <v>55</v>
      </c>
    </row>
    <row r="146" spans="1:18">
      <c r="A146" s="126">
        <v>1979</v>
      </c>
      <c r="B146" s="127"/>
      <c r="C146" s="109" t="s">
        <v>1966</v>
      </c>
      <c r="D146" s="105" t="s">
        <v>1544</v>
      </c>
      <c r="E146" s="105" t="s">
        <v>1403</v>
      </c>
      <c r="F146" s="105" t="s">
        <v>1517</v>
      </c>
      <c r="G146" s="128">
        <v>0.5</v>
      </c>
      <c r="H146" s="128">
        <v>2.97</v>
      </c>
      <c r="I146" s="129">
        <v>1</v>
      </c>
      <c r="J146" s="129"/>
      <c r="K146" s="130">
        <v>2.97</v>
      </c>
      <c r="L146" s="111"/>
      <c r="M146" s="129"/>
      <c r="N146" s="129"/>
      <c r="O146" s="129"/>
      <c r="P146" s="131">
        <v>0.5</v>
      </c>
      <c r="Q146" s="126">
        <v>1976</v>
      </c>
      <c r="R146" s="105">
        <f>MATCH(Q146,[4]Sheet2!A:A,)</f>
        <v>55</v>
      </c>
    </row>
    <row r="147" spans="1:18">
      <c r="A147" s="126">
        <v>1979</v>
      </c>
      <c r="B147" s="127"/>
      <c r="C147" s="109" t="s">
        <v>1966</v>
      </c>
      <c r="D147" s="105" t="s">
        <v>1545</v>
      </c>
      <c r="E147" s="105" t="s">
        <v>1403</v>
      </c>
      <c r="F147" s="105" t="s">
        <v>1517</v>
      </c>
      <c r="G147" s="128">
        <v>0.5</v>
      </c>
      <c r="H147" s="128">
        <v>2.97</v>
      </c>
      <c r="I147" s="129">
        <v>1</v>
      </c>
      <c r="J147" s="129"/>
      <c r="K147" s="130">
        <v>2.97</v>
      </c>
      <c r="L147" s="111"/>
      <c r="M147" s="129"/>
      <c r="N147" s="129"/>
      <c r="O147" s="129"/>
      <c r="P147" s="131">
        <v>0.5</v>
      </c>
      <c r="Q147" s="126">
        <v>1976</v>
      </c>
      <c r="R147" s="105">
        <f>MATCH(Q147,[4]Sheet2!A:A,)</f>
        <v>55</v>
      </c>
    </row>
    <row r="148" spans="1:18">
      <c r="A148" s="126">
        <v>1979</v>
      </c>
      <c r="B148" s="127"/>
      <c r="C148" s="109" t="s">
        <v>1966</v>
      </c>
      <c r="D148" s="105" t="s">
        <v>1546</v>
      </c>
      <c r="E148" s="105" t="s">
        <v>1403</v>
      </c>
      <c r="F148" s="105" t="s">
        <v>1517</v>
      </c>
      <c r="G148" s="128">
        <v>0.5</v>
      </c>
      <c r="H148" s="128">
        <v>2.97</v>
      </c>
      <c r="I148" s="129">
        <v>1</v>
      </c>
      <c r="J148" s="129"/>
      <c r="K148" s="130">
        <v>2.97</v>
      </c>
      <c r="L148" s="111"/>
      <c r="M148" s="129"/>
      <c r="N148" s="129"/>
      <c r="O148" s="129"/>
      <c r="P148" s="131">
        <v>0.5</v>
      </c>
      <c r="Q148" s="126">
        <v>1976</v>
      </c>
      <c r="R148" s="105">
        <f>MATCH(Q148,[4]Sheet2!A:A,)</f>
        <v>55</v>
      </c>
    </row>
    <row r="149" spans="1:18">
      <c r="A149" s="126">
        <v>1979</v>
      </c>
      <c r="B149" s="127"/>
      <c r="C149" s="109" t="s">
        <v>1966</v>
      </c>
      <c r="D149" s="105" t="s">
        <v>1547</v>
      </c>
      <c r="E149" s="105" t="s">
        <v>1403</v>
      </c>
      <c r="F149" s="105" t="s">
        <v>1517</v>
      </c>
      <c r="G149" s="128">
        <v>0.5</v>
      </c>
      <c r="H149" s="128">
        <v>2.97</v>
      </c>
      <c r="I149" s="129">
        <v>1</v>
      </c>
      <c r="J149" s="129"/>
      <c r="K149" s="130">
        <v>2.97</v>
      </c>
      <c r="L149" s="111"/>
      <c r="M149" s="129"/>
      <c r="N149" s="129"/>
      <c r="O149" s="129"/>
      <c r="P149" s="131">
        <v>0.5</v>
      </c>
      <c r="Q149" s="126">
        <v>1976</v>
      </c>
      <c r="R149" s="105">
        <f>MATCH(Q149,[4]Sheet2!A:A,)</f>
        <v>55</v>
      </c>
    </row>
    <row r="150" spans="1:18">
      <c r="A150" s="126">
        <v>1979</v>
      </c>
      <c r="B150" s="127"/>
      <c r="C150" s="109" t="s">
        <v>1966</v>
      </c>
      <c r="D150" s="105" t="s">
        <v>1548</v>
      </c>
      <c r="E150" s="105" t="s">
        <v>1403</v>
      </c>
      <c r="F150" s="120" t="s">
        <v>1413</v>
      </c>
      <c r="G150" s="128">
        <v>0.5</v>
      </c>
      <c r="H150" s="128">
        <v>2.97</v>
      </c>
      <c r="I150" s="129">
        <v>1</v>
      </c>
      <c r="J150" s="129"/>
      <c r="K150" s="130">
        <v>2.97</v>
      </c>
      <c r="L150" s="111"/>
      <c r="M150" s="129"/>
      <c r="N150" s="129"/>
      <c r="O150" s="129"/>
      <c r="P150" s="131">
        <v>0.5</v>
      </c>
      <c r="Q150" s="126">
        <v>1976</v>
      </c>
      <c r="R150" s="105">
        <f>MATCH(Q150,[4]Sheet2!A:A,)</f>
        <v>55</v>
      </c>
    </row>
    <row r="151" spans="1:18">
      <c r="A151" s="126">
        <v>1979</v>
      </c>
      <c r="B151" s="127"/>
      <c r="C151" s="109" t="s">
        <v>1966</v>
      </c>
      <c r="D151" s="105" t="s">
        <v>1549</v>
      </c>
      <c r="E151" s="105" t="s">
        <v>1403</v>
      </c>
      <c r="F151" s="120" t="s">
        <v>1413</v>
      </c>
      <c r="G151" s="128">
        <v>0.5</v>
      </c>
      <c r="H151" s="128">
        <v>3.38</v>
      </c>
      <c r="I151" s="129">
        <v>1</v>
      </c>
      <c r="J151" s="129"/>
      <c r="K151" s="130">
        <v>2.97</v>
      </c>
      <c r="L151" s="111"/>
      <c r="M151" s="129"/>
      <c r="N151" s="129"/>
      <c r="O151" s="129"/>
      <c r="P151" s="131">
        <v>0.5</v>
      </c>
      <c r="Q151" s="126">
        <v>1976</v>
      </c>
      <c r="R151" s="105">
        <f>MATCH(Q151,[4]Sheet2!A:A,)</f>
        <v>55</v>
      </c>
    </row>
    <row r="152" spans="1:18">
      <c r="A152" s="126">
        <v>1979</v>
      </c>
      <c r="B152" s="127"/>
      <c r="C152" s="109" t="s">
        <v>1966</v>
      </c>
      <c r="D152" s="105" t="s">
        <v>1550</v>
      </c>
      <c r="E152" s="105" t="s">
        <v>1403</v>
      </c>
      <c r="F152" s="120" t="s">
        <v>1413</v>
      </c>
      <c r="G152" s="128">
        <v>0.5</v>
      </c>
      <c r="H152" s="128">
        <v>3.38</v>
      </c>
      <c r="I152" s="129">
        <v>1</v>
      </c>
      <c r="J152" s="129"/>
      <c r="K152" s="130" t="e">
        <f>VLOOKUP(C152,[4]!Table_0__2[#Data],2,0)</f>
        <v>#REF!</v>
      </c>
      <c r="L152" s="111"/>
      <c r="M152" s="129"/>
      <c r="N152" s="129"/>
      <c r="O152" s="129"/>
      <c r="P152" s="131">
        <v>0.5</v>
      </c>
      <c r="Q152" s="126">
        <v>1976</v>
      </c>
    </row>
    <row r="153" spans="1:18">
      <c r="A153" s="126">
        <v>1980</v>
      </c>
      <c r="B153" s="127"/>
      <c r="C153" s="109" t="s">
        <v>1966</v>
      </c>
      <c r="D153" s="105" t="s">
        <v>1551</v>
      </c>
      <c r="E153" s="105" t="s">
        <v>1403</v>
      </c>
      <c r="F153" s="105" t="s">
        <v>1517</v>
      </c>
      <c r="G153" s="128">
        <v>0.5</v>
      </c>
      <c r="H153" s="128">
        <v>0.8</v>
      </c>
      <c r="I153" s="129">
        <v>1</v>
      </c>
      <c r="J153" s="129"/>
      <c r="K153" s="130">
        <v>2.97</v>
      </c>
      <c r="L153" s="111"/>
      <c r="M153" s="129"/>
      <c r="N153" s="129"/>
      <c r="O153" s="129"/>
      <c r="P153" s="131">
        <v>0.5</v>
      </c>
      <c r="Q153" s="126">
        <v>1976</v>
      </c>
      <c r="R153" s="105">
        <f>MATCH(Q153,[4]Sheet2!A:A,)</f>
        <v>55</v>
      </c>
    </row>
    <row r="154" spans="1:18">
      <c r="A154" s="126">
        <v>1980</v>
      </c>
      <c r="B154" s="127" t="s">
        <v>25</v>
      </c>
      <c r="C154" s="109" t="s">
        <v>1966</v>
      </c>
      <c r="D154" s="105" t="s">
        <v>1552</v>
      </c>
      <c r="E154" s="105" t="s">
        <v>1403</v>
      </c>
      <c r="F154" s="105" t="s">
        <v>1517</v>
      </c>
      <c r="G154" s="128">
        <v>0.5</v>
      </c>
      <c r="H154" s="132">
        <v>1.96</v>
      </c>
      <c r="I154" s="129">
        <v>1</v>
      </c>
      <c r="J154" s="129"/>
      <c r="K154" s="130">
        <v>1.96</v>
      </c>
      <c r="L154" s="111"/>
      <c r="M154" s="129"/>
      <c r="N154" s="129"/>
      <c r="O154" s="129"/>
      <c r="P154" s="131">
        <v>0.5</v>
      </c>
      <c r="Q154" s="126">
        <v>1976</v>
      </c>
      <c r="R154" s="105">
        <f>MATCH(Q154,[4]Sheet2!A:A,)</f>
        <v>55</v>
      </c>
    </row>
    <row r="155" spans="1:18">
      <c r="A155" s="126">
        <v>1980</v>
      </c>
      <c r="B155" s="127" t="s">
        <v>25</v>
      </c>
      <c r="C155" s="109" t="s">
        <v>1966</v>
      </c>
      <c r="D155" s="105" t="s">
        <v>1553</v>
      </c>
      <c r="E155" s="105" t="s">
        <v>1403</v>
      </c>
      <c r="F155" s="105" t="s">
        <v>1517</v>
      </c>
      <c r="G155" s="128">
        <v>0.5</v>
      </c>
      <c r="H155" s="132">
        <v>1.96</v>
      </c>
      <c r="I155" s="129">
        <v>1</v>
      </c>
      <c r="J155" s="129"/>
      <c r="K155" s="130">
        <v>1.96</v>
      </c>
      <c r="L155" s="111"/>
      <c r="M155" s="129"/>
      <c r="N155" s="129"/>
      <c r="O155" s="129"/>
      <c r="P155" s="131">
        <v>0.5</v>
      </c>
      <c r="Q155" s="126">
        <v>1976</v>
      </c>
      <c r="R155" s="105">
        <f>MATCH(Q155,[4]Sheet2!A:A,)</f>
        <v>55</v>
      </c>
    </row>
    <row r="156" spans="1:18">
      <c r="A156" s="126">
        <v>1980</v>
      </c>
      <c r="B156" s="127" t="s">
        <v>25</v>
      </c>
      <c r="C156" s="109" t="s">
        <v>1966</v>
      </c>
      <c r="D156" s="105" t="s">
        <v>1554</v>
      </c>
      <c r="E156" s="105" t="s">
        <v>1403</v>
      </c>
      <c r="F156" s="105" t="s">
        <v>507</v>
      </c>
      <c r="G156" s="128">
        <v>0.5</v>
      </c>
      <c r="H156" s="132">
        <v>1.96</v>
      </c>
      <c r="I156" s="129">
        <v>1</v>
      </c>
      <c r="J156" s="129"/>
      <c r="K156" s="130">
        <v>1.96</v>
      </c>
      <c r="L156" s="111"/>
      <c r="M156" s="129"/>
      <c r="N156" s="129"/>
      <c r="O156" s="129"/>
      <c r="P156" s="131">
        <v>0.5</v>
      </c>
      <c r="Q156" s="126">
        <v>1976</v>
      </c>
      <c r="R156" s="105">
        <f>MATCH(Q156,[4]Sheet2!A:A,)</f>
        <v>55</v>
      </c>
    </row>
    <row r="157" spans="1:18">
      <c r="A157" s="126">
        <v>1980</v>
      </c>
      <c r="B157" s="127" t="s">
        <v>25</v>
      </c>
      <c r="C157" s="109" t="s">
        <v>1966</v>
      </c>
      <c r="D157" s="105" t="s">
        <v>1555</v>
      </c>
      <c r="E157" s="105" t="s">
        <v>1403</v>
      </c>
      <c r="F157" s="105" t="s">
        <v>507</v>
      </c>
      <c r="G157" s="128">
        <v>0.5</v>
      </c>
      <c r="H157" s="132">
        <v>1.96</v>
      </c>
      <c r="I157" s="129">
        <v>1</v>
      </c>
      <c r="J157" s="129"/>
      <c r="K157" s="130">
        <v>1.96</v>
      </c>
      <c r="L157" s="111"/>
      <c r="M157" s="129"/>
      <c r="N157" s="129"/>
      <c r="O157" s="129"/>
      <c r="P157" s="131">
        <v>0.5</v>
      </c>
      <c r="Q157" s="126">
        <v>1976</v>
      </c>
      <c r="R157" s="105">
        <f>MATCH(Q157,[4]Sheet2!A:A,)</f>
        <v>55</v>
      </c>
    </row>
    <row r="158" spans="1:18">
      <c r="A158" s="126">
        <v>1981</v>
      </c>
      <c r="B158" s="127" t="s">
        <v>25</v>
      </c>
      <c r="C158" s="109" t="s">
        <v>1966</v>
      </c>
      <c r="D158" s="105" t="s">
        <v>1556</v>
      </c>
      <c r="E158" s="105" t="s">
        <v>1403</v>
      </c>
      <c r="F158" s="120" t="s">
        <v>1413</v>
      </c>
      <c r="G158" s="128">
        <v>0.5</v>
      </c>
      <c r="H158" s="132">
        <v>2.92</v>
      </c>
      <c r="I158" s="129">
        <v>1</v>
      </c>
      <c r="J158" s="129"/>
      <c r="K158" s="130">
        <v>2.92</v>
      </c>
      <c r="L158" s="111"/>
      <c r="M158" s="129"/>
      <c r="N158" s="129"/>
      <c r="O158" s="129"/>
      <c r="P158" s="131">
        <v>0.5</v>
      </c>
      <c r="Q158" s="126">
        <v>1976</v>
      </c>
      <c r="R158" s="105">
        <f>MATCH(Q158,[4]Sheet2!A:A,)</f>
        <v>55</v>
      </c>
    </row>
    <row r="159" spans="1:18">
      <c r="A159" s="126">
        <v>1981</v>
      </c>
      <c r="B159" s="127" t="s">
        <v>25</v>
      </c>
      <c r="C159" s="109" t="s">
        <v>1966</v>
      </c>
      <c r="D159" s="105" t="s">
        <v>1557</v>
      </c>
      <c r="E159" s="105" t="s">
        <v>1403</v>
      </c>
      <c r="F159" s="120" t="s">
        <v>1413</v>
      </c>
      <c r="G159" s="128">
        <v>0.5</v>
      </c>
      <c r="H159" s="132">
        <v>2.92</v>
      </c>
      <c r="I159" s="129">
        <v>1</v>
      </c>
      <c r="J159" s="129"/>
      <c r="K159" s="130">
        <v>2.92</v>
      </c>
      <c r="L159" s="111"/>
      <c r="M159" s="129"/>
      <c r="N159" s="129"/>
      <c r="O159" s="129"/>
      <c r="P159" s="131">
        <v>0.5</v>
      </c>
      <c r="Q159" s="126">
        <v>1976</v>
      </c>
      <c r="R159" s="105">
        <f>MATCH(Q159,[4]Sheet2!A:A,)</f>
        <v>55</v>
      </c>
    </row>
    <row r="160" spans="1:18">
      <c r="A160" s="126">
        <v>1981</v>
      </c>
      <c r="B160" s="127" t="s">
        <v>25</v>
      </c>
      <c r="C160" s="109" t="s">
        <v>1966</v>
      </c>
      <c r="D160" s="105" t="s">
        <v>1558</v>
      </c>
      <c r="E160" s="105" t="s">
        <v>1403</v>
      </c>
      <c r="F160" s="120" t="s">
        <v>1413</v>
      </c>
      <c r="G160" s="128">
        <v>0.5</v>
      </c>
      <c r="H160" s="132">
        <v>2.92</v>
      </c>
      <c r="I160" s="129">
        <v>1</v>
      </c>
      <c r="J160" s="129"/>
      <c r="K160" s="130">
        <v>2.92</v>
      </c>
      <c r="L160" s="111"/>
      <c r="M160" s="129"/>
      <c r="N160" s="129"/>
      <c r="O160" s="129"/>
      <c r="P160" s="131">
        <v>0.5</v>
      </c>
      <c r="Q160" s="126">
        <v>1976</v>
      </c>
      <c r="R160" s="105">
        <f>MATCH(Q160,[4]Sheet2!A:A,)</f>
        <v>55</v>
      </c>
    </row>
    <row r="161" spans="1:18">
      <c r="A161" s="126">
        <v>1983</v>
      </c>
      <c r="B161" s="127" t="s">
        <v>25</v>
      </c>
      <c r="C161" s="109" t="s">
        <v>1966</v>
      </c>
      <c r="D161" s="105" t="s">
        <v>1559</v>
      </c>
      <c r="E161" s="105" t="s">
        <v>1403</v>
      </c>
      <c r="F161" s="105" t="s">
        <v>1517</v>
      </c>
      <c r="G161" s="128">
        <v>0.5</v>
      </c>
      <c r="H161" s="132">
        <v>3.83</v>
      </c>
      <c r="I161" s="129">
        <v>1</v>
      </c>
      <c r="J161" s="129"/>
      <c r="K161" s="130">
        <v>3.83</v>
      </c>
      <c r="L161" s="111"/>
      <c r="M161" s="129"/>
      <c r="N161" s="129"/>
      <c r="O161" s="129"/>
      <c r="P161" s="131">
        <v>0.5</v>
      </c>
      <c r="Q161" s="126">
        <v>1976</v>
      </c>
      <c r="R161" s="105">
        <f>MATCH(Q161,[4]Sheet2!A:A,)</f>
        <v>55</v>
      </c>
    </row>
    <row r="162" spans="1:18">
      <c r="A162" s="126">
        <v>1983</v>
      </c>
      <c r="B162" s="127" t="s">
        <v>25</v>
      </c>
      <c r="C162" s="109" t="s">
        <v>1966</v>
      </c>
      <c r="D162" s="105" t="s">
        <v>1560</v>
      </c>
      <c r="E162" s="105" t="s">
        <v>1403</v>
      </c>
      <c r="F162" s="105" t="s">
        <v>507</v>
      </c>
      <c r="G162" s="128">
        <v>0.5</v>
      </c>
      <c r="H162" s="132">
        <v>3.83</v>
      </c>
      <c r="I162" s="129">
        <v>1</v>
      </c>
      <c r="J162" s="129"/>
      <c r="K162" s="130">
        <v>3.83</v>
      </c>
      <c r="L162" s="111"/>
      <c r="M162" s="129"/>
      <c r="N162" s="129"/>
      <c r="O162" s="129"/>
      <c r="P162" s="131">
        <f>IF(VLOOKUP(A162,[4]Sheet2!$A$39:$C$140,3)="F.V.",0.5,VLOOKUP(A162,[4]Sheet2!$A$39:$C$140,3))</f>
        <v>0.5</v>
      </c>
      <c r="Q162" s="105" t="s">
        <v>250</v>
      </c>
      <c r="R162" s="105">
        <f>MATCH(Q162,[4]Sheet2!A:A,)</f>
        <v>72</v>
      </c>
    </row>
    <row r="163" spans="1:18">
      <c r="A163" s="126">
        <v>1983</v>
      </c>
      <c r="B163" s="127" t="s">
        <v>25</v>
      </c>
      <c r="C163" s="109" t="s">
        <v>1966</v>
      </c>
      <c r="D163" s="105" t="s">
        <v>1561</v>
      </c>
      <c r="E163" s="105" t="s">
        <v>1403</v>
      </c>
      <c r="F163" s="105" t="s">
        <v>507</v>
      </c>
      <c r="G163" s="128">
        <v>0.5</v>
      </c>
      <c r="H163" s="132">
        <v>3.83</v>
      </c>
      <c r="I163" s="129">
        <v>1</v>
      </c>
      <c r="J163" s="129"/>
      <c r="K163" s="130">
        <v>3.83</v>
      </c>
      <c r="L163" s="111"/>
      <c r="M163" s="129"/>
      <c r="N163" s="129"/>
      <c r="O163" s="129"/>
      <c r="P163" s="131">
        <f>IF(VLOOKUP(A163,[4]Sheet2!$A$39:$C$140,3)="F.V.",0.5,VLOOKUP(A163,[4]Sheet2!$A$39:$C$140,3))</f>
        <v>0.5</v>
      </c>
      <c r="Q163" s="105" t="s">
        <v>250</v>
      </c>
      <c r="R163" s="105">
        <f>MATCH(Q163,[4]Sheet2!A:A,)</f>
        <v>72</v>
      </c>
    </row>
    <row r="164" spans="1:18">
      <c r="A164" s="126">
        <v>1983</v>
      </c>
      <c r="B164" s="127" t="s">
        <v>25</v>
      </c>
      <c r="C164" s="109" t="s">
        <v>1966</v>
      </c>
      <c r="D164" s="105" t="s">
        <v>1562</v>
      </c>
      <c r="E164" s="105" t="s">
        <v>1403</v>
      </c>
      <c r="F164" s="105" t="s">
        <v>507</v>
      </c>
      <c r="G164" s="128">
        <v>0.5</v>
      </c>
      <c r="H164" s="132">
        <v>3.83</v>
      </c>
      <c r="I164" s="129">
        <v>1</v>
      </c>
      <c r="J164" s="129"/>
      <c r="K164" s="130">
        <v>3.83</v>
      </c>
      <c r="L164" s="111"/>
      <c r="M164" s="129"/>
      <c r="N164" s="129"/>
      <c r="O164" s="129"/>
      <c r="P164" s="131">
        <f>IF(VLOOKUP(A164,[4]Sheet2!$A$39:$C$140,3)="F.V.",0.5,VLOOKUP(A164,[4]Sheet2!$A$39:$C$140,3))</f>
        <v>0.5</v>
      </c>
      <c r="Q164" s="105" t="s">
        <v>250</v>
      </c>
      <c r="R164" s="105">
        <f>MATCH(Q164,[4]Sheet2!A:A,)</f>
        <v>72</v>
      </c>
    </row>
    <row r="165" spans="1:18">
      <c r="A165" s="126">
        <v>1983</v>
      </c>
      <c r="B165" s="127" t="s">
        <v>25</v>
      </c>
      <c r="C165" s="109" t="s">
        <v>1966</v>
      </c>
      <c r="D165" s="105" t="s">
        <v>1563</v>
      </c>
      <c r="E165" s="105" t="s">
        <v>1403</v>
      </c>
      <c r="F165" s="105" t="s">
        <v>1517</v>
      </c>
      <c r="G165" s="128">
        <v>0.5</v>
      </c>
      <c r="H165" s="132">
        <v>3.83</v>
      </c>
      <c r="I165" s="129">
        <v>1</v>
      </c>
      <c r="J165" s="129"/>
      <c r="K165" s="130">
        <v>3.83</v>
      </c>
      <c r="L165" s="111"/>
      <c r="M165" s="129"/>
      <c r="N165" s="129"/>
      <c r="O165" s="129"/>
      <c r="P165" s="131">
        <f>IF(VLOOKUP(A165,[4]Sheet2!$A$39:$C$140,3)="F.V.",0.5,VLOOKUP(A165,[4]Sheet2!$A$39:$C$140,3))</f>
        <v>0.5</v>
      </c>
      <c r="Q165" s="105" t="s">
        <v>250</v>
      </c>
      <c r="R165" s="105">
        <f>MATCH(Q165,[4]Sheet2!A:A,)</f>
        <v>72</v>
      </c>
    </row>
    <row r="166" spans="1:18">
      <c r="A166" s="126">
        <v>1983</v>
      </c>
      <c r="B166" s="127" t="s">
        <v>25</v>
      </c>
      <c r="C166" s="109" t="s">
        <v>1966</v>
      </c>
      <c r="D166" s="105" t="s">
        <v>1564</v>
      </c>
      <c r="E166" s="105" t="s">
        <v>1403</v>
      </c>
      <c r="F166" s="120" t="s">
        <v>1413</v>
      </c>
      <c r="G166" s="128">
        <v>0.5</v>
      </c>
      <c r="H166" s="132">
        <v>3.83</v>
      </c>
      <c r="I166" s="129">
        <v>1</v>
      </c>
      <c r="J166" s="129"/>
      <c r="K166" s="130">
        <v>3.83</v>
      </c>
      <c r="L166" s="111"/>
      <c r="M166" s="129"/>
      <c r="N166" s="129"/>
      <c r="O166" s="129"/>
      <c r="P166" s="131">
        <f>IF(VLOOKUP(A166,[4]Sheet2!$A$39:$C$140,3)="F.V.",0.5,VLOOKUP(A166,[4]Sheet2!$A$39:$C$140,3))</f>
        <v>0.5</v>
      </c>
      <c r="Q166" s="105" t="s">
        <v>250</v>
      </c>
      <c r="R166" s="105">
        <f>MATCH(Q166,[4]Sheet2!A:A,)</f>
        <v>72</v>
      </c>
    </row>
    <row r="167" spans="1:18">
      <c r="A167" s="126">
        <v>1983</v>
      </c>
      <c r="B167" s="127" t="s">
        <v>13</v>
      </c>
      <c r="C167" s="109" t="s">
        <v>1966</v>
      </c>
      <c r="D167" s="105" t="s">
        <v>1565</v>
      </c>
      <c r="E167" s="105" t="s">
        <v>1403</v>
      </c>
      <c r="F167" s="105" t="s">
        <v>1517</v>
      </c>
      <c r="G167" s="128">
        <v>0.5</v>
      </c>
      <c r="H167" s="132">
        <v>2.69</v>
      </c>
      <c r="I167" s="129">
        <v>1</v>
      </c>
      <c r="J167" s="129"/>
      <c r="K167" s="130">
        <v>2.69</v>
      </c>
      <c r="L167" s="111"/>
      <c r="M167" s="129"/>
      <c r="N167" s="129"/>
      <c r="O167" s="129"/>
      <c r="P167" s="131">
        <f>IF(VLOOKUP(A167,[4]Sheet2!$A$39:$C$140,3)="F.V.",0.5,VLOOKUP(A167,[4]Sheet2!$A$39:$C$140,3))</f>
        <v>0.5</v>
      </c>
      <c r="Q167" s="105" t="s">
        <v>249</v>
      </c>
      <c r="R167" s="105">
        <f>MATCH(Q167,[4]Sheet2!A:A,)</f>
        <v>73</v>
      </c>
    </row>
    <row r="168" spans="1:18">
      <c r="A168" s="126">
        <v>1984</v>
      </c>
      <c r="B168" s="127" t="s">
        <v>25</v>
      </c>
      <c r="C168" s="109" t="s">
        <v>1966</v>
      </c>
      <c r="D168" s="105" t="s">
        <v>1566</v>
      </c>
      <c r="E168" s="105" t="s">
        <v>1403</v>
      </c>
      <c r="F168" s="105" t="s">
        <v>1517</v>
      </c>
      <c r="G168" s="128">
        <v>0.5</v>
      </c>
      <c r="H168" s="132">
        <v>2.8</v>
      </c>
      <c r="I168" s="129">
        <v>1</v>
      </c>
      <c r="J168" s="129"/>
      <c r="K168" s="130">
        <v>2.8</v>
      </c>
      <c r="L168" s="111"/>
      <c r="M168" s="129"/>
      <c r="N168" s="129"/>
      <c r="O168" s="129"/>
      <c r="P168" s="131">
        <f>IF(VLOOKUP(A168,[4]Sheet2!$A$39:$C$140,3)="F.V.",0.5,VLOOKUP(A168,[4]Sheet2!$A$39:$C$140,3))</f>
        <v>0.5</v>
      </c>
      <c r="Q168" s="105" t="s">
        <v>195</v>
      </c>
      <c r="R168" s="105">
        <f>MATCH(Q168,[4]Sheet2!A:A,)</f>
        <v>75</v>
      </c>
    </row>
    <row r="169" spans="1:18">
      <c r="A169" s="126">
        <v>1984</v>
      </c>
      <c r="B169" s="127" t="s">
        <v>25</v>
      </c>
      <c r="C169" s="109" t="s">
        <v>1966</v>
      </c>
      <c r="D169" s="105" t="s">
        <v>1567</v>
      </c>
      <c r="E169" s="105" t="s">
        <v>1403</v>
      </c>
      <c r="F169" s="105" t="s">
        <v>1517</v>
      </c>
      <c r="G169" s="128">
        <v>0.5</v>
      </c>
      <c r="H169" s="132">
        <v>2.8</v>
      </c>
      <c r="I169" s="129">
        <v>1</v>
      </c>
      <c r="J169" s="129"/>
      <c r="K169" s="130">
        <v>2.8</v>
      </c>
      <c r="L169" s="111"/>
      <c r="M169" s="129"/>
      <c r="N169" s="129"/>
      <c r="O169" s="129"/>
      <c r="P169" s="131">
        <f>IF(VLOOKUP(A169,[4]Sheet2!$A$39:$C$140,3)="F.V.",0.5,VLOOKUP(A169,[4]Sheet2!$A$39:$C$140,3))</f>
        <v>0.5</v>
      </c>
      <c r="Q169" s="105" t="s">
        <v>195</v>
      </c>
      <c r="R169" s="105">
        <f>MATCH(Q169,[4]Sheet2!A:A,)</f>
        <v>75</v>
      </c>
    </row>
    <row r="170" spans="1:18">
      <c r="A170" s="126">
        <v>1984</v>
      </c>
      <c r="B170" s="127" t="s">
        <v>25</v>
      </c>
      <c r="C170" s="109" t="s">
        <v>1966</v>
      </c>
      <c r="D170" s="105" t="s">
        <v>1568</v>
      </c>
      <c r="E170" s="105" t="s">
        <v>1403</v>
      </c>
      <c r="F170" s="120" t="s">
        <v>1413</v>
      </c>
      <c r="G170" s="128">
        <v>0.5</v>
      </c>
      <c r="H170" s="132">
        <v>2.8</v>
      </c>
      <c r="I170" s="129">
        <v>1</v>
      </c>
      <c r="J170" s="129"/>
      <c r="K170" s="130">
        <v>2.8</v>
      </c>
      <c r="L170" s="111"/>
      <c r="M170" s="129"/>
      <c r="N170" s="129"/>
      <c r="O170" s="129"/>
      <c r="P170" s="131">
        <f>IF(VLOOKUP(A170,[4]Sheet2!$A$39:$C$140,3)="F.V.",0.5,VLOOKUP(A170,[4]Sheet2!$A$39:$C$140,3))</f>
        <v>0.5</v>
      </c>
      <c r="Q170" s="105" t="s">
        <v>195</v>
      </c>
      <c r="R170" s="105">
        <f>MATCH(Q170,[4]Sheet2!A:A,)</f>
        <v>75</v>
      </c>
    </row>
    <row r="171" spans="1:18">
      <c r="A171" s="126">
        <v>1985</v>
      </c>
      <c r="B171" s="127" t="s">
        <v>13</v>
      </c>
      <c r="C171" s="109" t="s">
        <v>1966</v>
      </c>
      <c r="D171" s="105" t="s">
        <v>1569</v>
      </c>
      <c r="E171" s="105" t="s">
        <v>1403</v>
      </c>
      <c r="F171" s="105" t="s">
        <v>1517</v>
      </c>
      <c r="G171" s="128">
        <v>0.5</v>
      </c>
      <c r="H171" s="132">
        <v>2.71</v>
      </c>
      <c r="I171" s="129">
        <v>1</v>
      </c>
      <c r="J171" s="129"/>
      <c r="K171" s="130">
        <v>2.71</v>
      </c>
      <c r="L171" s="111"/>
      <c r="M171" s="129"/>
      <c r="N171" s="129"/>
      <c r="O171" s="129"/>
      <c r="P171" s="131">
        <f>IF(VLOOKUP(A171,[4]Sheet2!$A$39:$C$140,3)="F.V.",0.5,VLOOKUP(A171,[4]Sheet2!$A$39:$C$140,3))</f>
        <v>0.5</v>
      </c>
      <c r="Q171" s="105" t="s">
        <v>201</v>
      </c>
      <c r="R171" s="105">
        <f>MATCH(Q171,[4]Sheet2!A:A,)</f>
        <v>78</v>
      </c>
    </row>
    <row r="172" spans="1:18">
      <c r="A172" s="126">
        <v>1985</v>
      </c>
      <c r="B172" s="127" t="s">
        <v>13</v>
      </c>
      <c r="C172" s="109" t="s">
        <v>1966</v>
      </c>
      <c r="D172" s="105" t="s">
        <v>1570</v>
      </c>
      <c r="E172" s="105" t="s">
        <v>1403</v>
      </c>
      <c r="F172" s="105" t="s">
        <v>1517</v>
      </c>
      <c r="G172" s="128">
        <v>0.5</v>
      </c>
      <c r="H172" s="132">
        <v>2.71</v>
      </c>
      <c r="I172" s="129">
        <v>1</v>
      </c>
      <c r="J172" s="129"/>
      <c r="K172" s="130">
        <v>2.71</v>
      </c>
      <c r="L172" s="111"/>
      <c r="M172" s="129"/>
      <c r="N172" s="129"/>
      <c r="O172" s="129"/>
      <c r="P172" s="131">
        <f>IF(VLOOKUP(A172,[4]Sheet2!$A$39:$C$140,3)="F.V.",0.5,VLOOKUP(A172,[4]Sheet2!$A$39:$C$140,3))</f>
        <v>0.5</v>
      </c>
      <c r="Q172" s="105" t="s">
        <v>201</v>
      </c>
      <c r="R172" s="105">
        <f>MATCH(Q172,[4]Sheet2!A:A,)</f>
        <v>78</v>
      </c>
    </row>
    <row r="173" spans="1:18">
      <c r="A173" s="126">
        <v>1988</v>
      </c>
      <c r="B173" s="127" t="s">
        <v>25</v>
      </c>
      <c r="C173" s="109" t="s">
        <v>1966</v>
      </c>
      <c r="D173" s="105" t="s">
        <v>1571</v>
      </c>
      <c r="E173" s="105" t="s">
        <v>1403</v>
      </c>
      <c r="F173" s="105" t="s">
        <v>1517</v>
      </c>
      <c r="G173" s="128">
        <v>0.5</v>
      </c>
      <c r="H173" s="132">
        <v>2.58</v>
      </c>
      <c r="I173" s="129">
        <v>1</v>
      </c>
      <c r="J173" s="129"/>
      <c r="K173" s="130">
        <v>2.58</v>
      </c>
      <c r="L173" s="111"/>
      <c r="M173" s="129"/>
      <c r="N173" s="129"/>
      <c r="O173" s="129"/>
      <c r="P173" s="131">
        <f>IF(VLOOKUP(A173,[4]Sheet2!$A$39:$C$140,3)="F.V.",0.5,VLOOKUP(A173,[4]Sheet2!$A$39:$C$140,3))</f>
        <v>0.5</v>
      </c>
      <c r="Q173" s="105" t="s">
        <v>221</v>
      </c>
      <c r="R173" s="105">
        <f>MATCH(Q173,[4]Sheet2!A:A,)</f>
        <v>84</v>
      </c>
    </row>
    <row r="174" spans="1:18">
      <c r="A174" s="126">
        <v>1988</v>
      </c>
      <c r="B174" s="127" t="s">
        <v>25</v>
      </c>
      <c r="C174" s="109" t="s">
        <v>1966</v>
      </c>
      <c r="D174" s="105" t="s">
        <v>1572</v>
      </c>
      <c r="E174" s="105" t="s">
        <v>1403</v>
      </c>
      <c r="F174" s="105" t="s">
        <v>1517</v>
      </c>
      <c r="G174" s="128">
        <v>0.5</v>
      </c>
      <c r="H174" s="132">
        <v>2.58</v>
      </c>
      <c r="I174" s="129">
        <v>1</v>
      </c>
      <c r="J174" s="129"/>
      <c r="K174" s="130">
        <v>2.58</v>
      </c>
      <c r="L174" s="111"/>
      <c r="M174" s="129"/>
      <c r="N174" s="129"/>
      <c r="O174" s="129"/>
      <c r="P174" s="131">
        <f>IF(VLOOKUP(A174,[4]Sheet2!$A$39:$C$140,3)="F.V.",0.5,VLOOKUP(A174,[4]Sheet2!$A$39:$C$140,3))</f>
        <v>0.5</v>
      </c>
      <c r="Q174" s="105" t="s">
        <v>221</v>
      </c>
      <c r="R174" s="105">
        <f>MATCH(Q174,[4]Sheet2!A:A,)</f>
        <v>84</v>
      </c>
    </row>
    <row r="175" spans="1:18">
      <c r="A175" s="126">
        <v>1988</v>
      </c>
      <c r="B175" s="127" t="s">
        <v>25</v>
      </c>
      <c r="C175" s="109" t="s">
        <v>1966</v>
      </c>
      <c r="D175" s="105" t="s">
        <v>1573</v>
      </c>
      <c r="E175" s="105" t="s">
        <v>1403</v>
      </c>
      <c r="F175" s="120" t="s">
        <v>1413</v>
      </c>
      <c r="G175" s="128">
        <v>0.5</v>
      </c>
      <c r="H175" s="132">
        <v>2.58</v>
      </c>
      <c r="I175" s="129">
        <v>1</v>
      </c>
      <c r="J175" s="129"/>
      <c r="K175" s="130">
        <v>2.58</v>
      </c>
      <c r="L175" s="111"/>
      <c r="M175" s="129"/>
      <c r="N175" s="129"/>
      <c r="O175" s="129"/>
      <c r="P175" s="131">
        <f>IF(VLOOKUP(A175,[4]Sheet2!$A$39:$C$140,3)="F.V.",0.5,VLOOKUP(A175,[4]Sheet2!$A$39:$C$140,3))</f>
        <v>0.5</v>
      </c>
      <c r="Q175" s="105" t="s">
        <v>221</v>
      </c>
      <c r="R175" s="105">
        <f>MATCH(Q175,[4]Sheet2!A:A,)</f>
        <v>84</v>
      </c>
    </row>
    <row r="176" spans="1:18">
      <c r="A176" s="126">
        <v>1989</v>
      </c>
      <c r="B176" s="127" t="s">
        <v>13</v>
      </c>
      <c r="C176" s="109" t="s">
        <v>1966</v>
      </c>
      <c r="D176" s="105" t="s">
        <v>1574</v>
      </c>
      <c r="E176" s="105" t="s">
        <v>1403</v>
      </c>
      <c r="F176" s="105" t="s">
        <v>1517</v>
      </c>
      <c r="G176" s="128">
        <v>0.5</v>
      </c>
      <c r="H176" s="132">
        <v>1.98</v>
      </c>
      <c r="I176" s="129">
        <v>1</v>
      </c>
      <c r="J176" s="129"/>
      <c r="K176" s="130">
        <v>1.98</v>
      </c>
      <c r="L176" s="111"/>
      <c r="M176" s="129"/>
      <c r="N176" s="129"/>
      <c r="O176" s="129"/>
      <c r="P176" s="131">
        <f>IF(VLOOKUP(A176,[4]Sheet2!$A$39:$C$140,3)="F.V.",0.5,VLOOKUP(A176,[4]Sheet2!$A$39:$C$140,3))</f>
        <v>0.5</v>
      </c>
      <c r="Q176" s="105" t="s">
        <v>261</v>
      </c>
      <c r="R176" s="105">
        <f>MATCH(Q176,[4]Sheet2!A:A,)</f>
        <v>87</v>
      </c>
    </row>
    <row r="177" spans="1:18">
      <c r="A177" s="126">
        <v>1990</v>
      </c>
      <c r="B177" s="127" t="s">
        <v>25</v>
      </c>
      <c r="C177" s="109" t="s">
        <v>1966</v>
      </c>
      <c r="D177" s="105" t="s">
        <v>1575</v>
      </c>
      <c r="E177" s="105" t="s">
        <v>1403</v>
      </c>
      <c r="F177" s="120" t="s">
        <v>1413</v>
      </c>
      <c r="G177" s="128">
        <v>0.5</v>
      </c>
      <c r="H177" s="132">
        <v>12.61</v>
      </c>
      <c r="I177" s="129">
        <v>1</v>
      </c>
      <c r="J177" s="129"/>
      <c r="K177" s="130">
        <v>12.61</v>
      </c>
      <c r="L177" s="111"/>
      <c r="M177" s="129"/>
      <c r="N177" s="129"/>
      <c r="O177" s="129"/>
      <c r="P177" s="131">
        <f>IF(VLOOKUP(A177,[4]Sheet2!$A$39:$C$140,3)="F.V.",0.5,VLOOKUP(A177,[4]Sheet2!$A$39:$C$140,3))</f>
        <v>0.5</v>
      </c>
      <c r="Q177" s="105" t="s">
        <v>687</v>
      </c>
      <c r="R177" s="105">
        <f>MATCH(Q177,[4]Sheet2!A:A,)</f>
        <v>89</v>
      </c>
    </row>
    <row r="178" spans="1:18">
      <c r="A178" s="126">
        <v>1990</v>
      </c>
      <c r="B178" s="127" t="s">
        <v>25</v>
      </c>
      <c r="C178" s="109" t="s">
        <v>1966</v>
      </c>
      <c r="D178" s="105" t="s">
        <v>1576</v>
      </c>
      <c r="E178" s="105" t="s">
        <v>1403</v>
      </c>
      <c r="F178" s="120" t="s">
        <v>1413</v>
      </c>
      <c r="G178" s="128">
        <v>0.5</v>
      </c>
      <c r="H178" s="132">
        <v>12.61</v>
      </c>
      <c r="I178" s="129">
        <v>1</v>
      </c>
      <c r="J178" s="129"/>
      <c r="K178" s="130">
        <v>12.61</v>
      </c>
      <c r="L178" s="111"/>
      <c r="M178" s="129"/>
      <c r="N178" s="129"/>
      <c r="O178" s="129"/>
      <c r="P178" s="131">
        <f>IF(VLOOKUP(A178,[4]Sheet2!$A$39:$C$140,3)="F.V.",0.5,VLOOKUP(A178,[4]Sheet2!$A$39:$C$140,3))</f>
        <v>0.5</v>
      </c>
      <c r="Q178" s="105" t="s">
        <v>687</v>
      </c>
      <c r="R178" s="105">
        <f>MATCH(Q178,[4]Sheet2!A:A,)</f>
        <v>89</v>
      </c>
    </row>
    <row r="179" spans="1:18">
      <c r="A179" s="126">
        <v>1990</v>
      </c>
      <c r="B179" s="127" t="s">
        <v>25</v>
      </c>
      <c r="C179" s="109" t="s">
        <v>1966</v>
      </c>
      <c r="D179" s="105" t="s">
        <v>1577</v>
      </c>
      <c r="E179" s="105" t="s">
        <v>1403</v>
      </c>
      <c r="F179" s="120" t="s">
        <v>1413</v>
      </c>
      <c r="G179" s="128">
        <v>0.5</v>
      </c>
      <c r="H179" s="132">
        <v>12.61</v>
      </c>
      <c r="I179" s="129">
        <v>1</v>
      </c>
      <c r="J179" s="129"/>
      <c r="K179" s="130">
        <v>12.61</v>
      </c>
      <c r="L179" s="111"/>
      <c r="M179" s="129"/>
      <c r="N179" s="129"/>
      <c r="O179" s="129"/>
      <c r="P179" s="131">
        <f>IF(VLOOKUP(A179,[4]Sheet2!$A$39:$C$140,3)="F.V.",0.5,VLOOKUP(A179,[4]Sheet2!$A$39:$C$140,3))</f>
        <v>0.5</v>
      </c>
      <c r="Q179" s="105" t="s">
        <v>687</v>
      </c>
      <c r="R179" s="105">
        <f>MATCH(Q179,[4]Sheet2!A:A,)</f>
        <v>89</v>
      </c>
    </row>
    <row r="180" spans="1:18">
      <c r="A180" s="126">
        <v>1991</v>
      </c>
      <c r="B180" s="127" t="s">
        <v>13</v>
      </c>
      <c r="C180" s="109" t="s">
        <v>1966</v>
      </c>
      <c r="D180" s="105" t="s">
        <v>1578</v>
      </c>
      <c r="E180" s="105" t="s">
        <v>1403</v>
      </c>
      <c r="F180" s="105" t="s">
        <v>1517</v>
      </c>
      <c r="G180" s="128">
        <v>0.5</v>
      </c>
      <c r="H180" s="132">
        <v>2.0699999999999998</v>
      </c>
      <c r="I180" s="129">
        <v>1</v>
      </c>
      <c r="J180" s="129"/>
      <c r="K180" s="130">
        <v>2.0699999999999998</v>
      </c>
      <c r="L180" s="111"/>
      <c r="M180" s="129"/>
      <c r="N180" s="129"/>
      <c r="O180" s="129"/>
      <c r="P180" s="131">
        <f>IF(VLOOKUP(A180,[4]Sheet2!$A$39:$C$140,3)="F.V.",0.5,VLOOKUP(A180,[4]Sheet2!$A$39:$C$140,3))</f>
        <v>0.5</v>
      </c>
      <c r="Q180" s="105" t="s">
        <v>268</v>
      </c>
      <c r="R180" s="105">
        <f>MATCH(Q180,[4]Sheet2!A:A,)</f>
        <v>92</v>
      </c>
    </row>
    <row r="181" spans="1:18">
      <c r="A181" s="126">
        <v>1992</v>
      </c>
      <c r="B181" s="127" t="s">
        <v>25</v>
      </c>
      <c r="C181" s="109" t="s">
        <v>1966</v>
      </c>
      <c r="D181" s="105" t="s">
        <v>1579</v>
      </c>
      <c r="E181" s="105" t="s">
        <v>1403</v>
      </c>
      <c r="F181" s="120" t="s">
        <v>1413</v>
      </c>
      <c r="G181" s="128">
        <v>0.5</v>
      </c>
      <c r="H181" s="132">
        <v>2.36</v>
      </c>
      <c r="I181" s="129">
        <v>1</v>
      </c>
      <c r="J181" s="129"/>
      <c r="K181" s="130">
        <v>2.36</v>
      </c>
      <c r="L181" s="111"/>
      <c r="M181" s="129"/>
      <c r="N181" s="129"/>
      <c r="O181" s="129"/>
      <c r="P181" s="131">
        <f>IF(VLOOKUP(A181,[4]Sheet2!$A$39:$C$140,3)="F.V.",0.5,VLOOKUP(A181,[4]Sheet2!$A$39:$C$140,3))</f>
        <v>0.5</v>
      </c>
      <c r="Q181" s="105" t="s">
        <v>691</v>
      </c>
      <c r="R181" s="105">
        <f>MATCH(Q181,[4]Sheet2!A:A,)</f>
        <v>94</v>
      </c>
    </row>
    <row r="182" spans="1:18">
      <c r="A182" s="126">
        <v>1992</v>
      </c>
      <c r="B182" s="127" t="s">
        <v>25</v>
      </c>
      <c r="C182" s="109" t="s">
        <v>1966</v>
      </c>
      <c r="D182" s="105" t="s">
        <v>1580</v>
      </c>
      <c r="E182" s="105" t="s">
        <v>1403</v>
      </c>
      <c r="F182" s="120" t="s">
        <v>1413</v>
      </c>
      <c r="G182" s="128">
        <v>0.5</v>
      </c>
      <c r="H182" s="132">
        <v>2.36</v>
      </c>
      <c r="I182" s="129">
        <v>1</v>
      </c>
      <c r="J182" s="129"/>
      <c r="K182" s="130">
        <v>2.36</v>
      </c>
      <c r="L182" s="111"/>
      <c r="M182" s="129"/>
      <c r="N182" s="129"/>
      <c r="O182" s="129"/>
      <c r="P182" s="131">
        <f>IF(VLOOKUP(A182,[4]Sheet2!$A$39:$C$140,3)="F.V.",0.5,VLOOKUP(A182,[4]Sheet2!$A$39:$C$140,3))</f>
        <v>0.5</v>
      </c>
      <c r="Q182" s="105" t="s">
        <v>691</v>
      </c>
      <c r="R182" s="105">
        <f>MATCH(Q182,[4]Sheet2!A:A,)</f>
        <v>94</v>
      </c>
    </row>
    <row r="183" spans="1:18">
      <c r="A183" s="126">
        <v>1992</v>
      </c>
      <c r="B183" s="127" t="s">
        <v>25</v>
      </c>
      <c r="C183" s="109" t="s">
        <v>1966</v>
      </c>
      <c r="D183" s="105" t="s">
        <v>1581</v>
      </c>
      <c r="E183" s="105" t="s">
        <v>1403</v>
      </c>
      <c r="F183" s="120" t="s">
        <v>1413</v>
      </c>
      <c r="G183" s="128">
        <v>0.5</v>
      </c>
      <c r="H183" s="132">
        <v>2.36</v>
      </c>
      <c r="I183" s="129">
        <v>1</v>
      </c>
      <c r="J183" s="129"/>
      <c r="K183" s="130">
        <v>2.36</v>
      </c>
      <c r="L183" s="111"/>
      <c r="M183" s="129"/>
      <c r="N183" s="129"/>
      <c r="O183" s="129"/>
      <c r="P183" s="131">
        <f>IF(VLOOKUP(A183,[4]Sheet2!$A$39:$C$140,3)="F.V.",0.5,VLOOKUP(A183,[4]Sheet2!$A$39:$C$140,3))</f>
        <v>0.5</v>
      </c>
      <c r="Q183" s="105" t="s">
        <v>691</v>
      </c>
      <c r="R183" s="105">
        <f>MATCH(Q183,[4]Sheet2!A:A,)</f>
        <v>94</v>
      </c>
    </row>
    <row r="184" spans="1:18">
      <c r="A184" s="126">
        <v>1992</v>
      </c>
      <c r="B184" s="127" t="s">
        <v>25</v>
      </c>
      <c r="C184" s="109" t="s">
        <v>1966</v>
      </c>
      <c r="D184" s="105" t="s">
        <v>1582</v>
      </c>
      <c r="E184" s="105" t="s">
        <v>1403</v>
      </c>
      <c r="F184" s="105" t="s">
        <v>1517</v>
      </c>
      <c r="G184" s="128">
        <v>0.5</v>
      </c>
      <c r="H184" s="132">
        <v>2.36</v>
      </c>
      <c r="I184" s="129">
        <v>1</v>
      </c>
      <c r="J184" s="129"/>
      <c r="K184" s="130">
        <v>2.36</v>
      </c>
      <c r="L184" s="111"/>
      <c r="M184" s="129"/>
      <c r="N184" s="129"/>
      <c r="O184" s="129"/>
      <c r="P184" s="131">
        <f>IF(VLOOKUP(A184,[4]Sheet2!$A$39:$C$140,3)="F.V.",0.5,VLOOKUP(A184,[4]Sheet2!$A$39:$C$140,3))</f>
        <v>0.5</v>
      </c>
      <c r="Q184" s="105" t="s">
        <v>691</v>
      </c>
      <c r="R184" s="105">
        <f>MATCH(Q184,[4]Sheet2!A:A,)</f>
        <v>94</v>
      </c>
    </row>
    <row r="185" spans="1:18">
      <c r="A185" s="126">
        <v>1993</v>
      </c>
      <c r="B185" s="127" t="s">
        <v>13</v>
      </c>
      <c r="C185" s="109" t="s">
        <v>1966</v>
      </c>
      <c r="D185" s="105" t="s">
        <v>1583</v>
      </c>
      <c r="E185" s="105" t="s">
        <v>1403</v>
      </c>
      <c r="F185" s="105" t="s">
        <v>1517</v>
      </c>
      <c r="G185" s="128">
        <v>0.5</v>
      </c>
      <c r="H185" s="132">
        <v>2.6</v>
      </c>
      <c r="I185" s="129">
        <v>1</v>
      </c>
      <c r="J185" s="129"/>
      <c r="K185" s="130">
        <v>2.6</v>
      </c>
      <c r="L185" s="111"/>
      <c r="M185" s="129"/>
      <c r="N185" s="129"/>
      <c r="O185" s="129"/>
      <c r="P185" s="131">
        <f>IF(VLOOKUP(A185,[4]Sheet2!$A$39:$C$140,3)="F.V.",0.5,VLOOKUP(A185,[4]Sheet2!$A$39:$C$140,3))</f>
        <v>0.5</v>
      </c>
      <c r="Q185" s="105" t="s">
        <v>277</v>
      </c>
      <c r="R185" s="105">
        <f>MATCH(Q185,[4]Sheet2!A:A,)</f>
        <v>97</v>
      </c>
    </row>
    <row r="186" spans="1:18">
      <c r="A186" s="126"/>
      <c r="B186" s="127"/>
      <c r="H186" s="129"/>
      <c r="I186" s="129"/>
      <c r="J186" s="129"/>
      <c r="K186" s="129"/>
      <c r="L186" s="129"/>
    </row>
    <row r="187" spans="1:18">
      <c r="A187" s="126"/>
      <c r="B187" s="127"/>
      <c r="H187" s="129"/>
      <c r="I187" s="129"/>
      <c r="J187" s="129"/>
      <c r="K187" s="129"/>
      <c r="L187" s="129"/>
    </row>
    <row r="188" spans="1:18">
      <c r="A188" s="126"/>
      <c r="B188" s="127"/>
      <c r="H188" s="129"/>
      <c r="I188" s="129"/>
      <c r="J188" s="129"/>
      <c r="K188" s="129"/>
      <c r="L188" s="129"/>
    </row>
    <row r="189" spans="1:18">
      <c r="A189" s="126"/>
      <c r="B189" s="127"/>
      <c r="H189" s="129"/>
      <c r="I189" s="129"/>
      <c r="J189" s="129"/>
      <c r="K189" s="129"/>
      <c r="L189" s="129"/>
    </row>
    <row r="190" spans="1:18">
      <c r="A190" s="126"/>
      <c r="B190" s="127"/>
      <c r="H190" s="129"/>
      <c r="I190" s="129"/>
      <c r="J190" s="129"/>
      <c r="K190" s="129"/>
      <c r="L190" s="129"/>
    </row>
    <row r="191" spans="1:18">
      <c r="A191" s="126"/>
      <c r="B191" s="127"/>
      <c r="H191" s="129"/>
      <c r="I191" s="129"/>
      <c r="J191" s="129"/>
      <c r="K191" s="129"/>
      <c r="L191" s="129"/>
    </row>
    <row r="192" spans="1:18">
      <c r="A192" s="126"/>
      <c r="B192" s="127"/>
      <c r="H192" s="129"/>
      <c r="I192" s="129"/>
      <c r="J192" s="129"/>
      <c r="K192" s="129"/>
      <c r="L192" s="129"/>
    </row>
    <row r="193" spans="1:12">
      <c r="A193" s="126"/>
      <c r="B193" s="127"/>
      <c r="H193" s="129"/>
      <c r="I193" s="129"/>
      <c r="J193" s="129"/>
      <c r="K193" s="129"/>
      <c r="L193" s="129"/>
    </row>
    <row r="194" spans="1:12">
      <c r="A194" s="126"/>
      <c r="B194" s="127"/>
      <c r="H194" s="129"/>
      <c r="I194" s="129"/>
      <c r="J194" s="129"/>
      <c r="K194" s="129"/>
      <c r="L194" s="129"/>
    </row>
    <row r="195" spans="1:12">
      <c r="A195" s="126"/>
      <c r="B195" s="127"/>
      <c r="H195" s="129"/>
      <c r="I195" s="129"/>
      <c r="J195" s="129"/>
      <c r="K195" s="129"/>
      <c r="L195" s="129"/>
    </row>
    <row r="196" spans="1:12">
      <c r="A196" s="126"/>
      <c r="B196" s="127"/>
      <c r="H196" s="129"/>
      <c r="I196" s="129"/>
      <c r="J196" s="129"/>
      <c r="K196" s="129"/>
      <c r="L196" s="129"/>
    </row>
    <row r="197" spans="1:12">
      <c r="H197" s="129"/>
      <c r="I197" s="129"/>
      <c r="J197" s="129"/>
      <c r="K197" s="129"/>
      <c r="L197" s="129"/>
    </row>
    <row r="198" spans="1:12">
      <c r="H198" s="129"/>
      <c r="I198" s="129"/>
      <c r="J198" s="129"/>
      <c r="K198" s="129"/>
      <c r="L198" s="129"/>
    </row>
    <row r="199" spans="1:12">
      <c r="H199" s="129"/>
      <c r="I199" s="129"/>
      <c r="J199" s="129"/>
      <c r="K199" s="129"/>
      <c r="L199" s="129"/>
    </row>
    <row r="200" spans="1:12">
      <c r="H200" s="129"/>
      <c r="I200" s="129"/>
      <c r="J200" s="129"/>
      <c r="K200" s="129"/>
      <c r="L200" s="129"/>
    </row>
    <row r="201" spans="1:12">
      <c r="H201" s="129"/>
      <c r="I201" s="129"/>
      <c r="J201" s="129"/>
      <c r="K201" s="129"/>
      <c r="L201" s="129"/>
    </row>
    <row r="202" spans="1:12">
      <c r="H202" s="129"/>
      <c r="I202" s="129"/>
      <c r="J202" s="129"/>
      <c r="K202" s="129"/>
      <c r="L202" s="129"/>
    </row>
    <row r="203" spans="1:12">
      <c r="H203" s="129"/>
      <c r="I203" s="129"/>
      <c r="J203" s="129"/>
      <c r="K203" s="129"/>
      <c r="L203" s="129"/>
    </row>
    <row r="204" spans="1:12">
      <c r="H204" s="129"/>
      <c r="I204" s="129"/>
      <c r="J204" s="129"/>
      <c r="K204" s="129"/>
      <c r="L204" s="129"/>
    </row>
    <row r="205" spans="1:12">
      <c r="H205" s="129"/>
      <c r="I205" s="129"/>
      <c r="J205" s="129"/>
      <c r="K205" s="129"/>
      <c r="L205" s="129"/>
    </row>
    <row r="206" spans="1:12">
      <c r="H206" s="129"/>
      <c r="I206" s="129"/>
      <c r="J206" s="129"/>
      <c r="K206" s="129"/>
      <c r="L206" s="129"/>
    </row>
    <row r="207" spans="1:12">
      <c r="H207" s="129"/>
      <c r="I207" s="129"/>
      <c r="J207" s="129"/>
      <c r="K207" s="129"/>
      <c r="L207" s="129"/>
    </row>
    <row r="208" spans="1:12">
      <c r="H208" s="129"/>
      <c r="I208" s="129"/>
      <c r="J208" s="129"/>
      <c r="K208" s="129"/>
      <c r="L208" s="129"/>
    </row>
    <row r="209" spans="8:12">
      <c r="H209" s="129"/>
      <c r="I209" s="129"/>
      <c r="J209" s="129"/>
      <c r="K209" s="129"/>
      <c r="L209" s="129"/>
    </row>
    <row r="210" spans="8:12">
      <c r="H210" s="129"/>
      <c r="I210" s="129"/>
      <c r="J210" s="129"/>
      <c r="K210" s="129"/>
      <c r="L210" s="129"/>
    </row>
    <row r="211" spans="8:12">
      <c r="H211" s="129"/>
      <c r="I211" s="129"/>
      <c r="J211" s="129"/>
      <c r="K211" s="129"/>
      <c r="L211" s="129"/>
    </row>
    <row r="212" spans="8:12">
      <c r="H212" s="129"/>
      <c r="I212" s="129"/>
      <c r="J212" s="129"/>
      <c r="K212" s="129"/>
      <c r="L212" s="129"/>
    </row>
    <row r="213" spans="8:12">
      <c r="H213" s="129"/>
      <c r="I213" s="129"/>
      <c r="J213" s="129"/>
      <c r="K213" s="129"/>
      <c r="L213" s="129"/>
    </row>
    <row r="214" spans="8:12">
      <c r="H214" s="129"/>
      <c r="I214" s="129"/>
      <c r="J214" s="129"/>
      <c r="K214" s="129"/>
      <c r="L214" s="129"/>
    </row>
    <row r="215" spans="8:12">
      <c r="H215" s="129"/>
      <c r="I215" s="129"/>
      <c r="J215" s="129"/>
      <c r="K215" s="129"/>
      <c r="L215" s="129"/>
    </row>
    <row r="216" spans="8:12">
      <c r="H216" s="129"/>
      <c r="I216" s="129"/>
      <c r="J216" s="129"/>
      <c r="K216" s="129"/>
      <c r="L216" s="129"/>
    </row>
    <row r="217" spans="8:12">
      <c r="H217" s="129"/>
      <c r="I217" s="129"/>
      <c r="J217" s="129"/>
      <c r="K217" s="129"/>
      <c r="L217" s="129"/>
    </row>
    <row r="218" spans="8:12">
      <c r="H218" s="129"/>
      <c r="I218" s="129"/>
      <c r="J218" s="129"/>
      <c r="K218" s="129"/>
      <c r="L218" s="129"/>
    </row>
    <row r="219" spans="8:12">
      <c r="H219" s="129"/>
      <c r="I219" s="129"/>
      <c r="J219" s="129"/>
      <c r="K219" s="129"/>
      <c r="L219" s="129"/>
    </row>
    <row r="220" spans="8:12">
      <c r="H220" s="129"/>
      <c r="I220" s="129"/>
      <c r="J220" s="129"/>
      <c r="K220" s="129"/>
      <c r="L220" s="129"/>
    </row>
    <row r="221" spans="8:12">
      <c r="H221" s="129"/>
      <c r="I221" s="129"/>
      <c r="J221" s="129"/>
      <c r="K221" s="129"/>
      <c r="L221" s="129"/>
    </row>
    <row r="222" spans="8:12">
      <c r="H222" s="129"/>
      <c r="I222" s="129"/>
      <c r="J222" s="129"/>
      <c r="K222" s="129"/>
      <c r="L222" s="129"/>
    </row>
    <row r="223" spans="8:12">
      <c r="H223" s="129"/>
      <c r="I223" s="129"/>
      <c r="J223" s="129"/>
      <c r="K223" s="129"/>
      <c r="L223" s="129"/>
    </row>
    <row r="224" spans="8:12">
      <c r="H224" s="129"/>
      <c r="I224" s="129"/>
      <c r="J224" s="129"/>
      <c r="K224" s="129"/>
      <c r="L224" s="129"/>
    </row>
    <row r="225" spans="8:12">
      <c r="H225" s="129"/>
      <c r="I225" s="129"/>
      <c r="J225" s="129"/>
      <c r="K225" s="129"/>
      <c r="L225" s="129"/>
    </row>
    <row r="226" spans="8:12">
      <c r="H226" s="129"/>
      <c r="I226" s="129"/>
      <c r="J226" s="129"/>
      <c r="K226" s="129"/>
      <c r="L226" s="129"/>
    </row>
    <row r="227" spans="8:12">
      <c r="H227" s="129"/>
      <c r="I227" s="129"/>
      <c r="J227" s="129"/>
      <c r="K227" s="129"/>
      <c r="L227" s="129"/>
    </row>
    <row r="228" spans="8:12">
      <c r="H228" s="129"/>
      <c r="I228" s="129"/>
      <c r="J228" s="129"/>
      <c r="K228" s="129"/>
      <c r="L228" s="129"/>
    </row>
  </sheetData>
  <sheetProtection selectLockedCells="1" selectUnlockedCells="1"/>
  <dataValidations disablePrompts="1" count="2">
    <dataValidation type="list" operator="equal" allowBlank="1" showErrorMessage="1" sqref="V1:V2" xr:uid="{B8535974-3259-4319-A85D-31053F12950F}">
      <formula1>"LIBFRNKEN"</formula1>
      <formula2>0</formula2>
    </dataValidation>
    <dataValidation type="list" allowBlank="1" showErrorMessage="1" sqref="Y1:Y2" xr:uid="{B7E669A2-2EDD-4036-AD73-ACA5810C9848}">
      <formula1>"DIM"</formula1>
      <formula2>0</formula2>
    </dataValidation>
  </dataValidations>
  <printOptions gridLines="1"/>
  <pageMargins left="0.75" right="0.75" top="1" bottom="1" header="0.5" footer="0.51181102362204722"/>
  <pageSetup firstPageNumber="0" orientation="landscape" horizontalDpi="300" verticalDpi="300"/>
  <headerFooter alignWithMargins="0">
    <oddHeader>&amp;CHalf Dollar Collection - &amp;D</oddHeader>
  </headerFooter>
  <drawing r:id="rId1"/>
  <legacy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E4652-DB75-4947-86BE-A9A3DF75F428}">
  <sheetPr codeName="Sheet21">
    <tabColor rgb="FFF0F4BE"/>
  </sheetPr>
  <dimension ref="A1:J4"/>
  <sheetViews>
    <sheetView workbookViewId="0"/>
  </sheetViews>
  <sheetFormatPr defaultColWidth="9.140625" defaultRowHeight="12.75"/>
  <cols>
    <col min="1" max="1" width="20.5703125" style="105" bestFit="1" customWidth="1"/>
    <col min="2" max="2" width="9.140625" style="105"/>
    <col min="3" max="3" width="9" style="105" bestFit="1" customWidth="1"/>
    <col min="4" max="4" width="16.7109375" style="105" bestFit="1" customWidth="1"/>
    <col min="5" max="5" width="15.42578125" style="105" bestFit="1" customWidth="1"/>
    <col min="6" max="6" width="11.28515625" style="105" bestFit="1" customWidth="1"/>
    <col min="7" max="7" width="6" style="105" bestFit="1" customWidth="1"/>
    <col min="8" max="8" width="5.5703125" style="105" bestFit="1" customWidth="1"/>
    <col min="9" max="9" width="4" style="105" bestFit="1" customWidth="1"/>
    <col min="10" max="10" width="10.5703125" style="105" bestFit="1" customWidth="1"/>
    <col min="11" max="16384" width="9.140625" style="105"/>
  </cols>
  <sheetData>
    <row r="1" spans="1:10">
      <c r="A1" s="138" t="s">
        <v>830</v>
      </c>
      <c r="B1" s="139">
        <v>1961</v>
      </c>
    </row>
    <row r="3" spans="1:10">
      <c r="A3" s="140" t="s">
        <v>1154</v>
      </c>
      <c r="B3" s="141" t="s">
        <v>1387</v>
      </c>
      <c r="C3" s="141" t="s">
        <v>3</v>
      </c>
      <c r="D3" s="141" t="s">
        <v>1388</v>
      </c>
      <c r="E3" s="141" t="s">
        <v>4</v>
      </c>
      <c r="F3" s="141" t="s">
        <v>1389</v>
      </c>
      <c r="G3" s="141" t="s">
        <v>6</v>
      </c>
      <c r="H3" s="141" t="s">
        <v>7</v>
      </c>
      <c r="I3" s="141" t="s">
        <v>8</v>
      </c>
      <c r="J3" s="142" t="s">
        <v>288</v>
      </c>
    </row>
    <row r="4" spans="1:10">
      <c r="A4" s="105" cm="1">
        <f t="array" ref="A4:J4">_xlfn._xlws.FILTER(Halves!A:J,Halves!A:A=B1,"Not Found")</f>
        <v>1961</v>
      </c>
      <c r="B4" s="105">
        <v>0</v>
      </c>
      <c r="C4" s="105" t="str">
        <v>Half Dollar</v>
      </c>
      <c r="D4" s="105" t="str">
        <v>FRN1961HALF-AA</v>
      </c>
      <c r="E4" s="105" t="str">
        <v>FRANKLIN HALF</v>
      </c>
      <c r="F4" s="105" t="str">
        <v>MS-63 SELECT UNCIRC</v>
      </c>
      <c r="G4" s="105">
        <v>13.75</v>
      </c>
      <c r="H4" s="105">
        <v>21</v>
      </c>
      <c r="I4" s="105">
        <v>1</v>
      </c>
      <c r="J4" s="105">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19779-E20B-4C41-A955-8DDA8A13D5EB}">
  <sheetPr codeName="Sheet22"/>
  <dimension ref="A1:U96"/>
  <sheetViews>
    <sheetView workbookViewId="0"/>
  </sheetViews>
  <sheetFormatPr defaultColWidth="9.140625" defaultRowHeight="12.75" customHeight="1"/>
  <cols>
    <col min="1" max="1" width="6.5703125" style="158" customWidth="1"/>
    <col min="2" max="2" width="6.28515625" style="34" customWidth="1"/>
    <col min="3" max="3" width="16.85546875" style="34" customWidth="1"/>
    <col min="4" max="4" width="28.5703125" style="34" customWidth="1"/>
    <col min="5" max="5" width="22" style="34" customWidth="1"/>
    <col min="6" max="6" width="22" style="34" bestFit="1" customWidth="1"/>
    <col min="7" max="7" width="12.5703125" style="150" customWidth="1"/>
    <col min="8" max="8" width="10.140625" style="35" bestFit="1" customWidth="1"/>
    <col min="9" max="9" width="18.7109375" style="34" bestFit="1" customWidth="1"/>
    <col min="10" max="10" width="14.85546875" style="34" bestFit="1" customWidth="1"/>
    <col min="11" max="13" width="21.85546875" style="34" customWidth="1"/>
    <col min="14" max="14" width="27.140625" style="34" bestFit="1" customWidth="1"/>
    <col min="15" max="15" width="5.28515625" style="34" customWidth="1"/>
    <col min="16" max="16" width="24.42578125" style="34" customWidth="1"/>
    <col min="17" max="17" width="24.85546875" style="34" customWidth="1"/>
    <col min="18" max="18" width="9.140625" style="34"/>
    <col min="19" max="19" width="9.140625" style="46"/>
    <col min="20" max="16384" width="9.140625" style="34"/>
  </cols>
  <sheetData>
    <row r="1" spans="1:21" ht="11.65" customHeight="1">
      <c r="A1" s="145" t="s">
        <v>0</v>
      </c>
      <c r="B1" s="37" t="s">
        <v>1</v>
      </c>
      <c r="C1" s="37" t="s">
        <v>1960</v>
      </c>
      <c r="D1" s="37" t="s">
        <v>1828</v>
      </c>
      <c r="E1" s="37" t="s">
        <v>286</v>
      </c>
      <c r="F1" s="37" t="s">
        <v>5</v>
      </c>
      <c r="G1" s="37" t="s">
        <v>6</v>
      </c>
      <c r="H1" s="37" t="s">
        <v>7</v>
      </c>
      <c r="I1" s="37" t="s">
        <v>8</v>
      </c>
      <c r="J1" s="146" t="s">
        <v>1588</v>
      </c>
      <c r="K1" s="37" t="s">
        <v>288</v>
      </c>
      <c r="L1" s="37" t="s">
        <v>1964</v>
      </c>
      <c r="M1" s="56"/>
      <c r="N1" s="55" t="str">
        <f>"Paid = "&amp;DOLLAR(SUM(F2:F2026))</f>
        <v>Paid = $0.00</v>
      </c>
      <c r="O1" s="56"/>
      <c r="P1" s="56"/>
      <c r="Q1" s="56"/>
      <c r="R1" s="56"/>
      <c r="S1" s="34"/>
      <c r="U1" s="46"/>
    </row>
    <row r="2" spans="1:21" ht="12.75" customHeight="1">
      <c r="A2" s="147" t="s">
        <v>1589</v>
      </c>
      <c r="B2" s="35" t="s">
        <v>1590</v>
      </c>
      <c r="C2" s="93" t="s">
        <v>1968</v>
      </c>
      <c r="D2" s="34" t="s">
        <v>1591</v>
      </c>
      <c r="E2" s="34" t="s">
        <v>1592</v>
      </c>
      <c r="F2" s="148" t="s">
        <v>1593</v>
      </c>
      <c r="G2" s="149">
        <v>1</v>
      </c>
      <c r="H2" s="150">
        <v>1</v>
      </c>
      <c r="I2" s="35">
        <v>1</v>
      </c>
      <c r="J2" s="151">
        <v>24</v>
      </c>
      <c r="K2" s="151"/>
      <c r="L2" s="192"/>
      <c r="M2" s="151"/>
      <c r="N2" s="152" t="str">
        <f>"Book = "&amp;DOLLAR(SUM(H:H))</f>
        <v>Book = $913.45</v>
      </c>
      <c r="O2" s="151"/>
      <c r="P2" s="153" t="str">
        <f>IF(Dollars[[#This Row],[Mint]]="",Dollars[[#This Row],[Date]],Dollars[[#This Row],[Date]]&amp;" "&amp;Dollars[[#This Row],[Mint]])</f>
        <v>1883 O</v>
      </c>
      <c r="Q2" s="153">
        <f>MATCH(P2,[5]Sheet2!A:A,0)</f>
        <v>23</v>
      </c>
      <c r="R2" s="34">
        <f>MATCH(A2&amp;" "&amp;B2,[5]Sheet2!$A$1:$A$96,0)</f>
        <v>23</v>
      </c>
      <c r="S2" s="34">
        <f>MATCH(F2,[5]Sheet2!A1:F1,0)</f>
        <v>5</v>
      </c>
      <c r="T2" s="34" t="str">
        <f>INDEX([5]Sheet2!A1:F96,'SILVER DOLLARS'!R2,'SILVER DOLLARS'!S2)</f>
        <v>$24.00   $25.00</v>
      </c>
      <c r="U2" s="46" t="str">
        <f t="shared" ref="U2:U10" si="0">IF(B2&lt;&gt;"",A2&amp;" "&amp;B2,A2)</f>
        <v>1883 O</v>
      </c>
    </row>
    <row r="3" spans="1:21" ht="12.75" customHeight="1">
      <c r="A3" s="147">
        <v>1885</v>
      </c>
      <c r="B3" s="35"/>
      <c r="C3" s="93" t="s">
        <v>1968</v>
      </c>
      <c r="D3" s="34" t="s">
        <v>1594</v>
      </c>
      <c r="E3" s="34" t="s">
        <v>1592</v>
      </c>
      <c r="F3" s="148" t="s">
        <v>1593</v>
      </c>
      <c r="G3" s="149">
        <v>1</v>
      </c>
      <c r="H3" s="150">
        <v>1</v>
      </c>
      <c r="I3" s="35">
        <v>1</v>
      </c>
      <c r="J3" s="151">
        <v>24</v>
      </c>
      <c r="K3" s="151"/>
      <c r="L3" s="192"/>
      <c r="M3" s="151"/>
      <c r="N3" s="55" t="str">
        <f>"Qty = "&amp;SUM(H2:H2026)</f>
        <v>Qty = 913.45</v>
      </c>
      <c r="O3" s="151"/>
      <c r="P3" s="153">
        <f>IF(Dollars[[#This Row],[Mint]]="",Dollars[[#This Row],[Date]],Dollars[[#This Row],[Date]]&amp;" "&amp;Dollars[[#This Row],[Mint]])</f>
        <v>1885</v>
      </c>
      <c r="Q3" s="153">
        <f>MATCH(P3,[5]Sheet2!A:A,0)</f>
        <v>29</v>
      </c>
      <c r="R3" s="34">
        <f>MATCH(A3,[5]Sheet2!$A$1:$A$96,0)</f>
        <v>29</v>
      </c>
      <c r="S3" s="34" t="e">
        <f>MATCH(F3,[5]Sheet2!A2:F2,0)</f>
        <v>#N/A</v>
      </c>
      <c r="T3" s="34" t="e">
        <f>INDEX([5]Sheet2!A2:F97,'SILVER DOLLARS'!R3,'SILVER DOLLARS'!S3)</f>
        <v>#N/A</v>
      </c>
      <c r="U3" s="46">
        <f t="shared" si="0"/>
        <v>1885</v>
      </c>
    </row>
    <row r="4" spans="1:21" ht="12.75" customHeight="1">
      <c r="A4" s="147">
        <v>1891</v>
      </c>
      <c r="B4" s="35"/>
      <c r="C4" s="93" t="s">
        <v>1968</v>
      </c>
      <c r="D4" s="34" t="s">
        <v>1595</v>
      </c>
      <c r="E4" s="34" t="s">
        <v>1592</v>
      </c>
      <c r="F4" s="148" t="s">
        <v>1593</v>
      </c>
      <c r="G4" s="149">
        <v>1</v>
      </c>
      <c r="H4" s="150">
        <v>1</v>
      </c>
      <c r="I4" s="35">
        <v>1</v>
      </c>
      <c r="J4" s="151">
        <v>24</v>
      </c>
      <c r="K4" s="151"/>
      <c r="L4" s="192"/>
      <c r="M4" s="151"/>
      <c r="N4" s="56" t="str">
        <f>"Book Value Lookup = "&amp;DOLLAR(SUM(I2:I2029))</f>
        <v>Book Value Lookup = $97.00</v>
      </c>
      <c r="O4" s="151"/>
      <c r="P4" s="153">
        <f>IF(Dollars[[#This Row],[Mint]]="",Dollars[[#This Row],[Date]],Dollars[[#This Row],[Date]]&amp;" "&amp;Dollars[[#This Row],[Mint]])</f>
        <v>1891</v>
      </c>
      <c r="Q4" s="153">
        <f>MATCH(P4,[5]Sheet2!A:A,0)</f>
        <v>50</v>
      </c>
      <c r="R4" s="34">
        <f>MATCH(A4,[5]Sheet2!$A$1:$A$96,0)</f>
        <v>50</v>
      </c>
      <c r="S4" s="34" t="e">
        <f>MATCH(F4,[5]Sheet2!A3:F3,0)</f>
        <v>#N/A</v>
      </c>
      <c r="T4" s="34" t="e">
        <f>INDEX([5]Sheet2!A3:F98,'SILVER DOLLARS'!R4,'SILVER DOLLARS'!S4)</f>
        <v>#N/A</v>
      </c>
      <c r="U4" s="46">
        <f t="shared" si="0"/>
        <v>1891</v>
      </c>
    </row>
    <row r="5" spans="1:21" ht="12.75" customHeight="1">
      <c r="A5" s="147">
        <v>1921</v>
      </c>
      <c r="B5" s="35"/>
      <c r="C5" s="93" t="s">
        <v>1968</v>
      </c>
      <c r="D5" s="34" t="s">
        <v>1596</v>
      </c>
      <c r="E5" s="34" t="s">
        <v>1592</v>
      </c>
      <c r="F5" s="148" t="s">
        <v>1593</v>
      </c>
      <c r="G5" s="149">
        <v>1</v>
      </c>
      <c r="H5" s="150">
        <v>1</v>
      </c>
      <c r="I5" s="35">
        <v>1</v>
      </c>
      <c r="J5" s="151">
        <v>24</v>
      </c>
      <c r="K5" s="151"/>
      <c r="L5" s="192"/>
      <c r="M5" s="151"/>
      <c r="N5" s="151"/>
      <c r="O5" s="151"/>
      <c r="P5" s="153">
        <f>IF(Dollars[[#This Row],[Mint]]="",Dollars[[#This Row],[Date]],Dollars[[#This Row],[Date]]&amp;" "&amp;Dollars[[#This Row],[Mint]])</f>
        <v>1921</v>
      </c>
      <c r="Q5" s="153">
        <f>MATCH(P5,[5]Sheet2!A:A,0)</f>
        <v>94</v>
      </c>
      <c r="R5" s="34">
        <f>MATCH(A5,[5]Sheet2!$A$1:$A$96,0)</f>
        <v>94</v>
      </c>
      <c r="S5" s="34" t="e">
        <f>MATCH(F5,[5]Sheet2!A4:F4,0)</f>
        <v>#N/A</v>
      </c>
      <c r="T5" s="34" t="e">
        <f>INDEX([5]Sheet2!A4:F99,'SILVER DOLLARS'!R5,'SILVER DOLLARS'!S5)</f>
        <v>#N/A</v>
      </c>
      <c r="U5" s="46">
        <f t="shared" si="0"/>
        <v>1921</v>
      </c>
    </row>
    <row r="6" spans="1:21" ht="12.75" customHeight="1">
      <c r="A6" s="147">
        <v>1921</v>
      </c>
      <c r="B6" s="35" t="s">
        <v>13</v>
      </c>
      <c r="C6" s="93" t="s">
        <v>1968</v>
      </c>
      <c r="D6" s="34" t="s">
        <v>1597</v>
      </c>
      <c r="E6" s="34" t="s">
        <v>1592</v>
      </c>
      <c r="F6" s="148" t="s">
        <v>1593</v>
      </c>
      <c r="G6" s="149">
        <v>1</v>
      </c>
      <c r="H6" s="150">
        <v>1</v>
      </c>
      <c r="I6" s="35">
        <v>1</v>
      </c>
      <c r="J6" s="151">
        <v>24</v>
      </c>
      <c r="K6" s="151"/>
      <c r="L6" s="192"/>
      <c r="M6" s="151"/>
      <c r="N6" s="151"/>
      <c r="O6" s="151"/>
      <c r="P6" s="153" t="str">
        <f>IF(Dollars[[#This Row],[Mint]]="",Dollars[[#This Row],[Date]],Dollars[[#This Row],[Date]]&amp;" "&amp;Dollars[[#This Row],[Mint]])</f>
        <v>1921 D</v>
      </c>
      <c r="Q6" s="153">
        <f>MATCH(P6,[5]Sheet2!A:A,0)</f>
        <v>95</v>
      </c>
      <c r="R6" s="34">
        <f>MATCH(A6&amp;" "&amp;B6,[5]Sheet2!$A$1:$A$96,0)</f>
        <v>95</v>
      </c>
      <c r="S6" s="34" t="e">
        <f>MATCH(F6,[5]Sheet2!A5:F5,0)</f>
        <v>#N/A</v>
      </c>
      <c r="T6" s="34" t="e">
        <f>INDEX([5]Sheet2!A5:F100,'SILVER DOLLARS'!R6,'SILVER DOLLARS'!S6)</f>
        <v>#N/A</v>
      </c>
      <c r="U6" s="46" t="str">
        <f t="shared" si="0"/>
        <v>1921 D</v>
      </c>
    </row>
    <row r="7" spans="1:21" ht="12.75" customHeight="1">
      <c r="A7" s="147">
        <v>1922</v>
      </c>
      <c r="B7" s="35"/>
      <c r="C7" s="93" t="s">
        <v>1968</v>
      </c>
      <c r="D7" s="34" t="s">
        <v>1598</v>
      </c>
      <c r="E7" s="34" t="s">
        <v>1592</v>
      </c>
      <c r="F7" s="148" t="s">
        <v>1593</v>
      </c>
      <c r="G7" s="149">
        <v>1</v>
      </c>
      <c r="H7" s="150">
        <v>1</v>
      </c>
      <c r="I7" s="35">
        <v>1</v>
      </c>
      <c r="J7" s="151">
        <v>24</v>
      </c>
      <c r="K7" s="151"/>
      <c r="L7" s="192"/>
      <c r="M7" s="151"/>
      <c r="N7" s="151"/>
      <c r="O7" s="151"/>
      <c r="P7" s="153">
        <f>IF(Dollars[[#This Row],[Mint]]="",Dollars[[#This Row],[Date]],Dollars[[#This Row],[Date]]&amp;" "&amp;Dollars[[#This Row],[Mint]])</f>
        <v>1922</v>
      </c>
      <c r="Q7" s="153">
        <f>MATCH(P7,[5]Sheet2!A:A,0)</f>
        <v>98</v>
      </c>
      <c r="R7" s="34" t="e">
        <f>MATCH(A7,[5]Sheet2!$A$1:$A$96,0)</f>
        <v>#N/A</v>
      </c>
      <c r="S7" s="34" t="e">
        <f>MATCH(F7,[5]Sheet2!A6:F6,0)</f>
        <v>#N/A</v>
      </c>
      <c r="T7" s="34" t="e">
        <f>INDEX([5]Sheet2!A6:F101,'SILVER DOLLARS'!R7,'SILVER DOLLARS'!S7)</f>
        <v>#N/A</v>
      </c>
      <c r="U7" s="46">
        <f t="shared" si="0"/>
        <v>1922</v>
      </c>
    </row>
    <row r="8" spans="1:21" ht="12.75" customHeight="1">
      <c r="A8" s="147">
        <v>1923</v>
      </c>
      <c r="B8" s="35"/>
      <c r="C8" s="93" t="s">
        <v>1968</v>
      </c>
      <c r="D8" s="34" t="s">
        <v>1599</v>
      </c>
      <c r="E8" s="34" t="s">
        <v>1592</v>
      </c>
      <c r="F8" s="148" t="s">
        <v>1593</v>
      </c>
      <c r="G8" s="149">
        <v>1</v>
      </c>
      <c r="H8" s="150">
        <v>1</v>
      </c>
      <c r="I8" s="35">
        <v>1</v>
      </c>
      <c r="J8" s="151">
        <v>24</v>
      </c>
      <c r="K8" s="151"/>
      <c r="L8" s="192"/>
      <c r="M8" s="151"/>
      <c r="N8" s="151"/>
      <c r="O8" s="151"/>
      <c r="P8" s="153">
        <f>IF(Dollars[[#This Row],[Mint]]="",Dollars[[#This Row],[Date]],Dollars[[#This Row],[Date]]&amp;" "&amp;Dollars[[#This Row],[Mint]])</f>
        <v>1923</v>
      </c>
      <c r="Q8" s="153">
        <f>MATCH(P8,[5]Sheet2!A:A,0)</f>
        <v>101</v>
      </c>
      <c r="R8" s="34" t="e">
        <f>MATCH(A8,[5]Sheet2!$A$1:$A$96,0)</f>
        <v>#N/A</v>
      </c>
      <c r="S8" s="34" t="e">
        <f>MATCH(F8,[5]Sheet2!A7:F7,0)</f>
        <v>#N/A</v>
      </c>
      <c r="T8" s="34" t="e">
        <f>INDEX([5]Sheet2!A7:F102,'SILVER DOLLARS'!R8,'SILVER DOLLARS'!S8)</f>
        <v>#N/A</v>
      </c>
      <c r="U8" s="46">
        <f t="shared" si="0"/>
        <v>1923</v>
      </c>
    </row>
    <row r="9" spans="1:21" ht="12.75" customHeight="1">
      <c r="A9" s="147">
        <v>1924</v>
      </c>
      <c r="B9" s="35"/>
      <c r="C9" s="93" t="s">
        <v>1968</v>
      </c>
      <c r="D9" s="34" t="s">
        <v>1600</v>
      </c>
      <c r="E9" s="34" t="s">
        <v>1592</v>
      </c>
      <c r="F9" s="148" t="s">
        <v>1593</v>
      </c>
      <c r="G9" s="149">
        <v>1</v>
      </c>
      <c r="H9" s="150">
        <v>1</v>
      </c>
      <c r="I9" s="35">
        <v>1</v>
      </c>
      <c r="J9" s="151">
        <v>24</v>
      </c>
      <c r="K9" s="151"/>
      <c r="L9" s="192"/>
      <c r="M9" s="151"/>
      <c r="N9" s="151"/>
      <c r="O9" s="151"/>
      <c r="P9" s="153">
        <f>IF(Dollars[[#This Row],[Mint]]="",Dollars[[#This Row],[Date]],Dollars[[#This Row],[Date]]&amp;" "&amp;Dollars[[#This Row],[Mint]])</f>
        <v>1924</v>
      </c>
      <c r="Q9" s="153">
        <f>MATCH(P9,[5]Sheet2!A:A,0)</f>
        <v>104</v>
      </c>
      <c r="R9" s="34" t="e">
        <f>MATCH(A9&amp;" "&amp;B9,[5]Sheet2!$A$1:$A$96,0)</f>
        <v>#N/A</v>
      </c>
      <c r="S9" s="34" t="e">
        <f>MATCH(F9,[5]Sheet2!A8:F8,0)</f>
        <v>#N/A</v>
      </c>
      <c r="T9" s="34" t="e">
        <f>INDEX([5]Sheet2!A8:F103,'SILVER DOLLARS'!R9,'SILVER DOLLARS'!S9)</f>
        <v>#N/A</v>
      </c>
      <c r="U9" s="46">
        <f t="shared" si="0"/>
        <v>1924</v>
      </c>
    </row>
    <row r="10" spans="1:21" ht="12.75" customHeight="1">
      <c r="A10" s="147">
        <v>1926</v>
      </c>
      <c r="B10" s="35"/>
      <c r="C10" s="93" t="s">
        <v>1968</v>
      </c>
      <c r="D10" s="38" t="s">
        <v>1601</v>
      </c>
      <c r="E10" s="38" t="s">
        <v>1592</v>
      </c>
      <c r="F10" s="148" t="s">
        <v>1593</v>
      </c>
      <c r="G10" s="149">
        <v>25</v>
      </c>
      <c r="H10" s="150">
        <v>1</v>
      </c>
      <c r="I10" s="35">
        <v>1</v>
      </c>
      <c r="J10" s="151">
        <v>25</v>
      </c>
      <c r="K10" s="151"/>
      <c r="L10" s="192"/>
      <c r="M10" s="151"/>
      <c r="N10" s="151"/>
      <c r="O10" s="151"/>
      <c r="P10" s="153">
        <f>IF(Dollars[[#This Row],[Mint]]="",Dollars[[#This Row],[Date]],Dollars[[#This Row],[Date]]&amp;" "&amp;Dollars[[#This Row],[Mint]])</f>
        <v>1926</v>
      </c>
      <c r="Q10" s="153">
        <f>MATCH(P10,[5]Sheet2!A:A,0)</f>
        <v>108</v>
      </c>
      <c r="S10" s="34"/>
      <c r="U10" s="46">
        <f t="shared" si="0"/>
        <v>1926</v>
      </c>
    </row>
    <row r="11" spans="1:21" ht="12.75" customHeight="1">
      <c r="A11" s="147">
        <v>1971</v>
      </c>
      <c r="B11" s="35"/>
      <c r="C11" s="93" t="s">
        <v>1968</v>
      </c>
      <c r="D11" s="34" t="s">
        <v>1602</v>
      </c>
      <c r="E11" s="34" t="s">
        <v>1603</v>
      </c>
      <c r="F11" s="34" t="s">
        <v>1517</v>
      </c>
      <c r="G11" s="149">
        <v>1</v>
      </c>
      <c r="H11" s="150">
        <v>1</v>
      </c>
      <c r="I11" s="35">
        <v>1</v>
      </c>
      <c r="J11" s="151">
        <v>1.25</v>
      </c>
      <c r="K11" s="151"/>
      <c r="L11" s="192"/>
      <c r="M11" s="151"/>
      <c r="N11" s="151"/>
      <c r="O11" s="151"/>
      <c r="P11" s="153">
        <f>IF(Dollars[[#This Row],[Mint]]="",Dollars[[#This Row],[Date]],Dollars[[#This Row],[Date]]&amp;" "&amp;Dollars[[#This Row],[Mint]])</f>
        <v>1971</v>
      </c>
      <c r="Q11" s="153">
        <f>MATCH(P11,[5]Sheet2!A:A,0)</f>
        <v>121</v>
      </c>
      <c r="R11" s="34" t="e">
        <f>MATCH(A11&amp;" "&amp;B11,[5]Sheet2!$A$1:$A$96,0)</f>
        <v>#N/A</v>
      </c>
      <c r="S11" s="34" t="e">
        <f>MATCH(F11,[5]Sheet2!A9:F9,0)</f>
        <v>#N/A</v>
      </c>
      <c r="T11" s="34" t="e">
        <f>INDEX([5]Sheet2!A9:F104,'SILVER DOLLARS'!R11,'SILVER DOLLARS'!S11)</f>
        <v>#N/A</v>
      </c>
      <c r="U11" s="46"/>
    </row>
    <row r="12" spans="1:21" ht="12.75" customHeight="1">
      <c r="A12" s="147">
        <v>1971</v>
      </c>
      <c r="B12" s="35"/>
      <c r="C12" s="93" t="s">
        <v>1968</v>
      </c>
      <c r="D12" s="34" t="s">
        <v>1604</v>
      </c>
      <c r="E12" s="34" t="s">
        <v>1603</v>
      </c>
      <c r="F12" s="34" t="s">
        <v>1517</v>
      </c>
      <c r="G12" s="149">
        <v>1</v>
      </c>
      <c r="H12" s="150">
        <v>1</v>
      </c>
      <c r="I12" s="35">
        <v>1</v>
      </c>
      <c r="J12" s="151">
        <v>1.25</v>
      </c>
      <c r="K12" s="151"/>
      <c r="L12" s="192"/>
      <c r="M12" s="151"/>
      <c r="N12" s="151"/>
      <c r="O12" s="151"/>
      <c r="P12" s="153">
        <f>IF(Dollars[[#This Row],[Mint]]="",Dollars[[#This Row],[Date]],Dollars[[#This Row],[Date]]&amp;" "&amp;Dollars[[#This Row],[Mint]])</f>
        <v>1971</v>
      </c>
      <c r="Q12" s="153">
        <f>MATCH(P12,[5]Sheet2!A:A,0)</f>
        <v>121</v>
      </c>
      <c r="R12" s="34" t="e">
        <f>MATCH(A12&amp;" "&amp;B12,[5]Sheet2!$A$1:$A$96,0)</f>
        <v>#N/A</v>
      </c>
      <c r="S12" s="34" t="e">
        <f>MATCH(F12,[5]Sheet2!A10:F10,0)</f>
        <v>#N/A</v>
      </c>
      <c r="T12" s="34" t="e">
        <f>INDEX([5]Sheet2!A10:F105,'SILVER DOLLARS'!R12,'SILVER DOLLARS'!S12)</f>
        <v>#N/A</v>
      </c>
      <c r="U12" s="46"/>
    </row>
    <row r="13" spans="1:21" ht="12.75" customHeight="1">
      <c r="A13" s="147">
        <v>1971</v>
      </c>
      <c r="B13" s="35"/>
      <c r="C13" s="93" t="s">
        <v>1968</v>
      </c>
      <c r="D13" s="34" t="s">
        <v>1605</v>
      </c>
      <c r="E13" s="34" t="s">
        <v>1603</v>
      </c>
      <c r="F13" s="34" t="s">
        <v>1517</v>
      </c>
      <c r="G13" s="149">
        <v>1</v>
      </c>
      <c r="H13" s="150">
        <v>1</v>
      </c>
      <c r="I13" s="35">
        <v>1</v>
      </c>
      <c r="J13" s="151">
        <v>1.25</v>
      </c>
      <c r="K13" s="151"/>
      <c r="L13" s="192"/>
      <c r="M13" s="151"/>
      <c r="N13" s="151"/>
      <c r="O13" s="151"/>
      <c r="P13" s="153">
        <f>IF(Dollars[[#This Row],[Mint]]="",Dollars[[#This Row],[Date]],Dollars[[#This Row],[Date]]&amp;" "&amp;Dollars[[#This Row],[Mint]])</f>
        <v>1971</v>
      </c>
      <c r="Q13" s="153">
        <f>MATCH(P13,[5]Sheet2!A:A,0)</f>
        <v>121</v>
      </c>
      <c r="R13" s="34" t="e">
        <f>MATCH(A13&amp;" "&amp;B13,[5]Sheet2!$A$1:$A$96,0)</f>
        <v>#N/A</v>
      </c>
      <c r="S13" s="34" t="e">
        <f>MATCH(F13,[5]Sheet2!A11:F11,0)</f>
        <v>#N/A</v>
      </c>
      <c r="T13" s="34" t="e">
        <f>INDEX([5]Sheet2!A11:F106,'SILVER DOLLARS'!R13,'SILVER DOLLARS'!S13)</f>
        <v>#N/A</v>
      </c>
      <c r="U13" s="46"/>
    </row>
    <row r="14" spans="1:21" ht="12.75" customHeight="1">
      <c r="A14" s="147">
        <v>1971</v>
      </c>
      <c r="B14" s="35"/>
      <c r="C14" s="93" t="s">
        <v>1968</v>
      </c>
      <c r="D14" s="34" t="s">
        <v>1606</v>
      </c>
      <c r="E14" s="34" t="s">
        <v>1603</v>
      </c>
      <c r="F14" s="34" t="s">
        <v>1517</v>
      </c>
      <c r="G14" s="149">
        <v>1</v>
      </c>
      <c r="H14" s="150">
        <v>1</v>
      </c>
      <c r="I14" s="35">
        <v>1</v>
      </c>
      <c r="J14" s="151">
        <v>1.25</v>
      </c>
      <c r="K14" s="151"/>
      <c r="L14" s="192"/>
      <c r="M14" s="151"/>
      <c r="N14" s="151"/>
      <c r="O14" s="151"/>
      <c r="P14" s="153">
        <f>IF(Dollars[[#This Row],[Mint]]="",Dollars[[#This Row],[Date]],Dollars[[#This Row],[Date]]&amp;" "&amp;Dollars[[#This Row],[Mint]])</f>
        <v>1971</v>
      </c>
      <c r="Q14" s="153">
        <f>MATCH(P14,[5]Sheet2!A:A,0)</f>
        <v>121</v>
      </c>
      <c r="R14" s="34" t="e">
        <f>MATCH(A14&amp;" "&amp;B14,[5]Sheet2!$A$1:$A$96,0)</f>
        <v>#N/A</v>
      </c>
      <c r="S14" s="34" t="e">
        <f>MATCH(F14,[5]Sheet2!A12:F12,0)</f>
        <v>#N/A</v>
      </c>
      <c r="T14" s="34" t="e">
        <f>INDEX([5]Sheet2!A12:F107,'SILVER DOLLARS'!R14,'SILVER DOLLARS'!S14)</f>
        <v>#N/A</v>
      </c>
      <c r="U14" s="46"/>
    </row>
    <row r="15" spans="1:21" ht="12.75" customHeight="1">
      <c r="A15" s="147">
        <v>1972</v>
      </c>
      <c r="B15" s="35"/>
      <c r="C15" s="93" t="s">
        <v>1968</v>
      </c>
      <c r="D15" s="34" t="s">
        <v>1607</v>
      </c>
      <c r="E15" s="34" t="s">
        <v>1603</v>
      </c>
      <c r="F15" s="34" t="s">
        <v>1517</v>
      </c>
      <c r="G15" s="149">
        <v>1</v>
      </c>
      <c r="H15" s="150">
        <v>1</v>
      </c>
      <c r="I15" s="35">
        <v>1</v>
      </c>
      <c r="J15" s="151">
        <v>1.25</v>
      </c>
      <c r="K15" s="151"/>
      <c r="L15" s="192"/>
      <c r="M15" s="151"/>
      <c r="N15" s="151"/>
      <c r="O15" s="151"/>
      <c r="P15" s="153">
        <f>IF(Dollars[[#This Row],[Mint]]="",Dollars[[#This Row],[Date]],Dollars[[#This Row],[Date]]&amp;" "&amp;Dollars[[#This Row],[Mint]])</f>
        <v>1972</v>
      </c>
      <c r="Q15" s="153">
        <f>MATCH(P15,[5]Sheet2!A:A,0)</f>
        <v>124</v>
      </c>
      <c r="R15" s="34" t="e">
        <f>MATCH(A15&amp;" "&amp;B15,[5]Sheet2!$A$1:$A$96,0)</f>
        <v>#N/A</v>
      </c>
      <c r="S15" s="34" t="e">
        <f>MATCH(F15,[5]Sheet2!A13:F13,0)</f>
        <v>#N/A</v>
      </c>
      <c r="T15" s="34" t="e">
        <f>INDEX([5]Sheet2!A13:F108,'SILVER DOLLARS'!R15,'SILVER DOLLARS'!S15)</f>
        <v>#N/A</v>
      </c>
      <c r="U15" s="46"/>
    </row>
    <row r="16" spans="1:21" ht="12.75" customHeight="1">
      <c r="A16" s="147">
        <v>1972</v>
      </c>
      <c r="B16" s="35"/>
      <c r="C16" s="93" t="s">
        <v>1968</v>
      </c>
      <c r="D16" s="34" t="s">
        <v>1608</v>
      </c>
      <c r="E16" s="34" t="s">
        <v>1603</v>
      </c>
      <c r="F16" s="34" t="s">
        <v>1517</v>
      </c>
      <c r="G16" s="149">
        <v>1</v>
      </c>
      <c r="H16" s="150">
        <v>1</v>
      </c>
      <c r="I16" s="35">
        <v>1</v>
      </c>
      <c r="J16" s="151">
        <v>1.25</v>
      </c>
      <c r="K16" s="151"/>
      <c r="L16" s="192"/>
      <c r="M16" s="151"/>
      <c r="N16" s="151"/>
      <c r="O16" s="151"/>
      <c r="P16" s="153">
        <f>IF(Dollars[[#This Row],[Mint]]="",Dollars[[#This Row],[Date]],Dollars[[#This Row],[Date]]&amp;" "&amp;Dollars[[#This Row],[Mint]])</f>
        <v>1972</v>
      </c>
      <c r="Q16" s="153">
        <f>MATCH(P16,[5]Sheet2!A:A,0)</f>
        <v>124</v>
      </c>
      <c r="R16" s="34" t="e">
        <f>MATCH(A16&amp;" "&amp;B16,[5]Sheet2!$A$1:$A$96,0)</f>
        <v>#N/A</v>
      </c>
      <c r="S16" s="34" t="e">
        <f>MATCH(F16,[5]Sheet2!A14:F14,0)</f>
        <v>#N/A</v>
      </c>
      <c r="T16" s="34" t="e">
        <f>INDEX([5]Sheet2!A14:F109,'SILVER DOLLARS'!R16,'SILVER DOLLARS'!S16)</f>
        <v>#N/A</v>
      </c>
      <c r="U16" s="46"/>
    </row>
    <row r="17" spans="1:21" ht="12.75" customHeight="1">
      <c r="A17" s="147">
        <v>1972</v>
      </c>
      <c r="B17" s="35"/>
      <c r="C17" s="93" t="s">
        <v>1968</v>
      </c>
      <c r="D17" s="34" t="s">
        <v>1609</v>
      </c>
      <c r="E17" s="34" t="s">
        <v>1603</v>
      </c>
      <c r="F17" s="34" t="s">
        <v>1517</v>
      </c>
      <c r="G17" s="149">
        <v>1</v>
      </c>
      <c r="H17" s="150">
        <v>1</v>
      </c>
      <c r="I17" s="35">
        <v>1</v>
      </c>
      <c r="J17" s="151">
        <v>1.25</v>
      </c>
      <c r="K17" s="151"/>
      <c r="L17" s="192"/>
      <c r="M17" s="151"/>
      <c r="N17" s="151"/>
      <c r="O17" s="151"/>
      <c r="P17" s="153">
        <f>IF(Dollars[[#This Row],[Mint]]="",Dollars[[#This Row],[Date]],Dollars[[#This Row],[Date]]&amp;" "&amp;Dollars[[#This Row],[Mint]])</f>
        <v>1972</v>
      </c>
      <c r="Q17" s="153">
        <f>MATCH(P17,[5]Sheet2!A:A,0)</f>
        <v>124</v>
      </c>
      <c r="R17" s="34" t="e">
        <f>MATCH(A17&amp;" "&amp;B17,[5]Sheet2!$A$1:$A$96,0)</f>
        <v>#N/A</v>
      </c>
      <c r="S17" s="34" t="e">
        <f>MATCH(F17,[5]Sheet2!A15:F15,0)</f>
        <v>#N/A</v>
      </c>
      <c r="T17" s="34" t="e">
        <f>INDEX([5]Sheet2!A15:F110,'SILVER DOLLARS'!R17,'SILVER DOLLARS'!S17)</f>
        <v>#N/A</v>
      </c>
      <c r="U17" s="46"/>
    </row>
    <row r="18" spans="1:21" ht="12.75" customHeight="1">
      <c r="A18" s="147">
        <v>1972</v>
      </c>
      <c r="B18" s="35"/>
      <c r="C18" s="93" t="s">
        <v>1968</v>
      </c>
      <c r="D18" s="34" t="s">
        <v>1610</v>
      </c>
      <c r="E18" s="34" t="s">
        <v>1603</v>
      </c>
      <c r="F18" s="34" t="s">
        <v>1517</v>
      </c>
      <c r="G18" s="149">
        <v>1</v>
      </c>
      <c r="H18" s="150">
        <v>1</v>
      </c>
      <c r="I18" s="35">
        <v>1</v>
      </c>
      <c r="J18" s="151">
        <v>1.25</v>
      </c>
      <c r="K18" s="151"/>
      <c r="L18" s="192"/>
      <c r="M18" s="151"/>
      <c r="N18" s="151"/>
      <c r="O18" s="151"/>
      <c r="P18" s="153">
        <f>IF(Dollars[[#This Row],[Mint]]="",Dollars[[#This Row],[Date]],Dollars[[#This Row],[Date]]&amp;" "&amp;Dollars[[#This Row],[Mint]])</f>
        <v>1972</v>
      </c>
      <c r="Q18" s="153">
        <f>MATCH(P18,[5]Sheet2!A:A,0)</f>
        <v>124</v>
      </c>
      <c r="R18" s="34" t="e">
        <f>MATCH(A18&amp;" "&amp;B18,[5]Sheet2!$A$1:$A$96,0)</f>
        <v>#N/A</v>
      </c>
      <c r="S18" s="34" t="e">
        <f>MATCH(F18,[5]Sheet2!A16:F16,0)</f>
        <v>#N/A</v>
      </c>
      <c r="T18" s="34" t="e">
        <f>INDEX([5]Sheet2!A16:F111,'SILVER DOLLARS'!R18,'SILVER DOLLARS'!S18)</f>
        <v>#N/A</v>
      </c>
      <c r="U18" s="46"/>
    </row>
    <row r="19" spans="1:21" ht="12.75" customHeight="1">
      <c r="A19" s="147">
        <v>1975</v>
      </c>
      <c r="B19" s="35"/>
      <c r="C19" s="93" t="s">
        <v>1968</v>
      </c>
      <c r="D19" s="34" t="s">
        <v>1611</v>
      </c>
      <c r="E19" s="34" t="s">
        <v>1612</v>
      </c>
      <c r="F19" s="34" t="s">
        <v>1517</v>
      </c>
      <c r="G19" s="149">
        <v>1</v>
      </c>
      <c r="H19" s="150">
        <v>1</v>
      </c>
      <c r="I19" s="35">
        <v>1</v>
      </c>
      <c r="J19" s="151">
        <v>1</v>
      </c>
      <c r="K19" s="151"/>
      <c r="L19" s="192"/>
      <c r="M19" s="151"/>
      <c r="N19" s="151"/>
      <c r="O19" s="151"/>
      <c r="P19" s="153">
        <f>IF(Dollars[[#This Row],[Mint]]="",Dollars[[#This Row],[Date]],Dollars[[#This Row],[Date]]&amp;" "&amp;Dollars[[#This Row],[Mint]])</f>
        <v>1975</v>
      </c>
      <c r="Q19" s="153" t="e">
        <f>MATCH(P19,[5]Sheet2!A:A,0)</f>
        <v>#N/A</v>
      </c>
      <c r="R19" s="34" t="e">
        <f>MATCH(A19&amp;" "&amp;B19,[5]Sheet2!$A$1:$A$96,0)</f>
        <v>#N/A</v>
      </c>
      <c r="S19" s="34" t="e">
        <f>MATCH(F19,[5]Sheet2!A17:F17,0)</f>
        <v>#N/A</v>
      </c>
      <c r="T19" s="34" t="e">
        <f>INDEX([5]Sheet2!A17:F112,'SILVER DOLLARS'!R19,'SILVER DOLLARS'!S19)</f>
        <v>#N/A</v>
      </c>
      <c r="U19" s="46"/>
    </row>
    <row r="20" spans="1:21" ht="12.75" customHeight="1">
      <c r="A20" s="147">
        <v>1975</v>
      </c>
      <c r="B20" s="35"/>
      <c r="C20" s="93" t="s">
        <v>1968</v>
      </c>
      <c r="D20" s="34" t="s">
        <v>1613</v>
      </c>
      <c r="E20" s="34" t="s">
        <v>1612</v>
      </c>
      <c r="F20" s="34" t="s">
        <v>1517</v>
      </c>
      <c r="G20" s="149">
        <v>1</v>
      </c>
      <c r="H20" s="150">
        <v>1</v>
      </c>
      <c r="I20" s="35">
        <v>1</v>
      </c>
      <c r="J20" s="151">
        <v>1</v>
      </c>
      <c r="K20" s="151"/>
      <c r="L20" s="192"/>
      <c r="M20" s="151"/>
      <c r="N20" s="151"/>
      <c r="O20" s="151"/>
      <c r="P20" s="153">
        <f>IF(Dollars[[#This Row],[Mint]]="",Dollars[[#This Row],[Date]],Dollars[[#This Row],[Date]]&amp;" "&amp;Dollars[[#This Row],[Mint]])</f>
        <v>1975</v>
      </c>
      <c r="Q20" s="153" t="e">
        <f>MATCH(P20,[5]Sheet2!A:A,0)</f>
        <v>#N/A</v>
      </c>
      <c r="R20" s="34" t="e">
        <f>MATCH(A20&amp;" "&amp;B20,[5]Sheet2!$A$1:$A$96,0)</f>
        <v>#N/A</v>
      </c>
      <c r="S20" s="34" t="e">
        <f>MATCH(F20,[5]Sheet2!A18:F18,0)</f>
        <v>#N/A</v>
      </c>
      <c r="T20" s="34" t="e">
        <f>INDEX([5]Sheet2!A18:F113,'SILVER DOLLARS'!R20,'SILVER DOLLARS'!S20)</f>
        <v>#N/A</v>
      </c>
      <c r="U20" s="46"/>
    </row>
    <row r="21" spans="1:21" ht="12.75" customHeight="1">
      <c r="A21" s="147">
        <v>1975</v>
      </c>
      <c r="B21" s="35"/>
      <c r="C21" s="93" t="s">
        <v>1968</v>
      </c>
      <c r="D21" s="34" t="s">
        <v>1614</v>
      </c>
      <c r="E21" s="34" t="s">
        <v>1612</v>
      </c>
      <c r="F21" s="34" t="s">
        <v>1517</v>
      </c>
      <c r="G21" s="149">
        <v>1</v>
      </c>
      <c r="H21" s="150">
        <v>1</v>
      </c>
      <c r="I21" s="35">
        <v>1</v>
      </c>
      <c r="J21" s="151">
        <v>1</v>
      </c>
      <c r="K21" s="151"/>
      <c r="L21" s="192"/>
      <c r="M21" s="151"/>
      <c r="N21" s="151"/>
      <c r="O21" s="151"/>
      <c r="P21" s="153">
        <f>IF(Dollars[[#This Row],[Mint]]="",Dollars[[#This Row],[Date]],Dollars[[#This Row],[Date]]&amp;" "&amp;Dollars[[#This Row],[Mint]])</f>
        <v>1975</v>
      </c>
      <c r="Q21" s="153" t="e">
        <f>MATCH(P21,[5]Sheet2!A:A,0)</f>
        <v>#N/A</v>
      </c>
      <c r="R21" s="34" t="e">
        <f>MATCH(A21&amp;" "&amp;B21,[5]Sheet2!$A$1:$A$96,0)</f>
        <v>#N/A</v>
      </c>
      <c r="S21" s="34" t="e">
        <f>MATCH(F21,[5]Sheet2!A19:F19,0)</f>
        <v>#N/A</v>
      </c>
      <c r="T21" s="34" t="e">
        <f>INDEX([5]Sheet2!A19:F114,'SILVER DOLLARS'!R21,'SILVER DOLLARS'!S21)</f>
        <v>#N/A</v>
      </c>
      <c r="U21" s="46"/>
    </row>
    <row r="22" spans="1:21" ht="12.75" customHeight="1">
      <c r="A22" s="147">
        <v>1975</v>
      </c>
      <c r="B22" s="35"/>
      <c r="C22" s="93" t="s">
        <v>1968</v>
      </c>
      <c r="D22" s="34" t="s">
        <v>1615</v>
      </c>
      <c r="E22" s="34" t="s">
        <v>1612</v>
      </c>
      <c r="F22" s="34" t="s">
        <v>1517</v>
      </c>
      <c r="G22" s="149">
        <v>1</v>
      </c>
      <c r="H22" s="150">
        <v>1</v>
      </c>
      <c r="I22" s="35">
        <v>1</v>
      </c>
      <c r="J22" s="151">
        <v>1</v>
      </c>
      <c r="K22" s="151"/>
      <c r="L22" s="192"/>
      <c r="M22" s="151"/>
      <c r="N22" s="151"/>
      <c r="O22" s="151"/>
      <c r="P22" s="153">
        <f>IF(Dollars[[#This Row],[Mint]]="",Dollars[[#This Row],[Date]],Dollars[[#This Row],[Date]]&amp;" "&amp;Dollars[[#This Row],[Mint]])</f>
        <v>1975</v>
      </c>
      <c r="Q22" s="153" t="e">
        <f>MATCH(P22,[5]Sheet2!A:A,0)</f>
        <v>#N/A</v>
      </c>
      <c r="R22" s="34" t="e">
        <f>MATCH(A22&amp;" "&amp;B22,[5]Sheet2!$A$1:$A$96,0)</f>
        <v>#N/A</v>
      </c>
      <c r="S22" s="34" t="e">
        <f>MATCH(F22,[5]Sheet2!A20:F20,0)</f>
        <v>#N/A</v>
      </c>
      <c r="T22" s="34" t="e">
        <f>INDEX([5]Sheet2!A20:F115,'SILVER DOLLARS'!R22,'SILVER DOLLARS'!S22)</f>
        <v>#N/A</v>
      </c>
      <c r="U22" s="46"/>
    </row>
    <row r="23" spans="1:21" ht="12.75" customHeight="1">
      <c r="A23" s="147">
        <v>1975</v>
      </c>
      <c r="B23" s="35" t="s">
        <v>25</v>
      </c>
      <c r="C23" s="93" t="s">
        <v>1968</v>
      </c>
      <c r="D23" s="34" t="s">
        <v>1616</v>
      </c>
      <c r="E23" s="34" t="s">
        <v>1612</v>
      </c>
      <c r="F23" s="34" t="s">
        <v>1517</v>
      </c>
      <c r="G23" s="149">
        <v>1</v>
      </c>
      <c r="H23" s="150">
        <v>1</v>
      </c>
      <c r="I23" s="35">
        <v>1</v>
      </c>
      <c r="J23" s="151">
        <v>1</v>
      </c>
      <c r="K23" s="151"/>
      <c r="L23" s="192"/>
      <c r="M23" s="151"/>
      <c r="N23" s="151"/>
      <c r="O23" s="151"/>
      <c r="P23" s="153" t="str">
        <f>IF(Dollars[[#This Row],[Mint]]="",Dollars[[#This Row],[Date]],Dollars[[#This Row],[Date]]&amp;" "&amp;Dollars[[#This Row],[Mint]])</f>
        <v>1975 P</v>
      </c>
      <c r="Q23" s="153" t="e">
        <f>MATCH(P23,[5]Sheet2!A:A,0)</f>
        <v>#N/A</v>
      </c>
      <c r="R23" s="34" t="e">
        <f>MATCH(A23&amp;" "&amp;B23,[5]Sheet2!$A$1:$A$96,0)</f>
        <v>#N/A</v>
      </c>
      <c r="S23" s="34" t="e">
        <f>MATCH(F19,[5]Sheet2!A17:F17,0)</f>
        <v>#N/A</v>
      </c>
      <c r="T23" s="34" t="e">
        <f>INDEX([5]Sheet2!A17:F112,'SILVER DOLLARS'!R23,'SILVER DOLLARS'!S23)</f>
        <v>#N/A</v>
      </c>
      <c r="U23" s="46"/>
    </row>
    <row r="24" spans="1:21" ht="12.75" customHeight="1">
      <c r="A24" s="147">
        <v>1976</v>
      </c>
      <c r="B24" s="35"/>
      <c r="C24" s="93" t="s">
        <v>1968</v>
      </c>
      <c r="D24" s="34" t="s">
        <v>1617</v>
      </c>
      <c r="E24" s="34" t="s">
        <v>1603</v>
      </c>
      <c r="F24" s="34" t="s">
        <v>1517</v>
      </c>
      <c r="G24" s="149">
        <v>1</v>
      </c>
      <c r="H24" s="150">
        <v>1</v>
      </c>
      <c r="I24" s="35">
        <v>1</v>
      </c>
      <c r="J24" s="151">
        <v>1.25</v>
      </c>
      <c r="K24" s="151"/>
      <c r="L24" s="192"/>
      <c r="M24" s="151"/>
      <c r="N24" s="151"/>
      <c r="O24" s="151"/>
      <c r="P24" s="153">
        <f>IF(Dollars[[#This Row],[Mint]]="",Dollars[[#This Row],[Date]],Dollars[[#This Row],[Date]]&amp;" "&amp;Dollars[[#This Row],[Mint]])</f>
        <v>1976</v>
      </c>
      <c r="Q24" s="153">
        <f>MATCH(P24,[5]Sheet2!A:A,0)</f>
        <v>135</v>
      </c>
      <c r="R24" s="34" t="e">
        <f>MATCH(A24&amp;" "&amp;B24,[5]Sheet2!$A$1:$A$96,0)</f>
        <v>#N/A</v>
      </c>
      <c r="S24" s="34" t="e">
        <f>MATCH(F24,[5]Sheet2!A18:F18,0)</f>
        <v>#N/A</v>
      </c>
      <c r="T24" s="34" t="e">
        <f>INDEX([5]Sheet2!A18:F113,'SILVER DOLLARS'!R24,'SILVER DOLLARS'!S24)</f>
        <v>#N/A</v>
      </c>
      <c r="U24" s="46"/>
    </row>
    <row r="25" spans="1:21" ht="12.75" customHeight="1">
      <c r="A25" s="147">
        <v>1979</v>
      </c>
      <c r="B25" s="35" t="s">
        <v>25</v>
      </c>
      <c r="C25" s="93" t="s">
        <v>1968</v>
      </c>
      <c r="D25" s="34" t="s">
        <v>1618</v>
      </c>
      <c r="E25" s="34" t="s">
        <v>1619</v>
      </c>
      <c r="F25" s="34" t="s">
        <v>1517</v>
      </c>
      <c r="G25" s="149">
        <v>1</v>
      </c>
      <c r="H25" s="150">
        <v>1</v>
      </c>
      <c r="I25" s="35">
        <v>1</v>
      </c>
      <c r="J25" s="151">
        <v>1</v>
      </c>
      <c r="K25" s="151"/>
      <c r="L25" s="192"/>
      <c r="M25" s="151"/>
      <c r="N25" s="151"/>
      <c r="O25" s="151"/>
      <c r="P25" s="153" t="str">
        <f>IF(Dollars[[#This Row],[Mint]]="",Dollars[[#This Row],[Date]],Dollars[[#This Row],[Date]]&amp;" "&amp;Dollars[[#This Row],[Mint]])</f>
        <v>1979 P</v>
      </c>
      <c r="Q25" s="153" t="e">
        <f>MATCH(P25,[5]Sheet2!A:A,0)</f>
        <v>#N/A</v>
      </c>
      <c r="R25" s="34" t="e">
        <f>MATCH(A25&amp;" "&amp;B25,[5]Sheet2!$A$1:$A$96,0)</f>
        <v>#N/A</v>
      </c>
      <c r="S25" s="34" t="e">
        <f>MATCH(F25,[5]Sheet2!A19:F19,0)</f>
        <v>#N/A</v>
      </c>
      <c r="T25" s="34" t="e">
        <f>INDEX([5]Sheet2!A19:F114,'SILVER DOLLARS'!R25,'SILVER DOLLARS'!S25)</f>
        <v>#N/A</v>
      </c>
      <c r="U25" s="46"/>
    </row>
    <row r="26" spans="1:21" ht="12.75" customHeight="1">
      <c r="A26" s="147">
        <v>1979</v>
      </c>
      <c r="B26" s="35" t="s">
        <v>25</v>
      </c>
      <c r="C26" s="93" t="s">
        <v>1968</v>
      </c>
      <c r="D26" s="34" t="s">
        <v>1620</v>
      </c>
      <c r="E26" s="34" t="s">
        <v>1619</v>
      </c>
      <c r="F26" s="34" t="s">
        <v>1517</v>
      </c>
      <c r="G26" s="149">
        <v>1</v>
      </c>
      <c r="H26" s="150">
        <v>1</v>
      </c>
      <c r="I26" s="35">
        <v>1</v>
      </c>
      <c r="J26" s="151">
        <v>1</v>
      </c>
      <c r="K26" s="151"/>
      <c r="L26" s="192"/>
      <c r="M26" s="151"/>
      <c r="N26" s="151"/>
      <c r="O26" s="151"/>
      <c r="P26" s="153" t="str">
        <f>IF(Dollars[[#This Row],[Mint]]="",Dollars[[#This Row],[Date]],Dollars[[#This Row],[Date]]&amp;" "&amp;Dollars[[#This Row],[Mint]])</f>
        <v>1979 P</v>
      </c>
      <c r="Q26" s="153" t="e">
        <f>MATCH(P26,[5]Sheet2!A:A,0)</f>
        <v>#N/A</v>
      </c>
      <c r="R26" s="34" t="e">
        <f>MATCH(A26&amp;" "&amp;B26,[5]Sheet2!$A$1:$A$96,0)</f>
        <v>#N/A</v>
      </c>
      <c r="S26" s="34" t="e">
        <f>MATCH(F26,[5]Sheet2!A20:F20,0)</f>
        <v>#N/A</v>
      </c>
      <c r="T26" s="34" t="e">
        <f>INDEX([5]Sheet2!A20:F115,'SILVER DOLLARS'!R26,'SILVER DOLLARS'!S26)</f>
        <v>#N/A</v>
      </c>
      <c r="U26" s="46"/>
    </row>
    <row r="27" spans="1:21" ht="12.75" customHeight="1">
      <c r="A27" s="147">
        <v>1979</v>
      </c>
      <c r="B27" s="35" t="s">
        <v>25</v>
      </c>
      <c r="C27" s="93" t="s">
        <v>1968</v>
      </c>
      <c r="D27" s="34" t="s">
        <v>1621</v>
      </c>
      <c r="E27" s="34" t="s">
        <v>1619</v>
      </c>
      <c r="F27" s="34" t="s">
        <v>1517</v>
      </c>
      <c r="G27" s="149">
        <v>1</v>
      </c>
      <c r="H27" s="150">
        <v>1</v>
      </c>
      <c r="I27" s="35">
        <v>1</v>
      </c>
      <c r="J27" s="151">
        <v>1</v>
      </c>
      <c r="K27" s="151"/>
      <c r="L27" s="192"/>
      <c r="M27" s="151"/>
      <c r="N27" s="151"/>
      <c r="O27" s="151"/>
      <c r="P27" s="153" t="str">
        <f>IF(Dollars[[#This Row],[Mint]]="",Dollars[[#This Row],[Date]],Dollars[[#This Row],[Date]]&amp;" "&amp;Dollars[[#This Row],[Mint]])</f>
        <v>1979 P</v>
      </c>
      <c r="Q27" s="153" t="e">
        <f>MATCH(P27,[5]Sheet2!A:A,0)</f>
        <v>#N/A</v>
      </c>
      <c r="R27" s="34" t="e">
        <f>MATCH(A27&amp;" "&amp;B27,[5]Sheet2!$A$1:$A$96,0)</f>
        <v>#N/A</v>
      </c>
      <c r="S27" s="34" t="e">
        <f>MATCH(F27,[5]Sheet2!A21:F21,0)</f>
        <v>#N/A</v>
      </c>
      <c r="T27" s="34" t="e">
        <f>INDEX([5]Sheet2!A21:F116,'SILVER DOLLARS'!R27,'SILVER DOLLARS'!S27)</f>
        <v>#N/A</v>
      </c>
      <c r="U27" s="46"/>
    </row>
    <row r="28" spans="1:21" ht="12.75" customHeight="1">
      <c r="A28" s="147">
        <v>1979</v>
      </c>
      <c r="B28" s="35" t="s">
        <v>25</v>
      </c>
      <c r="C28" s="93" t="s">
        <v>1968</v>
      </c>
      <c r="D28" s="34" t="s">
        <v>1622</v>
      </c>
      <c r="E28" s="34" t="s">
        <v>1619</v>
      </c>
      <c r="F28" s="34" t="s">
        <v>1517</v>
      </c>
      <c r="G28" s="149">
        <v>1</v>
      </c>
      <c r="H28" s="150">
        <v>1</v>
      </c>
      <c r="I28" s="35">
        <v>1</v>
      </c>
      <c r="J28" s="151">
        <v>1</v>
      </c>
      <c r="K28" s="151"/>
      <c r="L28" s="192"/>
      <c r="M28" s="151"/>
      <c r="N28" s="151"/>
      <c r="O28" s="151"/>
      <c r="P28" s="153" t="str">
        <f>IF(Dollars[[#This Row],[Mint]]="",Dollars[[#This Row],[Date]],Dollars[[#This Row],[Date]]&amp;" "&amp;Dollars[[#This Row],[Mint]])</f>
        <v>1979 P</v>
      </c>
      <c r="Q28" s="153" t="e">
        <f>MATCH(P28,[5]Sheet2!A:A,0)</f>
        <v>#N/A</v>
      </c>
      <c r="R28" s="34" t="e">
        <f>MATCH(A28&amp;" "&amp;B28,[5]Sheet2!$A$1:$A$96,0)</f>
        <v>#N/A</v>
      </c>
      <c r="S28" s="34" t="e">
        <f>MATCH(F28,[5]Sheet2!A22:F22,0)</f>
        <v>#N/A</v>
      </c>
      <c r="T28" s="34" t="e">
        <f>INDEX([5]Sheet2!A22:F117,'SILVER DOLLARS'!R28,'SILVER DOLLARS'!S28)</f>
        <v>#N/A</v>
      </c>
      <c r="U28" s="46"/>
    </row>
    <row r="29" spans="1:21" ht="12.75" customHeight="1">
      <c r="A29" s="147">
        <v>1979</v>
      </c>
      <c r="B29" s="35" t="s">
        <v>25</v>
      </c>
      <c r="C29" s="93" t="s">
        <v>1968</v>
      </c>
      <c r="D29" s="34" t="s">
        <v>1623</v>
      </c>
      <c r="E29" s="34" t="s">
        <v>1619</v>
      </c>
      <c r="F29" s="34" t="s">
        <v>1517</v>
      </c>
      <c r="G29" s="149">
        <v>1</v>
      </c>
      <c r="H29" s="150">
        <v>1</v>
      </c>
      <c r="I29" s="35">
        <v>1</v>
      </c>
      <c r="J29" s="151">
        <v>1</v>
      </c>
      <c r="K29" s="151"/>
      <c r="L29" s="192"/>
      <c r="M29" s="151"/>
      <c r="N29" s="151"/>
      <c r="O29" s="151"/>
      <c r="P29" s="153" t="str">
        <f>IF(Dollars[[#This Row],[Mint]]="",Dollars[[#This Row],[Date]],Dollars[[#This Row],[Date]]&amp;" "&amp;Dollars[[#This Row],[Mint]])</f>
        <v>1979 P</v>
      </c>
      <c r="Q29" s="153" t="e">
        <f>MATCH(P29,[5]Sheet2!A:A,0)</f>
        <v>#N/A</v>
      </c>
      <c r="R29" s="34" t="e">
        <f>MATCH(A29&amp;" "&amp;B29,[5]Sheet2!$A$1:$A$96,0)</f>
        <v>#N/A</v>
      </c>
      <c r="S29" s="34" t="e">
        <f>MATCH(F29,[5]Sheet2!A23:F23,0)</f>
        <v>#N/A</v>
      </c>
      <c r="T29" s="34" t="e">
        <f>INDEX([5]Sheet2!A23:F118,'SILVER DOLLARS'!R29,'SILVER DOLLARS'!S29)</f>
        <v>#N/A</v>
      </c>
      <c r="U29" s="46"/>
    </row>
    <row r="30" spans="1:21" ht="12.75" customHeight="1">
      <c r="A30" s="147">
        <v>1979</v>
      </c>
      <c r="B30" s="35" t="s">
        <v>25</v>
      </c>
      <c r="C30" s="93" t="s">
        <v>1968</v>
      </c>
      <c r="D30" s="34" t="s">
        <v>1624</v>
      </c>
      <c r="E30" s="34" t="s">
        <v>1619</v>
      </c>
      <c r="F30" s="34" t="s">
        <v>1517</v>
      </c>
      <c r="G30" s="149">
        <v>1</v>
      </c>
      <c r="H30" s="150">
        <v>1</v>
      </c>
      <c r="I30" s="35">
        <v>1</v>
      </c>
      <c r="J30" s="151">
        <v>1</v>
      </c>
      <c r="K30" s="151"/>
      <c r="L30" s="192"/>
      <c r="M30" s="151"/>
      <c r="N30" s="151"/>
      <c r="O30" s="151"/>
      <c r="P30" s="153" t="str">
        <f>IF(Dollars[[#This Row],[Mint]]="",Dollars[[#This Row],[Date]],Dollars[[#This Row],[Date]]&amp;" "&amp;Dollars[[#This Row],[Mint]])</f>
        <v>1979 P</v>
      </c>
      <c r="Q30" s="153" t="e">
        <f>MATCH(P30,[5]Sheet2!A:A,0)</f>
        <v>#N/A</v>
      </c>
      <c r="R30" s="34" t="e">
        <f>MATCH(A30&amp;" "&amp;B30,[5]Sheet2!$A$1:$A$96,0)</f>
        <v>#N/A</v>
      </c>
      <c r="S30" s="34" t="e">
        <f>MATCH(F30,[5]Sheet2!A24:F24,0)</f>
        <v>#N/A</v>
      </c>
      <c r="T30" s="34" t="e">
        <f>INDEX([5]Sheet2!A24:F119,'SILVER DOLLARS'!R30,'SILVER DOLLARS'!S30)</f>
        <v>#N/A</v>
      </c>
      <c r="U30" s="46"/>
    </row>
    <row r="31" spans="1:21" ht="12.75" customHeight="1">
      <c r="A31" s="147">
        <v>1979</v>
      </c>
      <c r="B31" s="35" t="s">
        <v>25</v>
      </c>
      <c r="C31" s="93" t="s">
        <v>1968</v>
      </c>
      <c r="D31" s="34" t="s">
        <v>1625</v>
      </c>
      <c r="E31" s="34" t="s">
        <v>1619</v>
      </c>
      <c r="F31" s="34" t="s">
        <v>1517</v>
      </c>
      <c r="G31" s="149">
        <v>1</v>
      </c>
      <c r="H31" s="150">
        <v>1</v>
      </c>
      <c r="I31" s="35">
        <v>1</v>
      </c>
      <c r="J31" s="151">
        <v>1</v>
      </c>
      <c r="K31" s="151"/>
      <c r="L31" s="192"/>
      <c r="M31" s="151"/>
      <c r="N31" s="151"/>
      <c r="O31" s="151"/>
      <c r="P31" s="153" t="str">
        <f>IF(Dollars[[#This Row],[Mint]]="",Dollars[[#This Row],[Date]],Dollars[[#This Row],[Date]]&amp;" "&amp;Dollars[[#This Row],[Mint]])</f>
        <v>1979 P</v>
      </c>
      <c r="Q31" s="153" t="e">
        <f>MATCH(P31,[5]Sheet2!A:A,0)</f>
        <v>#N/A</v>
      </c>
      <c r="R31" s="34" t="e">
        <f>MATCH(A31&amp;" "&amp;B31,[5]Sheet2!$A$1:$A$96,0)</f>
        <v>#N/A</v>
      </c>
      <c r="S31" s="34" t="e">
        <f>MATCH(F31,[5]Sheet2!A25:F25,0)</f>
        <v>#N/A</v>
      </c>
      <c r="T31" s="34" t="e">
        <f>INDEX([5]Sheet2!A25:F120,'SILVER DOLLARS'!R31,'SILVER DOLLARS'!S31)</f>
        <v>#N/A</v>
      </c>
      <c r="U31" s="46"/>
    </row>
    <row r="32" spans="1:21" ht="12.75" customHeight="1">
      <c r="A32" s="147">
        <v>1979</v>
      </c>
      <c r="B32" s="35" t="s">
        <v>25</v>
      </c>
      <c r="C32" s="93" t="s">
        <v>1968</v>
      </c>
      <c r="D32" s="34" t="s">
        <v>1626</v>
      </c>
      <c r="E32" s="34" t="s">
        <v>1619</v>
      </c>
      <c r="F32" s="34" t="s">
        <v>1517</v>
      </c>
      <c r="G32" s="149">
        <v>1</v>
      </c>
      <c r="H32" s="150">
        <v>1</v>
      </c>
      <c r="I32" s="35">
        <v>1</v>
      </c>
      <c r="J32" s="151">
        <v>1</v>
      </c>
      <c r="K32" s="151"/>
      <c r="L32" s="192"/>
      <c r="M32" s="151"/>
      <c r="N32" s="151"/>
      <c r="O32" s="151"/>
      <c r="P32" s="153" t="str">
        <f>IF(Dollars[[#This Row],[Mint]]="",Dollars[[#This Row],[Date]],Dollars[[#This Row],[Date]]&amp;" "&amp;Dollars[[#This Row],[Mint]])</f>
        <v>1979 P</v>
      </c>
      <c r="Q32" s="153" t="e">
        <f>MATCH(P32,[5]Sheet2!A:A,0)</f>
        <v>#N/A</v>
      </c>
      <c r="R32" s="34" t="e">
        <f>MATCH(A32&amp;" "&amp;B32,[5]Sheet2!$A$1:$A$96,0)</f>
        <v>#N/A</v>
      </c>
      <c r="S32" s="34" t="e">
        <f>MATCH(F32,[5]Sheet2!A26:F26,0)</f>
        <v>#N/A</v>
      </c>
      <c r="T32" s="34" t="e">
        <f>INDEX([5]Sheet2!A26:F121,'SILVER DOLLARS'!R32,'SILVER DOLLARS'!S32)</f>
        <v>#N/A</v>
      </c>
      <c r="U32" s="46"/>
    </row>
    <row r="33" spans="1:21" ht="12.75" customHeight="1">
      <c r="A33" s="147" t="s">
        <v>1627</v>
      </c>
      <c r="B33" s="35" t="s">
        <v>25</v>
      </c>
      <c r="C33" s="93" t="s">
        <v>1968</v>
      </c>
      <c r="D33" s="34" t="s">
        <v>1628</v>
      </c>
      <c r="E33" s="34" t="s">
        <v>1619</v>
      </c>
      <c r="F33" s="34" t="s">
        <v>1517</v>
      </c>
      <c r="G33" s="149">
        <v>1</v>
      </c>
      <c r="H33" s="150">
        <v>1</v>
      </c>
      <c r="I33" s="35">
        <v>1</v>
      </c>
      <c r="J33" s="151">
        <v>1</v>
      </c>
      <c r="K33" s="151"/>
      <c r="L33" s="192"/>
      <c r="M33" s="151"/>
      <c r="N33" s="151"/>
      <c r="O33" s="151"/>
      <c r="P33" s="153" t="str">
        <f>IF(Dollars[[#This Row],[Mint]]="",Dollars[[#This Row],[Date]],Dollars[[#This Row],[Date]]&amp;" "&amp;Dollars[[#This Row],[Mint]])</f>
        <v>1979 P</v>
      </c>
      <c r="Q33" s="153" t="e">
        <f>MATCH(P33,[5]Sheet2!A:A,0)</f>
        <v>#N/A</v>
      </c>
      <c r="R33" s="34" t="e">
        <f>MATCH(A33&amp;" "&amp;B33,[5]Sheet2!$A$1:$A$96,0)</f>
        <v>#N/A</v>
      </c>
      <c r="S33" s="34" t="e">
        <f>MATCH(F33,[5]Sheet2!A27:F27,0)</f>
        <v>#N/A</v>
      </c>
      <c r="T33" s="34" t="e">
        <f>INDEX([5]Sheet2!A27:F122,'SILVER DOLLARS'!R33,'SILVER DOLLARS'!S33)</f>
        <v>#N/A</v>
      </c>
      <c r="U33" s="46"/>
    </row>
    <row r="34" spans="1:21" ht="12.75" customHeight="1">
      <c r="A34" s="147" t="s">
        <v>1627</v>
      </c>
      <c r="B34" s="35" t="s">
        <v>25</v>
      </c>
      <c r="C34" s="93" t="s">
        <v>1968</v>
      </c>
      <c r="D34" s="34" t="s">
        <v>1629</v>
      </c>
      <c r="E34" s="34" t="s">
        <v>1619</v>
      </c>
      <c r="F34" s="34" t="s">
        <v>1517</v>
      </c>
      <c r="G34" s="149">
        <v>1</v>
      </c>
      <c r="H34" s="150">
        <v>1</v>
      </c>
      <c r="I34" s="35">
        <v>1</v>
      </c>
      <c r="J34" s="151">
        <v>1</v>
      </c>
      <c r="K34" s="151"/>
      <c r="L34" s="192"/>
      <c r="M34" s="151"/>
      <c r="N34" s="151"/>
      <c r="O34" s="151"/>
      <c r="P34" s="153" t="str">
        <f>IF(Dollars[[#This Row],[Mint]]="",Dollars[[#This Row],[Date]],Dollars[[#This Row],[Date]]&amp;" "&amp;Dollars[[#This Row],[Mint]])</f>
        <v>1979 P</v>
      </c>
      <c r="Q34" s="153" t="e">
        <f>MATCH(P34,[5]Sheet2!A:A,0)</f>
        <v>#N/A</v>
      </c>
      <c r="R34" s="34" t="e">
        <f>MATCH(A34&amp;" "&amp;B34,[5]Sheet2!$A$1:$A$96,0)</f>
        <v>#N/A</v>
      </c>
      <c r="S34" s="34" t="e">
        <f>MATCH(F34,[5]Sheet2!A28:F28,0)</f>
        <v>#N/A</v>
      </c>
      <c r="T34" s="34" t="e">
        <f>INDEX([5]Sheet2!A28:F123,'SILVER DOLLARS'!R34,'SILVER DOLLARS'!S34)</f>
        <v>#N/A</v>
      </c>
      <c r="U34" s="46"/>
    </row>
    <row r="35" spans="1:21" ht="12.75" customHeight="1">
      <c r="A35" s="147" t="s">
        <v>1627</v>
      </c>
      <c r="B35" s="35" t="s">
        <v>25</v>
      </c>
      <c r="C35" s="93" t="s">
        <v>1968</v>
      </c>
      <c r="D35" s="34" t="s">
        <v>1630</v>
      </c>
      <c r="E35" s="34" t="s">
        <v>1619</v>
      </c>
      <c r="F35" s="34" t="s">
        <v>1517</v>
      </c>
      <c r="G35" s="149">
        <v>1</v>
      </c>
      <c r="H35" s="150">
        <v>1</v>
      </c>
      <c r="I35" s="35">
        <v>1</v>
      </c>
      <c r="J35" s="151">
        <v>1</v>
      </c>
      <c r="K35" s="151"/>
      <c r="L35" s="192"/>
      <c r="M35" s="151"/>
      <c r="N35" s="151"/>
      <c r="O35" s="151"/>
      <c r="P35" s="153" t="str">
        <f>IF(Dollars[[#This Row],[Mint]]="",Dollars[[#This Row],[Date]],Dollars[[#This Row],[Date]]&amp;" "&amp;Dollars[[#This Row],[Mint]])</f>
        <v>1979 P</v>
      </c>
      <c r="Q35" s="153" t="e">
        <f>MATCH(P35,[5]Sheet2!A:A,0)</f>
        <v>#N/A</v>
      </c>
      <c r="R35" s="34" t="e">
        <f>MATCH(A35&amp;" "&amp;B35,[5]Sheet2!$A$1:$A$96,0)</f>
        <v>#N/A</v>
      </c>
      <c r="S35" s="34" t="e">
        <f>MATCH(F35,[5]Sheet2!A29:F29,0)</f>
        <v>#N/A</v>
      </c>
      <c r="T35" s="34" t="e">
        <f>INDEX([5]Sheet2!A29:F124,'SILVER DOLLARS'!R35,'SILVER DOLLARS'!S35)</f>
        <v>#N/A</v>
      </c>
      <c r="U35" s="46"/>
    </row>
    <row r="36" spans="1:21" ht="12.75" customHeight="1">
      <c r="A36" s="147" t="s">
        <v>1627</v>
      </c>
      <c r="B36" s="35" t="s">
        <v>25</v>
      </c>
      <c r="C36" s="93" t="s">
        <v>1968</v>
      </c>
      <c r="D36" s="34" t="s">
        <v>1631</v>
      </c>
      <c r="E36" s="34" t="s">
        <v>1619</v>
      </c>
      <c r="F36" s="34" t="s">
        <v>1517</v>
      </c>
      <c r="G36" s="149">
        <v>1</v>
      </c>
      <c r="H36" s="150">
        <v>1</v>
      </c>
      <c r="I36" s="35">
        <v>1</v>
      </c>
      <c r="J36" s="151">
        <v>1</v>
      </c>
      <c r="K36" s="151"/>
      <c r="L36" s="192"/>
      <c r="M36" s="151"/>
      <c r="N36" s="151"/>
      <c r="O36" s="151"/>
      <c r="P36" s="153" t="str">
        <f>IF(Dollars[[#This Row],[Mint]]="",Dollars[[#This Row],[Date]],Dollars[[#This Row],[Date]]&amp;" "&amp;Dollars[[#This Row],[Mint]])</f>
        <v>1979 P</v>
      </c>
      <c r="Q36" s="153" t="e">
        <f>MATCH(P36,[5]Sheet2!A:A,0)</f>
        <v>#N/A</v>
      </c>
      <c r="R36" s="34" t="e">
        <f>MATCH(A36&amp;" "&amp;B36,[5]Sheet2!$A$1:$A$96,0)</f>
        <v>#N/A</v>
      </c>
      <c r="S36" s="34" t="e">
        <f>MATCH(F36,[5]Sheet2!A30:F30,0)</f>
        <v>#N/A</v>
      </c>
      <c r="T36" s="34" t="e">
        <f>INDEX([5]Sheet2!A30:F125,'SILVER DOLLARS'!R36,'SILVER DOLLARS'!S36)</f>
        <v>#N/A</v>
      </c>
      <c r="U36" s="46"/>
    </row>
    <row r="37" spans="1:21" ht="12.75" customHeight="1">
      <c r="A37" s="147" t="s">
        <v>1627</v>
      </c>
      <c r="B37" s="35" t="s">
        <v>25</v>
      </c>
      <c r="C37" s="93" t="s">
        <v>1968</v>
      </c>
      <c r="D37" s="34" t="s">
        <v>1632</v>
      </c>
      <c r="E37" s="34" t="s">
        <v>1619</v>
      </c>
      <c r="F37" s="34" t="s">
        <v>1517</v>
      </c>
      <c r="G37" s="149">
        <v>1</v>
      </c>
      <c r="H37" s="150">
        <v>1</v>
      </c>
      <c r="I37" s="35">
        <v>1</v>
      </c>
      <c r="J37" s="151">
        <v>1</v>
      </c>
      <c r="K37" s="151"/>
      <c r="L37" s="192"/>
      <c r="M37" s="151"/>
      <c r="N37" s="151"/>
      <c r="O37" s="151"/>
      <c r="P37" s="153" t="str">
        <f>IF(Dollars[[#This Row],[Mint]]="",Dollars[[#This Row],[Date]],Dollars[[#This Row],[Date]]&amp;" "&amp;Dollars[[#This Row],[Mint]])</f>
        <v>1979 P</v>
      </c>
      <c r="Q37" s="153" t="e">
        <f>MATCH(P37,[5]Sheet2!A:A,0)</f>
        <v>#N/A</v>
      </c>
      <c r="R37" s="34" t="e">
        <f>MATCH(A37&amp;" "&amp;B37,[5]Sheet2!$A$1:$A$96,0)</f>
        <v>#N/A</v>
      </c>
      <c r="S37" s="34" t="e">
        <f>MATCH(F37,[5]Sheet2!A31:F31,0)</f>
        <v>#N/A</v>
      </c>
      <c r="T37" s="34" t="e">
        <f>INDEX([5]Sheet2!A31:F126,'SILVER DOLLARS'!R37,'SILVER DOLLARS'!S37)</f>
        <v>#N/A</v>
      </c>
      <c r="U37" s="46"/>
    </row>
    <row r="38" spans="1:21" ht="12.75" customHeight="1">
      <c r="A38" s="147" t="s">
        <v>1627</v>
      </c>
      <c r="B38" s="35" t="s">
        <v>25</v>
      </c>
      <c r="C38" s="93" t="s">
        <v>1968</v>
      </c>
      <c r="D38" s="34" t="s">
        <v>1633</v>
      </c>
      <c r="E38" s="34" t="s">
        <v>1619</v>
      </c>
      <c r="F38" s="34" t="s">
        <v>1517</v>
      </c>
      <c r="G38" s="149">
        <v>1</v>
      </c>
      <c r="H38" s="150">
        <v>1</v>
      </c>
      <c r="I38" s="35">
        <v>1</v>
      </c>
      <c r="J38" s="151">
        <v>1</v>
      </c>
      <c r="K38" s="151"/>
      <c r="L38" s="192"/>
      <c r="M38" s="151"/>
      <c r="N38" s="151"/>
      <c r="O38" s="151"/>
      <c r="P38" s="153" t="str">
        <f>IF(Dollars[[#This Row],[Mint]]="",Dollars[[#This Row],[Date]],Dollars[[#This Row],[Date]]&amp;" "&amp;Dollars[[#This Row],[Mint]])</f>
        <v>1979 P</v>
      </c>
      <c r="Q38" s="153" t="e">
        <f>MATCH(P38,[5]Sheet2!A:A,0)</f>
        <v>#N/A</v>
      </c>
      <c r="R38" s="34" t="e">
        <f>MATCH(A38&amp;" "&amp;B38,[5]Sheet2!$A$1:$A$96,0)</f>
        <v>#N/A</v>
      </c>
      <c r="S38" s="34" t="e">
        <f>MATCH(F38,[5]Sheet2!A32:F32,0)</f>
        <v>#N/A</v>
      </c>
      <c r="T38" s="34" t="e">
        <f>INDEX([5]Sheet2!A32:F127,'SILVER DOLLARS'!R38,'SILVER DOLLARS'!S38)</f>
        <v>#N/A</v>
      </c>
      <c r="U38" s="46"/>
    </row>
    <row r="39" spans="1:21" ht="12.75" customHeight="1">
      <c r="A39" s="147" t="s">
        <v>1627</v>
      </c>
      <c r="B39" s="35" t="s">
        <v>25</v>
      </c>
      <c r="C39" s="93" t="s">
        <v>1968</v>
      </c>
      <c r="D39" s="34" t="s">
        <v>1634</v>
      </c>
      <c r="E39" s="34" t="s">
        <v>1619</v>
      </c>
      <c r="F39" s="34" t="s">
        <v>1517</v>
      </c>
      <c r="G39" s="149">
        <v>1</v>
      </c>
      <c r="H39" s="150">
        <v>1</v>
      </c>
      <c r="I39" s="35">
        <v>1</v>
      </c>
      <c r="J39" s="151">
        <v>1</v>
      </c>
      <c r="K39" s="151"/>
      <c r="L39" s="192"/>
      <c r="M39" s="151"/>
      <c r="N39" s="151"/>
      <c r="O39" s="151"/>
      <c r="P39" s="153" t="str">
        <f>IF(Dollars[[#This Row],[Mint]]="",Dollars[[#This Row],[Date]],Dollars[[#This Row],[Date]]&amp;" "&amp;Dollars[[#This Row],[Mint]])</f>
        <v>1979 P</v>
      </c>
      <c r="Q39" s="153" t="e">
        <f>MATCH(P39,[5]Sheet2!A:A,0)</f>
        <v>#N/A</v>
      </c>
      <c r="R39" s="34" t="e">
        <f>MATCH(A39&amp;" "&amp;B39,[5]Sheet2!$A$1:$A$96,0)</f>
        <v>#N/A</v>
      </c>
      <c r="S39" s="34" t="e">
        <f>MATCH(F39,[5]Sheet2!A33:F33,0)</f>
        <v>#N/A</v>
      </c>
      <c r="T39" s="34" t="e">
        <f>INDEX([5]Sheet2!A33:F128,'SILVER DOLLARS'!R39,'SILVER DOLLARS'!S39)</f>
        <v>#N/A</v>
      </c>
      <c r="U39" s="46"/>
    </row>
    <row r="40" spans="1:21" ht="12.75" customHeight="1">
      <c r="A40" s="147" t="s">
        <v>1627</v>
      </c>
      <c r="B40" s="35" t="s">
        <v>25</v>
      </c>
      <c r="C40" s="93" t="s">
        <v>1968</v>
      </c>
      <c r="D40" s="34" t="s">
        <v>1635</v>
      </c>
      <c r="E40" s="34" t="s">
        <v>1619</v>
      </c>
      <c r="F40" s="34" t="s">
        <v>1517</v>
      </c>
      <c r="G40" s="149">
        <v>1</v>
      </c>
      <c r="H40" s="150">
        <v>1</v>
      </c>
      <c r="I40" s="35">
        <v>1</v>
      </c>
      <c r="J40" s="151">
        <v>1</v>
      </c>
      <c r="K40" s="151"/>
      <c r="L40" s="192"/>
      <c r="M40" s="151"/>
      <c r="N40" s="151"/>
      <c r="O40" s="151"/>
      <c r="P40" s="153" t="str">
        <f>IF(Dollars[[#This Row],[Mint]]="",Dollars[[#This Row],[Date]],Dollars[[#This Row],[Date]]&amp;" "&amp;Dollars[[#This Row],[Mint]])</f>
        <v>1979 P</v>
      </c>
      <c r="Q40" s="153" t="e">
        <f>MATCH(P40,[5]Sheet2!A:A,0)</f>
        <v>#N/A</v>
      </c>
      <c r="R40" s="34" t="e">
        <f>MATCH(A40&amp;" "&amp;B40,[5]Sheet2!$A$1:$A$96,0)</f>
        <v>#N/A</v>
      </c>
      <c r="S40" s="34" t="e">
        <f>MATCH(F40,[5]Sheet2!A34:F34,0)</f>
        <v>#N/A</v>
      </c>
      <c r="T40" s="34" t="e">
        <f>INDEX([5]Sheet2!A34:F129,'SILVER DOLLARS'!R40,'SILVER DOLLARS'!S40)</f>
        <v>#N/A</v>
      </c>
      <c r="U40" s="46"/>
    </row>
    <row r="41" spans="1:21" ht="12.75" customHeight="1">
      <c r="A41" s="147" t="s">
        <v>1627</v>
      </c>
      <c r="B41" s="35" t="s">
        <v>25</v>
      </c>
      <c r="C41" s="93" t="s">
        <v>1968</v>
      </c>
      <c r="D41" s="34" t="s">
        <v>1636</v>
      </c>
      <c r="E41" s="34" t="s">
        <v>1619</v>
      </c>
      <c r="F41" s="34" t="s">
        <v>1517</v>
      </c>
      <c r="G41" s="149">
        <v>1</v>
      </c>
      <c r="H41" s="150">
        <v>1</v>
      </c>
      <c r="I41" s="35">
        <v>1</v>
      </c>
      <c r="J41" s="151">
        <v>1</v>
      </c>
      <c r="K41" s="151"/>
      <c r="L41" s="192"/>
      <c r="M41" s="151"/>
      <c r="N41" s="151"/>
      <c r="O41" s="151"/>
      <c r="P41" s="153" t="str">
        <f>IF(Dollars[[#This Row],[Mint]]="",Dollars[[#This Row],[Date]],Dollars[[#This Row],[Date]]&amp;" "&amp;Dollars[[#This Row],[Mint]])</f>
        <v>1979 P</v>
      </c>
      <c r="Q41" s="153" t="e">
        <f>MATCH(P41,[5]Sheet2!A:A,0)</f>
        <v>#N/A</v>
      </c>
      <c r="R41" s="34" t="e">
        <f>MATCH(A41&amp;" "&amp;B41,[5]Sheet2!$A$1:$A$96,0)</f>
        <v>#N/A</v>
      </c>
      <c r="S41" s="34" t="e">
        <f>MATCH(F41,[5]Sheet2!A35:F35,0)</f>
        <v>#N/A</v>
      </c>
      <c r="T41" s="34" t="e">
        <f>INDEX([5]Sheet2!A35:F130,'SILVER DOLLARS'!R41,'SILVER DOLLARS'!S41)</f>
        <v>#N/A</v>
      </c>
      <c r="U41" s="46"/>
    </row>
    <row r="42" spans="1:21" ht="12.75" customHeight="1">
      <c r="A42" s="147" t="s">
        <v>1627</v>
      </c>
      <c r="B42" s="35" t="s">
        <v>25</v>
      </c>
      <c r="C42" s="93" t="s">
        <v>1968</v>
      </c>
      <c r="D42" s="34" t="s">
        <v>1637</v>
      </c>
      <c r="E42" s="34" t="s">
        <v>1619</v>
      </c>
      <c r="F42" s="34" t="s">
        <v>1517</v>
      </c>
      <c r="G42" s="149">
        <v>1</v>
      </c>
      <c r="H42" s="150">
        <v>1</v>
      </c>
      <c r="I42" s="35">
        <v>1</v>
      </c>
      <c r="J42" s="151">
        <v>1</v>
      </c>
      <c r="K42" s="151"/>
      <c r="L42" s="192"/>
      <c r="M42" s="151"/>
      <c r="N42" s="151"/>
      <c r="O42" s="151"/>
      <c r="P42" s="153" t="str">
        <f>IF(Dollars[[#This Row],[Mint]]="",Dollars[[#This Row],[Date]],Dollars[[#This Row],[Date]]&amp;" "&amp;Dollars[[#This Row],[Mint]])</f>
        <v>1979 P</v>
      </c>
      <c r="Q42" s="153" t="e">
        <f>MATCH(P42,[5]Sheet2!A:A,0)</f>
        <v>#N/A</v>
      </c>
      <c r="R42" s="34" t="e">
        <f>MATCH(A42&amp;" "&amp;B42,[5]Sheet2!$A$1:$A$96,0)</f>
        <v>#N/A</v>
      </c>
      <c r="S42" s="34" t="e">
        <f>MATCH(F42,[5]Sheet2!A36:F36,0)</f>
        <v>#N/A</v>
      </c>
      <c r="T42" s="34" t="e">
        <f>INDEX([5]Sheet2!A36:F131,'SILVER DOLLARS'!R42,'SILVER DOLLARS'!S42)</f>
        <v>#N/A</v>
      </c>
      <c r="U42" s="46"/>
    </row>
    <row r="43" spans="1:21" ht="12.75" customHeight="1">
      <c r="A43" s="147" t="s">
        <v>1627</v>
      </c>
      <c r="B43" s="35" t="s">
        <v>25</v>
      </c>
      <c r="C43" s="93" t="s">
        <v>1968</v>
      </c>
      <c r="D43" s="34" t="s">
        <v>1638</v>
      </c>
      <c r="E43" s="34" t="s">
        <v>1619</v>
      </c>
      <c r="F43" s="34" t="s">
        <v>1517</v>
      </c>
      <c r="G43" s="149">
        <v>1</v>
      </c>
      <c r="H43" s="150">
        <v>1</v>
      </c>
      <c r="I43" s="35">
        <v>1</v>
      </c>
      <c r="J43" s="151">
        <v>1</v>
      </c>
      <c r="K43" s="151"/>
      <c r="L43" s="192"/>
      <c r="M43" s="151"/>
      <c r="N43" s="151"/>
      <c r="O43" s="151"/>
      <c r="P43" s="153" t="str">
        <f>IF(Dollars[[#This Row],[Mint]]="",Dollars[[#This Row],[Date]],Dollars[[#This Row],[Date]]&amp;" "&amp;Dollars[[#This Row],[Mint]])</f>
        <v>1979 P</v>
      </c>
      <c r="Q43" s="153" t="e">
        <f>MATCH(P43,[5]Sheet2!A:A,0)</f>
        <v>#N/A</v>
      </c>
      <c r="R43" s="34" t="e">
        <f>MATCH(A43&amp;" "&amp;B43,[5]Sheet2!$A$1:$A$96,0)</f>
        <v>#N/A</v>
      </c>
      <c r="S43" s="34" t="e">
        <f>MATCH(F43,[5]Sheet2!A37:F37,0)</f>
        <v>#N/A</v>
      </c>
      <c r="T43" s="34" t="e">
        <f>INDEX([5]Sheet2!A37:F132,'SILVER DOLLARS'!R43,'SILVER DOLLARS'!S43)</f>
        <v>#N/A</v>
      </c>
      <c r="U43" s="46"/>
    </row>
    <row r="44" spans="1:21" ht="12.75" customHeight="1">
      <c r="A44" s="147" t="s">
        <v>1627</v>
      </c>
      <c r="B44" s="35" t="s">
        <v>25</v>
      </c>
      <c r="C44" s="93" t="s">
        <v>1968</v>
      </c>
      <c r="D44" s="34" t="s">
        <v>1639</v>
      </c>
      <c r="E44" s="34" t="s">
        <v>1619</v>
      </c>
      <c r="F44" s="34" t="s">
        <v>1517</v>
      </c>
      <c r="G44" s="149">
        <v>1</v>
      </c>
      <c r="H44" s="150">
        <v>1</v>
      </c>
      <c r="I44" s="35">
        <v>1</v>
      </c>
      <c r="J44" s="151">
        <v>1</v>
      </c>
      <c r="K44" s="151"/>
      <c r="L44" s="192"/>
      <c r="M44" s="151"/>
      <c r="N44" s="151"/>
      <c r="O44" s="151"/>
      <c r="P44" s="153" t="str">
        <f>IF(Dollars[[#This Row],[Mint]]="",Dollars[[#This Row],[Date]],Dollars[[#This Row],[Date]]&amp;" "&amp;Dollars[[#This Row],[Mint]])</f>
        <v>1979 P</v>
      </c>
      <c r="Q44" s="153" t="e">
        <f>MATCH(P44,[5]Sheet2!A:A,0)</f>
        <v>#N/A</v>
      </c>
      <c r="R44" s="34" t="e">
        <f>MATCH(A44&amp;" "&amp;B44,[5]Sheet2!$A$1:$A$96,0)</f>
        <v>#N/A</v>
      </c>
      <c r="S44" s="34" t="e">
        <f>MATCH(F44,[5]Sheet2!A38:F38,0)</f>
        <v>#N/A</v>
      </c>
      <c r="T44" s="34" t="e">
        <f>INDEX([5]Sheet2!A38:F133,'SILVER DOLLARS'!R44,'SILVER DOLLARS'!S44)</f>
        <v>#N/A</v>
      </c>
      <c r="U44" s="46"/>
    </row>
    <row r="45" spans="1:21" ht="12.75" customHeight="1">
      <c r="A45" s="147" t="s">
        <v>1627</v>
      </c>
      <c r="B45" s="35" t="s">
        <v>25</v>
      </c>
      <c r="C45" s="93" t="s">
        <v>1968</v>
      </c>
      <c r="D45" s="34" t="s">
        <v>1640</v>
      </c>
      <c r="E45" s="34" t="s">
        <v>1619</v>
      </c>
      <c r="F45" s="34" t="s">
        <v>1517</v>
      </c>
      <c r="G45" s="149">
        <v>1</v>
      </c>
      <c r="H45" s="150">
        <v>1</v>
      </c>
      <c r="I45" s="35">
        <v>1</v>
      </c>
      <c r="J45" s="151">
        <v>1</v>
      </c>
      <c r="K45" s="151"/>
      <c r="L45" s="192"/>
      <c r="M45" s="151"/>
      <c r="N45" s="151"/>
      <c r="O45" s="151"/>
      <c r="P45" s="153" t="str">
        <f>IF(Dollars[[#This Row],[Mint]]="",Dollars[[#This Row],[Date]],Dollars[[#This Row],[Date]]&amp;" "&amp;Dollars[[#This Row],[Mint]])</f>
        <v>1979 P</v>
      </c>
      <c r="Q45" s="153" t="e">
        <f>MATCH(P45,[5]Sheet2!A:A,0)</f>
        <v>#N/A</v>
      </c>
      <c r="R45" s="34" t="e">
        <f>MATCH(A45&amp;" "&amp;B45,[5]Sheet2!$A$1:$A$96,0)</f>
        <v>#N/A</v>
      </c>
      <c r="S45" s="34" t="e">
        <f>MATCH(F45,[5]Sheet2!A39:F39,0)</f>
        <v>#N/A</v>
      </c>
      <c r="T45" s="34" t="e">
        <f>INDEX([5]Sheet2!A39:F134,'SILVER DOLLARS'!R45,'SILVER DOLLARS'!S45)</f>
        <v>#N/A</v>
      </c>
      <c r="U45" s="46"/>
    </row>
    <row r="46" spans="1:21" ht="12.75" customHeight="1">
      <c r="A46" s="147" t="s">
        <v>1627</v>
      </c>
      <c r="B46" s="35" t="s">
        <v>25</v>
      </c>
      <c r="C46" s="93" t="s">
        <v>1968</v>
      </c>
      <c r="D46" s="34" t="s">
        <v>1641</v>
      </c>
      <c r="E46" s="34" t="s">
        <v>1619</v>
      </c>
      <c r="F46" s="34" t="s">
        <v>1517</v>
      </c>
      <c r="G46" s="149">
        <v>1</v>
      </c>
      <c r="H46" s="150">
        <v>1</v>
      </c>
      <c r="I46" s="35">
        <v>1</v>
      </c>
      <c r="J46" s="151">
        <v>1</v>
      </c>
      <c r="K46" s="151"/>
      <c r="L46" s="192"/>
      <c r="M46" s="151"/>
      <c r="N46" s="151"/>
      <c r="O46" s="151"/>
      <c r="P46" s="153" t="str">
        <f>IF(Dollars[[#This Row],[Mint]]="",Dollars[[#This Row],[Date]],Dollars[[#This Row],[Date]]&amp;" "&amp;Dollars[[#This Row],[Mint]])</f>
        <v>1979 P</v>
      </c>
      <c r="Q46" s="153" t="e">
        <f>MATCH(P46,[5]Sheet2!A:A,0)</f>
        <v>#N/A</v>
      </c>
      <c r="R46" s="34" t="e">
        <f>MATCH(A46&amp;" "&amp;B46,[5]Sheet2!$A$1:$A$96,0)</f>
        <v>#N/A</v>
      </c>
      <c r="S46" s="34" t="e">
        <f>MATCH(F46,[5]Sheet2!A40:F40,0)</f>
        <v>#N/A</v>
      </c>
      <c r="T46" s="34" t="e">
        <f>INDEX([5]Sheet2!A40:F135,'SILVER DOLLARS'!R46,'SILVER DOLLARS'!S46)</f>
        <v>#N/A</v>
      </c>
      <c r="U46" s="46"/>
    </row>
    <row r="47" spans="1:21" ht="12.75" customHeight="1">
      <c r="A47" s="147" t="s">
        <v>1627</v>
      </c>
      <c r="B47" s="35" t="s">
        <v>25</v>
      </c>
      <c r="C47" s="93" t="s">
        <v>1968</v>
      </c>
      <c r="D47" s="34" t="s">
        <v>1642</v>
      </c>
      <c r="E47" s="34" t="s">
        <v>1619</v>
      </c>
      <c r="F47" s="34" t="s">
        <v>1517</v>
      </c>
      <c r="G47" s="149">
        <v>1</v>
      </c>
      <c r="H47" s="150">
        <v>1</v>
      </c>
      <c r="I47" s="35">
        <v>1</v>
      </c>
      <c r="J47" s="151">
        <v>1</v>
      </c>
      <c r="K47" s="151"/>
      <c r="L47" s="192"/>
      <c r="M47" s="151"/>
      <c r="N47" s="151"/>
      <c r="O47" s="151"/>
      <c r="P47" s="153" t="str">
        <f>IF(Dollars[[#This Row],[Mint]]="",Dollars[[#This Row],[Date]],Dollars[[#This Row],[Date]]&amp;" "&amp;Dollars[[#This Row],[Mint]])</f>
        <v>1979 P</v>
      </c>
      <c r="Q47" s="153" t="e">
        <f>MATCH(P47,[5]Sheet2!A:A,0)</f>
        <v>#N/A</v>
      </c>
      <c r="R47" s="34" t="e">
        <f>MATCH(A47&amp;" "&amp;B47,[5]Sheet2!$A$1:$A$96,0)</f>
        <v>#N/A</v>
      </c>
      <c r="S47" s="34" t="e">
        <f>MATCH(F47,[5]Sheet2!A41:F41,0)</f>
        <v>#N/A</v>
      </c>
      <c r="T47" s="34" t="e">
        <f>INDEX([5]Sheet2!A41:F136,'SILVER DOLLARS'!R47,'SILVER DOLLARS'!S47)</f>
        <v>#N/A</v>
      </c>
      <c r="U47" s="46"/>
    </row>
    <row r="48" spans="1:21" ht="12.75" customHeight="1">
      <c r="A48" s="147" t="s">
        <v>1627</v>
      </c>
      <c r="B48" s="35" t="s">
        <v>1643</v>
      </c>
      <c r="C48" s="93" t="s">
        <v>1968</v>
      </c>
      <c r="D48" s="34" t="s">
        <v>1644</v>
      </c>
      <c r="E48" s="34" t="s">
        <v>1619</v>
      </c>
      <c r="F48" s="34" t="s">
        <v>1645</v>
      </c>
      <c r="G48" s="149">
        <v>1</v>
      </c>
      <c r="H48" s="150">
        <v>14</v>
      </c>
      <c r="I48" s="35">
        <v>3</v>
      </c>
      <c r="J48" s="151">
        <v>5.9</v>
      </c>
      <c r="K48" s="214" t="s">
        <v>2112</v>
      </c>
      <c r="L48" s="217" t="s">
        <v>2114</v>
      </c>
      <c r="M48" s="151"/>
      <c r="N48" s="151"/>
      <c r="O48" s="151"/>
      <c r="P48" s="153" t="str">
        <f>IF(Dollars[[#This Row],[Mint]]="",Dollars[[#This Row],[Date]],Dollars[[#This Row],[Date]]&amp;" "&amp;Dollars[[#This Row],[Mint]])</f>
        <v>1979 SET</v>
      </c>
      <c r="Q48" s="153" t="e">
        <f>MATCH(P48,[5]Sheet2!A:A,0)</f>
        <v>#N/A</v>
      </c>
      <c r="R48" s="34" t="e">
        <f>MATCH(A48&amp;" "&amp;B48,[5]Sheet2!$A$1:$A$96,0)</f>
        <v>#N/A</v>
      </c>
      <c r="S48" s="34" t="e">
        <f>MATCH(F48,[5]Sheet2!A42:F42,0)</f>
        <v>#N/A</v>
      </c>
      <c r="T48" s="34" t="e">
        <f>INDEX([5]Sheet2!A42:F137,'SILVER DOLLARS'!R48,'SILVER DOLLARS'!S48)</f>
        <v>#N/A</v>
      </c>
      <c r="U48" s="46"/>
    </row>
    <row r="49" spans="1:21" ht="12.75" customHeight="1">
      <c r="A49" s="147">
        <v>1980</v>
      </c>
      <c r="B49" s="35" t="s">
        <v>13</v>
      </c>
      <c r="C49" s="93" t="s">
        <v>1968</v>
      </c>
      <c r="D49" s="34" t="s">
        <v>1646</v>
      </c>
      <c r="E49" s="34" t="s">
        <v>1619</v>
      </c>
      <c r="F49" s="34" t="s">
        <v>1517</v>
      </c>
      <c r="G49" s="149">
        <v>1</v>
      </c>
      <c r="H49" s="150">
        <v>1</v>
      </c>
      <c r="I49" s="35">
        <v>1</v>
      </c>
      <c r="J49" s="151">
        <v>1</v>
      </c>
      <c r="K49" s="151"/>
      <c r="L49" s="192"/>
      <c r="M49" s="151"/>
      <c r="N49" s="151"/>
      <c r="O49" s="151"/>
      <c r="P49" s="153" t="str">
        <f>IF(Dollars[[#This Row],[Mint]]="",Dollars[[#This Row],[Date]],Dollars[[#This Row],[Date]]&amp;" "&amp;Dollars[[#This Row],[Mint]])</f>
        <v>1980 D</v>
      </c>
      <c r="Q49" s="153" t="e">
        <f>MATCH(P49,[5]Sheet2!A:A,0)</f>
        <v>#N/A</v>
      </c>
      <c r="R49" s="34" t="e">
        <f>MATCH(A49&amp;" "&amp;B49,[5]Sheet2!$A$1:$A$96,0)</f>
        <v>#N/A</v>
      </c>
      <c r="S49" s="34" t="e">
        <f>MATCH(F49,[5]Sheet2!A43:F43,0)</f>
        <v>#N/A</v>
      </c>
      <c r="T49" s="34" t="e">
        <f>INDEX([5]Sheet2!A43:F138,'SILVER DOLLARS'!R49,'SILVER DOLLARS'!S49)</f>
        <v>#N/A</v>
      </c>
      <c r="U49" s="46"/>
    </row>
    <row r="50" spans="1:21" ht="12.75" customHeight="1">
      <c r="A50" s="147">
        <v>1980</v>
      </c>
      <c r="B50" s="35" t="s">
        <v>13</v>
      </c>
      <c r="C50" s="93" t="s">
        <v>1968</v>
      </c>
      <c r="D50" s="34" t="s">
        <v>1647</v>
      </c>
      <c r="E50" s="34" t="s">
        <v>1619</v>
      </c>
      <c r="F50" s="34" t="s">
        <v>1517</v>
      </c>
      <c r="G50" s="149">
        <v>1</v>
      </c>
      <c r="H50" s="150">
        <v>1</v>
      </c>
      <c r="I50" s="35">
        <v>1</v>
      </c>
      <c r="J50" s="151">
        <v>1</v>
      </c>
      <c r="K50" s="151"/>
      <c r="L50" s="192"/>
      <c r="M50" s="151"/>
      <c r="N50" s="151"/>
      <c r="O50" s="151"/>
      <c r="P50" s="153" t="str">
        <f>IF(Dollars[[#This Row],[Mint]]="",Dollars[[#This Row],[Date]],Dollars[[#This Row],[Date]]&amp;" "&amp;Dollars[[#This Row],[Mint]])</f>
        <v>1980 D</v>
      </c>
      <c r="Q50" s="153" t="e">
        <f>MATCH(P50,[5]Sheet2!A:A,0)</f>
        <v>#N/A</v>
      </c>
      <c r="R50" s="34" t="e">
        <f>MATCH(A50&amp;" "&amp;B50,[5]Sheet2!$A$1:$A$96,0)</f>
        <v>#N/A</v>
      </c>
      <c r="S50" s="34" t="e">
        <f>MATCH(F50,[5]Sheet2!A44:F44,0)</f>
        <v>#N/A</v>
      </c>
      <c r="T50" s="34" t="e">
        <f>INDEX([5]Sheet2!A44:F139,'SILVER DOLLARS'!R50,'SILVER DOLLARS'!S50)</f>
        <v>#N/A</v>
      </c>
      <c r="U50" s="46"/>
    </row>
    <row r="51" spans="1:21" ht="12.75" customHeight="1">
      <c r="A51" s="147">
        <v>1980</v>
      </c>
      <c r="B51" s="35" t="s">
        <v>13</v>
      </c>
      <c r="C51" s="93" t="s">
        <v>1968</v>
      </c>
      <c r="D51" s="34" t="s">
        <v>1648</v>
      </c>
      <c r="E51" s="34" t="s">
        <v>1619</v>
      </c>
      <c r="F51" s="34" t="s">
        <v>1517</v>
      </c>
      <c r="G51" s="149">
        <v>1</v>
      </c>
      <c r="H51" s="150">
        <v>1</v>
      </c>
      <c r="I51" s="35">
        <v>1</v>
      </c>
      <c r="J51" s="151">
        <v>1</v>
      </c>
      <c r="K51" s="151"/>
      <c r="L51" s="192"/>
      <c r="M51" s="151"/>
      <c r="N51" s="151"/>
      <c r="O51" s="151"/>
      <c r="P51" s="153" t="str">
        <f>IF(Dollars[[#This Row],[Mint]]="",Dollars[[#This Row],[Date]],Dollars[[#This Row],[Date]]&amp;" "&amp;Dollars[[#This Row],[Mint]])</f>
        <v>1980 D</v>
      </c>
      <c r="Q51" s="153" t="e">
        <f>MATCH(P51,[5]Sheet2!A:A,0)</f>
        <v>#N/A</v>
      </c>
      <c r="R51" s="34" t="e">
        <f>MATCH(A51&amp;" "&amp;B51,[5]Sheet2!$A$1:$A$96,0)</f>
        <v>#N/A</v>
      </c>
      <c r="S51" s="34" t="e">
        <f>MATCH(F51,[5]Sheet2!A45:F45,0)</f>
        <v>#N/A</v>
      </c>
      <c r="T51" s="34" t="e">
        <f>INDEX([5]Sheet2!A45:F140,'SILVER DOLLARS'!R51,'SILVER DOLLARS'!S51)</f>
        <v>#N/A</v>
      </c>
      <c r="U51" s="46"/>
    </row>
    <row r="52" spans="1:21" ht="12.75" customHeight="1">
      <c r="A52" s="147" t="s">
        <v>1649</v>
      </c>
      <c r="B52" s="35" t="s">
        <v>1643</v>
      </c>
      <c r="C52" s="93" t="s">
        <v>1968</v>
      </c>
      <c r="D52" s="34" t="s">
        <v>1650</v>
      </c>
      <c r="E52" s="34" t="s">
        <v>1619</v>
      </c>
      <c r="F52" s="34" t="s">
        <v>1645</v>
      </c>
      <c r="G52" s="149">
        <v>1</v>
      </c>
      <c r="H52" s="150">
        <v>14</v>
      </c>
      <c r="I52" s="35">
        <v>3</v>
      </c>
      <c r="J52" s="151">
        <v>4.9000000000000004</v>
      </c>
      <c r="K52" s="215" t="s">
        <v>2111</v>
      </c>
      <c r="L52" s="216" t="s">
        <v>2113</v>
      </c>
      <c r="M52" s="151"/>
      <c r="N52" s="151"/>
      <c r="O52" s="151"/>
      <c r="P52" s="153" t="str">
        <f>IF(Dollars[[#This Row],[Mint]]="",Dollars[[#This Row],[Date]],Dollars[[#This Row],[Date]]&amp;" "&amp;Dollars[[#This Row],[Mint]])</f>
        <v>1980 SET</v>
      </c>
      <c r="Q52" s="153" t="e">
        <f>MATCH(P52,[5]Sheet2!A:A,0)</f>
        <v>#N/A</v>
      </c>
      <c r="R52" s="34" t="e">
        <f>MATCH(A52&amp;" "&amp;B52,[5]Sheet2!$A$1:$A$96,0)</f>
        <v>#N/A</v>
      </c>
      <c r="S52" s="34" t="e">
        <f>MATCH(F52,[5]Sheet2!A46:F46,0)</f>
        <v>#N/A</v>
      </c>
      <c r="T52" s="34" t="e">
        <f>INDEX([5]Sheet2!A46:F141,'SILVER DOLLARS'!R52,'SILVER DOLLARS'!S52)</f>
        <v>#N/A</v>
      </c>
      <c r="U52" s="46"/>
    </row>
    <row r="53" spans="1:21" ht="12.75" customHeight="1">
      <c r="A53" s="147" t="s">
        <v>1649</v>
      </c>
      <c r="B53" s="35" t="s">
        <v>25</v>
      </c>
      <c r="C53" s="93" t="s">
        <v>1968</v>
      </c>
      <c r="D53" s="34" t="s">
        <v>1651</v>
      </c>
      <c r="E53" s="34" t="s">
        <v>1619</v>
      </c>
      <c r="F53" s="34" t="s">
        <v>1517</v>
      </c>
      <c r="G53" s="149">
        <v>1</v>
      </c>
      <c r="H53" s="150">
        <v>1</v>
      </c>
      <c r="I53" s="35">
        <v>1</v>
      </c>
      <c r="J53" s="151">
        <v>1</v>
      </c>
      <c r="K53" s="151"/>
      <c r="L53" s="192"/>
      <c r="M53" s="151"/>
      <c r="N53" s="151"/>
      <c r="O53" s="151"/>
      <c r="P53" s="153" t="str">
        <f>IF(Dollars[[#This Row],[Mint]]="",Dollars[[#This Row],[Date]],Dollars[[#This Row],[Date]]&amp;" "&amp;Dollars[[#This Row],[Mint]])</f>
        <v>1980 P</v>
      </c>
      <c r="Q53" s="153" t="e">
        <f>MATCH(P53,[5]Sheet2!A:A,0)</f>
        <v>#N/A</v>
      </c>
      <c r="R53" s="34" t="e">
        <f>MATCH(A53&amp;" "&amp;B53,[5]Sheet2!$A$1:$A$96,0)</f>
        <v>#N/A</v>
      </c>
      <c r="S53" s="34" t="e">
        <f>MATCH(F53,[5]Sheet2!A47:F47,0)</f>
        <v>#N/A</v>
      </c>
      <c r="T53" s="34" t="e">
        <f>INDEX([5]Sheet2!A47:F142,'SILVER DOLLARS'!R53,'SILVER DOLLARS'!S53)</f>
        <v>#N/A</v>
      </c>
      <c r="U53" s="46"/>
    </row>
    <row r="54" spans="1:21" ht="12.75" customHeight="1">
      <c r="A54" s="147" t="s">
        <v>1649</v>
      </c>
      <c r="B54" s="35" t="s">
        <v>25</v>
      </c>
      <c r="C54" s="93" t="s">
        <v>1968</v>
      </c>
      <c r="D54" s="34" t="s">
        <v>1652</v>
      </c>
      <c r="E54" s="34" t="s">
        <v>1619</v>
      </c>
      <c r="F54" s="34" t="s">
        <v>1517</v>
      </c>
      <c r="G54" s="149">
        <v>1</v>
      </c>
      <c r="H54" s="150">
        <v>1</v>
      </c>
      <c r="I54" s="35">
        <v>1</v>
      </c>
      <c r="J54" s="151">
        <v>1</v>
      </c>
      <c r="K54" s="151"/>
      <c r="L54" s="192"/>
      <c r="M54" s="151"/>
      <c r="N54" s="151"/>
      <c r="O54" s="151"/>
      <c r="P54" s="153" t="str">
        <f>IF(Dollars[[#This Row],[Mint]]="",Dollars[[#This Row],[Date]],Dollars[[#This Row],[Date]]&amp;" "&amp;Dollars[[#This Row],[Mint]])</f>
        <v>1980 P</v>
      </c>
      <c r="Q54" s="153" t="e">
        <f>MATCH(P54,[5]Sheet2!A:A,0)</f>
        <v>#N/A</v>
      </c>
      <c r="R54" s="34" t="e">
        <f>MATCH(A54&amp;" "&amp;B54,[5]Sheet2!$A$1:$A$96,0)</f>
        <v>#N/A</v>
      </c>
      <c r="S54" s="34" t="e">
        <f>MATCH(F54,[5]Sheet2!A48:F48,0)</f>
        <v>#N/A</v>
      </c>
      <c r="T54" s="34" t="e">
        <f>INDEX([5]Sheet2!A48:F143,'SILVER DOLLARS'!R54,'SILVER DOLLARS'!S54)</f>
        <v>#N/A</v>
      </c>
      <c r="U54" s="46"/>
    </row>
    <row r="55" spans="1:21" ht="12.75" customHeight="1">
      <c r="A55" s="147" t="s">
        <v>1649</v>
      </c>
      <c r="B55" s="35" t="s">
        <v>25</v>
      </c>
      <c r="C55" s="93" t="s">
        <v>1968</v>
      </c>
      <c r="D55" s="34" t="s">
        <v>1653</v>
      </c>
      <c r="E55" s="34" t="s">
        <v>1619</v>
      </c>
      <c r="F55" s="34" t="s">
        <v>1517</v>
      </c>
      <c r="G55" s="149">
        <v>1</v>
      </c>
      <c r="H55" s="150">
        <v>1</v>
      </c>
      <c r="I55" s="35">
        <v>1</v>
      </c>
      <c r="J55" s="151">
        <v>1</v>
      </c>
      <c r="K55" s="151"/>
      <c r="L55" s="192"/>
      <c r="M55" s="151"/>
      <c r="N55" s="151"/>
      <c r="O55" s="151"/>
      <c r="P55" s="153" t="str">
        <f>IF(Dollars[[#This Row],[Mint]]="",Dollars[[#This Row],[Date]],Dollars[[#This Row],[Date]]&amp;" "&amp;Dollars[[#This Row],[Mint]])</f>
        <v>1980 P</v>
      </c>
      <c r="Q55" s="153" t="e">
        <f>MATCH(P55,[5]Sheet2!A:A,0)</f>
        <v>#N/A</v>
      </c>
      <c r="R55" s="34" t="e">
        <f>MATCH(A55&amp;" "&amp;B55,[5]Sheet2!$A$1:$A$96,0)</f>
        <v>#N/A</v>
      </c>
      <c r="S55" s="34" t="e">
        <f>MATCH(F55,[5]Sheet2!A49:F49,0)</f>
        <v>#N/A</v>
      </c>
      <c r="T55" s="34" t="e">
        <f>INDEX([5]Sheet2!A49:F144,'SILVER DOLLARS'!R55,'SILVER DOLLARS'!S55)</f>
        <v>#N/A</v>
      </c>
      <c r="U55" s="46"/>
    </row>
    <row r="56" spans="1:21" ht="12.75" customHeight="1">
      <c r="A56" s="147" t="s">
        <v>1649</v>
      </c>
      <c r="B56" s="35" t="s">
        <v>25</v>
      </c>
      <c r="C56" s="93" t="s">
        <v>1968</v>
      </c>
      <c r="D56" s="34" t="s">
        <v>1654</v>
      </c>
      <c r="E56" s="34" t="s">
        <v>1619</v>
      </c>
      <c r="F56" s="34" t="s">
        <v>1517</v>
      </c>
      <c r="G56" s="149">
        <v>1</v>
      </c>
      <c r="H56" s="150">
        <v>1</v>
      </c>
      <c r="I56" s="35">
        <v>1</v>
      </c>
      <c r="J56" s="151">
        <v>1</v>
      </c>
      <c r="K56" s="151"/>
      <c r="L56" s="192"/>
      <c r="M56" s="151"/>
      <c r="N56" s="151"/>
      <c r="O56" s="151"/>
      <c r="P56" s="153" t="str">
        <f>IF(Dollars[[#This Row],[Mint]]="",Dollars[[#This Row],[Date]],Dollars[[#This Row],[Date]]&amp;" "&amp;Dollars[[#This Row],[Mint]])</f>
        <v>1980 P</v>
      </c>
      <c r="Q56" s="153" t="e">
        <f>MATCH(P56,[5]Sheet2!A:A,0)</f>
        <v>#N/A</v>
      </c>
      <c r="R56" s="34" t="e">
        <f>MATCH(A56&amp;" "&amp;B56,[5]Sheet2!$A$1:$A$96,0)</f>
        <v>#N/A</v>
      </c>
      <c r="S56" s="34" t="e">
        <f>MATCH(F56,[5]Sheet2!A50:F50,0)</f>
        <v>#N/A</v>
      </c>
      <c r="T56" s="34" t="e">
        <f>INDEX([5]Sheet2!A50:F145,'SILVER DOLLARS'!R56,'SILVER DOLLARS'!S56)</f>
        <v>#N/A</v>
      </c>
      <c r="U56" s="46"/>
    </row>
    <row r="57" spans="1:21" ht="12.75" customHeight="1">
      <c r="A57" s="147" t="s">
        <v>1649</v>
      </c>
      <c r="B57" s="35" t="s">
        <v>25</v>
      </c>
      <c r="C57" s="93" t="s">
        <v>1968</v>
      </c>
      <c r="D57" s="34" t="s">
        <v>1655</v>
      </c>
      <c r="E57" s="34" t="s">
        <v>1619</v>
      </c>
      <c r="F57" s="34" t="s">
        <v>1517</v>
      </c>
      <c r="G57" s="149">
        <v>1</v>
      </c>
      <c r="H57" s="150">
        <v>1</v>
      </c>
      <c r="I57" s="35">
        <v>1</v>
      </c>
      <c r="J57" s="151">
        <v>1</v>
      </c>
      <c r="K57" s="151"/>
      <c r="L57" s="192"/>
      <c r="M57" s="151"/>
      <c r="N57" s="151"/>
      <c r="O57" s="151"/>
      <c r="P57" s="153" t="str">
        <f>IF(Dollars[[#This Row],[Mint]]="",Dollars[[#This Row],[Date]],Dollars[[#This Row],[Date]]&amp;" "&amp;Dollars[[#This Row],[Mint]])</f>
        <v>1980 P</v>
      </c>
      <c r="Q57" s="153" t="e">
        <f>MATCH(P57,[5]Sheet2!A:A,0)</f>
        <v>#N/A</v>
      </c>
      <c r="R57" s="34" t="e">
        <f>MATCH(A57&amp;" "&amp;B57,[5]Sheet2!$A$1:$A$96,0)</f>
        <v>#N/A</v>
      </c>
      <c r="S57" s="34" t="e">
        <f>MATCH(F57,[5]Sheet2!A51:F51,0)</f>
        <v>#N/A</v>
      </c>
      <c r="T57" s="34" t="e">
        <f>INDEX([5]Sheet2!A51:F146,'SILVER DOLLARS'!R57,'SILVER DOLLARS'!S57)</f>
        <v>#N/A</v>
      </c>
      <c r="U57" s="46"/>
    </row>
    <row r="58" spans="1:21" ht="12.75" customHeight="1">
      <c r="A58" s="147">
        <v>1986</v>
      </c>
      <c r="B58" s="35"/>
      <c r="C58" s="93" t="s">
        <v>1968</v>
      </c>
      <c r="D58" s="34" t="s">
        <v>1656</v>
      </c>
      <c r="E58" s="34" t="s">
        <v>1657</v>
      </c>
      <c r="F58" s="34" t="s">
        <v>21</v>
      </c>
      <c r="G58" s="149">
        <v>1</v>
      </c>
      <c r="H58" s="150">
        <v>6.99</v>
      </c>
      <c r="I58" s="35">
        <v>1</v>
      </c>
      <c r="J58" s="151">
        <v>1</v>
      </c>
      <c r="K58" s="151"/>
      <c r="L58" s="192"/>
      <c r="M58" s="151"/>
      <c r="N58" s="151"/>
      <c r="O58" s="151"/>
      <c r="P58" s="153">
        <f>IF(Dollars[[#This Row],[Mint]]="",Dollars[[#This Row],[Date]],Dollars[[#This Row],[Date]]&amp;" "&amp;Dollars[[#This Row],[Mint]])</f>
        <v>1986</v>
      </c>
      <c r="Q58" s="153" t="e">
        <f>MATCH(P58,[5]Sheet2!A:A,0)</f>
        <v>#N/A</v>
      </c>
      <c r="R58" s="34" t="e">
        <f>MATCH(A58,[5]Sheet2!$A$1:$A$96,0)</f>
        <v>#N/A</v>
      </c>
      <c r="S58" s="34" t="e">
        <f>MATCH(F58,[5]Sheet2!A52:F52,0)</f>
        <v>#N/A</v>
      </c>
      <c r="T58" s="34" t="e">
        <f>INDEX([5]Sheet2!A52:F147,'SILVER DOLLARS'!R58,'SILVER DOLLARS'!S58)</f>
        <v>#N/A</v>
      </c>
      <c r="U58" s="46"/>
    </row>
    <row r="59" spans="1:21" ht="12.75" customHeight="1">
      <c r="A59" s="154">
        <v>1986</v>
      </c>
      <c r="B59" s="155"/>
      <c r="C59" s="93" t="s">
        <v>1968</v>
      </c>
      <c r="D59" s="156" t="s">
        <v>1658</v>
      </c>
      <c r="E59" s="156" t="s">
        <v>1659</v>
      </c>
      <c r="F59" s="34" t="s">
        <v>21</v>
      </c>
      <c r="G59" s="149">
        <v>1</v>
      </c>
      <c r="H59" s="150">
        <v>21</v>
      </c>
      <c r="I59" s="35">
        <v>1</v>
      </c>
      <c r="J59" s="151">
        <v>1</v>
      </c>
      <c r="K59" s="151"/>
      <c r="L59" s="192"/>
      <c r="M59" s="151"/>
      <c r="N59" s="151"/>
      <c r="O59" s="151"/>
      <c r="P59" s="153">
        <f>IF(Dollars[[#This Row],[Mint]]="",Dollars[[#This Row],[Date]],Dollars[[#This Row],[Date]]&amp;" "&amp;Dollars[[#This Row],[Mint]])</f>
        <v>1986</v>
      </c>
      <c r="Q59" s="153" t="e">
        <f>MATCH(P59,[5]Sheet2!A:A,0)</f>
        <v>#N/A</v>
      </c>
      <c r="R59" s="34" t="e">
        <f>MATCH(A59&amp;" "&amp;B59,[5]Sheet2!$A$1:$A$96,0)</f>
        <v>#N/A</v>
      </c>
      <c r="S59" s="34" t="e">
        <f>MATCH(F59,[5]Sheet2!A53:F53,0)</f>
        <v>#N/A</v>
      </c>
      <c r="T59" s="34" t="e">
        <f>INDEX([5]Sheet2!A53:F148,'SILVER DOLLARS'!R59,'SILVER DOLLARS'!S59)</f>
        <v>#N/A</v>
      </c>
      <c r="U59" s="46"/>
    </row>
    <row r="60" spans="1:21" ht="12.75" customHeight="1">
      <c r="A60" s="154">
        <v>1987</v>
      </c>
      <c r="B60" s="155"/>
      <c r="C60" s="93" t="s">
        <v>1968</v>
      </c>
      <c r="D60" s="156" t="s">
        <v>1660</v>
      </c>
      <c r="E60" s="156" t="s">
        <v>1659</v>
      </c>
      <c r="F60" s="34" t="s">
        <v>21</v>
      </c>
      <c r="G60" s="149">
        <v>1</v>
      </c>
      <c r="H60" s="150">
        <v>23</v>
      </c>
      <c r="I60" s="35">
        <v>1</v>
      </c>
      <c r="J60" s="151">
        <v>1</v>
      </c>
      <c r="K60" s="151"/>
      <c r="L60" s="192"/>
      <c r="M60" s="151"/>
      <c r="N60" s="151"/>
      <c r="O60" s="151"/>
      <c r="P60" s="153">
        <f>IF(Dollars[[#This Row],[Mint]]="",Dollars[[#This Row],[Date]],Dollars[[#This Row],[Date]]&amp;" "&amp;Dollars[[#This Row],[Mint]])</f>
        <v>1987</v>
      </c>
      <c r="Q60" s="153" t="e">
        <f>MATCH(P60,[5]Sheet2!A:A,0)</f>
        <v>#N/A</v>
      </c>
      <c r="R60" s="34" t="e">
        <f>MATCH(A60&amp;" "&amp;B60,[5]Sheet2!$A$1:$A$96,0)</f>
        <v>#N/A</v>
      </c>
      <c r="S60" s="34" t="e">
        <f>MATCH(F60,[5]Sheet2!A54:F54,0)</f>
        <v>#N/A</v>
      </c>
      <c r="T60" s="34" t="e">
        <f>INDEX([5]Sheet2!A54:F149,'SILVER DOLLARS'!R60,'SILVER DOLLARS'!S60)</f>
        <v>#N/A</v>
      </c>
      <c r="U60" s="46"/>
    </row>
    <row r="61" spans="1:21" ht="12.75" customHeight="1">
      <c r="A61" s="147">
        <v>1987</v>
      </c>
      <c r="B61" s="35"/>
      <c r="C61" s="93" t="s">
        <v>1968</v>
      </c>
      <c r="D61" s="34" t="s">
        <v>1661</v>
      </c>
      <c r="E61" s="34" t="s">
        <v>1662</v>
      </c>
      <c r="F61" s="34" t="s">
        <v>20</v>
      </c>
      <c r="G61" s="149">
        <v>1</v>
      </c>
      <c r="H61" s="150">
        <v>45</v>
      </c>
      <c r="I61" s="35">
        <v>1</v>
      </c>
      <c r="J61" s="151">
        <v>1</v>
      </c>
      <c r="K61" s="151"/>
      <c r="L61" s="192"/>
      <c r="M61" s="151"/>
      <c r="N61" s="151"/>
      <c r="O61" s="151"/>
      <c r="P61" s="153">
        <f>IF(Dollars[[#This Row],[Mint]]="",Dollars[[#This Row],[Date]],Dollars[[#This Row],[Date]]&amp;" "&amp;Dollars[[#This Row],[Mint]])</f>
        <v>1987</v>
      </c>
      <c r="Q61" s="153" t="e">
        <f>MATCH(P61,[5]Sheet2!A:A,0)</f>
        <v>#N/A</v>
      </c>
      <c r="R61" s="34" t="e">
        <f>MATCH(A61&amp;" "&amp;B61,[5]Sheet2!$A$1:$A$96,0)</f>
        <v>#N/A</v>
      </c>
      <c r="S61" s="34" t="e">
        <f>MATCH(F61,[5]Sheet2!A55:F55,0)</f>
        <v>#N/A</v>
      </c>
      <c r="T61" s="34" t="e">
        <f>INDEX([5]Sheet2!A55:F150,'SILVER DOLLARS'!R61,'SILVER DOLLARS'!S61)</f>
        <v>#N/A</v>
      </c>
      <c r="U61" s="46"/>
    </row>
    <row r="62" spans="1:21" ht="12.75" customHeight="1">
      <c r="A62" s="154">
        <v>1988</v>
      </c>
      <c r="B62" s="155"/>
      <c r="C62" s="93" t="s">
        <v>1968</v>
      </c>
      <c r="D62" s="156" t="s">
        <v>1663</v>
      </c>
      <c r="E62" s="156" t="s">
        <v>1659</v>
      </c>
      <c r="F62" s="34" t="s">
        <v>21</v>
      </c>
      <c r="G62" s="149">
        <v>1</v>
      </c>
      <c r="H62" s="150">
        <v>35</v>
      </c>
      <c r="I62" s="35">
        <v>1</v>
      </c>
      <c r="J62" s="151">
        <v>1</v>
      </c>
      <c r="K62" s="151"/>
      <c r="L62" s="192"/>
      <c r="M62" s="151"/>
      <c r="N62" s="151"/>
      <c r="O62" s="151"/>
      <c r="P62" s="153">
        <f>IF(Dollars[[#This Row],[Mint]]="",Dollars[[#This Row],[Date]],Dollars[[#This Row],[Date]]&amp;" "&amp;Dollars[[#This Row],[Mint]])</f>
        <v>1988</v>
      </c>
      <c r="Q62" s="153" t="e">
        <f>MATCH(P62,[5]Sheet2!A:A,0)</f>
        <v>#N/A</v>
      </c>
      <c r="R62" s="34" t="e">
        <f>MATCH(A62&amp;" "&amp;B62,[5]Sheet2!$A$1:$A$96,0)</f>
        <v>#N/A</v>
      </c>
      <c r="S62" s="34" t="e">
        <f>MATCH(F62,[5]Sheet2!A56:F56,0)</f>
        <v>#N/A</v>
      </c>
      <c r="T62" s="34" t="e">
        <f>INDEX([5]Sheet2!A56:F151,'SILVER DOLLARS'!R62,'SILVER DOLLARS'!S62)</f>
        <v>#N/A</v>
      </c>
      <c r="U62" s="46"/>
    </row>
    <row r="63" spans="1:21" ht="12.75" customHeight="1">
      <c r="A63" s="154">
        <v>1989</v>
      </c>
      <c r="B63" s="155"/>
      <c r="C63" s="93" t="s">
        <v>1968</v>
      </c>
      <c r="D63" s="156" t="s">
        <v>1664</v>
      </c>
      <c r="E63" s="156" t="s">
        <v>1659</v>
      </c>
      <c r="F63" s="34" t="s">
        <v>21</v>
      </c>
      <c r="G63" s="149">
        <v>1</v>
      </c>
      <c r="H63" s="150">
        <v>23</v>
      </c>
      <c r="I63" s="35">
        <v>1</v>
      </c>
      <c r="J63" s="151">
        <v>1</v>
      </c>
      <c r="K63" s="151"/>
      <c r="L63" s="192"/>
      <c r="M63" s="151"/>
      <c r="N63" s="151"/>
      <c r="O63" s="151"/>
      <c r="P63" s="153">
        <f>IF(Dollars[[#This Row],[Mint]]="",Dollars[[#This Row],[Date]],Dollars[[#This Row],[Date]]&amp;" "&amp;Dollars[[#This Row],[Mint]])</f>
        <v>1989</v>
      </c>
      <c r="Q63" s="153" t="e">
        <f>MATCH(P63,[5]Sheet2!A:A,0)</f>
        <v>#N/A</v>
      </c>
      <c r="R63" s="34" t="e">
        <f>MATCH(A63&amp;" "&amp;B63,[5]Sheet2!$A$1:$A$96,0)</f>
        <v>#N/A</v>
      </c>
      <c r="S63" s="34" t="e">
        <f>MATCH(F63,[5]Sheet2!A57:F57,0)</f>
        <v>#N/A</v>
      </c>
      <c r="T63" s="34" t="e">
        <f>INDEX([5]Sheet2!A57:F152,'SILVER DOLLARS'!R63,'SILVER DOLLARS'!S63)</f>
        <v>#N/A</v>
      </c>
      <c r="U63" s="46"/>
    </row>
    <row r="64" spans="1:21" ht="12.75" customHeight="1">
      <c r="A64" s="154">
        <v>1990</v>
      </c>
      <c r="B64" s="155"/>
      <c r="C64" s="93" t="s">
        <v>1968</v>
      </c>
      <c r="D64" s="156" t="s">
        <v>1665</v>
      </c>
      <c r="E64" s="156" t="s">
        <v>1659</v>
      </c>
      <c r="F64" s="34" t="s">
        <v>20</v>
      </c>
      <c r="G64" s="149">
        <v>1</v>
      </c>
      <c r="H64" s="150">
        <v>23</v>
      </c>
      <c r="I64" s="35">
        <v>1</v>
      </c>
      <c r="J64" s="151">
        <v>1</v>
      </c>
      <c r="K64" s="151"/>
      <c r="L64" s="192"/>
      <c r="M64" s="151"/>
      <c r="N64" s="151"/>
      <c r="O64" s="151"/>
      <c r="P64" s="153">
        <f>IF(Dollars[[#This Row],[Mint]]="",Dollars[[#This Row],[Date]],Dollars[[#This Row],[Date]]&amp;" "&amp;Dollars[[#This Row],[Mint]])</f>
        <v>1990</v>
      </c>
      <c r="Q64" s="153" t="e">
        <f>MATCH(P64,[5]Sheet2!A:A,0)</f>
        <v>#N/A</v>
      </c>
      <c r="R64" s="34" t="e">
        <f>MATCH(A64&amp;" "&amp;B64,[5]Sheet2!$A$1:$A$96,0)</f>
        <v>#N/A</v>
      </c>
      <c r="S64" s="34" t="e">
        <f>MATCH(F64,[5]Sheet2!A58:F58,0)</f>
        <v>#N/A</v>
      </c>
      <c r="T64" s="34" t="e">
        <f>INDEX([5]Sheet2!A58:F153,'SILVER DOLLARS'!R64,'SILVER DOLLARS'!S64)</f>
        <v>#N/A</v>
      </c>
      <c r="U64" s="46"/>
    </row>
    <row r="65" spans="1:21" ht="12.75" customHeight="1">
      <c r="A65" s="154">
        <v>1991</v>
      </c>
      <c r="B65" s="155"/>
      <c r="C65" s="93" t="s">
        <v>1968</v>
      </c>
      <c r="D65" s="156" t="s">
        <v>1666</v>
      </c>
      <c r="E65" s="156" t="s">
        <v>1659</v>
      </c>
      <c r="F65" s="34" t="s">
        <v>20</v>
      </c>
      <c r="G65" s="149">
        <v>1</v>
      </c>
      <c r="H65" s="150">
        <v>32</v>
      </c>
      <c r="I65" s="35">
        <v>1</v>
      </c>
      <c r="J65" s="151">
        <v>1</v>
      </c>
      <c r="K65" s="151"/>
      <c r="L65" s="192"/>
      <c r="M65" s="151"/>
      <c r="N65" s="151"/>
      <c r="O65" s="151"/>
      <c r="P65" s="153">
        <f>IF(Dollars[[#This Row],[Mint]]="",Dollars[[#This Row],[Date]],Dollars[[#This Row],[Date]]&amp;" "&amp;Dollars[[#This Row],[Mint]])</f>
        <v>1991</v>
      </c>
      <c r="Q65" s="153" t="e">
        <f>MATCH(P65,[5]Sheet2!A:A,0)</f>
        <v>#N/A</v>
      </c>
      <c r="R65" s="34" t="e">
        <f>MATCH(A65&amp;" "&amp;B65,[5]Sheet2!$A$1:$A$96,0)</f>
        <v>#N/A</v>
      </c>
      <c r="S65" s="34" t="e">
        <f>MATCH(F65,[5]Sheet2!A59:F59,0)</f>
        <v>#N/A</v>
      </c>
      <c r="T65" s="34" t="e">
        <f>INDEX([5]Sheet2!A59:F154,'SILVER DOLLARS'!R65,'SILVER DOLLARS'!S65)</f>
        <v>#N/A</v>
      </c>
      <c r="U65" s="46"/>
    </row>
    <row r="66" spans="1:21" ht="12.75" customHeight="1">
      <c r="A66" s="147">
        <v>1991</v>
      </c>
      <c r="B66" s="35"/>
      <c r="C66" s="93" t="s">
        <v>1968</v>
      </c>
      <c r="D66" s="34" t="s">
        <v>1667</v>
      </c>
      <c r="E66" s="34" t="s">
        <v>1668</v>
      </c>
      <c r="F66" s="34" t="s">
        <v>20</v>
      </c>
      <c r="G66" s="149">
        <v>1</v>
      </c>
      <c r="H66" s="150">
        <v>45</v>
      </c>
      <c r="I66" s="35">
        <v>1</v>
      </c>
      <c r="J66" s="151">
        <v>1</v>
      </c>
      <c r="K66" s="151"/>
      <c r="L66" s="192"/>
      <c r="M66" s="151"/>
      <c r="N66" s="151"/>
      <c r="O66" s="151"/>
      <c r="P66" s="153">
        <f>IF(Dollars[[#This Row],[Mint]]="",Dollars[[#This Row],[Date]],Dollars[[#This Row],[Date]]&amp;" "&amp;Dollars[[#This Row],[Mint]])</f>
        <v>1991</v>
      </c>
      <c r="Q66" s="153" t="e">
        <f>MATCH(P66,[5]Sheet2!A:A,0)</f>
        <v>#N/A</v>
      </c>
      <c r="R66" s="34" t="e">
        <f>MATCH(A66&amp;" "&amp;B66,[5]Sheet2!$A$1:$A$96,0)</f>
        <v>#N/A</v>
      </c>
      <c r="S66" s="34" t="e">
        <f>MATCH(F66,[5]Sheet2!A59:F59,0)</f>
        <v>#N/A</v>
      </c>
      <c r="T66" s="34" t="e">
        <f>INDEX([5]Sheet2!A59:F154,'SILVER DOLLARS'!R66,'SILVER DOLLARS'!S66)</f>
        <v>#N/A</v>
      </c>
      <c r="U66" s="46"/>
    </row>
    <row r="67" spans="1:21" ht="12.75" customHeight="1">
      <c r="A67" s="147">
        <v>1991</v>
      </c>
      <c r="B67" s="35"/>
      <c r="C67" s="93" t="s">
        <v>1968</v>
      </c>
      <c r="D67" s="34" t="s">
        <v>1669</v>
      </c>
      <c r="E67" s="34" t="s">
        <v>1670</v>
      </c>
      <c r="F67" s="34" t="s">
        <v>20</v>
      </c>
      <c r="G67" s="149">
        <v>1</v>
      </c>
      <c r="H67" s="150">
        <v>50</v>
      </c>
      <c r="I67" s="35">
        <v>1</v>
      </c>
      <c r="J67" s="151">
        <v>1</v>
      </c>
      <c r="K67" s="151"/>
      <c r="L67" s="192"/>
      <c r="M67" s="151"/>
      <c r="N67" s="151"/>
      <c r="O67" s="151"/>
      <c r="P67" s="153">
        <f>IF(Dollars[[#This Row],[Mint]]="",Dollars[[#This Row],[Date]],Dollars[[#This Row],[Date]]&amp;" "&amp;Dollars[[#This Row],[Mint]])</f>
        <v>1991</v>
      </c>
      <c r="Q67" s="153" t="e">
        <f>MATCH(P67,[5]Sheet2!A:A,0)</f>
        <v>#N/A</v>
      </c>
      <c r="R67" s="34" t="e">
        <f>MATCH(A67&amp;" "&amp;B67,[5]Sheet2!$A$1:$A$96,0)</f>
        <v>#N/A</v>
      </c>
      <c r="S67" s="34" t="e">
        <f>MATCH(F67,[5]Sheet2!A60:F60,0)</f>
        <v>#N/A</v>
      </c>
      <c r="T67" s="34" t="e">
        <f>INDEX([5]Sheet2!A60:F155,'SILVER DOLLARS'!R67,'SILVER DOLLARS'!S67)</f>
        <v>#N/A</v>
      </c>
      <c r="U67" s="46"/>
    </row>
    <row r="68" spans="1:21" ht="12.75" customHeight="1">
      <c r="A68" s="147">
        <v>1991</v>
      </c>
      <c r="B68" s="35"/>
      <c r="C68" s="93" t="s">
        <v>1968</v>
      </c>
      <c r="D68" s="34" t="s">
        <v>1671</v>
      </c>
      <c r="E68" s="34" t="s">
        <v>1672</v>
      </c>
      <c r="F68" s="34" t="s">
        <v>20</v>
      </c>
      <c r="G68" s="149">
        <v>1</v>
      </c>
      <c r="H68" s="150">
        <v>45</v>
      </c>
      <c r="I68" s="35">
        <v>1</v>
      </c>
      <c r="J68" s="151">
        <v>1</v>
      </c>
      <c r="K68" s="151"/>
      <c r="L68" s="192"/>
      <c r="M68" s="151"/>
      <c r="N68" s="151"/>
      <c r="O68" s="151"/>
      <c r="P68" s="153">
        <f>IF(Dollars[[#This Row],[Mint]]="",Dollars[[#This Row],[Date]],Dollars[[#This Row],[Date]]&amp;" "&amp;Dollars[[#This Row],[Mint]])</f>
        <v>1991</v>
      </c>
      <c r="Q68" s="153" t="e">
        <f>MATCH(P68,[5]Sheet2!A:A,0)</f>
        <v>#N/A</v>
      </c>
      <c r="R68" s="34" t="e">
        <f>MATCH(A68&amp;" "&amp;B68,[5]Sheet2!$A$1:$A$96,0)</f>
        <v>#N/A</v>
      </c>
      <c r="S68" s="34" t="e">
        <f>MATCH(F68,[5]Sheet2!A61:F61,0)</f>
        <v>#N/A</v>
      </c>
      <c r="T68" s="34" t="e">
        <f>INDEX([5]Sheet2!A61:F156,'SILVER DOLLARS'!R68,'SILVER DOLLARS'!S68)</f>
        <v>#N/A</v>
      </c>
      <c r="U68" s="46"/>
    </row>
    <row r="69" spans="1:21" ht="12.75" customHeight="1">
      <c r="A69" s="154">
        <v>1992</v>
      </c>
      <c r="B69" s="155"/>
      <c r="C69" s="93" t="s">
        <v>1968</v>
      </c>
      <c r="D69" s="156" t="s">
        <v>1673</v>
      </c>
      <c r="E69" s="156" t="s">
        <v>1659</v>
      </c>
      <c r="F69" s="34" t="s">
        <v>20</v>
      </c>
      <c r="G69" s="149">
        <v>1</v>
      </c>
      <c r="H69" s="150">
        <v>23</v>
      </c>
      <c r="I69" s="35">
        <v>1</v>
      </c>
      <c r="J69" s="151">
        <v>1</v>
      </c>
      <c r="K69" s="151"/>
      <c r="L69" s="192"/>
      <c r="M69" s="151"/>
      <c r="N69" s="151"/>
      <c r="O69" s="151"/>
      <c r="P69" s="153">
        <f>IF(Dollars[[#This Row],[Mint]]="",Dollars[[#This Row],[Date]],Dollars[[#This Row],[Date]]&amp;" "&amp;Dollars[[#This Row],[Mint]])</f>
        <v>1992</v>
      </c>
      <c r="Q69" s="153" t="e">
        <f>MATCH(P69,[5]Sheet2!A:A,0)</f>
        <v>#N/A</v>
      </c>
      <c r="R69" s="34" t="e">
        <f>MATCH(A69&amp;" "&amp;B69,[5]Sheet2!$A$1:$A$96,0)</f>
        <v>#N/A</v>
      </c>
      <c r="S69" s="34" t="e">
        <f>MATCH(F69,[5]Sheet2!A62:F62,0)</f>
        <v>#N/A</v>
      </c>
      <c r="T69" s="34" t="e">
        <f>INDEX([5]Sheet2!A62:F157,'SILVER DOLLARS'!R69,'SILVER DOLLARS'!S69)</f>
        <v>#N/A</v>
      </c>
      <c r="U69" s="46"/>
    </row>
    <row r="70" spans="1:21" ht="12.75" customHeight="1">
      <c r="A70" s="147">
        <v>1992</v>
      </c>
      <c r="B70" s="35"/>
      <c r="C70" s="93" t="s">
        <v>1968</v>
      </c>
      <c r="D70" s="34" t="s">
        <v>1674</v>
      </c>
      <c r="E70" s="34" t="s">
        <v>1675</v>
      </c>
      <c r="F70" s="34" t="s">
        <v>20</v>
      </c>
      <c r="G70" s="149">
        <v>1</v>
      </c>
      <c r="H70" s="150">
        <v>32</v>
      </c>
      <c r="I70" s="35">
        <v>1</v>
      </c>
      <c r="J70" s="151">
        <v>1</v>
      </c>
      <c r="K70" s="151"/>
      <c r="L70" s="192"/>
      <c r="M70" s="151"/>
      <c r="N70" s="151"/>
      <c r="O70" s="151"/>
      <c r="P70" s="153">
        <f>IF(Dollars[[#This Row],[Mint]]="",Dollars[[#This Row],[Date]],Dollars[[#This Row],[Date]]&amp;" "&amp;Dollars[[#This Row],[Mint]])</f>
        <v>1992</v>
      </c>
      <c r="Q70" s="153" t="e">
        <f>MATCH(P70,[5]Sheet2!A:A,0)</f>
        <v>#N/A</v>
      </c>
      <c r="R70" s="34" t="e">
        <f>MATCH(A70&amp;" "&amp;B70,[5]Sheet2!$A$1:$A$96,0)</f>
        <v>#N/A</v>
      </c>
      <c r="S70" s="34" t="e">
        <f>MATCH(F70,[5]Sheet2!A63:F63,0)</f>
        <v>#N/A</v>
      </c>
      <c r="T70" s="34" t="e">
        <f>INDEX([5]Sheet2!A63:F158,'SILVER DOLLARS'!R70,'SILVER DOLLARS'!S70)</f>
        <v>#N/A</v>
      </c>
      <c r="U70" s="46"/>
    </row>
    <row r="71" spans="1:21" ht="12.75" customHeight="1">
      <c r="A71" s="147">
        <v>1992</v>
      </c>
      <c r="B71" s="35"/>
      <c r="C71" s="93" t="s">
        <v>1968</v>
      </c>
      <c r="D71" s="34" t="s">
        <v>1676</v>
      </c>
      <c r="E71" s="34" t="s">
        <v>1675</v>
      </c>
      <c r="F71" s="34" t="s">
        <v>20</v>
      </c>
      <c r="G71" s="149">
        <v>1</v>
      </c>
      <c r="H71" s="150">
        <v>32</v>
      </c>
      <c r="I71" s="35">
        <v>1</v>
      </c>
      <c r="J71" s="151">
        <v>1</v>
      </c>
      <c r="K71" s="151"/>
      <c r="L71" s="192"/>
      <c r="M71" s="151"/>
      <c r="N71" s="151"/>
      <c r="O71" s="151"/>
      <c r="P71" s="153">
        <f>IF(Dollars[[#This Row],[Mint]]="",Dollars[[#This Row],[Date]],Dollars[[#This Row],[Date]]&amp;" "&amp;Dollars[[#This Row],[Mint]])</f>
        <v>1992</v>
      </c>
      <c r="Q71" s="153" t="e">
        <f>MATCH(P71,[5]Sheet2!A:A,0)</f>
        <v>#N/A</v>
      </c>
      <c r="R71" s="34" t="e">
        <f>MATCH(A71&amp;" "&amp;B71,[5]Sheet2!$A$1:$A$96,0)</f>
        <v>#N/A</v>
      </c>
      <c r="S71" s="34" t="e">
        <f>MATCH(F71,[5]Sheet2!A64:F64,0)</f>
        <v>#N/A</v>
      </c>
      <c r="T71" s="34" t="e">
        <f>INDEX([5]Sheet2!A64:F159,'SILVER DOLLARS'!R71,'SILVER DOLLARS'!S71)</f>
        <v>#N/A</v>
      </c>
      <c r="U71" s="46"/>
    </row>
    <row r="72" spans="1:21" ht="12.75" customHeight="1">
      <c r="A72" s="154">
        <v>1993</v>
      </c>
      <c r="B72" s="155"/>
      <c r="C72" s="93" t="s">
        <v>1968</v>
      </c>
      <c r="D72" s="156" t="s">
        <v>1677</v>
      </c>
      <c r="E72" s="156" t="s">
        <v>1659</v>
      </c>
      <c r="F72" s="34" t="s">
        <v>20</v>
      </c>
      <c r="G72" s="149">
        <v>1</v>
      </c>
      <c r="H72" s="150">
        <v>23</v>
      </c>
      <c r="I72" s="35">
        <v>1</v>
      </c>
      <c r="J72" s="151">
        <v>1</v>
      </c>
      <c r="K72" s="151"/>
      <c r="L72" s="192"/>
      <c r="M72" s="151"/>
      <c r="N72" s="151"/>
      <c r="O72" s="151"/>
      <c r="P72" s="153">
        <f>IF(Dollars[[#This Row],[Mint]]="",Dollars[[#This Row],[Date]],Dollars[[#This Row],[Date]]&amp;" "&amp;Dollars[[#This Row],[Mint]])</f>
        <v>1993</v>
      </c>
      <c r="Q72" s="153" t="e">
        <f>MATCH(P72,[5]Sheet2!A:A,0)</f>
        <v>#N/A</v>
      </c>
      <c r="R72" s="34" t="e">
        <f>MATCH(A72&amp;" "&amp;B72,[5]Sheet2!$A$1:$A$96,0)</f>
        <v>#N/A</v>
      </c>
      <c r="S72" s="34" t="e">
        <f>MATCH(F72,[5]Sheet2!A65:F65,0)</f>
        <v>#N/A</v>
      </c>
      <c r="T72" s="34" t="e">
        <f>INDEX([5]Sheet2!A65:F160,'SILVER DOLLARS'!R72,'SILVER DOLLARS'!S72)</f>
        <v>#N/A</v>
      </c>
      <c r="U72" s="46"/>
    </row>
    <row r="73" spans="1:21" ht="12.75" customHeight="1">
      <c r="A73" s="154">
        <v>2000</v>
      </c>
      <c r="B73" s="155"/>
      <c r="C73" s="93" t="s">
        <v>1968</v>
      </c>
      <c r="D73" s="156" t="s">
        <v>1678</v>
      </c>
      <c r="E73" s="156" t="s">
        <v>1659</v>
      </c>
      <c r="F73" s="34" t="s">
        <v>20</v>
      </c>
      <c r="G73" s="149">
        <v>1</v>
      </c>
      <c r="H73" s="150">
        <v>23</v>
      </c>
      <c r="I73" s="35">
        <v>1</v>
      </c>
      <c r="J73" s="151">
        <v>1</v>
      </c>
      <c r="K73" s="151"/>
      <c r="L73" s="192"/>
      <c r="M73" s="151"/>
      <c r="N73" s="151"/>
      <c r="O73" s="151"/>
      <c r="P73" s="153">
        <f>IF(Dollars[[#This Row],[Mint]]="",Dollars[[#This Row],[Date]],Dollars[[#This Row],[Date]]&amp;" "&amp;Dollars[[#This Row],[Mint]])</f>
        <v>2000</v>
      </c>
      <c r="Q73" s="153" t="e">
        <f>MATCH(P73,[5]Sheet2!A:A,0)</f>
        <v>#N/A</v>
      </c>
      <c r="R73" s="34" t="e">
        <f>MATCH(A73&amp;" "&amp;B73,[5]Sheet2!$A$1:$A$96,0)</f>
        <v>#N/A</v>
      </c>
      <c r="S73" s="34" t="e">
        <f>MATCH(F73,[5]Sheet2!A66:F66,0)</f>
        <v>#N/A</v>
      </c>
      <c r="T73" s="34" t="e">
        <f>INDEX([5]Sheet2!A66:F161,'SILVER DOLLARS'!R73,'SILVER DOLLARS'!S73)</f>
        <v>#N/A</v>
      </c>
      <c r="U73" s="46"/>
    </row>
    <row r="74" spans="1:21" ht="14.65" customHeight="1">
      <c r="A74" s="147">
        <v>2000</v>
      </c>
      <c r="B74" s="35" t="s">
        <v>25</v>
      </c>
      <c r="C74" s="93" t="s">
        <v>1968</v>
      </c>
      <c r="D74" s="38" t="s">
        <v>1679</v>
      </c>
      <c r="E74" s="38" t="s">
        <v>1680</v>
      </c>
      <c r="F74" s="34" t="s">
        <v>1593</v>
      </c>
      <c r="G74" s="149">
        <v>1</v>
      </c>
      <c r="H74" s="150">
        <v>1</v>
      </c>
      <c r="I74" s="35">
        <v>1</v>
      </c>
      <c r="J74" s="151">
        <v>1</v>
      </c>
      <c r="K74" s="151"/>
      <c r="L74" s="192"/>
      <c r="M74" s="151"/>
      <c r="N74" s="151"/>
      <c r="O74" s="151"/>
      <c r="P74" s="153" t="str">
        <f>IF(Dollars[[#This Row],[Mint]]="",Dollars[[#This Row],[Date]],Dollars[[#This Row],[Date]]&amp;" "&amp;Dollars[[#This Row],[Mint]])</f>
        <v>2000 P</v>
      </c>
      <c r="Q74" s="153" t="e">
        <f>MATCH(P74,[5]Sheet2!A:A,0)</f>
        <v>#N/A</v>
      </c>
      <c r="R74" s="34" t="e">
        <f>MATCH(A74&amp;" "&amp;B74,[5]Sheet2!$A$1:$A$96,0)</f>
        <v>#N/A</v>
      </c>
      <c r="S74" s="34" t="e">
        <f>MATCH(F74,[5]Sheet2!A67:F67,0)</f>
        <v>#N/A</v>
      </c>
      <c r="T74" s="34" t="e">
        <f>INDEX([5]Sheet2!A67:F162,'SILVER DOLLARS'!R74,'SILVER DOLLARS'!S74)</f>
        <v>#N/A</v>
      </c>
      <c r="U74" s="46"/>
    </row>
    <row r="75" spans="1:21" ht="12.75" customHeight="1">
      <c r="A75" s="147">
        <v>2007</v>
      </c>
      <c r="B75" s="35"/>
      <c r="C75" s="93" t="s">
        <v>1968</v>
      </c>
      <c r="D75" s="34" t="s">
        <v>1681</v>
      </c>
      <c r="E75" s="34" t="s">
        <v>1682</v>
      </c>
      <c r="F75" s="34" t="s">
        <v>21</v>
      </c>
      <c r="G75" s="149">
        <v>1</v>
      </c>
      <c r="H75" s="150">
        <v>23</v>
      </c>
      <c r="I75" s="35">
        <v>1</v>
      </c>
      <c r="J75" s="151">
        <v>1</v>
      </c>
      <c r="K75" s="151"/>
      <c r="L75" s="192"/>
      <c r="M75" s="151"/>
      <c r="N75" s="151"/>
      <c r="O75" s="151"/>
      <c r="P75" s="153">
        <f>IF(Dollars[[#This Row],[Mint]]="",Dollars[[#This Row],[Date]],Dollars[[#This Row],[Date]]&amp;" "&amp;Dollars[[#This Row],[Mint]])</f>
        <v>2007</v>
      </c>
      <c r="Q75" s="153" t="e">
        <f>MATCH(P75,[5]Sheet2!A:A,0)</f>
        <v>#N/A</v>
      </c>
      <c r="R75" s="34" t="e">
        <f>MATCH(A75&amp;" "&amp;B75,[5]Sheet2!$A$1:$A$96,0)</f>
        <v>#N/A</v>
      </c>
      <c r="S75" s="34" t="e">
        <f>MATCH(F75,[5]Sheet2!A67:F67,0)</f>
        <v>#N/A</v>
      </c>
      <c r="T75" s="34" t="e">
        <f>INDEX([5]Sheet2!A67:F162,'SILVER DOLLARS'!R75,'SILVER DOLLARS'!S75)</f>
        <v>#N/A</v>
      </c>
      <c r="U75" s="46"/>
    </row>
    <row r="76" spans="1:21" ht="12.75" customHeight="1">
      <c r="A76" s="147">
        <v>2009</v>
      </c>
      <c r="B76" s="35"/>
      <c r="C76" s="93" t="s">
        <v>1968</v>
      </c>
      <c r="D76" s="34" t="s">
        <v>1683</v>
      </c>
      <c r="E76" s="34" t="s">
        <v>1684</v>
      </c>
      <c r="F76" s="34" t="s">
        <v>21</v>
      </c>
      <c r="G76" s="149">
        <v>1</v>
      </c>
      <c r="H76" s="150">
        <v>23</v>
      </c>
      <c r="I76" s="35">
        <v>1</v>
      </c>
      <c r="J76" s="151">
        <v>1</v>
      </c>
      <c r="K76" s="151"/>
      <c r="L76" s="192"/>
      <c r="M76" s="151"/>
      <c r="N76" s="151"/>
      <c r="O76" s="151"/>
      <c r="P76" s="153">
        <f>IF(Dollars[[#This Row],[Mint]]="",Dollars[[#This Row],[Date]],Dollars[[#This Row],[Date]]&amp;" "&amp;Dollars[[#This Row],[Mint]])</f>
        <v>2009</v>
      </c>
      <c r="Q76" s="153" t="e">
        <f>MATCH(P76,[5]Sheet2!A:A,0)</f>
        <v>#N/A</v>
      </c>
      <c r="R76" s="34" t="e">
        <f>MATCH(A76&amp;" "&amp;B76,[5]Sheet2!$A$1:$A$96,0)</f>
        <v>#N/A</v>
      </c>
      <c r="S76" s="34" t="e">
        <f>MATCH(F76,[5]Sheet2!A68:F68,0)</f>
        <v>#N/A</v>
      </c>
      <c r="T76" s="34" t="e">
        <f>INDEX([5]Sheet2!A68:F163,'SILVER DOLLARS'!R76,'SILVER DOLLARS'!S76)</f>
        <v>#N/A</v>
      </c>
      <c r="U76" s="46"/>
    </row>
    <row r="77" spans="1:21" ht="12.75" customHeight="1">
      <c r="A77" s="147">
        <v>2011</v>
      </c>
      <c r="C77" s="93" t="s">
        <v>1968</v>
      </c>
      <c r="D77" s="34" t="s">
        <v>1685</v>
      </c>
      <c r="E77" s="34" t="s">
        <v>1691</v>
      </c>
      <c r="F77" s="34" t="s">
        <v>1517</v>
      </c>
      <c r="G77" s="149">
        <v>1</v>
      </c>
      <c r="H77" s="150">
        <v>1</v>
      </c>
      <c r="I77" s="35">
        <v>1</v>
      </c>
      <c r="J77" s="151">
        <v>1</v>
      </c>
      <c r="K77" s="151"/>
      <c r="L77" s="192"/>
      <c r="M77" s="151"/>
      <c r="N77" s="151"/>
      <c r="O77" s="151"/>
      <c r="P77" s="153">
        <f>IF(Dollars[[#This Row],[Mint]]="",Dollars[[#This Row],[Date]],Dollars[[#This Row],[Date]]&amp;" "&amp;Dollars[[#This Row],[Mint]])</f>
        <v>2011</v>
      </c>
      <c r="Q77" s="153" t="e">
        <f>MATCH(P77,[5]Sheet2!A:A,0)</f>
        <v>#N/A</v>
      </c>
      <c r="R77" s="34" t="e">
        <f>MATCH(A77&amp;" "&amp;B77,[5]Sheet2!$A$1:$A$96,0)</f>
        <v>#N/A</v>
      </c>
      <c r="S77" s="34" t="e">
        <f>MATCH(F77,[5]Sheet2!A67:F67,0)</f>
        <v>#N/A</v>
      </c>
      <c r="T77" s="34" t="e">
        <f>INDEX([5]Sheet2!A67:F162,'SILVER DOLLARS'!R77,'SILVER DOLLARS'!S77)</f>
        <v>#N/A</v>
      </c>
      <c r="U77" s="46"/>
    </row>
    <row r="78" spans="1:21" ht="12.75" customHeight="1">
      <c r="A78" s="147">
        <v>2011</v>
      </c>
      <c r="C78" s="93" t="s">
        <v>1968</v>
      </c>
      <c r="D78" s="34" t="s">
        <v>1686</v>
      </c>
      <c r="E78" s="34" t="s">
        <v>1691</v>
      </c>
      <c r="F78" s="34" t="s">
        <v>1517</v>
      </c>
      <c r="G78" s="149">
        <v>1</v>
      </c>
      <c r="H78" s="150">
        <v>1</v>
      </c>
      <c r="I78" s="35">
        <v>1</v>
      </c>
      <c r="J78" s="151">
        <v>1</v>
      </c>
      <c r="K78" s="151"/>
      <c r="L78" s="192"/>
      <c r="M78" s="151"/>
      <c r="N78" s="151"/>
      <c r="O78" s="151"/>
      <c r="P78" s="153">
        <f>IF(Dollars[[#This Row],[Mint]]="",Dollars[[#This Row],[Date]],Dollars[[#This Row],[Date]]&amp;" "&amp;Dollars[[#This Row],[Mint]])</f>
        <v>2011</v>
      </c>
      <c r="Q78" s="153" t="e">
        <f>MATCH(P78,[5]Sheet2!A:A,0)</f>
        <v>#N/A</v>
      </c>
      <c r="R78" s="34" t="e">
        <f>MATCH(A78&amp;" "&amp;B78,[5]Sheet2!$A$1:$A$96,0)</f>
        <v>#N/A</v>
      </c>
      <c r="S78" s="34" t="e">
        <f>MATCH(F78,[5]Sheet2!A68:F68,0)</f>
        <v>#N/A</v>
      </c>
      <c r="T78" s="34" t="e">
        <f>INDEX([5]Sheet2!A68:F163,'SILVER DOLLARS'!R78,'SILVER DOLLARS'!S78)</f>
        <v>#N/A</v>
      </c>
      <c r="U78" s="46"/>
    </row>
    <row r="79" spans="1:21" ht="12.75" customHeight="1">
      <c r="A79" s="147">
        <v>2011</v>
      </c>
      <c r="C79" s="93" t="s">
        <v>1968</v>
      </c>
      <c r="D79" s="34" t="s">
        <v>1687</v>
      </c>
      <c r="E79" s="34" t="s">
        <v>1688</v>
      </c>
      <c r="F79" s="34" t="s">
        <v>21</v>
      </c>
      <c r="G79" s="149">
        <v>1</v>
      </c>
      <c r="H79" s="150">
        <v>1</v>
      </c>
      <c r="I79" s="35">
        <v>1</v>
      </c>
      <c r="J79" s="151">
        <v>1</v>
      </c>
      <c r="K79" s="151"/>
      <c r="L79" s="192"/>
      <c r="M79" s="151"/>
      <c r="N79" s="151"/>
      <c r="O79" s="151"/>
      <c r="P79" s="153">
        <f>IF(Dollars[[#This Row],[Mint]]="",Dollars[[#This Row],[Date]],Dollars[[#This Row],[Date]]&amp;" "&amp;Dollars[[#This Row],[Mint]])</f>
        <v>2011</v>
      </c>
      <c r="Q79" s="153" t="e">
        <f>MATCH(P79,[5]Sheet2!A:A,0)</f>
        <v>#N/A</v>
      </c>
      <c r="R79" s="34" t="e">
        <f>MATCH(A79&amp;" "&amp;B79,[5]Sheet2!$A$1:$A$96,0)</f>
        <v>#N/A</v>
      </c>
      <c r="S79" s="34" t="e">
        <f>MATCH(F79,[5]Sheet2!A69:F69,0)</f>
        <v>#N/A</v>
      </c>
      <c r="T79" s="34" t="e">
        <f>INDEX([5]Sheet2!A69:F164,'SILVER DOLLARS'!R79,'SILVER DOLLARS'!S79)</f>
        <v>#N/A</v>
      </c>
      <c r="U79" s="46"/>
    </row>
    <row r="80" spans="1:21" ht="12.75" customHeight="1">
      <c r="A80" s="147">
        <v>2011</v>
      </c>
      <c r="C80" s="93" t="s">
        <v>1968</v>
      </c>
      <c r="D80" s="34" t="s">
        <v>1689</v>
      </c>
      <c r="E80" s="34" t="s">
        <v>1688</v>
      </c>
      <c r="F80" s="34" t="s">
        <v>21</v>
      </c>
      <c r="G80" s="149">
        <v>1</v>
      </c>
      <c r="H80" s="150">
        <v>1</v>
      </c>
      <c r="I80" s="35">
        <v>1</v>
      </c>
      <c r="J80" s="151">
        <v>1</v>
      </c>
      <c r="K80" s="151"/>
      <c r="L80" s="192"/>
      <c r="M80" s="151"/>
      <c r="N80" s="151"/>
      <c r="O80" s="151"/>
      <c r="P80" s="153">
        <f>IF(Dollars[[#This Row],[Mint]]="",Dollars[[#This Row],[Date]],Dollars[[#This Row],[Date]]&amp;" "&amp;Dollars[[#This Row],[Mint]])</f>
        <v>2011</v>
      </c>
      <c r="Q80" s="153" t="e">
        <f>MATCH(P80,[5]Sheet2!A:A,0)</f>
        <v>#N/A</v>
      </c>
      <c r="R80" s="34" t="e">
        <f>MATCH(A80&amp;" "&amp;B80,[5]Sheet2!$A$1:$A$96,0)</f>
        <v>#N/A</v>
      </c>
      <c r="S80" s="34" t="e">
        <f>MATCH(F80,[5]Sheet2!A70:F70,0)</f>
        <v>#N/A</v>
      </c>
      <c r="T80" s="34" t="e">
        <f>INDEX([5]Sheet2!A70:F165,'SILVER DOLLARS'!R80,'SILVER DOLLARS'!S80)</f>
        <v>#N/A</v>
      </c>
      <c r="U80" s="46"/>
    </row>
    <row r="81" spans="1:21" ht="12.75" customHeight="1">
      <c r="A81" s="147">
        <v>2011</v>
      </c>
      <c r="C81" s="93" t="s">
        <v>1968</v>
      </c>
      <c r="D81" s="34" t="s">
        <v>1690</v>
      </c>
      <c r="E81" s="34" t="s">
        <v>1691</v>
      </c>
      <c r="F81" s="34" t="s">
        <v>21</v>
      </c>
      <c r="G81" s="149">
        <v>1</v>
      </c>
      <c r="H81" s="150">
        <v>1</v>
      </c>
      <c r="I81" s="35">
        <v>1</v>
      </c>
      <c r="J81" s="151">
        <v>1</v>
      </c>
      <c r="K81" s="151"/>
      <c r="L81" s="192"/>
      <c r="M81" s="151"/>
      <c r="N81" s="151"/>
      <c r="O81" s="151"/>
      <c r="P81" s="153">
        <f>IF(Dollars[[#This Row],[Mint]]="",Dollars[[#This Row],[Date]],Dollars[[#This Row],[Date]]&amp;" "&amp;Dollars[[#This Row],[Mint]])</f>
        <v>2011</v>
      </c>
      <c r="Q81" s="153" t="e">
        <f>MATCH(P81,[5]Sheet2!A:A,0)</f>
        <v>#N/A</v>
      </c>
      <c r="R81" s="34" t="e">
        <f>MATCH(A81&amp;" "&amp;B81,[5]Sheet2!$A$1:$A$96,0)</f>
        <v>#N/A</v>
      </c>
      <c r="S81" s="34" t="e">
        <f>MATCH(F81,[5]Sheet2!A71:F71,0)</f>
        <v>#N/A</v>
      </c>
      <c r="T81" s="34" t="e">
        <f>INDEX([5]Sheet2!A71:F166,'SILVER DOLLARS'!R81,'SILVER DOLLARS'!S81)</f>
        <v>#N/A</v>
      </c>
      <c r="U81" s="46"/>
    </row>
    <row r="82" spans="1:21" ht="12.75" customHeight="1">
      <c r="A82" s="147">
        <v>2011</v>
      </c>
      <c r="C82" s="93" t="s">
        <v>1968</v>
      </c>
      <c r="D82" s="34" t="s">
        <v>1692</v>
      </c>
      <c r="E82" s="34" t="s">
        <v>1691</v>
      </c>
      <c r="F82" s="34" t="s">
        <v>21</v>
      </c>
      <c r="G82" s="149">
        <v>1</v>
      </c>
      <c r="H82" s="150">
        <v>1</v>
      </c>
      <c r="I82" s="35">
        <v>1</v>
      </c>
      <c r="J82" s="151">
        <v>1</v>
      </c>
      <c r="K82" s="151"/>
      <c r="L82" s="192"/>
      <c r="M82" s="151"/>
      <c r="N82" s="151"/>
      <c r="O82" s="151"/>
      <c r="P82" s="153">
        <f>IF(Dollars[[#This Row],[Mint]]="",Dollars[[#This Row],[Date]],Dollars[[#This Row],[Date]]&amp;" "&amp;Dollars[[#This Row],[Mint]])</f>
        <v>2011</v>
      </c>
      <c r="Q82" s="153" t="e">
        <f>MATCH(P82,[5]Sheet2!A:A,0)</f>
        <v>#N/A</v>
      </c>
      <c r="R82" s="34" t="e">
        <f>MATCH(A82&amp;" "&amp;B82,[5]Sheet2!$A$1:$A$96,0)</f>
        <v>#N/A</v>
      </c>
      <c r="S82" s="34" t="e">
        <f>MATCH(F82,[5]Sheet2!A72:F72,0)</f>
        <v>#N/A</v>
      </c>
      <c r="T82" s="34" t="e">
        <f>INDEX([5]Sheet2!A72:F167,'SILVER DOLLARS'!R82,'SILVER DOLLARS'!S82)</f>
        <v>#N/A</v>
      </c>
      <c r="U82" s="46"/>
    </row>
    <row r="83" spans="1:21" ht="12.75" customHeight="1">
      <c r="A83" s="147">
        <v>2011</v>
      </c>
      <c r="C83" s="93" t="s">
        <v>1968</v>
      </c>
      <c r="D83" s="34" t="s">
        <v>1693</v>
      </c>
      <c r="E83" s="34" t="s">
        <v>1691</v>
      </c>
      <c r="F83" s="34" t="s">
        <v>21</v>
      </c>
      <c r="G83" s="149">
        <v>1</v>
      </c>
      <c r="H83" s="150">
        <v>1</v>
      </c>
      <c r="I83" s="35">
        <v>1</v>
      </c>
      <c r="J83" s="151">
        <v>1</v>
      </c>
      <c r="K83" s="151"/>
      <c r="L83" s="192"/>
      <c r="M83" s="151"/>
      <c r="N83" s="151"/>
      <c r="O83" s="151"/>
      <c r="P83" s="153">
        <f>IF(Dollars[[#This Row],[Mint]]="",Dollars[[#This Row],[Date]],Dollars[[#This Row],[Date]]&amp;" "&amp;Dollars[[#This Row],[Mint]])</f>
        <v>2011</v>
      </c>
      <c r="Q83" s="153" t="e">
        <f>MATCH(P83,[5]Sheet2!A:A,0)</f>
        <v>#N/A</v>
      </c>
      <c r="R83" s="34" t="e">
        <f>MATCH(A83&amp;" "&amp;B83,[5]Sheet2!$A$1:$A$96,0)</f>
        <v>#N/A</v>
      </c>
      <c r="S83" s="34" t="e">
        <f>MATCH(F83,[5]Sheet2!A73:F73,0)</f>
        <v>#N/A</v>
      </c>
      <c r="T83" s="34" t="e">
        <f>INDEX([5]Sheet2!A73:F168,'SILVER DOLLARS'!R83,'SILVER DOLLARS'!S83)</f>
        <v>#N/A</v>
      </c>
      <c r="U83" s="46"/>
    </row>
    <row r="84" spans="1:21" ht="12.75" customHeight="1">
      <c r="A84" s="147">
        <v>2011</v>
      </c>
      <c r="C84" s="93" t="s">
        <v>1968</v>
      </c>
      <c r="D84" s="34" t="s">
        <v>1694</v>
      </c>
      <c r="E84" s="34" t="s">
        <v>1691</v>
      </c>
      <c r="F84" s="34" t="s">
        <v>21</v>
      </c>
      <c r="G84" s="149">
        <v>1</v>
      </c>
      <c r="H84" s="150">
        <v>1</v>
      </c>
      <c r="I84" s="35">
        <v>1</v>
      </c>
      <c r="J84" s="151">
        <v>1</v>
      </c>
      <c r="K84" s="151"/>
      <c r="L84" s="192"/>
      <c r="M84" s="151"/>
      <c r="N84" s="151"/>
      <c r="O84" s="151"/>
      <c r="P84" s="153">
        <f>IF(Dollars[[#This Row],[Mint]]="",Dollars[[#This Row],[Date]],Dollars[[#This Row],[Date]]&amp;" "&amp;Dollars[[#This Row],[Mint]])</f>
        <v>2011</v>
      </c>
      <c r="Q84" s="153" t="e">
        <f>MATCH(P84,[5]Sheet2!A:A,0)</f>
        <v>#N/A</v>
      </c>
      <c r="R84" s="34" t="e">
        <f>MATCH(A84&amp;" "&amp;B84,[5]Sheet2!$A$1:$A$96,0)</f>
        <v>#N/A</v>
      </c>
      <c r="S84" s="34" t="e">
        <f>MATCH(F84,[5]Sheet2!A74:F74,0)</f>
        <v>#N/A</v>
      </c>
      <c r="T84" s="34" t="e">
        <f>INDEX([5]Sheet2!A74:F169,'SILVER DOLLARS'!R84,'SILVER DOLLARS'!S84)</f>
        <v>#N/A</v>
      </c>
      <c r="U84" s="46"/>
    </row>
    <row r="85" spans="1:21" ht="12.75" customHeight="1">
      <c r="A85" s="147">
        <v>2011</v>
      </c>
      <c r="C85" s="93" t="s">
        <v>1968</v>
      </c>
      <c r="D85" s="34" t="s">
        <v>1695</v>
      </c>
      <c r="E85" s="34" t="s">
        <v>1688</v>
      </c>
      <c r="F85" s="34" t="s">
        <v>21</v>
      </c>
      <c r="G85" s="149">
        <v>1</v>
      </c>
      <c r="H85" s="150">
        <v>1</v>
      </c>
      <c r="I85" s="35">
        <v>1</v>
      </c>
      <c r="J85" s="151">
        <v>1</v>
      </c>
      <c r="K85" s="151"/>
      <c r="L85" s="192"/>
      <c r="M85" s="151"/>
      <c r="N85" s="151"/>
      <c r="O85" s="151"/>
      <c r="P85" s="153">
        <f>IF(Dollars[[#This Row],[Mint]]="",Dollars[[#This Row],[Date]],Dollars[[#This Row],[Date]]&amp;" "&amp;Dollars[[#This Row],[Mint]])</f>
        <v>2011</v>
      </c>
      <c r="Q85" s="153" t="e">
        <f>MATCH(P85,[5]Sheet2!A:A,0)</f>
        <v>#N/A</v>
      </c>
      <c r="R85" s="34" t="e">
        <f>MATCH(A85&amp;" "&amp;B85,[5]Sheet2!$A$1:$A$96,0)</f>
        <v>#N/A</v>
      </c>
      <c r="S85" s="34" t="e">
        <f>MATCH(F85,[5]Sheet2!A75:F75,0)</f>
        <v>#N/A</v>
      </c>
      <c r="T85" s="34" t="e">
        <f>INDEX([5]Sheet2!A75:F170,'SILVER DOLLARS'!R85,'SILVER DOLLARS'!S85)</f>
        <v>#N/A</v>
      </c>
      <c r="U85" s="46"/>
    </row>
    <row r="86" spans="1:21" ht="12.75" customHeight="1">
      <c r="A86" s="147">
        <v>2011</v>
      </c>
      <c r="C86" s="93" t="s">
        <v>1968</v>
      </c>
      <c r="D86" s="34" t="s">
        <v>1696</v>
      </c>
      <c r="E86" s="34" t="s">
        <v>1688</v>
      </c>
      <c r="F86" s="34" t="s">
        <v>21</v>
      </c>
      <c r="G86" s="149">
        <v>1</v>
      </c>
      <c r="H86" s="150">
        <v>1</v>
      </c>
      <c r="I86" s="35">
        <v>1</v>
      </c>
      <c r="J86" s="151">
        <v>1</v>
      </c>
      <c r="K86" s="151"/>
      <c r="L86" s="192"/>
      <c r="M86" s="151"/>
      <c r="N86" s="151"/>
      <c r="O86" s="151"/>
      <c r="P86" s="153">
        <f>IF(Dollars[[#This Row],[Mint]]="",Dollars[[#This Row],[Date]],Dollars[[#This Row],[Date]]&amp;" "&amp;Dollars[[#This Row],[Mint]])</f>
        <v>2011</v>
      </c>
      <c r="Q86" s="153" t="e">
        <f>MATCH(P86,[5]Sheet2!A:A,0)</f>
        <v>#N/A</v>
      </c>
      <c r="R86" s="34" t="e">
        <f>MATCH(A86&amp;" "&amp;B86,[5]Sheet2!$A$1:$A$96,0)</f>
        <v>#N/A</v>
      </c>
      <c r="S86" s="34" t="e">
        <f>MATCH(F86,[5]Sheet2!A76:F76,0)</f>
        <v>#N/A</v>
      </c>
      <c r="T86" s="34" t="e">
        <f>INDEX([5]Sheet2!A76:F171,'SILVER DOLLARS'!R86,'SILVER DOLLARS'!S86)</f>
        <v>#N/A</v>
      </c>
      <c r="U86" s="46"/>
    </row>
    <row r="87" spans="1:21" ht="12.75" customHeight="1">
      <c r="A87" s="154">
        <v>2015</v>
      </c>
      <c r="B87" s="155" t="s">
        <v>13</v>
      </c>
      <c r="C87" s="93" t="s">
        <v>1968</v>
      </c>
      <c r="D87" s="156" t="s">
        <v>1697</v>
      </c>
      <c r="E87" s="156" t="s">
        <v>1680</v>
      </c>
      <c r="F87" s="34" t="s">
        <v>21</v>
      </c>
      <c r="G87" s="149">
        <v>2</v>
      </c>
      <c r="H87" s="150">
        <v>5.84</v>
      </c>
      <c r="I87" s="35">
        <v>1</v>
      </c>
      <c r="J87" s="150">
        <v>5.84</v>
      </c>
      <c r="K87" s="150"/>
      <c r="L87" s="192"/>
      <c r="M87" s="151"/>
      <c r="N87" s="151"/>
      <c r="O87" s="151"/>
      <c r="P87" s="153" t="str">
        <f>IF(Dollars[[#This Row],[Mint]]="",Dollars[[#This Row],[Date]],Dollars[[#This Row],[Date]]&amp;" "&amp;Dollars[[#This Row],[Mint]])</f>
        <v>2015 D</v>
      </c>
      <c r="Q87" s="153" t="e">
        <f>MATCH(P87,[5]Sheet2!A:A,0)</f>
        <v>#N/A</v>
      </c>
      <c r="S87" s="34"/>
      <c r="U87" s="46"/>
    </row>
    <row r="88" spans="1:21" ht="12.75" customHeight="1">
      <c r="A88" s="154">
        <v>2016</v>
      </c>
      <c r="B88" s="155" t="s">
        <v>13</v>
      </c>
      <c r="C88" s="93" t="s">
        <v>1968</v>
      </c>
      <c r="D88" s="156" t="s">
        <v>1698</v>
      </c>
      <c r="E88" s="156" t="s">
        <v>1680</v>
      </c>
      <c r="F88" s="34" t="s">
        <v>21</v>
      </c>
      <c r="G88" s="149">
        <v>1.75</v>
      </c>
      <c r="H88" s="150">
        <v>5.84</v>
      </c>
      <c r="I88" s="35">
        <v>1</v>
      </c>
      <c r="J88" s="150">
        <v>5.84</v>
      </c>
      <c r="K88" s="150"/>
      <c r="L88" s="192"/>
      <c r="M88" s="151"/>
      <c r="N88" s="151"/>
      <c r="O88" s="151"/>
      <c r="P88" s="153" t="str">
        <f>IF(Dollars[[#This Row],[Mint]]="",Dollars[[#This Row],[Date]],Dollars[[#This Row],[Date]]&amp;" "&amp;Dollars[[#This Row],[Mint]])</f>
        <v>2016 D</v>
      </c>
      <c r="Q88" s="153" t="e">
        <f>MATCH(P88,[5]Sheet2!A:A,0)</f>
        <v>#N/A</v>
      </c>
      <c r="S88" s="34"/>
      <c r="U88" s="46"/>
    </row>
    <row r="89" spans="1:21" ht="14.65" customHeight="1">
      <c r="A89" s="154">
        <v>2020</v>
      </c>
      <c r="B89" s="155"/>
      <c r="C89" s="93" t="s">
        <v>1968</v>
      </c>
      <c r="D89" s="156" t="s">
        <v>1699</v>
      </c>
      <c r="E89" s="156" t="s">
        <v>1659</v>
      </c>
      <c r="F89" s="34" t="s">
        <v>21</v>
      </c>
      <c r="G89" s="149">
        <f>35.95+2.65</f>
        <v>38.6</v>
      </c>
      <c r="H89" s="150">
        <v>35.950000000000003</v>
      </c>
      <c r="I89" s="35">
        <v>1</v>
      </c>
      <c r="J89" s="150">
        <v>35.950000000000003</v>
      </c>
      <c r="K89" s="150"/>
      <c r="L89" s="192"/>
      <c r="M89" s="150"/>
      <c r="N89" s="150"/>
      <c r="O89" s="150"/>
      <c r="P89" s="153">
        <f>IF(Dollars[[#This Row],[Mint]]="",Dollars[[#This Row],[Date]],Dollars[[#This Row],[Date]]&amp;" "&amp;Dollars[[#This Row],[Mint]])</f>
        <v>2020</v>
      </c>
      <c r="Q89" s="153" t="e">
        <f>MATCH(P89,[5]Sheet2!A:A,0)</f>
        <v>#N/A</v>
      </c>
      <c r="R89" s="157" t="s">
        <v>1700</v>
      </c>
      <c r="S89" s="34" t="s">
        <v>1701</v>
      </c>
      <c r="U89" s="46"/>
    </row>
    <row r="90" spans="1:21" ht="14.65" customHeight="1">
      <c r="A90" s="154">
        <v>2021</v>
      </c>
      <c r="B90" s="155"/>
      <c r="C90" s="93" t="s">
        <v>1968</v>
      </c>
      <c r="D90" s="156" t="s">
        <v>1702</v>
      </c>
      <c r="E90" s="156" t="s">
        <v>1659</v>
      </c>
      <c r="F90" s="34" t="s">
        <v>21</v>
      </c>
      <c r="G90" s="149">
        <f>34.84+X89</f>
        <v>34.840000000000003</v>
      </c>
      <c r="H90" s="150">
        <v>34.840000000000003</v>
      </c>
      <c r="I90" s="35">
        <v>1</v>
      </c>
      <c r="J90" s="150">
        <v>34.840000000000003</v>
      </c>
      <c r="K90" s="150"/>
      <c r="L90" s="192"/>
      <c r="M90" s="150"/>
      <c r="N90" s="150"/>
      <c r="O90" s="150"/>
      <c r="P90" s="153">
        <f>IF(Dollars[[#This Row],[Mint]]="",Dollars[[#This Row],[Date]],Dollars[[#This Row],[Date]]&amp;" "&amp;Dollars[[#This Row],[Mint]])</f>
        <v>2021</v>
      </c>
      <c r="Q90" s="153" t="e">
        <f>MATCH(P90,[5]Sheet2!A:A,0)</f>
        <v>#N/A</v>
      </c>
      <c r="R90" s="157" t="s">
        <v>1700</v>
      </c>
      <c r="S90" s="34" t="s">
        <v>1701</v>
      </c>
      <c r="U90" s="46"/>
    </row>
    <row r="91" spans="1:21" ht="14.65" customHeight="1">
      <c r="A91" s="154">
        <v>2022</v>
      </c>
      <c r="B91" s="155"/>
      <c r="C91" s="93" t="s">
        <v>1968</v>
      </c>
      <c r="D91" s="156" t="s">
        <v>1703</v>
      </c>
      <c r="E91" s="156" t="s">
        <v>1659</v>
      </c>
      <c r="F91" s="34" t="s">
        <v>21</v>
      </c>
      <c r="G91" s="149">
        <f>33.04+X89</f>
        <v>33.04</v>
      </c>
      <c r="H91" s="150">
        <v>33.04</v>
      </c>
      <c r="I91" s="35">
        <v>1</v>
      </c>
      <c r="J91" s="150">
        <v>33.04</v>
      </c>
      <c r="K91" s="150"/>
      <c r="L91" s="192"/>
      <c r="M91" s="150"/>
      <c r="N91" s="150"/>
      <c r="O91" s="150"/>
      <c r="P91" s="153">
        <f>IF(Dollars[[#This Row],[Mint]]="",Dollars[[#This Row],[Date]],Dollars[[#This Row],[Date]]&amp;" "&amp;Dollars[[#This Row],[Mint]])</f>
        <v>2022</v>
      </c>
      <c r="Q91" s="153" t="e">
        <f>MATCH(P91,[5]Sheet2!A:A,0)</f>
        <v>#N/A</v>
      </c>
      <c r="R91" s="157" t="s">
        <v>1700</v>
      </c>
      <c r="S91" s="34" t="s">
        <v>1701</v>
      </c>
      <c r="U91" s="46"/>
    </row>
    <row r="92" spans="1:21" ht="12.75" customHeight="1">
      <c r="A92" s="147">
        <v>2022</v>
      </c>
      <c r="B92" s="35" t="s">
        <v>1704</v>
      </c>
      <c r="C92" s="93" t="s">
        <v>1968</v>
      </c>
      <c r="D92" s="34" t="s">
        <v>1705</v>
      </c>
      <c r="E92" s="34" t="s">
        <v>1659</v>
      </c>
      <c r="F92" s="34" t="s">
        <v>21</v>
      </c>
      <c r="G92" s="149">
        <v>81.95</v>
      </c>
      <c r="H92" s="150">
        <v>81.95</v>
      </c>
      <c r="I92" s="35">
        <v>1</v>
      </c>
      <c r="J92" s="150">
        <v>81.95</v>
      </c>
      <c r="K92" s="150"/>
      <c r="L92" s="192"/>
      <c r="M92" s="150"/>
      <c r="N92" s="150"/>
      <c r="O92" s="150"/>
      <c r="P92" s="153" t="str">
        <f>IF(Dollars[[#This Row],[Mint]]="",Dollars[[#This Row],[Date]],Dollars[[#This Row],[Date]]&amp;" "&amp;Dollars[[#This Row],[Mint]])</f>
        <v>2022 W</v>
      </c>
      <c r="Q92" s="153" t="e">
        <f>MATCH(P92,[5]Sheet2!A:A,0)</f>
        <v>#N/A</v>
      </c>
      <c r="R92" s="157" t="s">
        <v>1706</v>
      </c>
      <c r="S92" s="34" t="s">
        <v>1707</v>
      </c>
      <c r="U92" s="46"/>
    </row>
    <row r="93" spans="1:21" ht="12.75" customHeight="1">
      <c r="A93" s="154">
        <v>2023</v>
      </c>
      <c r="B93" s="209" t="s">
        <v>12</v>
      </c>
      <c r="C93" s="209" t="s">
        <v>1968</v>
      </c>
      <c r="D93" s="210" t="s">
        <v>2104</v>
      </c>
      <c r="E93" s="210" t="s">
        <v>1592</v>
      </c>
      <c r="F93" s="38" t="s">
        <v>20</v>
      </c>
      <c r="G93" s="207"/>
      <c r="H93" s="208"/>
      <c r="I93" s="35">
        <v>1</v>
      </c>
      <c r="J93" s="208">
        <v>190</v>
      </c>
      <c r="K93" s="213" t="s">
        <v>2107</v>
      </c>
      <c r="L93" s="213" t="s">
        <v>2108</v>
      </c>
    </row>
    <row r="94" spans="1:21" ht="12.75" customHeight="1">
      <c r="A94" s="154">
        <v>2023</v>
      </c>
      <c r="B94" s="209" t="s">
        <v>12</v>
      </c>
      <c r="C94" s="209" t="s">
        <v>1968</v>
      </c>
      <c r="D94" s="210" t="s">
        <v>2105</v>
      </c>
      <c r="E94" s="210" t="s">
        <v>2106</v>
      </c>
      <c r="F94" s="38" t="s">
        <v>20</v>
      </c>
      <c r="G94" s="211">
        <v>76</v>
      </c>
      <c r="H94" s="212">
        <v>95</v>
      </c>
      <c r="I94" s="35">
        <v>1</v>
      </c>
      <c r="J94" s="208">
        <v>95</v>
      </c>
      <c r="K94" s="213" t="s">
        <v>2109</v>
      </c>
      <c r="L94" s="213" t="s">
        <v>2110</v>
      </c>
    </row>
    <row r="95" spans="1:21" ht="12.75" customHeight="1">
      <c r="K95" s="46"/>
      <c r="L95" s="46"/>
    </row>
    <row r="96" spans="1:21" ht="12.75" customHeight="1">
      <c r="K96" s="46"/>
      <c r="L96" s="46"/>
    </row>
  </sheetData>
  <sheetProtection selectLockedCells="1" selectUnlockedCells="1"/>
  <hyperlinks>
    <hyperlink ref="R89" r:id="rId1" xr:uid="{D58E17E6-8CFB-420A-97A3-53B5334401FD}"/>
    <hyperlink ref="R90" r:id="rId2" xr:uid="{2B2DF6C8-A43F-4DEC-B03D-2C42663F14C8}"/>
    <hyperlink ref="R91" r:id="rId3" xr:uid="{CF3B44A9-7209-4A1A-8CF2-39CD4B1979DF}"/>
    <hyperlink ref="R92" r:id="rId4" location="Silver%20Dollar%20Receipt%202022%20W%23Silver%20Dollar%20Receipt%202022%20W" xr:uid="{3593E384-57DC-41BD-ABFE-C41501C36A39}"/>
    <hyperlink ref="K93" r:id="rId5" xr:uid="{D60EEFD4-B293-4AC7-9CF5-4C52A7C5DFF2}"/>
    <hyperlink ref="L93" r:id="rId6" xr:uid="{B2554D52-8EB6-400D-BD58-998EED5DC318}"/>
    <hyperlink ref="K94" r:id="rId7" xr:uid="{36827D5B-BF66-47B8-B235-524F6A94C062}"/>
    <hyperlink ref="L94" r:id="rId8" xr:uid="{5346BB31-6DC6-4AF3-AD9A-78C98F165ECC}"/>
    <hyperlink ref="K48" r:id="rId9" xr:uid="{F2C81644-795C-46C2-A9A5-E0A67F466F3D}"/>
    <hyperlink ref="K52" r:id="rId10" xr:uid="{5748BC5A-804E-40E2-BB2E-5B7D5DCFCD1D}"/>
    <hyperlink ref="L52" r:id="rId11" xr:uid="{CE52915A-3AC4-47A6-B5E6-EA78602D0E43}"/>
    <hyperlink ref="L48" r:id="rId12" xr:uid="{8A1F7FD5-8CA3-4597-A89B-226046A3255B}"/>
  </hyperlinks>
  <pageMargins left="0.75" right="0.75" top="1" bottom="1" header="0.5" footer="0.51181102362204722"/>
  <pageSetup firstPageNumber="0" orientation="portrait" horizontalDpi="300" verticalDpi="300"/>
  <headerFooter alignWithMargins="0">
    <oddHeader>&amp;CSilver Dollar Collection - &amp;D</oddHeader>
  </headerFooter>
  <drawing r:id="rId13"/>
  <tableParts count="1">
    <tablePart r:id="rId14"/>
  </tableParts>
  <extLst>
    <ext xmlns:x15="http://schemas.microsoft.com/office/spreadsheetml/2010/11/main" uri="{3A4CF648-6AED-40f4-86FF-DC5316D8AED3}">
      <x14:slicerList xmlns:x14="http://schemas.microsoft.com/office/spreadsheetml/2009/9/main">
        <x14:slicer r:id="rId15"/>
      </x14:slicerList>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EB606-E49D-4B74-BA86-56B60CF0E2BB}">
  <sheetPr codeName="Sheet23"/>
  <dimension ref="A1:J5"/>
  <sheetViews>
    <sheetView workbookViewId="0"/>
  </sheetViews>
  <sheetFormatPr defaultColWidth="9.140625" defaultRowHeight="12.75"/>
  <cols>
    <col min="1" max="1" width="20.5703125" style="34" bestFit="1" customWidth="1"/>
    <col min="2" max="2" width="9.140625" style="35"/>
    <col min="3" max="3" width="16" style="34" bestFit="1" customWidth="1"/>
    <col min="4" max="5" width="22" style="34" bestFit="1" customWidth="1"/>
    <col min="6" max="6" width="6.7109375" style="167" bestFit="1" customWidth="1"/>
    <col min="7" max="7" width="7.7109375" style="167" bestFit="1" customWidth="1"/>
    <col min="8" max="8" width="4" style="35" bestFit="1" customWidth="1"/>
    <col min="9" max="9" width="18.28515625" style="34" bestFit="1" customWidth="1"/>
    <col min="10" max="10" width="10.5703125" style="34" bestFit="1" customWidth="1"/>
    <col min="11" max="16384" width="9.140625" style="34"/>
  </cols>
  <sheetData>
    <row r="1" spans="1:10">
      <c r="A1" s="61" t="s">
        <v>830</v>
      </c>
      <c r="B1" s="62">
        <v>2000</v>
      </c>
    </row>
    <row r="2" spans="1:10">
      <c r="B2" s="34"/>
    </row>
    <row r="3" spans="1:10">
      <c r="A3" s="159" t="s">
        <v>0</v>
      </c>
      <c r="B3" s="160" t="s">
        <v>1</v>
      </c>
      <c r="C3" s="160" t="s">
        <v>2</v>
      </c>
      <c r="D3" s="160" t="s">
        <v>286</v>
      </c>
      <c r="E3" s="160" t="s">
        <v>5</v>
      </c>
      <c r="F3" s="171" t="s">
        <v>6</v>
      </c>
      <c r="G3" s="171" t="s">
        <v>7</v>
      </c>
      <c r="H3" s="160" t="s">
        <v>8</v>
      </c>
      <c r="I3" s="161" t="s">
        <v>1588</v>
      </c>
      <c r="J3" s="162" t="s">
        <v>288</v>
      </c>
    </row>
    <row r="4" spans="1:10">
      <c r="A4" s="34" cm="1">
        <f t="array" ref="A4:J5">_xlfn._xlws.FILTER('SILVER DOLLARS'!A:J,'SILVER DOLLARS'!A:A=B1,"Not Found")</f>
        <v>2000</v>
      </c>
      <c r="B4" s="35">
        <v>0</v>
      </c>
      <c r="C4" s="34" t="str">
        <v>Dollar</v>
      </c>
      <c r="D4" s="34" t="str">
        <v>AE2000DOL-AA</v>
      </c>
      <c r="E4" s="34" t="str">
        <v>AMERICAN EAGLE</v>
      </c>
      <c r="F4" s="167" t="str">
        <v>PROOF</v>
      </c>
      <c r="G4" s="167">
        <v>1</v>
      </c>
      <c r="H4" s="35">
        <v>23</v>
      </c>
      <c r="I4" s="34">
        <v>1</v>
      </c>
      <c r="J4" s="34">
        <v>1</v>
      </c>
    </row>
    <row r="5" spans="1:10">
      <c r="A5" s="34">
        <v>2000</v>
      </c>
      <c r="B5" s="35" t="str">
        <v>P</v>
      </c>
      <c r="C5" s="34" t="str">
        <v>Dollar</v>
      </c>
      <c r="D5" s="34" t="str">
        <v>SAC2000DOL-AA</v>
      </c>
      <c r="E5" s="34" t="str">
        <v>SACAGAWEA</v>
      </c>
      <c r="F5" s="167" t="str">
        <v>Extra Fine</v>
      </c>
      <c r="G5" s="167">
        <v>1</v>
      </c>
      <c r="H5" s="35">
        <v>1</v>
      </c>
      <c r="I5" s="34">
        <v>1</v>
      </c>
      <c r="J5" s="34">
        <v>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F1B15-F466-441B-BDA6-AE7C7A1200C9}">
  <sheetPr codeName="Sheet24"/>
  <dimension ref="A1:J56"/>
  <sheetViews>
    <sheetView workbookViewId="0"/>
  </sheetViews>
  <sheetFormatPr defaultColWidth="11.42578125" defaultRowHeight="12.75" customHeight="1"/>
  <cols>
    <col min="1" max="1" width="5.28515625" style="34" customWidth="1"/>
    <col min="2" max="2" width="4.7109375" style="34" customWidth="1"/>
    <col min="3" max="3" width="9.7109375" style="34" customWidth="1"/>
    <col min="4" max="4" width="16.85546875" style="34" customWidth="1"/>
    <col min="5" max="5" width="23.5703125" style="34" customWidth="1"/>
    <col min="6" max="6" width="22" style="34" customWidth="1"/>
    <col min="7" max="7" width="12.5703125" style="34" customWidth="1"/>
    <col min="8" max="8" width="12.5703125" style="150" customWidth="1"/>
    <col min="9" max="9" width="8.140625" style="35" customWidth="1"/>
    <col min="10" max="65" width="9" style="34" customWidth="1"/>
    <col min="66" max="16384" width="11.42578125" style="34"/>
  </cols>
  <sheetData>
    <row r="1" spans="1:9" ht="12.75" customHeight="1">
      <c r="A1" s="35" t="s">
        <v>0</v>
      </c>
      <c r="B1" s="35" t="s">
        <v>1</v>
      </c>
      <c r="C1" s="35" t="s">
        <v>1960</v>
      </c>
      <c r="D1" s="35" t="s">
        <v>2</v>
      </c>
      <c r="E1" s="35" t="s">
        <v>286</v>
      </c>
      <c r="F1" s="35" t="s">
        <v>5</v>
      </c>
      <c r="G1" s="35" t="str">
        <f>"Paid = "&amp;DOLLAR(SUM(G3:G2001))</f>
        <v>Paid = $48.00</v>
      </c>
      <c r="H1" s="150" t="str">
        <f>"Book "&amp;DOLLAR(SUM(H3:H2001))</f>
        <v>Book $81.50</v>
      </c>
      <c r="I1" s="35" t="str">
        <f>"Qty = "&amp;SUM(I3:I2001)</f>
        <v>Qty = 32</v>
      </c>
    </row>
    <row r="2" spans="1:9" ht="12.75" customHeight="1">
      <c r="A2" s="46">
        <v>1935</v>
      </c>
      <c r="B2" s="35" t="s">
        <v>1708</v>
      </c>
      <c r="C2" s="35" t="s">
        <v>1972</v>
      </c>
      <c r="D2" s="34" t="s">
        <v>1709</v>
      </c>
      <c r="E2" s="34" t="s">
        <v>1710</v>
      </c>
      <c r="F2" s="34" t="s">
        <v>16</v>
      </c>
      <c r="G2" s="149">
        <v>1</v>
      </c>
      <c r="H2" s="150">
        <v>1</v>
      </c>
      <c r="I2" s="35">
        <v>1</v>
      </c>
    </row>
    <row r="3" spans="1:9" ht="12.75" customHeight="1">
      <c r="A3" s="46">
        <v>1963</v>
      </c>
      <c r="B3" s="35"/>
      <c r="C3" s="35" t="s">
        <v>1972</v>
      </c>
      <c r="D3" s="34" t="s">
        <v>1711</v>
      </c>
      <c r="E3" s="34" t="s">
        <v>1710</v>
      </c>
      <c r="F3" s="34" t="s">
        <v>16</v>
      </c>
      <c r="G3" s="149">
        <v>1</v>
      </c>
      <c r="H3" s="150">
        <v>2.5</v>
      </c>
      <c r="I3" s="35">
        <v>1</v>
      </c>
    </row>
    <row r="4" spans="1:9" ht="12.75" customHeight="1">
      <c r="A4" s="46">
        <v>1963</v>
      </c>
      <c r="B4" s="35"/>
      <c r="C4" s="35" t="s">
        <v>1972</v>
      </c>
      <c r="D4" s="34" t="s">
        <v>1712</v>
      </c>
      <c r="E4" s="34" t="s">
        <v>1710</v>
      </c>
      <c r="F4" s="34" t="s">
        <v>16</v>
      </c>
      <c r="G4" s="149">
        <v>1</v>
      </c>
      <c r="H4" s="150">
        <v>2.5</v>
      </c>
      <c r="I4" s="35">
        <v>1</v>
      </c>
    </row>
    <row r="5" spans="1:9" ht="12.75" customHeight="1">
      <c r="A5" s="46">
        <v>1963</v>
      </c>
      <c r="B5" s="35"/>
      <c r="C5" s="35" t="s">
        <v>1972</v>
      </c>
      <c r="D5" s="34" t="s">
        <v>1713</v>
      </c>
      <c r="E5" s="34" t="s">
        <v>1710</v>
      </c>
      <c r="F5" s="34" t="s">
        <v>16</v>
      </c>
      <c r="G5" s="149">
        <v>1</v>
      </c>
      <c r="H5" s="150">
        <v>2.5</v>
      </c>
      <c r="I5" s="35">
        <v>1</v>
      </c>
    </row>
    <row r="6" spans="1:9" ht="12.75" customHeight="1">
      <c r="A6" s="46">
        <v>1963</v>
      </c>
      <c r="B6" s="35"/>
      <c r="C6" s="35" t="s">
        <v>1972</v>
      </c>
      <c r="D6" s="34" t="s">
        <v>1714</v>
      </c>
      <c r="E6" s="34" t="s">
        <v>1710</v>
      </c>
      <c r="F6" s="34" t="s">
        <v>16</v>
      </c>
      <c r="G6" s="149">
        <v>1</v>
      </c>
      <c r="H6" s="150">
        <v>2.5</v>
      </c>
      <c r="I6" s="35">
        <v>1</v>
      </c>
    </row>
    <row r="7" spans="1:9" ht="12.75" customHeight="1">
      <c r="A7" s="46">
        <v>1969</v>
      </c>
      <c r="B7" s="35" t="s">
        <v>1715</v>
      </c>
      <c r="C7" s="35" t="s">
        <v>1972</v>
      </c>
      <c r="D7" s="34" t="s">
        <v>1716</v>
      </c>
      <c r="E7" s="34" t="s">
        <v>1710</v>
      </c>
      <c r="F7" s="34" t="s">
        <v>16</v>
      </c>
      <c r="G7" s="149">
        <v>1</v>
      </c>
      <c r="H7" s="150">
        <v>2.5</v>
      </c>
      <c r="I7" s="35">
        <v>1</v>
      </c>
    </row>
    <row r="8" spans="1:9" ht="12.75" customHeight="1">
      <c r="A8" s="46">
        <v>1969</v>
      </c>
      <c r="B8" s="35" t="s">
        <v>1715</v>
      </c>
      <c r="C8" s="35" t="s">
        <v>1972</v>
      </c>
      <c r="D8" s="34" t="s">
        <v>1717</v>
      </c>
      <c r="E8" s="34" t="s">
        <v>1710</v>
      </c>
      <c r="F8" s="34" t="s">
        <v>16</v>
      </c>
      <c r="G8" s="149">
        <v>1</v>
      </c>
      <c r="H8" s="150">
        <v>2.5</v>
      </c>
      <c r="I8" s="35">
        <v>1</v>
      </c>
    </row>
    <row r="9" spans="1:9" ht="12.75" customHeight="1">
      <c r="A9" s="46">
        <v>1957</v>
      </c>
      <c r="B9" s="35"/>
      <c r="C9" s="35" t="s">
        <v>1972</v>
      </c>
      <c r="D9" s="34" t="s">
        <v>1718</v>
      </c>
      <c r="E9" s="34" t="s">
        <v>1710</v>
      </c>
      <c r="F9" s="34" t="s">
        <v>16</v>
      </c>
      <c r="G9" s="149">
        <v>1</v>
      </c>
      <c r="H9" s="150">
        <v>1.5</v>
      </c>
      <c r="I9" s="35">
        <v>1</v>
      </c>
    </row>
    <row r="10" spans="1:9" ht="12.75" customHeight="1">
      <c r="A10" s="46">
        <v>1957</v>
      </c>
      <c r="B10" s="35" t="s">
        <v>1719</v>
      </c>
      <c r="C10" s="35" t="s">
        <v>1972</v>
      </c>
      <c r="D10" s="34" t="s">
        <v>1720</v>
      </c>
      <c r="E10" s="34" t="s">
        <v>1710</v>
      </c>
      <c r="F10" s="34" t="s">
        <v>16</v>
      </c>
      <c r="G10" s="149">
        <v>1</v>
      </c>
      <c r="H10" s="150">
        <v>1.5</v>
      </c>
      <c r="I10" s="35">
        <v>1</v>
      </c>
    </row>
    <row r="11" spans="1:9" ht="12.75" customHeight="1">
      <c r="A11" s="46">
        <v>1957</v>
      </c>
      <c r="B11" s="35" t="s">
        <v>1719</v>
      </c>
      <c r="C11" s="35" t="s">
        <v>1972</v>
      </c>
      <c r="D11" s="34" t="s">
        <v>1721</v>
      </c>
      <c r="E11" s="34" t="s">
        <v>1710</v>
      </c>
      <c r="F11" s="34" t="s">
        <v>16</v>
      </c>
      <c r="G11" s="149">
        <v>1</v>
      </c>
      <c r="H11" s="150">
        <v>1.5</v>
      </c>
      <c r="I11" s="35">
        <v>1</v>
      </c>
    </row>
    <row r="12" spans="1:9" ht="12.75" customHeight="1">
      <c r="A12" s="46">
        <v>1957</v>
      </c>
      <c r="B12" s="35"/>
      <c r="C12" s="35" t="s">
        <v>1972</v>
      </c>
      <c r="D12" s="34" t="s">
        <v>1722</v>
      </c>
      <c r="E12" s="34" t="s">
        <v>1710</v>
      </c>
      <c r="F12" s="34" t="s">
        <v>16</v>
      </c>
      <c r="G12" s="149">
        <v>1</v>
      </c>
      <c r="H12" s="150">
        <v>1.5</v>
      </c>
      <c r="I12" s="35">
        <v>1</v>
      </c>
    </row>
    <row r="13" spans="1:9" ht="12.75" customHeight="1">
      <c r="A13" s="46">
        <v>1957</v>
      </c>
      <c r="B13" s="35" t="s">
        <v>1715</v>
      </c>
      <c r="C13" s="35" t="s">
        <v>1972</v>
      </c>
      <c r="D13" s="34" t="s">
        <v>1723</v>
      </c>
      <c r="E13" s="34" t="s">
        <v>1710</v>
      </c>
      <c r="F13" s="34" t="s">
        <v>16</v>
      </c>
      <c r="G13" s="149">
        <v>1</v>
      </c>
      <c r="H13" s="150">
        <v>1.5</v>
      </c>
      <c r="I13" s="35">
        <v>1</v>
      </c>
    </row>
    <row r="14" spans="1:9" ht="12.75" customHeight="1">
      <c r="A14" s="46">
        <v>1935</v>
      </c>
      <c r="B14" s="35" t="s">
        <v>1724</v>
      </c>
      <c r="C14" s="35" t="s">
        <v>1972</v>
      </c>
      <c r="D14" s="34" t="s">
        <v>1725</v>
      </c>
      <c r="E14" s="34" t="s">
        <v>1710</v>
      </c>
      <c r="F14" s="34" t="s">
        <v>16</v>
      </c>
      <c r="G14" s="149">
        <v>1</v>
      </c>
      <c r="H14" s="150">
        <v>1.5</v>
      </c>
      <c r="I14" s="35">
        <v>1</v>
      </c>
    </row>
    <row r="15" spans="1:9" ht="12.75" customHeight="1">
      <c r="A15" s="46">
        <v>1935</v>
      </c>
      <c r="B15" s="35" t="s">
        <v>1726</v>
      </c>
      <c r="C15" s="35" t="s">
        <v>1972</v>
      </c>
      <c r="D15" s="34" t="s">
        <v>1727</v>
      </c>
      <c r="E15" s="34" t="s">
        <v>1710</v>
      </c>
      <c r="F15" s="34" t="s">
        <v>16</v>
      </c>
      <c r="G15" s="149">
        <v>1</v>
      </c>
      <c r="H15" s="150">
        <v>1.5</v>
      </c>
      <c r="I15" s="35">
        <v>1</v>
      </c>
    </row>
    <row r="16" spans="1:9" ht="12.75" customHeight="1">
      <c r="A16" s="46">
        <v>1935</v>
      </c>
      <c r="B16" s="35" t="s">
        <v>1728</v>
      </c>
      <c r="C16" s="35" t="s">
        <v>1972</v>
      </c>
      <c r="D16" s="34" t="s">
        <v>1729</v>
      </c>
      <c r="E16" s="34" t="s">
        <v>1710</v>
      </c>
      <c r="F16" s="34" t="s">
        <v>16</v>
      </c>
      <c r="G16" s="149">
        <v>1</v>
      </c>
      <c r="H16" s="150">
        <v>1.5</v>
      </c>
      <c r="I16" s="35">
        <v>1</v>
      </c>
    </row>
    <row r="17" spans="1:10" ht="12.75" customHeight="1">
      <c r="A17" s="46">
        <v>1935</v>
      </c>
      <c r="B17" s="35" t="s">
        <v>1724</v>
      </c>
      <c r="C17" s="35" t="s">
        <v>1972</v>
      </c>
      <c r="D17" s="34" t="s">
        <v>1730</v>
      </c>
      <c r="E17" s="34" t="s">
        <v>1710</v>
      </c>
      <c r="F17" s="34" t="s">
        <v>16</v>
      </c>
      <c r="G17" s="149">
        <v>1</v>
      </c>
      <c r="H17" s="150">
        <v>1.5</v>
      </c>
      <c r="I17" s="35">
        <v>1</v>
      </c>
    </row>
    <row r="18" spans="1:10" ht="12.75" customHeight="1">
      <c r="A18" s="46">
        <v>1935</v>
      </c>
      <c r="B18" s="35" t="s">
        <v>1726</v>
      </c>
      <c r="C18" s="35" t="s">
        <v>1972</v>
      </c>
      <c r="D18" s="34" t="s">
        <v>1731</v>
      </c>
      <c r="E18" s="34" t="s">
        <v>1710</v>
      </c>
      <c r="F18" s="34" t="s">
        <v>15</v>
      </c>
      <c r="G18" s="149">
        <v>1</v>
      </c>
      <c r="H18" s="150">
        <v>1.5</v>
      </c>
      <c r="I18" s="35">
        <v>1</v>
      </c>
      <c r="J18" s="34" t="s">
        <v>1732</v>
      </c>
    </row>
    <row r="19" spans="1:10" ht="12.75" customHeight="1">
      <c r="A19" s="46">
        <v>1935</v>
      </c>
      <c r="B19" s="35" t="s">
        <v>1724</v>
      </c>
      <c r="C19" s="35" t="s">
        <v>1972</v>
      </c>
      <c r="D19" s="34" t="s">
        <v>1733</v>
      </c>
      <c r="E19" s="34" t="s">
        <v>1710</v>
      </c>
      <c r="F19" s="34" t="s">
        <v>16</v>
      </c>
      <c r="G19" s="149">
        <v>1</v>
      </c>
      <c r="H19" s="150">
        <v>1.5</v>
      </c>
      <c r="I19" s="35">
        <v>1</v>
      </c>
    </row>
    <row r="20" spans="1:10" ht="12.75" customHeight="1">
      <c r="A20" s="46">
        <v>1935</v>
      </c>
      <c r="B20" s="35" t="s">
        <v>1726</v>
      </c>
      <c r="C20" s="35" t="s">
        <v>1972</v>
      </c>
      <c r="D20" s="34" t="s">
        <v>1734</v>
      </c>
      <c r="E20" s="34" t="s">
        <v>1710</v>
      </c>
      <c r="F20" s="34" t="s">
        <v>16</v>
      </c>
      <c r="G20" s="149">
        <v>1</v>
      </c>
      <c r="H20" s="150">
        <v>1.5</v>
      </c>
      <c r="I20" s="35">
        <v>1</v>
      </c>
    </row>
    <row r="21" spans="1:10" ht="12.75" customHeight="1">
      <c r="A21" s="46">
        <v>1935</v>
      </c>
      <c r="B21" s="35" t="s">
        <v>1724</v>
      </c>
      <c r="C21" s="35" t="s">
        <v>1972</v>
      </c>
      <c r="D21" s="34" t="s">
        <v>1735</v>
      </c>
      <c r="E21" s="34" t="s">
        <v>1710</v>
      </c>
      <c r="F21" s="34" t="s">
        <v>16</v>
      </c>
      <c r="G21" s="149">
        <v>1</v>
      </c>
      <c r="H21" s="150">
        <v>1.5</v>
      </c>
      <c r="I21" s="35">
        <v>1</v>
      </c>
    </row>
    <row r="22" spans="1:10" ht="12.75" customHeight="1">
      <c r="A22" s="46">
        <v>1978</v>
      </c>
      <c r="B22" s="35"/>
      <c r="C22" s="35" t="s">
        <v>1972</v>
      </c>
      <c r="D22" s="34" t="s">
        <v>1736</v>
      </c>
      <c r="E22" s="34" t="s">
        <v>1737</v>
      </c>
      <c r="F22" s="34" t="s">
        <v>18</v>
      </c>
      <c r="G22" s="149">
        <v>2</v>
      </c>
      <c r="H22" s="150">
        <v>2.5</v>
      </c>
      <c r="I22" s="35">
        <v>1</v>
      </c>
    </row>
    <row r="23" spans="1:10" ht="12.75" customHeight="1">
      <c r="A23" s="46">
        <v>1978</v>
      </c>
      <c r="B23" s="35"/>
      <c r="C23" s="35" t="s">
        <v>1972</v>
      </c>
      <c r="D23" s="34" t="s">
        <v>1738</v>
      </c>
      <c r="E23" s="34" t="s">
        <v>1737</v>
      </c>
      <c r="F23" s="34" t="s">
        <v>18</v>
      </c>
      <c r="G23" s="149">
        <v>2</v>
      </c>
      <c r="H23" s="150">
        <v>2.5</v>
      </c>
      <c r="I23" s="35">
        <v>1</v>
      </c>
    </row>
    <row r="24" spans="1:10" ht="12.75" customHeight="1">
      <c r="A24" s="46">
        <v>1978</v>
      </c>
      <c r="B24" s="35"/>
      <c r="C24" s="35" t="s">
        <v>1972</v>
      </c>
      <c r="D24" s="34" t="s">
        <v>1739</v>
      </c>
      <c r="E24" s="34" t="s">
        <v>1737</v>
      </c>
      <c r="F24" s="34" t="s">
        <v>18</v>
      </c>
      <c r="G24" s="149">
        <v>2</v>
      </c>
      <c r="H24" s="150">
        <v>2.5</v>
      </c>
      <c r="I24" s="35">
        <v>1</v>
      </c>
    </row>
    <row r="25" spans="1:10" ht="12.75" customHeight="1">
      <c r="A25" s="46">
        <v>1963</v>
      </c>
      <c r="B25" s="35"/>
      <c r="C25" s="35" t="s">
        <v>1972</v>
      </c>
      <c r="D25" s="34" t="s">
        <v>1740</v>
      </c>
      <c r="E25" s="34" t="s">
        <v>1737</v>
      </c>
      <c r="F25" s="34" t="s">
        <v>18</v>
      </c>
      <c r="G25" s="149">
        <v>2</v>
      </c>
      <c r="H25" s="150">
        <v>3.5</v>
      </c>
      <c r="I25" s="35">
        <v>1</v>
      </c>
    </row>
    <row r="26" spans="1:10" ht="12.75" customHeight="1">
      <c r="A26" s="46">
        <v>1974</v>
      </c>
      <c r="B26" s="35"/>
      <c r="C26" s="35" t="s">
        <v>1972</v>
      </c>
      <c r="E26" s="34" t="s">
        <v>1741</v>
      </c>
      <c r="F26" s="34" t="s">
        <v>18</v>
      </c>
      <c r="G26" s="149"/>
    </row>
    <row r="27" spans="1:10" ht="12.75" customHeight="1">
      <c r="A27" s="46">
        <v>1953</v>
      </c>
      <c r="B27" s="35" t="s">
        <v>1719</v>
      </c>
      <c r="C27" s="35" t="s">
        <v>1972</v>
      </c>
      <c r="D27" s="34" t="s">
        <v>1742</v>
      </c>
      <c r="E27" s="34" t="s">
        <v>1737</v>
      </c>
      <c r="F27" s="34" t="s">
        <v>18</v>
      </c>
      <c r="G27" s="149">
        <v>2</v>
      </c>
      <c r="H27" s="150">
        <v>2</v>
      </c>
      <c r="I27" s="35">
        <v>1</v>
      </c>
    </row>
    <row r="28" spans="1:10" ht="12.75" customHeight="1">
      <c r="A28" s="46">
        <v>1953</v>
      </c>
      <c r="B28" s="35" t="s">
        <v>1719</v>
      </c>
      <c r="C28" s="35" t="s">
        <v>1972</v>
      </c>
      <c r="D28" s="34" t="s">
        <v>1743</v>
      </c>
      <c r="E28" s="34" t="s">
        <v>1737</v>
      </c>
      <c r="F28" s="34" t="s">
        <v>18</v>
      </c>
      <c r="G28" s="149">
        <v>2</v>
      </c>
      <c r="H28" s="150">
        <v>2</v>
      </c>
      <c r="I28" s="35">
        <v>1</v>
      </c>
    </row>
    <row r="29" spans="1:10" ht="12.75" customHeight="1">
      <c r="A29" s="46">
        <v>1953</v>
      </c>
      <c r="B29" s="35" t="s">
        <v>1708</v>
      </c>
      <c r="C29" s="35" t="s">
        <v>1972</v>
      </c>
      <c r="D29" s="34" t="s">
        <v>1744</v>
      </c>
      <c r="E29" s="34" t="s">
        <v>1737</v>
      </c>
      <c r="F29" s="34" t="s">
        <v>18</v>
      </c>
      <c r="G29" s="149">
        <v>2</v>
      </c>
      <c r="H29" s="150">
        <v>2</v>
      </c>
      <c r="I29" s="35">
        <v>1</v>
      </c>
    </row>
    <row r="30" spans="1:10" ht="14.65" customHeight="1">
      <c r="A30" s="46">
        <v>1953</v>
      </c>
      <c r="B30" s="35"/>
      <c r="C30" s="35" t="s">
        <v>1972</v>
      </c>
      <c r="D30" s="34" t="s">
        <v>1745</v>
      </c>
      <c r="E30" s="34" t="s">
        <v>1737</v>
      </c>
      <c r="F30" s="34" t="s">
        <v>16</v>
      </c>
      <c r="G30" s="149">
        <v>2</v>
      </c>
      <c r="H30" s="150">
        <v>2</v>
      </c>
      <c r="I30" s="35">
        <v>1</v>
      </c>
    </row>
    <row r="31" spans="1:10" ht="12.75" customHeight="1">
      <c r="A31" s="46">
        <v>1953</v>
      </c>
      <c r="B31" s="35" t="s">
        <v>1708</v>
      </c>
      <c r="C31" s="35" t="s">
        <v>1972</v>
      </c>
      <c r="D31" s="34" t="s">
        <v>1746</v>
      </c>
      <c r="E31" s="34" t="s">
        <v>1737</v>
      </c>
      <c r="F31" s="34" t="s">
        <v>18</v>
      </c>
      <c r="G31" s="149">
        <v>2</v>
      </c>
      <c r="H31" s="150">
        <v>2</v>
      </c>
      <c r="I31" s="35">
        <v>1</v>
      </c>
    </row>
    <row r="32" spans="1:10" ht="14.65" customHeight="1">
      <c r="A32" s="46">
        <v>1953</v>
      </c>
      <c r="B32" s="35" t="s">
        <v>1715</v>
      </c>
      <c r="C32" s="35" t="s">
        <v>1972</v>
      </c>
      <c r="D32" s="34" t="s">
        <v>1747</v>
      </c>
      <c r="E32" s="34" t="s">
        <v>1737</v>
      </c>
      <c r="F32" s="34" t="s">
        <v>18</v>
      </c>
      <c r="G32" s="149">
        <v>2</v>
      </c>
      <c r="H32" s="150">
        <v>2</v>
      </c>
      <c r="I32" s="35">
        <v>1</v>
      </c>
    </row>
    <row r="33" spans="1:9" ht="14.65" customHeight="1">
      <c r="A33" s="46">
        <v>1953</v>
      </c>
      <c r="B33" s="35" t="s">
        <v>1708</v>
      </c>
      <c r="C33" s="35" t="s">
        <v>1972</v>
      </c>
      <c r="D33" s="34" t="s">
        <v>1748</v>
      </c>
      <c r="E33" s="34" t="s">
        <v>1737</v>
      </c>
      <c r="F33" s="34" t="s">
        <v>18</v>
      </c>
      <c r="G33" s="149">
        <v>2</v>
      </c>
      <c r="H33" s="150">
        <v>2</v>
      </c>
      <c r="I33" s="35">
        <v>1</v>
      </c>
    </row>
    <row r="34" spans="1:9" ht="14.65" customHeight="1">
      <c r="A34" s="46">
        <v>1928</v>
      </c>
      <c r="B34" s="35" t="s">
        <v>1708</v>
      </c>
      <c r="C34" s="35" t="s">
        <v>1972</v>
      </c>
      <c r="D34" s="34" t="s">
        <v>1749</v>
      </c>
      <c r="E34" s="34" t="s">
        <v>1737</v>
      </c>
      <c r="F34" s="34" t="s">
        <v>18</v>
      </c>
      <c r="G34" s="149">
        <v>2</v>
      </c>
      <c r="H34" s="150">
        <v>10</v>
      </c>
      <c r="I34" s="35">
        <v>1</v>
      </c>
    </row>
    <row r="35" spans="1:9" ht="14.65" customHeight="1">
      <c r="A35" s="46">
        <v>1991</v>
      </c>
      <c r="B35" s="35"/>
      <c r="C35" s="35" t="s">
        <v>1972</v>
      </c>
      <c r="E35" s="34" t="s">
        <v>1750</v>
      </c>
      <c r="F35" s="34" t="s">
        <v>20</v>
      </c>
      <c r="G35" s="149">
        <v>5</v>
      </c>
      <c r="H35" s="150">
        <v>12</v>
      </c>
      <c r="I35" s="35">
        <v>1</v>
      </c>
    </row>
    <row r="36" spans="1:9" ht="14.65" customHeight="1">
      <c r="A36" s="46"/>
      <c r="B36" s="35"/>
      <c r="C36" s="35"/>
      <c r="G36" s="149"/>
    </row>
    <row r="37" spans="1:9" ht="12.75" customHeight="1">
      <c r="A37" s="46"/>
      <c r="B37" s="35"/>
      <c r="C37" s="35"/>
      <c r="G37" s="149"/>
    </row>
    <row r="38" spans="1:9" ht="14.65" customHeight="1">
      <c r="A38" s="46"/>
      <c r="B38" s="35"/>
      <c r="C38" s="35"/>
      <c r="G38" s="149"/>
    </row>
    <row r="39" spans="1:9" ht="14.65" customHeight="1">
      <c r="A39" s="46"/>
      <c r="B39" s="35"/>
      <c r="C39" s="35"/>
      <c r="G39" s="149"/>
    </row>
    <row r="40" spans="1:9" ht="14.65" customHeight="1">
      <c r="A40" s="46"/>
      <c r="B40" s="35"/>
      <c r="C40" s="35"/>
      <c r="G40" s="149"/>
    </row>
    <row r="41" spans="1:9" ht="14.65" customHeight="1">
      <c r="A41" s="46"/>
      <c r="B41" s="35"/>
      <c r="C41" s="35"/>
      <c r="G41" s="149"/>
    </row>
    <row r="42" spans="1:9" ht="14.65" customHeight="1">
      <c r="A42" s="46"/>
      <c r="B42" s="35"/>
      <c r="C42" s="35"/>
      <c r="G42" s="149"/>
    </row>
    <row r="43" spans="1:9" ht="14.65" customHeight="1">
      <c r="A43" s="46"/>
      <c r="B43" s="35"/>
      <c r="C43" s="35"/>
      <c r="G43" s="149"/>
    </row>
    <row r="44" spans="1:9" ht="14.65" customHeight="1">
      <c r="A44" s="46"/>
      <c r="B44" s="35"/>
      <c r="C44" s="35"/>
      <c r="G44" s="149"/>
    </row>
    <row r="45" spans="1:9" ht="12.75" customHeight="1">
      <c r="A45" s="46"/>
      <c r="B45" s="35"/>
      <c r="C45" s="35"/>
      <c r="G45" s="149"/>
    </row>
    <row r="46" spans="1:9" ht="12.75" customHeight="1">
      <c r="A46" s="46"/>
      <c r="B46" s="35"/>
      <c r="C46" s="35"/>
      <c r="G46" s="149"/>
    </row>
    <row r="47" spans="1:9" ht="12.75" customHeight="1">
      <c r="A47" s="46"/>
      <c r="B47" s="35"/>
      <c r="C47" s="35"/>
      <c r="G47" s="149"/>
    </row>
    <row r="48" spans="1:9" ht="12.75" customHeight="1">
      <c r="A48" s="46"/>
      <c r="B48" s="35"/>
      <c r="C48" s="35"/>
      <c r="G48" s="149"/>
    </row>
    <row r="49" spans="1:7" ht="12.75" customHeight="1">
      <c r="A49" s="46"/>
      <c r="B49" s="35"/>
      <c r="C49" s="35"/>
      <c r="G49" s="149"/>
    </row>
    <row r="50" spans="1:7" ht="12.75" customHeight="1">
      <c r="A50" s="46"/>
      <c r="B50" s="35"/>
      <c r="C50" s="35"/>
      <c r="G50" s="149"/>
    </row>
    <row r="51" spans="1:7" ht="12.75" customHeight="1">
      <c r="A51" s="46"/>
      <c r="B51" s="35"/>
      <c r="C51" s="35"/>
      <c r="G51" s="149"/>
    </row>
    <row r="52" spans="1:7" ht="12.75" customHeight="1">
      <c r="A52" s="46"/>
      <c r="B52" s="35"/>
      <c r="C52" s="35"/>
      <c r="G52" s="149"/>
    </row>
    <row r="53" spans="1:7" ht="12.75" customHeight="1">
      <c r="A53" s="46"/>
      <c r="B53" s="35"/>
      <c r="C53" s="35"/>
      <c r="G53" s="149"/>
    </row>
    <row r="54" spans="1:7" ht="12.75" customHeight="1">
      <c r="A54" s="46"/>
      <c r="G54" s="149"/>
    </row>
    <row r="55" spans="1:7" ht="12.75" customHeight="1">
      <c r="A55" s="46"/>
      <c r="G55" s="149"/>
    </row>
    <row r="56" spans="1:7" ht="12.75" customHeight="1">
      <c r="A56" s="46"/>
    </row>
  </sheetData>
  <sheetProtection selectLockedCells="1" selectUnlockedCells="1"/>
  <pageMargins left="0.75" right="0.75" top="1" bottom="1" header="0.51181102362204722" footer="0.51181102362204722"/>
  <pageSetup firstPageNumber="0" orientation="portrait" horizontalDpi="300" verticalDpi="3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D4B030-673F-4CB8-816D-E975E9B633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9</vt:i4>
      </vt:variant>
    </vt:vector>
  </HeadingPairs>
  <TitlesOfParts>
    <vt:vector size="51" baseType="lpstr">
      <vt:lpstr>Dashboard</vt:lpstr>
      <vt:lpstr>CoinCollection</vt:lpstr>
      <vt:lpstr>CoinSearch</vt:lpstr>
      <vt:lpstr>PenneyWantList</vt:lpstr>
      <vt:lpstr>Indian Head Penneies</vt:lpstr>
      <vt:lpstr>Lincoln Cents</vt:lpstr>
      <vt:lpstr>Liberty V Nickels</vt:lpstr>
      <vt:lpstr>Buffalo Nickels</vt:lpstr>
      <vt:lpstr>Jefferson Nickels</vt:lpstr>
      <vt:lpstr>Mercury Dimes</vt:lpstr>
      <vt:lpstr>Roosevelt Dimes</vt:lpstr>
      <vt:lpstr>Washington Quarters</vt:lpstr>
      <vt:lpstr>Walking Liberty Half</vt:lpstr>
      <vt:lpstr>Franklin Halves</vt:lpstr>
      <vt:lpstr>Kennedy Halves</vt:lpstr>
      <vt:lpstr>SBA Dollar</vt:lpstr>
      <vt:lpstr>Eagle Dollar</vt:lpstr>
      <vt:lpstr>Eisenhower Dollar</vt:lpstr>
      <vt:lpstr>Presidential Dollar</vt:lpstr>
      <vt:lpstr>Sacagawea Dollars</vt:lpstr>
      <vt:lpstr>Sheet2</vt:lpstr>
      <vt:lpstr>CoinLegacy</vt:lpstr>
      <vt:lpstr>QuickKeys</vt:lpstr>
      <vt:lpstr>NickelMintage</vt:lpstr>
      <vt:lpstr>DimeMintage</vt:lpstr>
      <vt:lpstr>DimeWantList</vt:lpstr>
      <vt:lpstr>QuarterMintage</vt:lpstr>
      <vt:lpstr>HalfMintage</vt:lpstr>
      <vt:lpstr>HalvesWork</vt:lpstr>
      <vt:lpstr>Dollar_Year_Sets</vt:lpstr>
      <vt:lpstr>Dollar_Want_List</vt:lpstr>
      <vt:lpstr>Nickels</vt:lpstr>
      <vt:lpstr>NickelWork</vt:lpstr>
      <vt:lpstr>Dimes</vt:lpstr>
      <vt:lpstr>Quarters</vt:lpstr>
      <vt:lpstr>DimeSearch</vt:lpstr>
      <vt:lpstr>QuarterSearch</vt:lpstr>
      <vt:lpstr>Halves</vt:lpstr>
      <vt:lpstr>HalveSearch</vt:lpstr>
      <vt:lpstr>SILVER DOLLARS</vt:lpstr>
      <vt:lpstr>DollarSearch</vt:lpstr>
      <vt:lpstr>Dollar_Bills</vt:lpstr>
      <vt:lpstr>CoinType</vt:lpstr>
      <vt:lpstr>HalfMintage!Excel_BuiltIn__FilterDatabase</vt:lpstr>
      <vt:lpstr>Halves!Excel_BuiltIn__FilterDatabase</vt:lpstr>
      <vt:lpstr>NickelMintage!Excel_BuiltIn__FilterDatabase</vt:lpstr>
      <vt:lpstr>'Liberty V Nickels'!Print_Area</vt:lpstr>
      <vt:lpstr>QtySearch</vt:lpstr>
      <vt:lpstr>TypeYearSearch</vt:lpstr>
      <vt:lpstr>ValueSearch</vt:lpstr>
      <vt:lpstr>YearSearch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Saville</dc:creator>
  <cp:lastModifiedBy>MICHAEL Saville</cp:lastModifiedBy>
  <cp:lastPrinted>2026-04-10T16:14:28Z</cp:lastPrinted>
  <dcterms:created xsi:type="dcterms:W3CDTF">2024-10-12T15:18:38Z</dcterms:created>
  <dcterms:modified xsi:type="dcterms:W3CDTF">2026-04-19T23:46:02Z</dcterms:modified>
</cp:coreProperties>
</file>