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EBECF6A-CDF8-7D43-8D62-3F1992364321}" xr6:coauthVersionLast="46" xr6:coauthVersionMax="46" xr10:uidLastSave="{00000000-0000-0000-0000-000000000000}"/>
  <bookViews>
    <workbookView xWindow="-56880" yWindow="-5940" windowWidth="2842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J11" i="2"/>
  <c r="B28" i="2"/>
  <c r="B29" i="2"/>
  <c r="H12" i="2"/>
  <c r="H11" i="2"/>
  <c r="H10" i="2"/>
  <c r="S25" i="2"/>
  <c r="T25" i="2" s="1"/>
  <c r="U25" i="2" s="1"/>
  <c r="V25" i="2" s="1"/>
  <c r="R25" i="2"/>
  <c r="N25" i="2"/>
  <c r="O25" i="2" s="1"/>
  <c r="P25" i="2" s="1"/>
  <c r="Q25" i="2" s="1"/>
  <c r="M25" i="2"/>
  <c r="N24" i="2"/>
  <c r="O24" i="2" s="1"/>
  <c r="P24" i="2" s="1"/>
  <c r="Q24" i="2" s="1"/>
  <c r="M24" i="2"/>
  <c r="N23" i="2"/>
  <c r="O23" i="2" s="1"/>
  <c r="P23" i="2" s="1"/>
  <c r="Q23" i="2" s="1"/>
  <c r="M23" i="2"/>
  <c r="I24" i="2"/>
  <c r="J24" i="2" s="1"/>
  <c r="K24" i="2" s="1"/>
  <c r="L24" i="2" s="1"/>
  <c r="H24" i="2"/>
  <c r="I23" i="2"/>
  <c r="J23" i="2" s="1"/>
  <c r="K23" i="2" s="1"/>
  <c r="L23" i="2" s="1"/>
  <c r="H23" i="2"/>
  <c r="H36" i="2" s="1"/>
  <c r="G35" i="2"/>
  <c r="C3" i="2"/>
  <c r="C4" i="2" s="1"/>
  <c r="Z32" i="1"/>
  <c r="Z13" i="1"/>
  <c r="Z5" i="1"/>
  <c r="Z4" i="1"/>
  <c r="Z3" i="1"/>
  <c r="Z59" i="1"/>
  <c r="Z58" i="1"/>
  <c r="Z57" i="1"/>
  <c r="I10" i="2"/>
  <c r="J10" i="2" s="1"/>
  <c r="K10" i="2" s="1"/>
  <c r="L10" i="2" s="1"/>
  <c r="I12" i="2"/>
  <c r="J12" i="2" s="1"/>
  <c r="K12" i="2" s="1"/>
  <c r="L12" i="2" s="1"/>
  <c r="G51" i="2"/>
  <c r="G50" i="2"/>
  <c r="G33" i="2"/>
  <c r="G30" i="2"/>
  <c r="G24" i="2"/>
  <c r="G23" i="2"/>
  <c r="G21" i="2"/>
  <c r="G12" i="2"/>
  <c r="G11" i="2"/>
  <c r="G10" i="2"/>
  <c r="G20" i="2" s="1"/>
  <c r="G22" i="2" s="1"/>
  <c r="Y41" i="1"/>
  <c r="Y39" i="1"/>
  <c r="G47" i="2" s="1"/>
  <c r="Y38" i="1"/>
  <c r="Y37" i="1" s="1"/>
  <c r="C5" i="2" s="1"/>
  <c r="Y59" i="1"/>
  <c r="Y58" i="1"/>
  <c r="Y57" i="1"/>
  <c r="Y46" i="1"/>
  <c r="Y35" i="1"/>
  <c r="Y34" i="1"/>
  <c r="Y33" i="1"/>
  <c r="Y21" i="1"/>
  <c r="Y19" i="1"/>
  <c r="Y13" i="1"/>
  <c r="Y15" i="1" s="1"/>
  <c r="X59" i="1"/>
  <c r="X58" i="1"/>
  <c r="X57" i="1"/>
  <c r="X46" i="1"/>
  <c r="X41" i="1"/>
  <c r="X45" i="1" s="1"/>
  <c r="X39" i="1"/>
  <c r="X38" i="1"/>
  <c r="X35" i="1"/>
  <c r="X34" i="1"/>
  <c r="X33" i="1"/>
  <c r="X21" i="1"/>
  <c r="X19" i="1"/>
  <c r="X13" i="1"/>
  <c r="W59" i="1"/>
  <c r="W58" i="1"/>
  <c r="W57" i="1"/>
  <c r="W46" i="1"/>
  <c r="W41" i="1"/>
  <c r="W45" i="1" s="1"/>
  <c r="W52" i="1" s="1"/>
  <c r="W39" i="1"/>
  <c r="W38" i="1"/>
  <c r="W35" i="1"/>
  <c r="W34" i="1"/>
  <c r="W33" i="1"/>
  <c r="W30" i="1"/>
  <c r="W29" i="1"/>
  <c r="W25" i="1"/>
  <c r="W21" i="1"/>
  <c r="W19" i="1"/>
  <c r="W13" i="1"/>
  <c r="W15" i="1" s="1"/>
  <c r="W20" i="1" s="1"/>
  <c r="W22" i="1" s="1"/>
  <c r="W24" i="1" s="1"/>
  <c r="W50" i="1" s="1"/>
  <c r="K11" i="2" l="1"/>
  <c r="L11" i="2" s="1"/>
  <c r="L20" i="2" s="1"/>
  <c r="M20" i="2" s="1"/>
  <c r="N20" i="2" s="1"/>
  <c r="O20" i="2" s="1"/>
  <c r="P20" i="2" s="1"/>
  <c r="Q20" i="2" s="1"/>
  <c r="G54" i="2"/>
  <c r="Y20" i="1"/>
  <c r="Y28" i="1"/>
  <c r="X15" i="1"/>
  <c r="X28" i="1" s="1"/>
  <c r="G46" i="2"/>
  <c r="G45" i="2" s="1"/>
  <c r="Y45" i="1"/>
  <c r="G49" i="2"/>
  <c r="W51" i="1"/>
  <c r="X20" i="1"/>
  <c r="W37" i="1"/>
  <c r="W28" i="1"/>
  <c r="X37" i="1"/>
  <c r="J20" i="2"/>
  <c r="I20" i="2"/>
  <c r="L61" i="2"/>
  <c r="W49" i="1"/>
  <c r="F11" i="2"/>
  <c r="L63" i="2"/>
  <c r="F51" i="2"/>
  <c r="F50" i="2"/>
  <c r="F54" i="2" s="1"/>
  <c r="F33" i="2"/>
  <c r="F30" i="2"/>
  <c r="F24" i="2"/>
  <c r="F23" i="2"/>
  <c r="F21" i="2"/>
  <c r="F12" i="2"/>
  <c r="F10" i="2"/>
  <c r="E24" i="2"/>
  <c r="E23" i="2"/>
  <c r="E21" i="2"/>
  <c r="E12" i="2"/>
  <c r="E11" i="2"/>
  <c r="V58" i="1"/>
  <c r="V41" i="1"/>
  <c r="V45" i="1" s="1"/>
  <c r="V39" i="1"/>
  <c r="V38" i="1"/>
  <c r="V37" i="1" s="1"/>
  <c r="V21" i="1"/>
  <c r="G28" i="2" s="1"/>
  <c r="V18" i="1"/>
  <c r="G25" i="2" s="1"/>
  <c r="V13" i="1"/>
  <c r="V59" i="1"/>
  <c r="V57" i="1"/>
  <c r="V46" i="1"/>
  <c r="V34" i="1"/>
  <c r="V33" i="1"/>
  <c r="U58" i="1"/>
  <c r="U59" i="1"/>
  <c r="U41" i="1"/>
  <c r="F49" i="2" s="1"/>
  <c r="U39" i="1"/>
  <c r="F47" i="2" s="1"/>
  <c r="U38" i="1"/>
  <c r="F46" i="2" s="1"/>
  <c r="F45" i="2" s="1"/>
  <c r="U46" i="1"/>
  <c r="U34" i="1"/>
  <c r="U33" i="1"/>
  <c r="U21" i="1"/>
  <c r="U19" i="1"/>
  <c r="U15" i="1"/>
  <c r="U28" i="1" s="1"/>
  <c r="U13" i="1"/>
  <c r="Y32" i="1" s="1"/>
  <c r="T58" i="1"/>
  <c r="J55" i="1"/>
  <c r="J54" i="1"/>
  <c r="K55" i="1"/>
  <c r="K54" i="1"/>
  <c r="L55" i="1"/>
  <c r="L54" i="1"/>
  <c r="M54" i="1"/>
  <c r="T41" i="1"/>
  <c r="T38" i="1"/>
  <c r="T37" i="1" s="1"/>
  <c r="P13" i="1"/>
  <c r="R13" i="1"/>
  <c r="S13" i="1"/>
  <c r="W32" i="1" s="1"/>
  <c r="T21" i="1"/>
  <c r="T13" i="1"/>
  <c r="X32" i="1" s="1"/>
  <c r="B13" i="1"/>
  <c r="T59" i="1"/>
  <c r="T57" i="1"/>
  <c r="T46" i="1"/>
  <c r="T34" i="1"/>
  <c r="T33" i="1"/>
  <c r="T19" i="1"/>
  <c r="S59" i="1"/>
  <c r="R59" i="1"/>
  <c r="S57" i="1"/>
  <c r="R57" i="1"/>
  <c r="Q3" i="1"/>
  <c r="E10" i="2" s="1"/>
  <c r="O13" i="1"/>
  <c r="N13" i="1"/>
  <c r="S41" i="1"/>
  <c r="S46" i="1"/>
  <c r="S38" i="1"/>
  <c r="S37" i="1"/>
  <c r="S34" i="1"/>
  <c r="S33" i="1"/>
  <c r="S21" i="1"/>
  <c r="S19" i="1"/>
  <c r="L13" i="1"/>
  <c r="F13" i="1"/>
  <c r="E13" i="1"/>
  <c r="D13" i="1"/>
  <c r="C13" i="1"/>
  <c r="G13" i="1"/>
  <c r="M13" i="1"/>
  <c r="K13" i="1"/>
  <c r="J13" i="1"/>
  <c r="I13" i="1"/>
  <c r="H13" i="1"/>
  <c r="K20" i="2" l="1"/>
  <c r="L62" i="2"/>
  <c r="E20" i="2"/>
  <c r="V15" i="1"/>
  <c r="G53" i="2"/>
  <c r="H25" i="2"/>
  <c r="I25" i="2" s="1"/>
  <c r="J25" i="2" s="1"/>
  <c r="K25" i="2" s="1"/>
  <c r="L25" i="2" s="1"/>
  <c r="G26" i="2"/>
  <c r="G27" i="2" s="1"/>
  <c r="G29" i="2" s="1"/>
  <c r="Q13" i="1"/>
  <c r="U32" i="1" s="1"/>
  <c r="X29" i="1"/>
  <c r="X22" i="1"/>
  <c r="U37" i="1"/>
  <c r="Y29" i="1"/>
  <c r="Y22" i="1"/>
  <c r="U57" i="1"/>
  <c r="V19" i="1"/>
  <c r="F61" i="2"/>
  <c r="U20" i="1"/>
  <c r="S45" i="1"/>
  <c r="F53" i="2"/>
  <c r="F62" i="2"/>
  <c r="G61" i="2"/>
  <c r="G62" i="2"/>
  <c r="G63" i="2"/>
  <c r="F63" i="2"/>
  <c r="F20" i="2"/>
  <c r="H61" i="2"/>
  <c r="V32" i="1"/>
  <c r="V28" i="1"/>
  <c r="V20" i="1"/>
  <c r="U45" i="1"/>
  <c r="T45" i="1"/>
  <c r="S15" i="1"/>
  <c r="S28" i="1" s="1"/>
  <c r="S32" i="1"/>
  <c r="U22" i="1" l="1"/>
  <c r="U29" i="1"/>
  <c r="Y24" i="1"/>
  <c r="Y30" i="1"/>
  <c r="X24" i="1"/>
  <c r="X30" i="1"/>
  <c r="F35" i="2"/>
  <c r="F22" i="2"/>
  <c r="F41" i="2" s="1"/>
  <c r="H62" i="2"/>
  <c r="H20" i="2"/>
  <c r="H63" i="2"/>
  <c r="I62" i="2"/>
  <c r="V29" i="1"/>
  <c r="V22" i="1"/>
  <c r="T32" i="1"/>
  <c r="T15" i="1"/>
  <c r="S20" i="1"/>
  <c r="S29" i="1" s="1"/>
  <c r="X25" i="1" l="1"/>
  <c r="X52" i="1"/>
  <c r="X49" i="1"/>
  <c r="X51" i="1"/>
  <c r="X50" i="1"/>
  <c r="Y25" i="1"/>
  <c r="Y50" i="1"/>
  <c r="Y49" i="1"/>
  <c r="Y51" i="1"/>
  <c r="Y52" i="1"/>
  <c r="U24" i="1"/>
  <c r="U30" i="1"/>
  <c r="R23" i="2"/>
  <c r="S23" i="2" s="1"/>
  <c r="T23" i="2" s="1"/>
  <c r="U23" i="2" s="1"/>
  <c r="V23" i="2" s="1"/>
  <c r="H26" i="2"/>
  <c r="H39" i="2" s="1"/>
  <c r="I61" i="2"/>
  <c r="I63" i="2"/>
  <c r="K62" i="2"/>
  <c r="J62" i="2"/>
  <c r="V30" i="1"/>
  <c r="V24" i="1"/>
  <c r="Y48" i="1" s="1"/>
  <c r="T28" i="1"/>
  <c r="T20" i="1"/>
  <c r="S22" i="1"/>
  <c r="S30" i="1" s="1"/>
  <c r="V36" i="2" l="1"/>
  <c r="U25" i="1"/>
  <c r="X48" i="1"/>
  <c r="U50" i="1"/>
  <c r="U49" i="1"/>
  <c r="U51" i="1"/>
  <c r="U52" i="1"/>
  <c r="J61" i="2"/>
  <c r="K63" i="2"/>
  <c r="J63" i="2"/>
  <c r="V52" i="1"/>
  <c r="V51" i="1"/>
  <c r="V25" i="1"/>
  <c r="V50" i="1"/>
  <c r="V49" i="1"/>
  <c r="T29" i="1"/>
  <c r="T22" i="1"/>
  <c r="S24" i="1"/>
  <c r="S25" i="1"/>
  <c r="S50" i="1"/>
  <c r="S52" i="1"/>
  <c r="S49" i="1"/>
  <c r="S51" i="1"/>
  <c r="R20" i="2" l="1"/>
  <c r="S20" i="2" s="1"/>
  <c r="T20" i="2" s="1"/>
  <c r="U20" i="2" s="1"/>
  <c r="V20" i="2" s="1"/>
  <c r="K61" i="2"/>
  <c r="T30" i="1"/>
  <c r="T24" i="1"/>
  <c r="W48" i="1" s="1"/>
  <c r="V48" i="1" l="1"/>
  <c r="V35" i="2"/>
  <c r="T52" i="1"/>
  <c r="T51" i="1"/>
  <c r="T25" i="1"/>
  <c r="T50" i="1"/>
  <c r="T49" i="1"/>
  <c r="R41" i="1" l="1"/>
  <c r="R38" i="1"/>
  <c r="R21" i="1"/>
  <c r="F28" i="2" s="1"/>
  <c r="R18" i="1"/>
  <c r="R46" i="1"/>
  <c r="R45" i="1"/>
  <c r="R37" i="1"/>
  <c r="R34" i="1"/>
  <c r="R33" i="1"/>
  <c r="E51" i="2"/>
  <c r="E50" i="2"/>
  <c r="E47" i="2"/>
  <c r="E33" i="2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Q41" i="1"/>
  <c r="E49" i="2" s="1"/>
  <c r="Q46" i="1"/>
  <c r="Q38" i="1"/>
  <c r="E46" i="2" s="1"/>
  <c r="Q21" i="1"/>
  <c r="Q18" i="1"/>
  <c r="E30" i="2"/>
  <c r="D51" i="2"/>
  <c r="D50" i="2"/>
  <c r="D54" i="2" s="1"/>
  <c r="D47" i="2"/>
  <c r="C51" i="2"/>
  <c r="C50" i="2"/>
  <c r="C47" i="2"/>
  <c r="B47" i="2"/>
  <c r="D33" i="2"/>
  <c r="D30" i="2"/>
  <c r="D24" i="2"/>
  <c r="D23" i="2"/>
  <c r="E36" i="2" s="1"/>
  <c r="D21" i="2"/>
  <c r="D18" i="2"/>
  <c r="D17" i="2"/>
  <c r="D16" i="2"/>
  <c r="D12" i="2"/>
  <c r="D15" i="2"/>
  <c r="D14" i="2"/>
  <c r="C33" i="2"/>
  <c r="C30" i="2"/>
  <c r="C24" i="2"/>
  <c r="C23" i="2"/>
  <c r="C21" i="2"/>
  <c r="C18" i="2"/>
  <c r="C17" i="2"/>
  <c r="C16" i="2"/>
  <c r="C12" i="2"/>
  <c r="C15" i="2"/>
  <c r="C14" i="2"/>
  <c r="B33" i="2"/>
  <c r="B30" i="2"/>
  <c r="B24" i="2"/>
  <c r="B23" i="2"/>
  <c r="B21" i="2"/>
  <c r="B18" i="2"/>
  <c r="B17" i="2"/>
  <c r="B16" i="2"/>
  <c r="B12" i="2"/>
  <c r="B15" i="2"/>
  <c r="Q34" i="1"/>
  <c r="Q33" i="1"/>
  <c r="M15" i="1"/>
  <c r="I41" i="1"/>
  <c r="I38" i="1"/>
  <c r="C46" i="2" s="1"/>
  <c r="I54" i="1"/>
  <c r="I46" i="1"/>
  <c r="M21" i="1"/>
  <c r="M18" i="1"/>
  <c r="M19" i="1" s="1"/>
  <c r="M34" i="1"/>
  <c r="M33" i="1"/>
  <c r="N38" i="1"/>
  <c r="N45" i="1" s="1"/>
  <c r="N21" i="1"/>
  <c r="N18" i="1"/>
  <c r="N54" i="1"/>
  <c r="N46" i="1"/>
  <c r="N34" i="1"/>
  <c r="N33" i="1"/>
  <c r="J15" i="1"/>
  <c r="J28" i="1" s="1"/>
  <c r="O41" i="1"/>
  <c r="O38" i="1"/>
  <c r="O37" i="1" s="1"/>
  <c r="L15" i="1"/>
  <c r="O21" i="1"/>
  <c r="O18" i="1"/>
  <c r="O54" i="1"/>
  <c r="O46" i="1"/>
  <c r="O34" i="1"/>
  <c r="O33" i="1"/>
  <c r="M41" i="1"/>
  <c r="M38" i="1"/>
  <c r="M37" i="1" s="1"/>
  <c r="K15" i="1"/>
  <c r="M46" i="1"/>
  <c r="P46" i="1"/>
  <c r="P41" i="1"/>
  <c r="P38" i="1"/>
  <c r="P21" i="1"/>
  <c r="P18" i="1"/>
  <c r="P34" i="1"/>
  <c r="P33" i="1"/>
  <c r="E7" i="1"/>
  <c r="I55" i="1" s="1"/>
  <c r="L18" i="1"/>
  <c r="L19" i="1" s="1"/>
  <c r="L21" i="1"/>
  <c r="L38" i="1"/>
  <c r="L37" i="1" s="1"/>
  <c r="E38" i="1"/>
  <c r="B46" i="2" s="1"/>
  <c r="J21" i="1"/>
  <c r="K21" i="1"/>
  <c r="J18" i="1"/>
  <c r="K18" i="1"/>
  <c r="B21" i="1"/>
  <c r="B18" i="1"/>
  <c r="C21" i="1"/>
  <c r="C18" i="1"/>
  <c r="C19" i="1" s="1"/>
  <c r="D21" i="1"/>
  <c r="D18" i="1"/>
  <c r="D19" i="1" s="1"/>
  <c r="F38" i="1"/>
  <c r="F37" i="1" s="1"/>
  <c r="G38" i="1"/>
  <c r="G37" i="1" s="1"/>
  <c r="H38" i="1"/>
  <c r="H37" i="1" s="1"/>
  <c r="E21" i="1"/>
  <c r="E18" i="1"/>
  <c r="E19" i="1" s="1"/>
  <c r="I21" i="1"/>
  <c r="I18" i="1"/>
  <c r="J38" i="1"/>
  <c r="J37" i="1" s="1"/>
  <c r="F21" i="1"/>
  <c r="F18" i="1"/>
  <c r="K38" i="1"/>
  <c r="K37" i="1" s="1"/>
  <c r="G21" i="1"/>
  <c r="G18" i="1"/>
  <c r="G19" i="1" s="1"/>
  <c r="G15" i="1"/>
  <c r="H21" i="1"/>
  <c r="H18" i="1"/>
  <c r="B15" i="1"/>
  <c r="B28" i="1" s="1"/>
  <c r="C15" i="1"/>
  <c r="D15" i="1"/>
  <c r="D28" i="1" s="1"/>
  <c r="J32" i="1"/>
  <c r="L33" i="1"/>
  <c r="L34" i="1"/>
  <c r="J33" i="1"/>
  <c r="K33" i="1"/>
  <c r="J34" i="1"/>
  <c r="K34" i="1"/>
  <c r="I15" i="1"/>
  <c r="I28" i="1" s="1"/>
  <c r="I33" i="1"/>
  <c r="G34" i="1"/>
  <c r="H34" i="1"/>
  <c r="I34" i="1"/>
  <c r="F34" i="1"/>
  <c r="G33" i="1"/>
  <c r="H33" i="1"/>
  <c r="F33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C20" i="2" l="1"/>
  <c r="D20" i="2"/>
  <c r="N19" i="1"/>
  <c r="E25" i="2"/>
  <c r="R19" i="1"/>
  <c r="F25" i="2"/>
  <c r="F26" i="2" s="1"/>
  <c r="V35" i="1"/>
  <c r="O19" i="1"/>
  <c r="S35" i="1"/>
  <c r="Q19" i="1"/>
  <c r="U35" i="1"/>
  <c r="C63" i="2"/>
  <c r="D63" i="2"/>
  <c r="E63" i="2"/>
  <c r="P19" i="1"/>
  <c r="T35" i="1"/>
  <c r="P45" i="1"/>
  <c r="B45" i="2"/>
  <c r="D37" i="2"/>
  <c r="E54" i="2"/>
  <c r="C45" i="2"/>
  <c r="C36" i="2"/>
  <c r="H35" i="1"/>
  <c r="L20" i="1"/>
  <c r="L22" i="1" s="1"/>
  <c r="N55" i="1"/>
  <c r="H19" i="1"/>
  <c r="B14" i="2"/>
  <c r="B20" i="2" s="1"/>
  <c r="E15" i="1"/>
  <c r="E20" i="1" s="1"/>
  <c r="E22" i="1" s="1"/>
  <c r="I37" i="1"/>
  <c r="O55" i="1"/>
  <c r="C20" i="1"/>
  <c r="C22" i="1" s="1"/>
  <c r="O35" i="1"/>
  <c r="C54" i="2"/>
  <c r="M20" i="1"/>
  <c r="M22" i="1" s="1"/>
  <c r="M28" i="1"/>
  <c r="M45" i="1"/>
  <c r="Q35" i="1"/>
  <c r="M32" i="1"/>
  <c r="L32" i="1"/>
  <c r="G35" i="1"/>
  <c r="F15" i="1"/>
  <c r="F28" i="1" s="1"/>
  <c r="O45" i="1"/>
  <c r="J35" i="1"/>
  <c r="C28" i="2"/>
  <c r="C37" i="2"/>
  <c r="P15" i="1"/>
  <c r="P32" i="1"/>
  <c r="O15" i="1"/>
  <c r="O32" i="1"/>
  <c r="D49" i="2"/>
  <c r="E28" i="2"/>
  <c r="D28" i="2"/>
  <c r="M35" i="1"/>
  <c r="H32" i="1"/>
  <c r="E37" i="1"/>
  <c r="I35" i="1"/>
  <c r="D20" i="1"/>
  <c r="D29" i="1" s="1"/>
  <c r="I45" i="1"/>
  <c r="F19" i="1"/>
  <c r="L35" i="1"/>
  <c r="I32" i="1"/>
  <c r="K19" i="1"/>
  <c r="K20" i="1" s="1"/>
  <c r="F32" i="1"/>
  <c r="D46" i="2"/>
  <c r="D45" i="2" s="1"/>
  <c r="D25" i="2"/>
  <c r="D26" i="2" s="1"/>
  <c r="J19" i="1"/>
  <c r="J20" i="1" s="1"/>
  <c r="B25" i="2"/>
  <c r="B26" i="2" s="1"/>
  <c r="E45" i="2"/>
  <c r="C6" i="2"/>
  <c r="C7" i="2" s="1"/>
  <c r="E37" i="2"/>
  <c r="F37" i="2"/>
  <c r="D36" i="2"/>
  <c r="F36" i="2"/>
  <c r="G20" i="1"/>
  <c r="G28" i="1"/>
  <c r="H37" i="2"/>
  <c r="L29" i="1"/>
  <c r="K28" i="1"/>
  <c r="Q15" i="1"/>
  <c r="Q32" i="1"/>
  <c r="R35" i="1"/>
  <c r="B19" i="1"/>
  <c r="B20" i="1" s="1"/>
  <c r="E26" i="2"/>
  <c r="E53" i="2"/>
  <c r="C28" i="1"/>
  <c r="Q45" i="1"/>
  <c r="H15" i="1"/>
  <c r="P35" i="1"/>
  <c r="N35" i="1"/>
  <c r="G32" i="1"/>
  <c r="F35" i="1"/>
  <c r="P37" i="1"/>
  <c r="M55" i="1"/>
  <c r="N37" i="1"/>
  <c r="I19" i="1"/>
  <c r="I20" i="1" s="1"/>
  <c r="L28" i="1"/>
  <c r="C49" i="2"/>
  <c r="K32" i="1"/>
  <c r="G37" i="2"/>
  <c r="K35" i="1"/>
  <c r="C25" i="2"/>
  <c r="Q37" i="1"/>
  <c r="G39" i="2" l="1"/>
  <c r="F27" i="2"/>
  <c r="F29" i="2" s="1"/>
  <c r="C53" i="2"/>
  <c r="D53" i="2"/>
  <c r="E39" i="2"/>
  <c r="F39" i="2"/>
  <c r="D39" i="2"/>
  <c r="B22" i="2"/>
  <c r="E29" i="1"/>
  <c r="C29" i="1"/>
  <c r="E28" i="1"/>
  <c r="F20" i="1"/>
  <c r="F29" i="1" s="1"/>
  <c r="M29" i="1"/>
  <c r="O20" i="1"/>
  <c r="O28" i="1"/>
  <c r="P20" i="1"/>
  <c r="P28" i="1"/>
  <c r="D22" i="1"/>
  <c r="D24" i="1" s="1"/>
  <c r="D25" i="1" s="1"/>
  <c r="M24" i="1"/>
  <c r="M30" i="1"/>
  <c r="E35" i="2"/>
  <c r="Q20" i="1"/>
  <c r="Q28" i="1"/>
  <c r="K29" i="1"/>
  <c r="K22" i="1"/>
  <c r="G22" i="1"/>
  <c r="G29" i="1"/>
  <c r="J29" i="1"/>
  <c r="J22" i="1"/>
  <c r="H20" i="1"/>
  <c r="H28" i="1"/>
  <c r="E22" i="2"/>
  <c r="C38" i="2"/>
  <c r="C26" i="2"/>
  <c r="C39" i="2" s="1"/>
  <c r="N15" i="1"/>
  <c r="N32" i="1"/>
  <c r="G36" i="2"/>
  <c r="I29" i="1"/>
  <c r="I22" i="1"/>
  <c r="E38" i="2"/>
  <c r="R32" i="1"/>
  <c r="R15" i="1"/>
  <c r="I37" i="2"/>
  <c r="C24" i="1"/>
  <c r="C25" i="1" s="1"/>
  <c r="C30" i="1"/>
  <c r="D38" i="2"/>
  <c r="B22" i="1"/>
  <c r="B29" i="1"/>
  <c r="E30" i="1"/>
  <c r="E24" i="1"/>
  <c r="E25" i="1" s="1"/>
  <c r="L24" i="1"/>
  <c r="L30" i="1"/>
  <c r="F22" i="1" l="1"/>
  <c r="C35" i="2"/>
  <c r="B41" i="2"/>
  <c r="B27" i="2"/>
  <c r="B42" i="2" s="1"/>
  <c r="C22" i="2"/>
  <c r="C41" i="2" s="1"/>
  <c r="D22" i="2"/>
  <c r="P29" i="1"/>
  <c r="P22" i="1"/>
  <c r="D35" i="2"/>
  <c r="M50" i="1"/>
  <c r="M52" i="1"/>
  <c r="M51" i="1"/>
  <c r="M49" i="1"/>
  <c r="M25" i="1"/>
  <c r="D30" i="1"/>
  <c r="O22" i="1"/>
  <c r="O29" i="1"/>
  <c r="F30" i="1"/>
  <c r="F24" i="1"/>
  <c r="J24" i="1"/>
  <c r="M48" i="1" s="1"/>
  <c r="J30" i="1"/>
  <c r="F38" i="2"/>
  <c r="I30" i="1"/>
  <c r="I24" i="1"/>
  <c r="G24" i="1"/>
  <c r="G30" i="1"/>
  <c r="D41" i="2"/>
  <c r="D27" i="2"/>
  <c r="J37" i="2"/>
  <c r="B24" i="1"/>
  <c r="B25" i="1" s="1"/>
  <c r="B30" i="1"/>
  <c r="N20" i="1"/>
  <c r="N28" i="1"/>
  <c r="K24" i="1"/>
  <c r="K30" i="1"/>
  <c r="L25" i="1"/>
  <c r="E27" i="2"/>
  <c r="E41" i="2"/>
  <c r="H22" i="1"/>
  <c r="H29" i="1"/>
  <c r="R28" i="1"/>
  <c r="R20" i="1"/>
  <c r="Q29" i="1"/>
  <c r="Q22" i="1"/>
  <c r="C27" i="2" l="1"/>
  <c r="F25" i="1"/>
  <c r="O24" i="1"/>
  <c r="O30" i="1"/>
  <c r="P30" i="1"/>
  <c r="P24" i="1"/>
  <c r="I25" i="1"/>
  <c r="I50" i="1"/>
  <c r="I49" i="1"/>
  <c r="I52" i="1"/>
  <c r="I51" i="1"/>
  <c r="D42" i="2"/>
  <c r="D29" i="2"/>
  <c r="Q24" i="1"/>
  <c r="Q30" i="1"/>
  <c r="K37" i="2"/>
  <c r="R24" i="2"/>
  <c r="S24" i="2" s="1"/>
  <c r="T24" i="2" s="1"/>
  <c r="U24" i="2" s="1"/>
  <c r="V24" i="2" s="1"/>
  <c r="C42" i="2"/>
  <c r="C29" i="2"/>
  <c r="G25" i="1"/>
  <c r="N22" i="1"/>
  <c r="N29" i="1"/>
  <c r="R29" i="1"/>
  <c r="R22" i="1"/>
  <c r="E42" i="2"/>
  <c r="E29" i="2"/>
  <c r="G38" i="2"/>
  <c r="K25" i="1"/>
  <c r="H30" i="1"/>
  <c r="H24" i="1"/>
  <c r="H25" i="1" s="1"/>
  <c r="I36" i="2"/>
  <c r="B31" i="2"/>
  <c r="B32" i="2" s="1"/>
  <c r="B43" i="2"/>
  <c r="J25" i="1"/>
  <c r="V37" i="2" l="1"/>
  <c r="P50" i="1"/>
  <c r="P49" i="1"/>
  <c r="P52" i="1"/>
  <c r="P51" i="1"/>
  <c r="P25" i="1"/>
  <c r="O50" i="1"/>
  <c r="O52" i="1"/>
  <c r="O49" i="1"/>
  <c r="O51" i="1"/>
  <c r="O25" i="1"/>
  <c r="I48" i="1"/>
  <c r="Q52" i="1"/>
  <c r="Q51" i="1"/>
  <c r="Q49" i="1"/>
  <c r="Q50" i="1"/>
  <c r="R30" i="1"/>
  <c r="R24" i="1"/>
  <c r="U48" i="1" s="1"/>
  <c r="N30" i="1"/>
  <c r="N24" i="1"/>
  <c r="F42" i="2"/>
  <c r="C43" i="2"/>
  <c r="C31" i="2"/>
  <c r="L37" i="2"/>
  <c r="Q25" i="1"/>
  <c r="R48" i="1"/>
  <c r="J36" i="2"/>
  <c r="H38" i="2"/>
  <c r="E31" i="2"/>
  <c r="E43" i="2"/>
  <c r="D31" i="2"/>
  <c r="D43" i="2"/>
  <c r="H35" i="2"/>
  <c r="G41" i="2" l="1"/>
  <c r="H22" i="2" s="1"/>
  <c r="E59" i="2"/>
  <c r="E58" i="2"/>
  <c r="E57" i="2"/>
  <c r="E56" i="2"/>
  <c r="D32" i="2"/>
  <c r="D57" i="2"/>
  <c r="D56" i="2"/>
  <c r="D59" i="2"/>
  <c r="D58" i="2"/>
  <c r="C32" i="2"/>
  <c r="C59" i="2"/>
  <c r="C58" i="2"/>
  <c r="C57" i="2"/>
  <c r="C56" i="2"/>
  <c r="S48" i="1"/>
  <c r="T48" i="1"/>
  <c r="N52" i="1"/>
  <c r="N50" i="1"/>
  <c r="N51" i="1"/>
  <c r="N49" i="1"/>
  <c r="R25" i="1"/>
  <c r="R51" i="1"/>
  <c r="R49" i="1"/>
  <c r="R52" i="1"/>
  <c r="R50" i="1"/>
  <c r="K36" i="2"/>
  <c r="F43" i="2"/>
  <c r="Q48" i="1"/>
  <c r="N25" i="1"/>
  <c r="P48" i="1"/>
  <c r="O48" i="1"/>
  <c r="N48" i="1"/>
  <c r="E32" i="2"/>
  <c r="I38" i="2"/>
  <c r="I26" i="2"/>
  <c r="I39" i="2" s="1"/>
  <c r="I35" i="2"/>
  <c r="M37" i="2"/>
  <c r="F31" i="2" l="1"/>
  <c r="H27" i="2"/>
  <c r="H41" i="2"/>
  <c r="I22" i="2" s="1"/>
  <c r="H21" i="2"/>
  <c r="L36" i="2"/>
  <c r="J35" i="2"/>
  <c r="G42" i="2"/>
  <c r="N37" i="2"/>
  <c r="J38" i="2"/>
  <c r="J26" i="2"/>
  <c r="J39" i="2" s="1"/>
  <c r="F56" i="2" l="1"/>
  <c r="F58" i="2"/>
  <c r="F57" i="2"/>
  <c r="F59" i="2"/>
  <c r="F32" i="2"/>
  <c r="O37" i="2"/>
  <c r="K35" i="2"/>
  <c r="M36" i="2"/>
  <c r="K38" i="2"/>
  <c r="K26" i="2"/>
  <c r="K39" i="2" s="1"/>
  <c r="I41" i="2"/>
  <c r="J22" i="2" s="1"/>
  <c r="I27" i="2"/>
  <c r="I21" i="2"/>
  <c r="H42" i="2"/>
  <c r="V38" i="2" l="1"/>
  <c r="V26" i="2"/>
  <c r="J27" i="2"/>
  <c r="J41" i="2"/>
  <c r="K22" i="2" s="1"/>
  <c r="J21" i="2"/>
  <c r="I42" i="2"/>
  <c r="L35" i="2"/>
  <c r="P37" i="2"/>
  <c r="L38" i="2"/>
  <c r="L26" i="2"/>
  <c r="L39" i="2" s="1"/>
  <c r="N36" i="2"/>
  <c r="G43" i="2"/>
  <c r="Q37" i="2" l="1"/>
  <c r="G31" i="2"/>
  <c r="K41" i="2"/>
  <c r="L22" i="2" s="1"/>
  <c r="K27" i="2"/>
  <c r="K21" i="2"/>
  <c r="M38" i="2"/>
  <c r="M26" i="2"/>
  <c r="M39" i="2" s="1"/>
  <c r="M35" i="2"/>
  <c r="O36" i="2"/>
  <c r="J42" i="2"/>
  <c r="G58" i="2" l="1"/>
  <c r="G57" i="2"/>
  <c r="G56" i="2"/>
  <c r="G32" i="2"/>
  <c r="G59" i="2"/>
  <c r="R37" i="2"/>
  <c r="P36" i="2"/>
  <c r="N38" i="2"/>
  <c r="N26" i="2"/>
  <c r="N39" i="2" s="1"/>
  <c r="K42" i="2"/>
  <c r="N35" i="2"/>
  <c r="L27" i="2"/>
  <c r="L41" i="2"/>
  <c r="M22" i="2" s="1"/>
  <c r="L21" i="2"/>
  <c r="S37" i="2" l="1"/>
  <c r="R36" i="2"/>
  <c r="O38" i="2"/>
  <c r="O26" i="2"/>
  <c r="O39" i="2" s="1"/>
  <c r="O35" i="2"/>
  <c r="L42" i="2"/>
  <c r="Q36" i="2"/>
  <c r="H28" i="2"/>
  <c r="H29" i="2" s="1"/>
  <c r="M41" i="2"/>
  <c r="N22" i="2" s="1"/>
  <c r="M27" i="2"/>
  <c r="M21" i="2"/>
  <c r="T37" i="2" l="1"/>
  <c r="U37" i="2"/>
  <c r="S36" i="2"/>
  <c r="N27" i="2"/>
  <c r="N41" i="2"/>
  <c r="O22" i="2" s="1"/>
  <c r="N21" i="2"/>
  <c r="H30" i="2"/>
  <c r="H43" i="2" s="1"/>
  <c r="P38" i="2"/>
  <c r="P26" i="2"/>
  <c r="P39" i="2" s="1"/>
  <c r="M42" i="2"/>
  <c r="P35" i="2"/>
  <c r="R35" i="2" l="1"/>
  <c r="R38" i="2"/>
  <c r="R26" i="2"/>
  <c r="T36" i="2"/>
  <c r="H31" i="2"/>
  <c r="O41" i="2"/>
  <c r="P22" i="2" s="1"/>
  <c r="O27" i="2"/>
  <c r="O21" i="2"/>
  <c r="Q35" i="2"/>
  <c r="Q38" i="2"/>
  <c r="Q26" i="2"/>
  <c r="Q39" i="2" s="1"/>
  <c r="N42" i="2"/>
  <c r="H32" i="2" l="1"/>
  <c r="H45" i="2"/>
  <c r="I28" i="2" s="1"/>
  <c r="I29" i="2" s="1"/>
  <c r="R39" i="2"/>
  <c r="S38" i="2"/>
  <c r="S26" i="2"/>
  <c r="S39" i="2" s="1"/>
  <c r="S35" i="2"/>
  <c r="U36" i="2"/>
  <c r="O42" i="2"/>
  <c r="P27" i="2"/>
  <c r="P41" i="2"/>
  <c r="Q22" i="2" s="1"/>
  <c r="P21" i="2"/>
  <c r="U35" i="2" l="1"/>
  <c r="T35" i="2"/>
  <c r="T38" i="2"/>
  <c r="T26" i="2"/>
  <c r="T39" i="2" s="1"/>
  <c r="Q41" i="2"/>
  <c r="R22" i="2" s="1"/>
  <c r="Q27" i="2"/>
  <c r="Q21" i="2"/>
  <c r="P42" i="2"/>
  <c r="I30" i="2"/>
  <c r="I43" i="2" s="1"/>
  <c r="U38" i="2" l="1"/>
  <c r="U26" i="2"/>
  <c r="R21" i="2"/>
  <c r="R41" i="2"/>
  <c r="S22" i="2" s="1"/>
  <c r="R27" i="2"/>
  <c r="I31" i="2"/>
  <c r="Q42" i="2"/>
  <c r="U39" i="2" l="1"/>
  <c r="V39" i="2"/>
  <c r="I32" i="2"/>
  <c r="I45" i="2"/>
  <c r="J28" i="2" s="1"/>
  <c r="J29" i="2" s="1"/>
  <c r="S27" i="2"/>
  <c r="S41" i="2"/>
  <c r="T22" i="2" s="1"/>
  <c r="S21" i="2"/>
  <c r="R42" i="2"/>
  <c r="T41" i="2" l="1"/>
  <c r="U22" i="2" s="1"/>
  <c r="T21" i="2"/>
  <c r="T27" i="2"/>
  <c r="S42" i="2"/>
  <c r="J30" i="2"/>
  <c r="J43" i="2" s="1"/>
  <c r="J31" i="2" l="1"/>
  <c r="T42" i="2"/>
  <c r="U41" i="2"/>
  <c r="V22" i="2" s="1"/>
  <c r="U21" i="2"/>
  <c r="U27" i="2"/>
  <c r="V41" i="2" l="1"/>
  <c r="V27" i="2"/>
  <c r="V21" i="2"/>
  <c r="J32" i="2"/>
  <c r="J45" i="2"/>
  <c r="K28" i="2" s="1"/>
  <c r="K29" i="2" s="1"/>
  <c r="U42" i="2"/>
  <c r="V42" i="2" l="1"/>
  <c r="K30" i="2"/>
  <c r="K43" i="2" s="1"/>
  <c r="K31" i="2" l="1"/>
  <c r="K32" i="2" l="1"/>
  <c r="K45" i="2"/>
  <c r="L28" i="2" l="1"/>
  <c r="L29" i="2" s="1"/>
  <c r="L30" i="2" l="1"/>
  <c r="L43" i="2" s="1"/>
  <c r="L31" i="2" l="1"/>
  <c r="L32" i="2"/>
  <c r="L45" i="2"/>
  <c r="M28" i="2" l="1"/>
  <c r="M29" i="2" s="1"/>
  <c r="M30" i="2" l="1"/>
  <c r="M43" i="2" s="1"/>
  <c r="M31" i="2" l="1"/>
  <c r="M32" i="2" s="1"/>
  <c r="M45" i="2"/>
  <c r="N28" i="2" l="1"/>
  <c r="N29" i="2" s="1"/>
  <c r="N30" i="2" l="1"/>
  <c r="N43" i="2" s="1"/>
  <c r="N31" i="2" l="1"/>
  <c r="N32" i="2" s="1"/>
  <c r="N45" i="2"/>
  <c r="O28" i="2" l="1"/>
  <c r="O29" i="2" s="1"/>
  <c r="O30" i="2" l="1"/>
  <c r="O43" i="2" s="1"/>
  <c r="O31" i="2"/>
  <c r="O32" i="2" l="1"/>
  <c r="O45" i="2"/>
  <c r="P28" i="2" l="1"/>
  <c r="P29" i="2" s="1"/>
  <c r="P30" i="2" l="1"/>
  <c r="P43" i="2" s="1"/>
  <c r="P31" i="2" l="1"/>
  <c r="P32" i="2"/>
  <c r="P45" i="2"/>
  <c r="Q28" i="2" l="1"/>
  <c r="Q29" i="2" s="1"/>
  <c r="Q30" i="2" l="1"/>
  <c r="Q43" i="2" s="1"/>
  <c r="Q31" i="2" l="1"/>
  <c r="Q32" i="2"/>
  <c r="Q45" i="2"/>
  <c r="R28" i="2" l="1"/>
  <c r="R29" i="2" s="1"/>
  <c r="R30" i="2" l="1"/>
  <c r="R43" i="2" s="1"/>
  <c r="R31" i="2" l="1"/>
  <c r="R32" i="2"/>
  <c r="R45" i="2"/>
  <c r="S28" i="2" l="1"/>
  <c r="S29" i="2" s="1"/>
  <c r="S30" i="2" l="1"/>
  <c r="S43" i="2" s="1"/>
  <c r="S31" i="2" l="1"/>
  <c r="S32" i="2"/>
  <c r="S45" i="2"/>
  <c r="T28" i="2" l="1"/>
  <c r="T29" i="2" s="1"/>
  <c r="T30" i="2" l="1"/>
  <c r="T43" i="2" s="1"/>
  <c r="T31" i="2" l="1"/>
  <c r="T32" i="2" l="1"/>
  <c r="T45" i="2"/>
  <c r="U28" i="2" l="1"/>
  <c r="U29" i="2" s="1"/>
  <c r="U30" i="2" l="1"/>
  <c r="U43" i="2" s="1"/>
  <c r="U31" i="2"/>
  <c r="U32" i="2" l="1"/>
  <c r="U45" i="2"/>
  <c r="V28" i="2" l="1"/>
  <c r="V29" i="2" s="1"/>
  <c r="V30" i="2" l="1"/>
  <c r="V43" i="2" s="1"/>
  <c r="V31" i="2"/>
  <c r="V32" i="2" l="1"/>
  <c r="W31" i="2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V45" i="2"/>
  <c r="DS31" i="2" l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5" i="2"/>
  <c r="F6" i="2" s="1"/>
  <c r="F7" i="2" s="1"/>
  <c r="G7" i="2" s="1"/>
</calcChain>
</file>

<file path=xl/sharedStrings.xml><?xml version="1.0" encoding="utf-8"?>
<sst xmlns="http://schemas.openxmlformats.org/spreadsheetml/2006/main" count="195" uniqueCount="140">
  <si>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</si>
  <si>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</si>
  <si>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</si>
  <si>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</si>
  <si>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</si>
  <si>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</si>
  <si>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</si>
  <si>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</si>
  <si>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</si>
  <si>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</si>
  <si>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</si>
  <si>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</si>
  <si>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</si>
  <si>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</si>
  <si>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</si>
  <si>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</si>
  <si>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</si>
  <si>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</si>
  <si>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</si>
  <si>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</si>
  <si>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</si>
  <si>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</si>
  <si>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</si>
  <si>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</si>
  <si>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</si>
  <si>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</si>
  <si>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</si>
  <si>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</si>
  <si>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</si>
  <si>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</si>
  <si>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</si>
  <si>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</si>
  <si>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</si>
  <si>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</si>
  <si>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</si>
  <si>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</si>
  <si>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</si>
  <si>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</si>
  <si>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</si>
  <si>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</si>
  <si>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</si>
  <si>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</si>
  <si>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</si>
  <si>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</si>
  <si>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</si>
  <si>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</si>
  <si>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</si>
  <si>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</si>
  <si>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</si>
  <si>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</si>
  <si>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</si>
  <si>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</si>
  <si>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</si>
  <si>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Premier agent</t>
  </si>
  <si>
    <t>Other real estate</t>
  </si>
  <si>
    <t>Mortgages</t>
  </si>
  <si>
    <t>Display</t>
  </si>
  <si>
    <t>Zillow Group Inc (ZG)</t>
  </si>
  <si>
    <t>EDGAR</t>
  </si>
  <si>
    <t>Investor Relations</t>
  </si>
  <si>
    <t>CEO</t>
  </si>
  <si>
    <t>Founder</t>
  </si>
  <si>
    <t>Rich Barton</t>
  </si>
  <si>
    <t>Lloyd Frink</t>
  </si>
  <si>
    <t>Price</t>
  </si>
  <si>
    <t>Q318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</si>
  <si>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</si>
  <si>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</si>
  <si>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</si>
  <si>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</si>
  <si>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</si>
  <si>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</si>
  <si>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</si>
  <si>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</si>
  <si>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</si>
  <si>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</si>
  <si>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</si>
  <si>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</si>
  <si>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</si>
  <si>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MAU y/y</t>
  </si>
  <si>
    <t>ARPU y/y</t>
  </si>
  <si>
    <t>Mortgages y/y</t>
  </si>
  <si>
    <t>Q118</t>
  </si>
  <si>
    <t>Q218</t>
  </si>
  <si>
    <t>Q418</t>
  </si>
  <si>
    <t>Q119</t>
  </si>
  <si>
    <t>Q219</t>
  </si>
  <si>
    <t>Q319</t>
  </si>
  <si>
    <t>Q419</t>
  </si>
  <si>
    <t>31/3/2018</t>
  </si>
  <si>
    <t>30/6/2018</t>
  </si>
  <si>
    <t>30/9/2018</t>
  </si>
  <si>
    <t>31/12/2018</t>
  </si>
  <si>
    <t>StreetEasy</t>
  </si>
  <si>
    <t>Rentals</t>
  </si>
  <si>
    <t>Other</t>
  </si>
  <si>
    <t>Homes</t>
  </si>
  <si>
    <t>Homes y/y</t>
  </si>
  <si>
    <t>Trulia</t>
  </si>
  <si>
    <t>HotPads</t>
  </si>
  <si>
    <t>Naked Apartments</t>
  </si>
  <si>
    <t>31/3/2019</t>
  </si>
  <si>
    <t>Products</t>
  </si>
  <si>
    <t>Zillow</t>
  </si>
  <si>
    <t>30/6/2019</t>
  </si>
  <si>
    <t>30/9/2019</t>
  </si>
  <si>
    <t>31/12/2019</t>
  </si>
  <si>
    <t>IMT</t>
  </si>
  <si>
    <t>IMT y/y</t>
  </si>
  <si>
    <t>https://www.zillow.com/</t>
  </si>
  <si>
    <t>https://streeteasy.com/</t>
  </si>
  <si>
    <t>https://www.trulia.com/</t>
  </si>
  <si>
    <t>https://hotpads.com/</t>
  </si>
  <si>
    <t>https://www.nakedapartments.com/</t>
  </si>
  <si>
    <t>Mortech</t>
  </si>
  <si>
    <t>Real estate pricing software</t>
  </si>
  <si>
    <t>Real estate listings</t>
  </si>
  <si>
    <t>Rentals in NYC</t>
  </si>
  <si>
    <t>No fee owner rentals in NYC</t>
  </si>
  <si>
    <t>https://www.mortech.com/</t>
  </si>
  <si>
    <t>dotloop</t>
  </si>
  <si>
    <t>Real estate transaction management</t>
  </si>
  <si>
    <t>https://www.dotloop.com/</t>
  </si>
  <si>
    <t>Bridge Interactive</t>
  </si>
  <si>
    <t>Marketing software</t>
  </si>
  <si>
    <t>https://www.bridgeinteractive.com/</t>
  </si>
  <si>
    <t>OE y/y</t>
  </si>
  <si>
    <t>Q220</t>
  </si>
  <si>
    <t>Q320</t>
  </si>
  <si>
    <t>Q420</t>
  </si>
  <si>
    <t>SEGMENTS</t>
  </si>
  <si>
    <t>Aquired</t>
  </si>
  <si>
    <t>Internet, media and technology</t>
  </si>
  <si>
    <t>Mortgage</t>
  </si>
  <si>
    <t>Home loans</t>
  </si>
  <si>
    <t>Buy and sell real estate (premier agent)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</si>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</sst>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/>
    <xf numFmtId="3" fontId="7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4" fontId="6" fillId="0" borderId="0" xfId="0" applyNumberFormat="1" applyFont="1" applyBorder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6" fillId="0" borderId="1" xfId="0" applyFont="1" applyBorder="1"/>
    <xf numFmtId="3" fontId="6" fillId="0" borderId="0" xfId="0" applyNumberFormat="1" applyFont="1"/>
    <xf numFmtId="0" fontId="7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5" fillId="0" borderId="0" xfId="4" applyFont="1"/>
    <xf numFmtId="9" fontId="7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3" fontId="6" fillId="0" borderId="1" xfId="0" applyNumberFormat="1" applyFont="1" applyBorder="1"/>
    <xf numFmtId="0" fontId="5" fillId="0" borderId="0" xfId="4"/>
    <xf numFmtId="0" fontId="9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/>
    <xf numFmtId="14" fontId="6" fillId="0" borderId="0" xfId="0" applyNumberFormat="1" applyFont="1" applyAlignment="1">
      <alignment horizontal="left"/>
    </xf>
    <xf numFmtId="0" fontId="10" fillId="0" borderId="0" xfId="0" applyFont="1"/>
    <xf numFmtId="3" fontId="8" fillId="0" borderId="0" xfId="0" applyNumberFormat="1" applyFont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7" fillId="0" borderId="1" xfId="0" applyNumberFormat="1" applyFont="1" applyBorder="1"/>
    <xf numFmtId="0" fontId="7" fillId="0" borderId="1" xfId="0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135466</xdr:colOff>
      <xdr:row>8</xdr:row>
      <xdr:rowOff>12700</xdr:rowOff>
    </xdr:from>
    <xdr:to>
      <xdr:col>7</xdr:col>
      <xdr:colOff>135466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74883" y="1367367"/>
          <a:ext cx="0" cy="10807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313972</xdr:colOff>
      <xdr:row>1</xdr:row>
      <xdr:rowOff>14111</xdr:rowOff>
    </xdr:from>
    <xdr:to>
      <xdr:col>25</xdr:col>
      <xdr:colOff>313972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607639" y="183444"/>
          <a:ext cx="0" cy="1048455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rich_barton" TargetMode="External"/><Relationship Id="rId2" Type="http://schemas.openxmlformats.org/officeDocument/2006/relationships/hyperlink" Target="https://investors.zillowgroup.com/investors/overview/default.aspx" TargetMode="External"/><Relationship Id="rId1" Type="http://schemas.openxmlformats.org/officeDocument/2006/relationships/hyperlink" Target="https://twitter.com/rich_barto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lloydfri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17640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dgeinteractive.com/" TargetMode="External"/><Relationship Id="rId3" Type="http://schemas.openxmlformats.org/officeDocument/2006/relationships/hyperlink" Target="https://www.trulia.com/" TargetMode="External"/><Relationship Id="rId7" Type="http://schemas.openxmlformats.org/officeDocument/2006/relationships/hyperlink" Target="https://www.dotloop.com/" TargetMode="External"/><Relationship Id="rId2" Type="http://schemas.openxmlformats.org/officeDocument/2006/relationships/hyperlink" Target="https://streeteasy.com/" TargetMode="External"/><Relationship Id="rId1" Type="http://schemas.openxmlformats.org/officeDocument/2006/relationships/hyperlink" Target="https://www.zillow.com/" TargetMode="External"/><Relationship Id="rId6" Type="http://schemas.openxmlformats.org/officeDocument/2006/relationships/hyperlink" Target="https://www.mortech.com/" TargetMode="External"/><Relationship Id="rId5" Type="http://schemas.openxmlformats.org/officeDocument/2006/relationships/hyperlink" Target="https://www.nakedapartments.com/" TargetMode="External"/><Relationship Id="rId4" Type="http://schemas.openxmlformats.org/officeDocument/2006/relationships/hyperlink" Target="https://hotpa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63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14" sqref="I14"/>
    </sheetView>
  </sheetViews>
  <sheetFormatPr baseColWidth="10" defaultRowHeight="13" x14ac:dyDescent="0.15"/>
  <cols>
    <col min="1" max="1" width="18.1640625" style="4" bestFit="1" customWidth="1"/>
    <col min="2" max="16384" width="10.83203125" style="4"/>
  </cols>
  <sheetData>
    <row r="1" spans="1:122" x14ac:dyDescent="0.15">
      <c r="A1" s="51" t="s">
        <v>59</v>
      </c>
      <c r="B1" s="9" t="s">
        <v>57</v>
      </c>
    </row>
    <row r="2" spans="1:122" x14ac:dyDescent="0.15">
      <c r="B2" s="4" t="s">
        <v>64</v>
      </c>
      <c r="C2" s="24">
        <v>187.2</v>
      </c>
      <c r="D2" s="61">
        <v>44245</v>
      </c>
      <c r="E2" s="25" t="s">
        <v>29</v>
      </c>
      <c r="F2" s="26">
        <v>-5.0000000000000001E-3</v>
      </c>
      <c r="I2" s="47"/>
    </row>
    <row r="3" spans="1:122" x14ac:dyDescent="0.15">
      <c r="A3" s="9" t="s">
        <v>60</v>
      </c>
      <c r="B3" s="4" t="s">
        <v>17</v>
      </c>
      <c r="C3" s="27">
        <f>Reports!Y26</f>
        <v>251.499</v>
      </c>
      <c r="D3" s="4" t="s">
        <v>129</v>
      </c>
      <c r="E3" s="25" t="s">
        <v>30</v>
      </c>
      <c r="F3" s="26">
        <v>0.05</v>
      </c>
      <c r="G3" s="28"/>
      <c r="I3" s="47"/>
    </row>
    <row r="4" spans="1:122" x14ac:dyDescent="0.15">
      <c r="A4" s="55" t="s">
        <v>62</v>
      </c>
      <c r="B4" s="4" t="s">
        <v>66</v>
      </c>
      <c r="C4" s="29">
        <f>C2*C3</f>
        <v>47080.612799999995</v>
      </c>
      <c r="E4" s="25" t="s">
        <v>31</v>
      </c>
      <c r="F4" s="26">
        <v>0.06</v>
      </c>
      <c r="G4" s="28"/>
      <c r="I4" s="36"/>
      <c r="L4" s="51"/>
    </row>
    <row r="5" spans="1:122" x14ac:dyDescent="0.15">
      <c r="B5" s="4" t="s">
        <v>26</v>
      </c>
      <c r="C5" s="27">
        <f>Reports!Y37</f>
        <v>1637</v>
      </c>
      <c r="D5" s="4" t="s">
        <v>129</v>
      </c>
      <c r="E5" s="25" t="s">
        <v>32</v>
      </c>
      <c r="F5" s="30">
        <f>NPV(F4,H31:DR31)</f>
        <v>96807.802989207063</v>
      </c>
      <c r="G5" s="28"/>
      <c r="I5" s="36"/>
    </row>
    <row r="6" spans="1:122" x14ac:dyDescent="0.15">
      <c r="A6" s="9" t="s">
        <v>61</v>
      </c>
      <c r="B6" s="4" t="s">
        <v>67</v>
      </c>
      <c r="C6" s="29">
        <f>C4-C5</f>
        <v>45443.612799999995</v>
      </c>
      <c r="E6" s="31" t="s">
        <v>33</v>
      </c>
      <c r="F6" s="32">
        <f>F5+C5</f>
        <v>98444.802989207063</v>
      </c>
      <c r="I6" s="36"/>
    </row>
    <row r="7" spans="1:122" x14ac:dyDescent="0.15">
      <c r="A7" s="55" t="s">
        <v>62</v>
      </c>
      <c r="B7" s="28" t="s">
        <v>68</v>
      </c>
      <c r="C7" s="33">
        <f>C6/C3</f>
        <v>180.69102779732722</v>
      </c>
      <c r="E7" s="34" t="s">
        <v>68</v>
      </c>
      <c r="F7" s="35">
        <f>F6/C3</f>
        <v>391.43218457809797</v>
      </c>
      <c r="G7" s="36">
        <f>F7/C2-1</f>
        <v>1.0909838919770194</v>
      </c>
    </row>
    <row r="8" spans="1:122" x14ac:dyDescent="0.15">
      <c r="A8" s="55" t="s">
        <v>63</v>
      </c>
    </row>
    <row r="9" spans="1:122" x14ac:dyDescent="0.15">
      <c r="B9" s="2">
        <v>2015</v>
      </c>
      <c r="C9" s="2">
        <v>2016</v>
      </c>
      <c r="D9" s="2">
        <v>2017</v>
      </c>
      <c r="E9" s="2">
        <f>D9+1</f>
        <v>2018</v>
      </c>
      <c r="F9" s="2">
        <f t="shared" ref="F9:V9" si="0">E9+1</f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>
        <f t="shared" si="0"/>
        <v>2035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15">
      <c r="A10" s="4" t="s">
        <v>107</v>
      </c>
      <c r="B10" s="2"/>
      <c r="C10" s="2"/>
      <c r="D10" s="2"/>
      <c r="E10" s="3">
        <f>SUM(Reports!N3:Q3)</f>
        <v>1202</v>
      </c>
      <c r="F10" s="3">
        <f>SUM(Reports!R3:U3)</f>
        <v>1277</v>
      </c>
      <c r="G10" s="3">
        <f>SUM(Reports!V3:Y3)</f>
        <v>1449.838</v>
      </c>
      <c r="H10" s="3">
        <f>G10*1.1</f>
        <v>1594.8218000000002</v>
      </c>
      <c r="I10" s="3">
        <f t="shared" ref="I10:L10" si="1">H10*1.05</f>
        <v>1674.5628900000002</v>
      </c>
      <c r="J10" s="3">
        <f t="shared" si="1"/>
        <v>1758.2910345000003</v>
      </c>
      <c r="K10" s="3">
        <f t="shared" si="1"/>
        <v>1846.2055862250004</v>
      </c>
      <c r="L10" s="3">
        <f t="shared" si="1"/>
        <v>1938.5158655362504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15">
      <c r="A11" s="4" t="s">
        <v>96</v>
      </c>
      <c r="B11" s="6"/>
      <c r="C11" s="6"/>
      <c r="D11" s="3"/>
      <c r="E11" s="3">
        <f>SUM(Reports!N4:Q4)</f>
        <v>52.347000000000001</v>
      </c>
      <c r="F11" s="3">
        <f>SUM(Reports!R4:U4)</f>
        <v>1365</v>
      </c>
      <c r="G11" s="3">
        <f>SUM(Reports!V4:Y4)</f>
        <v>1715.145</v>
      </c>
      <c r="H11" s="3">
        <f>G11*1.2</f>
        <v>2058.174</v>
      </c>
      <c r="I11" s="3">
        <f t="shared" ref="I11:L11" si="2">H11*1.4</f>
        <v>2881.4435999999996</v>
      </c>
      <c r="J11" s="3">
        <f t="shared" si="2"/>
        <v>4034.0210399999992</v>
      </c>
      <c r="K11" s="3">
        <f t="shared" si="2"/>
        <v>5647.6294559999988</v>
      </c>
      <c r="L11" s="3">
        <f t="shared" si="2"/>
        <v>7906.6812383999977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15">
      <c r="A12" s="4" t="s">
        <v>55</v>
      </c>
      <c r="B12" s="6">
        <f>SUM(Reports!B5:E5)</f>
        <v>41.231999999999999</v>
      </c>
      <c r="C12" s="6">
        <f>SUM(Reports!F5:I5)</f>
        <v>71.13300000000001</v>
      </c>
      <c r="D12" s="3">
        <f>SUM(Reports!J5:M5)</f>
        <v>80.591000000000008</v>
      </c>
      <c r="E12" s="3">
        <f>SUM(Reports!N5:Q5)</f>
        <v>79.28</v>
      </c>
      <c r="F12" s="3">
        <f>SUM(Reports!R5:U5)</f>
        <v>100</v>
      </c>
      <c r="G12" s="3">
        <f>SUM(Reports!V5:Y5)</f>
        <v>173.96899999999999</v>
      </c>
      <c r="H12" s="3">
        <f>G12*1.5</f>
        <v>260.95349999999996</v>
      </c>
      <c r="I12" s="3">
        <f t="shared" ref="I12:L12" si="3">H12*1.25</f>
        <v>326.19187499999998</v>
      </c>
      <c r="J12" s="3">
        <f t="shared" si="3"/>
        <v>407.73984374999998</v>
      </c>
      <c r="K12" s="3">
        <f t="shared" si="3"/>
        <v>509.6748046875</v>
      </c>
      <c r="L12" s="3">
        <f t="shared" si="3"/>
        <v>637.093505859375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15">
      <c r="B13" s="6"/>
      <c r="C13" s="6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15">
      <c r="A14" s="4" t="s">
        <v>53</v>
      </c>
      <c r="B14" s="6">
        <f>SUM(Reports!B7:E7)</f>
        <v>469.93300000000005</v>
      </c>
      <c r="C14" s="6">
        <f>SUM(Reports!F7:I7)</f>
        <v>604.29200000000003</v>
      </c>
      <c r="D14" s="3">
        <f>SUM(Reports!J7:M7)</f>
        <v>761.59399999999994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15">
      <c r="A15" s="4" t="s">
        <v>94</v>
      </c>
      <c r="B15" s="6">
        <f>SUM(Reports!B8:E8)</f>
        <v>0</v>
      </c>
      <c r="C15" s="6">
        <f>SUM(Reports!F8:I8)</f>
        <v>0</v>
      </c>
      <c r="D15" s="3">
        <f>SUM(Reports!J8:M8)</f>
        <v>73.692999999999998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15">
      <c r="A16" s="4" t="s">
        <v>95</v>
      </c>
      <c r="B16" s="6">
        <f>SUM(Reports!B9:E9)</f>
        <v>0</v>
      </c>
      <c r="C16" s="6">
        <f>SUM(Reports!F9:I9)</f>
        <v>0</v>
      </c>
      <c r="D16" s="3">
        <f>SUM(Reports!J9:M9)</f>
        <v>96.616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57" x14ac:dyDescent="0.15">
      <c r="A17" s="28" t="s">
        <v>54</v>
      </c>
      <c r="B17" s="6">
        <f>SUM(Reports!B10:E10)</f>
        <v>44.739000000000004</v>
      </c>
      <c r="C17" s="6">
        <f>SUM(Reports!F10:I10)</f>
        <v>102.63500000000001</v>
      </c>
      <c r="D17" s="3">
        <f>SUM(Reports!J10:M10)</f>
        <v>47.564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57" x14ac:dyDescent="0.15">
      <c r="A18" s="28" t="s">
        <v>56</v>
      </c>
      <c r="B18" s="6">
        <f>SUM(Reports!B11:E11)</f>
        <v>88.77300000000001</v>
      </c>
      <c r="C18" s="6">
        <f>SUM(Reports!F11:I11)</f>
        <v>68.529000000000011</v>
      </c>
      <c r="D18" s="3">
        <f>SUM(Reports!J11:M11)</f>
        <v>16.736000000000001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57" s="63" customFormat="1" x14ac:dyDescent="0.15">
      <c r="E19" s="63">
        <v>1307</v>
      </c>
      <c r="H19" s="63">
        <v>5520</v>
      </c>
      <c r="I19" s="63">
        <v>8190</v>
      </c>
    </row>
    <row r="20" spans="1:157" x14ac:dyDescent="0.15">
      <c r="A20" s="9" t="s">
        <v>4</v>
      </c>
      <c r="B20" s="37">
        <f>SUM(B10:B18)</f>
        <v>644.67700000000013</v>
      </c>
      <c r="C20" s="37">
        <f>SUM(C10:C18)</f>
        <v>846.58900000000006</v>
      </c>
      <c r="D20" s="37">
        <f>SUM(D10:D18)</f>
        <v>1076.7940000000001</v>
      </c>
      <c r="E20" s="37">
        <f>SUM(E10:E12)</f>
        <v>1333.627</v>
      </c>
      <c r="F20" s="37">
        <f>SUM(F10:F12)</f>
        <v>2742</v>
      </c>
      <c r="G20" s="37">
        <f>SUM(G10:G12)</f>
        <v>3338.9520000000002</v>
      </c>
      <c r="H20" s="10">
        <f>SUM(H10:H12)</f>
        <v>3913.9493000000002</v>
      </c>
      <c r="I20" s="10">
        <f>SUM(I10:I12)</f>
        <v>4882.1983650000002</v>
      </c>
      <c r="J20" s="10">
        <f>SUM(J10:J12)</f>
        <v>6200.0519182499993</v>
      </c>
      <c r="K20" s="10">
        <f>SUM(K10:K12)</f>
        <v>8003.5098469124987</v>
      </c>
      <c r="L20" s="10">
        <f>SUM(L10:L12)</f>
        <v>10482.290609795624</v>
      </c>
      <c r="M20" s="10">
        <f>L20*1.15</f>
        <v>12054.634201264966</v>
      </c>
      <c r="N20" s="10">
        <f t="shared" ref="N20:Q20" si="4">M20*1.15</f>
        <v>13862.82933145471</v>
      </c>
      <c r="O20" s="10">
        <f t="shared" si="4"/>
        <v>15942.253731172916</v>
      </c>
      <c r="P20" s="10">
        <f t="shared" si="4"/>
        <v>18333.591790848852</v>
      </c>
      <c r="Q20" s="10">
        <f t="shared" si="4"/>
        <v>21083.63055947618</v>
      </c>
      <c r="R20" s="10">
        <f t="shared" ref="M20:V20" si="5">Q20*1.1</f>
        <v>23191.993615423798</v>
      </c>
      <c r="S20" s="10">
        <f t="shared" si="5"/>
        <v>25511.19297696618</v>
      </c>
      <c r="T20" s="10">
        <f t="shared" si="5"/>
        <v>28062.3122746628</v>
      </c>
      <c r="U20" s="10">
        <f t="shared" si="5"/>
        <v>30868.543502129083</v>
      </c>
      <c r="V20" s="10">
        <f t="shared" si="5"/>
        <v>33955.397852341994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57" x14ac:dyDescent="0.15">
      <c r="A21" s="4" t="s">
        <v>5</v>
      </c>
      <c r="B21" s="6">
        <f>SUM(Reports!B14:E14)</f>
        <v>61.614000000000004</v>
      </c>
      <c r="C21" s="6">
        <f>SUM(Reports!F14:I14)</f>
        <v>70.221000000000004</v>
      </c>
      <c r="D21" s="3">
        <f>SUM(Reports!J14:M14)</f>
        <v>85.203000000000003</v>
      </c>
      <c r="E21" s="3">
        <f>SUM(Reports!N14:Q14)</f>
        <v>153.58999999999997</v>
      </c>
      <c r="F21" s="3">
        <f>SUM(Reports!R14:U14)</f>
        <v>1429.348</v>
      </c>
      <c r="G21" s="3">
        <f>SUM(Reports!V14:Y14)</f>
        <v>1756.4279999999999</v>
      </c>
      <c r="H21" s="6">
        <f t="shared" ref="H21" si="6">H20-H22</f>
        <v>2058.9005595469475</v>
      </c>
      <c r="I21" s="6">
        <f t="shared" ref="I21:Q21" si="7">I20-I22</f>
        <v>2568.2399476962291</v>
      </c>
      <c r="J21" s="6">
        <f t="shared" si="7"/>
        <v>3261.4858766067941</v>
      </c>
      <c r="K21" s="6">
        <f t="shared" si="7"/>
        <v>4210.1799586794968</v>
      </c>
      <c r="L21" s="6">
        <f t="shared" si="7"/>
        <v>5514.1220152856667</v>
      </c>
      <c r="M21" s="6">
        <f t="shared" si="7"/>
        <v>6341.2403175785157</v>
      </c>
      <c r="N21" s="6">
        <f t="shared" si="7"/>
        <v>7292.4263652152922</v>
      </c>
      <c r="O21" s="6">
        <f t="shared" si="7"/>
        <v>8386.2903199975863</v>
      </c>
      <c r="P21" s="6">
        <f t="shared" si="7"/>
        <v>9644.2338679972236</v>
      </c>
      <c r="Q21" s="6">
        <f t="shared" si="7"/>
        <v>11090.868948196807</v>
      </c>
      <c r="R21" s="6">
        <f t="shared" ref="R21:U21" si="8">R20-R22</f>
        <v>12199.955843016487</v>
      </c>
      <c r="S21" s="6">
        <f t="shared" si="8"/>
        <v>13419.951427318136</v>
      </c>
      <c r="T21" s="6">
        <f t="shared" si="8"/>
        <v>14761.946570049951</v>
      </c>
      <c r="U21" s="6">
        <f t="shared" si="8"/>
        <v>16238.14122705495</v>
      </c>
      <c r="V21" s="6">
        <f t="shared" ref="V21" si="9">V20-V22</f>
        <v>17861.955349760443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57" x14ac:dyDescent="0.15">
      <c r="A22" s="4" t="s">
        <v>6</v>
      </c>
      <c r="B22" s="39">
        <f t="shared" ref="B22:G22" si="10">B20-B21</f>
        <v>583.0630000000001</v>
      </c>
      <c r="C22" s="39">
        <f t="shared" si="10"/>
        <v>776.36800000000005</v>
      </c>
      <c r="D22" s="39">
        <f t="shared" si="10"/>
        <v>991.59100000000012</v>
      </c>
      <c r="E22" s="39">
        <f t="shared" si="10"/>
        <v>1180.037</v>
      </c>
      <c r="F22" s="39">
        <f t="shared" si="10"/>
        <v>1312.652</v>
      </c>
      <c r="G22" s="39">
        <f t="shared" si="10"/>
        <v>1582.5240000000003</v>
      </c>
      <c r="H22" s="6">
        <f>H20*G41</f>
        <v>1855.0487404530527</v>
      </c>
      <c r="I22" s="6">
        <f t="shared" ref="I22:V22" si="11">I20*H41</f>
        <v>2313.9584173037711</v>
      </c>
      <c r="J22" s="6">
        <f t="shared" si="11"/>
        <v>2938.5660416432052</v>
      </c>
      <c r="K22" s="6">
        <f t="shared" si="11"/>
        <v>3793.3298882330014</v>
      </c>
      <c r="L22" s="6">
        <f t="shared" si="11"/>
        <v>4968.1685945099571</v>
      </c>
      <c r="M22" s="6">
        <f t="shared" si="11"/>
        <v>5713.39388368645</v>
      </c>
      <c r="N22" s="6">
        <f t="shared" si="11"/>
        <v>6570.4029662394178</v>
      </c>
      <c r="O22" s="6">
        <f t="shared" si="11"/>
        <v>7555.9634111753294</v>
      </c>
      <c r="P22" s="6">
        <f t="shared" si="11"/>
        <v>8689.3579228516282</v>
      </c>
      <c r="Q22" s="6">
        <f t="shared" si="11"/>
        <v>9992.761611279373</v>
      </c>
      <c r="R22" s="6">
        <f t="shared" si="11"/>
        <v>10992.037772407311</v>
      </c>
      <c r="S22" s="6">
        <f t="shared" si="11"/>
        <v>12091.241549648044</v>
      </c>
      <c r="T22" s="6">
        <f t="shared" si="11"/>
        <v>13300.365704612848</v>
      </c>
      <c r="U22" s="6">
        <f t="shared" si="11"/>
        <v>14630.402275074133</v>
      </c>
      <c r="V22" s="6">
        <f t="shared" si="11"/>
        <v>16093.442502581549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57" x14ac:dyDescent="0.15">
      <c r="A23" s="4" t="s">
        <v>7</v>
      </c>
      <c r="B23" s="6">
        <f>SUM(Reports!B16:E16)</f>
        <v>198.565</v>
      </c>
      <c r="C23" s="6">
        <f>SUM(Reports!F16:I16)</f>
        <v>260.32</v>
      </c>
      <c r="D23" s="3">
        <f>SUM(Reports!J16:M16)</f>
        <v>319.98500000000001</v>
      </c>
      <c r="E23" s="3">
        <f>SUM(Reports!N16:Q16)</f>
        <v>410.81800000000004</v>
      </c>
      <c r="F23" s="3">
        <f>SUM(Reports!R16:U16)</f>
        <v>476.77</v>
      </c>
      <c r="G23" s="3">
        <f>SUM(Reports!V16:Y16)</f>
        <v>518</v>
      </c>
      <c r="H23" s="6">
        <f>G23*1.15</f>
        <v>595.69999999999993</v>
      </c>
      <c r="I23" s="6">
        <f t="shared" ref="I23:L23" si="12">H23*1.15</f>
        <v>685.05499999999984</v>
      </c>
      <c r="J23" s="6">
        <f t="shared" si="12"/>
        <v>787.8132499999997</v>
      </c>
      <c r="K23" s="6">
        <f t="shared" si="12"/>
        <v>905.98523749999958</v>
      </c>
      <c r="L23" s="6">
        <f t="shared" si="12"/>
        <v>1041.8830231249995</v>
      </c>
      <c r="M23" s="6">
        <f>L23*1.15</f>
        <v>1198.1654765937492</v>
      </c>
      <c r="N23" s="6">
        <f t="shared" ref="N23:Q23" si="13">M23*1.15</f>
        <v>1377.8902980828116</v>
      </c>
      <c r="O23" s="6">
        <f t="shared" si="13"/>
        <v>1584.5738427952331</v>
      </c>
      <c r="P23" s="6">
        <f t="shared" si="13"/>
        <v>1822.2599192145178</v>
      </c>
      <c r="Q23" s="6">
        <f t="shared" si="13"/>
        <v>2095.5989070966953</v>
      </c>
      <c r="R23" s="6">
        <f t="shared" ref="M23:V23" si="14">Q23*1.1</f>
        <v>2305.1587978063649</v>
      </c>
      <c r="S23" s="6">
        <f t="shared" si="14"/>
        <v>2535.6746775870015</v>
      </c>
      <c r="T23" s="6">
        <f t="shared" si="14"/>
        <v>2789.2421453457018</v>
      </c>
      <c r="U23" s="6">
        <f t="shared" si="14"/>
        <v>3068.1663598802725</v>
      </c>
      <c r="V23" s="6">
        <f t="shared" si="14"/>
        <v>3374.9829958682999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57" x14ac:dyDescent="0.15">
      <c r="A24" s="4" t="s">
        <v>8</v>
      </c>
      <c r="B24" s="6">
        <f>SUM(Reports!B17:E17)</f>
        <v>307.089</v>
      </c>
      <c r="C24" s="6">
        <f>SUM(Reports!F17:I17)</f>
        <v>382.01900000000001</v>
      </c>
      <c r="D24" s="3">
        <f>SUM(Reports!J17:M17)</f>
        <v>448.20099999999996</v>
      </c>
      <c r="E24" s="3">
        <f>SUM(Reports!N17:Q17)</f>
        <v>552.62100000000009</v>
      </c>
      <c r="F24" s="3">
        <f>SUM(Reports!R17:U17)</f>
        <v>713.58699999999999</v>
      </c>
      <c r="G24" s="3">
        <f>SUM(Reports!V17:Y17)</f>
        <v>674</v>
      </c>
      <c r="H24" s="6">
        <f>G24*1.1</f>
        <v>741.40000000000009</v>
      </c>
      <c r="I24" s="6">
        <f t="shared" ref="I24:L24" si="15">H24*1.1</f>
        <v>815.54000000000019</v>
      </c>
      <c r="J24" s="6">
        <f t="shared" si="15"/>
        <v>897.09400000000028</v>
      </c>
      <c r="K24" s="6">
        <f t="shared" si="15"/>
        <v>986.80340000000035</v>
      </c>
      <c r="L24" s="6">
        <f t="shared" si="15"/>
        <v>1085.4837400000006</v>
      </c>
      <c r="M24" s="6">
        <f>L24*1.05</f>
        <v>1139.7579270000006</v>
      </c>
      <c r="N24" s="6">
        <f t="shared" ref="N24:Q24" si="16">M24*1.05</f>
        <v>1196.7458233500006</v>
      </c>
      <c r="O24" s="6">
        <f t="shared" si="16"/>
        <v>1256.5831145175007</v>
      </c>
      <c r="P24" s="6">
        <f t="shared" si="16"/>
        <v>1319.4122702433758</v>
      </c>
      <c r="Q24" s="6">
        <f t="shared" si="16"/>
        <v>1385.3828837555448</v>
      </c>
      <c r="R24" s="6">
        <f t="shared" ref="R24" si="17">Q24*1.05</f>
        <v>1454.6520279433221</v>
      </c>
      <c r="S24" s="6">
        <f t="shared" ref="S24" si="18">R24*1.05</f>
        <v>1527.3846293404883</v>
      </c>
      <c r="T24" s="6">
        <f t="shared" ref="T24" si="19">S24*1.05</f>
        <v>1603.7538608075129</v>
      </c>
      <c r="U24" s="6">
        <f t="shared" ref="U24:V24" si="20">T24*1.05</f>
        <v>1683.9415538478886</v>
      </c>
      <c r="V24" s="6">
        <f t="shared" si="20"/>
        <v>1768.1386315402831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57" x14ac:dyDescent="0.15">
      <c r="A25" s="4" t="s">
        <v>9</v>
      </c>
      <c r="B25" s="6">
        <f>SUM(Reports!B18:E18)</f>
        <v>226.94</v>
      </c>
      <c r="C25" s="6">
        <f>SUM(Reports!F18:I18)</f>
        <v>326.88299999999998</v>
      </c>
      <c r="D25" s="3">
        <f>SUM(Reports!J18:M18)</f>
        <v>385.279</v>
      </c>
      <c r="E25" s="3">
        <f>SUM(Reports!N18:Q18)</f>
        <v>345.59999999999997</v>
      </c>
      <c r="F25" s="3">
        <f>SUM(Reports!R18:U18)</f>
        <v>366.12599999999998</v>
      </c>
      <c r="G25" s="3">
        <f>SUM(Reports!V18:Y18)</f>
        <v>434</v>
      </c>
      <c r="H25" s="6">
        <f>G25*1.2</f>
        <v>520.79999999999995</v>
      </c>
      <c r="I25" s="6">
        <f t="shared" ref="I25:L25" si="21">H25*1.2</f>
        <v>624.95999999999992</v>
      </c>
      <c r="J25" s="6">
        <f t="shared" si="21"/>
        <v>749.95199999999988</v>
      </c>
      <c r="K25" s="6">
        <f t="shared" si="21"/>
        <v>899.94239999999979</v>
      </c>
      <c r="L25" s="6">
        <f t="shared" si="21"/>
        <v>1079.9308799999997</v>
      </c>
      <c r="M25" s="6">
        <f>L25*1.1</f>
        <v>1187.9239679999998</v>
      </c>
      <c r="N25" s="6">
        <f t="shared" ref="N25:Q25" si="22">M25*1.1</f>
        <v>1306.7163647999998</v>
      </c>
      <c r="O25" s="6">
        <f t="shared" si="22"/>
        <v>1437.38800128</v>
      </c>
      <c r="P25" s="6">
        <f t="shared" si="22"/>
        <v>1581.1268014080001</v>
      </c>
      <c r="Q25" s="6">
        <f t="shared" si="22"/>
        <v>1739.2394815488003</v>
      </c>
      <c r="R25" s="6">
        <f>Q25*0.95</f>
        <v>1652.2775074713602</v>
      </c>
      <c r="S25" s="6">
        <f t="shared" ref="S25:V25" si="23">R25*0.95</f>
        <v>1569.6636320977921</v>
      </c>
      <c r="T25" s="6">
        <f t="shared" si="23"/>
        <v>1491.1804504929023</v>
      </c>
      <c r="U25" s="6">
        <f t="shared" si="23"/>
        <v>1416.6214279682572</v>
      </c>
      <c r="V25" s="6">
        <f t="shared" si="23"/>
        <v>1345.7903565698443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57" x14ac:dyDescent="0.15">
      <c r="A26" s="4" t="s">
        <v>10</v>
      </c>
      <c r="B26" s="39">
        <f t="shared" ref="B26:H26" si="24">SUM(B23:B25)</f>
        <v>732.59400000000005</v>
      </c>
      <c r="C26" s="39">
        <f t="shared" si="24"/>
        <v>969.22199999999998</v>
      </c>
      <c r="D26" s="39">
        <f t="shared" si="24"/>
        <v>1153.4649999999999</v>
      </c>
      <c r="E26" s="39">
        <f t="shared" si="24"/>
        <v>1309.039</v>
      </c>
      <c r="F26" s="39">
        <f t="shared" si="24"/>
        <v>1556.4829999999999</v>
      </c>
      <c r="G26" s="39">
        <f t="shared" ref="G26" si="25">SUM(G23:G25)</f>
        <v>1626</v>
      </c>
      <c r="H26" s="6">
        <f t="shared" si="24"/>
        <v>1857.8999999999999</v>
      </c>
      <c r="I26" s="6">
        <f t="shared" ref="I26:Q26" si="26">SUM(I23:I25)</f>
        <v>2125.5549999999998</v>
      </c>
      <c r="J26" s="6">
        <f t="shared" si="26"/>
        <v>2434.85925</v>
      </c>
      <c r="K26" s="6">
        <f t="shared" si="26"/>
        <v>2792.7310374999997</v>
      </c>
      <c r="L26" s="6">
        <f t="shared" si="26"/>
        <v>3207.2976431249999</v>
      </c>
      <c r="M26" s="6">
        <f t="shared" si="26"/>
        <v>3525.8473715937498</v>
      </c>
      <c r="N26" s="6">
        <f t="shared" si="26"/>
        <v>3881.3524862328122</v>
      </c>
      <c r="O26" s="6">
        <f t="shared" si="26"/>
        <v>4278.5449585927336</v>
      </c>
      <c r="P26" s="6">
        <f t="shared" si="26"/>
        <v>4722.7989908658938</v>
      </c>
      <c r="Q26" s="6">
        <f t="shared" si="26"/>
        <v>5220.2212724010406</v>
      </c>
      <c r="R26" s="6">
        <f t="shared" ref="R26:U26" si="27">SUM(R23:R25)</f>
        <v>5412.0883332210469</v>
      </c>
      <c r="S26" s="6">
        <f t="shared" si="27"/>
        <v>5632.7229390252824</v>
      </c>
      <c r="T26" s="6">
        <f t="shared" si="27"/>
        <v>5884.176456646117</v>
      </c>
      <c r="U26" s="6">
        <f t="shared" si="27"/>
        <v>6168.7293416964185</v>
      </c>
      <c r="V26" s="6">
        <f t="shared" ref="V26" si="28">SUM(V23:V25)</f>
        <v>6488.9119839784271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57" x14ac:dyDescent="0.15">
      <c r="A27" s="4" t="s">
        <v>11</v>
      </c>
      <c r="B27" s="39">
        <f t="shared" ref="B27:G27" si="29">B22-B26</f>
        <v>-149.53099999999995</v>
      </c>
      <c r="C27" s="39">
        <f t="shared" si="29"/>
        <v>-192.85399999999993</v>
      </c>
      <c r="D27" s="39">
        <f t="shared" si="29"/>
        <v>-161.8739999999998</v>
      </c>
      <c r="E27" s="39">
        <f t="shared" si="29"/>
        <v>-129.00199999999995</v>
      </c>
      <c r="F27" s="39">
        <f t="shared" si="29"/>
        <v>-243.8309999999999</v>
      </c>
      <c r="G27" s="39">
        <f t="shared" si="29"/>
        <v>-43.475999999999658</v>
      </c>
      <c r="H27" s="6">
        <f t="shared" ref="H27" si="30">H22-H26</f>
        <v>-2.8512595469471762</v>
      </c>
      <c r="I27" s="6">
        <f t="shared" ref="I27:Q27" si="31">I22-I26</f>
        <v>188.40341730377122</v>
      </c>
      <c r="J27" s="6">
        <f t="shared" si="31"/>
        <v>503.70679164320518</v>
      </c>
      <c r="K27" s="6">
        <f t="shared" si="31"/>
        <v>1000.5988507330017</v>
      </c>
      <c r="L27" s="6">
        <f t="shared" si="31"/>
        <v>1760.8709513849572</v>
      </c>
      <c r="M27" s="6">
        <f t="shared" si="31"/>
        <v>2187.5465120927001</v>
      </c>
      <c r="N27" s="6">
        <f t="shared" si="31"/>
        <v>2689.0504800066055</v>
      </c>
      <c r="O27" s="6">
        <f t="shared" si="31"/>
        <v>3277.4184525825958</v>
      </c>
      <c r="P27" s="6">
        <f t="shared" si="31"/>
        <v>3966.5589319857345</v>
      </c>
      <c r="Q27" s="6">
        <f t="shared" si="31"/>
        <v>4772.5403388783325</v>
      </c>
      <c r="R27" s="6">
        <f t="shared" ref="R27:U27" si="32">R22-R26</f>
        <v>5579.9494391862645</v>
      </c>
      <c r="S27" s="6">
        <f t="shared" si="32"/>
        <v>6458.518610622762</v>
      </c>
      <c r="T27" s="6">
        <f t="shared" si="32"/>
        <v>7416.1892479667313</v>
      </c>
      <c r="U27" s="6">
        <f t="shared" si="32"/>
        <v>8461.6729333777148</v>
      </c>
      <c r="V27" s="6">
        <f t="shared" ref="V27" si="33">V22-V26</f>
        <v>9604.5305186031219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57" x14ac:dyDescent="0.15">
      <c r="A28" s="4" t="s">
        <v>12</v>
      </c>
      <c r="B28" s="6">
        <f>SUM(Reports!B21:E21)</f>
        <v>-3.9880000000000004</v>
      </c>
      <c r="C28" s="6">
        <f>SUM(Reports!F21:I21)</f>
        <v>-27.454000000000004</v>
      </c>
      <c r="D28" s="3">
        <f>SUM(Reports!J21:M21)</f>
        <v>-22.131999999999998</v>
      </c>
      <c r="E28" s="6">
        <f>SUM(Reports!N21:Q21)</f>
        <v>-21.984999999999999</v>
      </c>
      <c r="F28" s="3">
        <f>SUM(Reports!R21:U21)</f>
        <v>-63.298000000000002</v>
      </c>
      <c r="G28" s="3">
        <f>SUM(Reports!V21:Y21)</f>
        <v>-130</v>
      </c>
      <c r="H28" s="6">
        <f t="shared" ref="H28:V28" si="34">G45*$F$3</f>
        <v>81.850000000000009</v>
      </c>
      <c r="I28" s="6">
        <f t="shared" si="34"/>
        <v>85.207446469254762</v>
      </c>
      <c r="J28" s="6">
        <f t="shared" si="34"/>
        <v>96.835908179608353</v>
      </c>
      <c r="K28" s="6">
        <f t="shared" si="34"/>
        <v>122.35897292207792</v>
      </c>
      <c r="L28" s="6">
        <f t="shared" si="34"/>
        <v>170.08468042741882</v>
      </c>
      <c r="M28" s="6">
        <f t="shared" si="34"/>
        <v>252.15029477944483</v>
      </c>
      <c r="N28" s="6">
        <f t="shared" si="34"/>
        <v>355.83740907151099</v>
      </c>
      <c r="O28" s="6">
        <f t="shared" si="34"/>
        <v>485.2451443573309</v>
      </c>
      <c r="P28" s="6">
        <f t="shared" si="34"/>
        <v>645.15834722727777</v>
      </c>
      <c r="Q28" s="6">
        <f t="shared" si="34"/>
        <v>841.15633159383071</v>
      </c>
      <c r="R28" s="6">
        <f t="shared" si="34"/>
        <v>1079.7384400888975</v>
      </c>
      <c r="S28" s="6">
        <f t="shared" si="34"/>
        <v>1362.7751749580921</v>
      </c>
      <c r="T28" s="6">
        <f t="shared" si="34"/>
        <v>1695.1801608452781</v>
      </c>
      <c r="U28" s="6">
        <f t="shared" si="34"/>
        <v>2082.4133607197887</v>
      </c>
      <c r="V28" s="6">
        <f t="shared" si="34"/>
        <v>2530.5370282189324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57" x14ac:dyDescent="0.15">
      <c r="A29" s="4" t="s">
        <v>13</v>
      </c>
      <c r="B29" s="39">
        <f>B27+B28</f>
        <v>-153.51899999999995</v>
      </c>
      <c r="C29" s="39">
        <f>C27+C28</f>
        <v>-220.30799999999994</v>
      </c>
      <c r="D29" s="39">
        <f>D27+D28</f>
        <v>-184.0059999999998</v>
      </c>
      <c r="E29" s="39">
        <f>E27+E28</f>
        <v>-150.98699999999997</v>
      </c>
      <c r="F29" s="39">
        <f>F27+F28</f>
        <v>-307.12899999999991</v>
      </c>
      <c r="G29" s="39">
        <f>G27+G28</f>
        <v>-173.47599999999966</v>
      </c>
      <c r="H29" s="6">
        <f t="shared" ref="H29" si="35">H27+H28</f>
        <v>78.998740453052832</v>
      </c>
      <c r="I29" s="6">
        <f t="shared" ref="I29:Q29" si="36">I27+I28</f>
        <v>273.61086377302598</v>
      </c>
      <c r="J29" s="6">
        <f t="shared" si="36"/>
        <v>600.54269982281357</v>
      </c>
      <c r="K29" s="6">
        <f t="shared" si="36"/>
        <v>1122.9578236550797</v>
      </c>
      <c r="L29" s="6">
        <f t="shared" si="36"/>
        <v>1930.9556318123759</v>
      </c>
      <c r="M29" s="6">
        <f t="shared" si="36"/>
        <v>2439.6968068721449</v>
      </c>
      <c r="N29" s="6">
        <f t="shared" si="36"/>
        <v>3044.8878890781166</v>
      </c>
      <c r="O29" s="6">
        <f t="shared" si="36"/>
        <v>3762.6635969399267</v>
      </c>
      <c r="P29" s="6">
        <f t="shared" si="36"/>
        <v>4611.7172792130123</v>
      </c>
      <c r="Q29" s="6">
        <f t="shared" si="36"/>
        <v>5613.6966704721635</v>
      </c>
      <c r="R29" s="6">
        <f t="shared" ref="R29:U29" si="37">R27+R28</f>
        <v>6659.6878792751622</v>
      </c>
      <c r="S29" s="6">
        <f t="shared" si="37"/>
        <v>7821.2937855808541</v>
      </c>
      <c r="T29" s="6">
        <f t="shared" si="37"/>
        <v>9111.3694088120101</v>
      </c>
      <c r="U29" s="6">
        <f t="shared" si="37"/>
        <v>10544.086294097504</v>
      </c>
      <c r="V29" s="6">
        <f t="shared" ref="V29" si="38">V27+V28</f>
        <v>12135.067546822054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57" x14ac:dyDescent="0.15">
      <c r="A30" s="4" t="s">
        <v>14</v>
      </c>
      <c r="B30" s="6">
        <f>SUM(Reports!B23:E23)</f>
        <v>-4.6450000000000005</v>
      </c>
      <c r="C30" s="6">
        <f>SUM(Reports!F23:I23)</f>
        <v>0.12999999999999989</v>
      </c>
      <c r="D30" s="3">
        <f>SUM(Reports!J23:M23)</f>
        <v>-89.585999999999999</v>
      </c>
      <c r="E30" s="6">
        <f>SUM(Reports!N23:Q23)</f>
        <v>-31.101999999999997</v>
      </c>
      <c r="F30" s="3">
        <f>SUM(Reports!R23:U23)</f>
        <v>-3.5</v>
      </c>
      <c r="G30" s="3">
        <f>SUM(Reports!V23:Y23)</f>
        <v>-7</v>
      </c>
      <c r="H30" s="6">
        <f t="shared" ref="H30:Q30" si="39">H29*0.15</f>
        <v>11.849811067957924</v>
      </c>
      <c r="I30" s="6">
        <f t="shared" si="39"/>
        <v>41.041629565953897</v>
      </c>
      <c r="J30" s="6">
        <f t="shared" si="39"/>
        <v>90.081404973422039</v>
      </c>
      <c r="K30" s="6">
        <f t="shared" si="39"/>
        <v>168.44367354826196</v>
      </c>
      <c r="L30" s="6">
        <f t="shared" si="39"/>
        <v>289.64334477185639</v>
      </c>
      <c r="M30" s="6">
        <f t="shared" si="39"/>
        <v>365.9545210308217</v>
      </c>
      <c r="N30" s="6">
        <f t="shared" si="39"/>
        <v>456.73318336171747</v>
      </c>
      <c r="O30" s="6">
        <f t="shared" si="39"/>
        <v>564.39953954098894</v>
      </c>
      <c r="P30" s="6">
        <f t="shared" si="39"/>
        <v>691.75759188195184</v>
      </c>
      <c r="Q30" s="6">
        <f t="shared" si="39"/>
        <v>842.05450057082453</v>
      </c>
      <c r="R30" s="6">
        <f t="shared" ref="R30:U30" si="40">R29*0.15</f>
        <v>998.95318189127431</v>
      </c>
      <c r="S30" s="6">
        <f t="shared" si="40"/>
        <v>1173.1940678371282</v>
      </c>
      <c r="T30" s="6">
        <f t="shared" si="40"/>
        <v>1366.7054113218014</v>
      </c>
      <c r="U30" s="6">
        <f t="shared" si="40"/>
        <v>1581.6129441146256</v>
      </c>
      <c r="V30" s="6">
        <f t="shared" ref="V30" si="41">V29*0.15</f>
        <v>1820.2601320233082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57" s="9" customFormat="1" x14ac:dyDescent="0.15">
      <c r="A31" s="9" t="s">
        <v>15</v>
      </c>
      <c r="B31" s="37">
        <f>B29-B30</f>
        <v>-148.87399999999994</v>
      </c>
      <c r="C31" s="37">
        <f>C29-C30</f>
        <v>-220.43799999999993</v>
      </c>
      <c r="D31" s="37">
        <f>D29-D30</f>
        <v>-94.419999999999803</v>
      </c>
      <c r="E31" s="37">
        <f t="shared" ref="E31:H31" si="42">E29-E30</f>
        <v>-119.88499999999996</v>
      </c>
      <c r="F31" s="37">
        <f t="shared" si="42"/>
        <v>-303.62899999999991</v>
      </c>
      <c r="G31" s="37">
        <f>G29-G30</f>
        <v>-166.47599999999966</v>
      </c>
      <c r="H31" s="37">
        <f t="shared" si="42"/>
        <v>67.148929385094902</v>
      </c>
      <c r="I31" s="37">
        <f t="shared" ref="I31:Q31" si="43">I29-I30</f>
        <v>232.5692342070721</v>
      </c>
      <c r="J31" s="37">
        <f t="shared" si="43"/>
        <v>510.46129484939155</v>
      </c>
      <c r="K31" s="37">
        <f t="shared" si="43"/>
        <v>954.51415010681774</v>
      </c>
      <c r="L31" s="37">
        <f t="shared" si="43"/>
        <v>1641.3122870405195</v>
      </c>
      <c r="M31" s="37">
        <f t="shared" si="43"/>
        <v>2073.7422858413233</v>
      </c>
      <c r="N31" s="37">
        <f t="shared" si="43"/>
        <v>2588.1547057163989</v>
      </c>
      <c r="O31" s="37">
        <f t="shared" si="43"/>
        <v>3198.2640573989379</v>
      </c>
      <c r="P31" s="37">
        <f t="shared" si="43"/>
        <v>3919.9596873310602</v>
      </c>
      <c r="Q31" s="37">
        <f t="shared" si="43"/>
        <v>4771.642169901339</v>
      </c>
      <c r="R31" s="37">
        <f t="shared" ref="R31:U31" si="44">R29-R30</f>
        <v>5660.7346973838876</v>
      </c>
      <c r="S31" s="37">
        <f t="shared" si="44"/>
        <v>6648.0997177437257</v>
      </c>
      <c r="T31" s="37">
        <f t="shared" si="44"/>
        <v>7744.6639974902082</v>
      </c>
      <c r="U31" s="37">
        <f t="shared" si="44"/>
        <v>8962.4733499828781</v>
      </c>
      <c r="V31" s="37">
        <f t="shared" ref="V31" si="45">V29-V30</f>
        <v>10314.807414798746</v>
      </c>
      <c r="W31" s="37">
        <f>V31*($F$2+1)</f>
        <v>10263.233377724753</v>
      </c>
      <c r="X31" s="37">
        <f t="shared" ref="X31:CI31" si="46">W31*($F$2+1)</f>
        <v>10211.917210836129</v>
      </c>
      <c r="Y31" s="37">
        <f t="shared" si="46"/>
        <v>10160.857624781949</v>
      </c>
      <c r="Z31" s="37">
        <f t="shared" si="46"/>
        <v>10110.05333665804</v>
      </c>
      <c r="AA31" s="37">
        <f t="shared" si="46"/>
        <v>10059.503069974749</v>
      </c>
      <c r="AB31" s="37">
        <f t="shared" si="46"/>
        <v>10009.205554624876</v>
      </c>
      <c r="AC31" s="37">
        <f t="shared" si="46"/>
        <v>9959.1595268517522</v>
      </c>
      <c r="AD31" s="37">
        <f t="shared" si="46"/>
        <v>9909.3637292174935</v>
      </c>
      <c r="AE31" s="37">
        <f t="shared" si="46"/>
        <v>9859.816910571406</v>
      </c>
      <c r="AF31" s="37">
        <f t="shared" si="46"/>
        <v>9810.5178260185494</v>
      </c>
      <c r="AG31" s="37">
        <f t="shared" si="46"/>
        <v>9761.4652368884563</v>
      </c>
      <c r="AH31" s="37">
        <f t="shared" si="46"/>
        <v>9712.6579107040143</v>
      </c>
      <c r="AI31" s="37">
        <f t="shared" si="46"/>
        <v>9664.0946211504943</v>
      </c>
      <c r="AJ31" s="37">
        <f t="shared" si="46"/>
        <v>9615.7741480447421</v>
      </c>
      <c r="AK31" s="37">
        <f t="shared" si="46"/>
        <v>9567.6952773045177</v>
      </c>
      <c r="AL31" s="37">
        <f t="shared" si="46"/>
        <v>9519.8568009179944</v>
      </c>
      <c r="AM31" s="37">
        <f t="shared" si="46"/>
        <v>9472.2575169134052</v>
      </c>
      <c r="AN31" s="37">
        <f t="shared" si="46"/>
        <v>9424.8962293288387</v>
      </c>
      <c r="AO31" s="37">
        <f t="shared" si="46"/>
        <v>9377.7717481821946</v>
      </c>
      <c r="AP31" s="37">
        <f t="shared" si="46"/>
        <v>9330.8828894412836</v>
      </c>
      <c r="AQ31" s="37">
        <f t="shared" si="46"/>
        <v>9284.2284749940773</v>
      </c>
      <c r="AR31" s="37">
        <f t="shared" si="46"/>
        <v>9237.8073326191061</v>
      </c>
      <c r="AS31" s="37">
        <f t="shared" si="46"/>
        <v>9191.6182959560101</v>
      </c>
      <c r="AT31" s="37">
        <f t="shared" si="46"/>
        <v>9145.6602044762294</v>
      </c>
      <c r="AU31" s="37">
        <f t="shared" si="46"/>
        <v>9099.9319034538476</v>
      </c>
      <c r="AV31" s="37">
        <f t="shared" si="46"/>
        <v>9054.4322439365787</v>
      </c>
      <c r="AW31" s="37">
        <f t="shared" si="46"/>
        <v>9009.160082716895</v>
      </c>
      <c r="AX31" s="37">
        <f t="shared" si="46"/>
        <v>8964.1142823033097</v>
      </c>
      <c r="AY31" s="37">
        <f t="shared" si="46"/>
        <v>8919.2937108917922</v>
      </c>
      <c r="AZ31" s="37">
        <f t="shared" si="46"/>
        <v>8874.6972423373336</v>
      </c>
      <c r="BA31" s="37">
        <f t="shared" si="46"/>
        <v>8830.3237561256465</v>
      </c>
      <c r="BB31" s="37">
        <f t="shared" si="46"/>
        <v>8786.1721373450182</v>
      </c>
      <c r="BC31" s="37">
        <f t="shared" si="46"/>
        <v>8742.2412766582929</v>
      </c>
      <c r="BD31" s="37">
        <f t="shared" si="46"/>
        <v>8698.530070275001</v>
      </c>
      <c r="BE31" s="37">
        <f t="shared" si="46"/>
        <v>8655.0374199236267</v>
      </c>
      <c r="BF31" s="37">
        <f t="shared" si="46"/>
        <v>8611.7622328240086</v>
      </c>
      <c r="BG31" s="37">
        <f t="shared" si="46"/>
        <v>8568.7034216598877</v>
      </c>
      <c r="BH31" s="37">
        <f t="shared" si="46"/>
        <v>8525.8599045515875</v>
      </c>
      <c r="BI31" s="37">
        <f t="shared" si="46"/>
        <v>8483.2306050288298</v>
      </c>
      <c r="BJ31" s="37">
        <f t="shared" si="46"/>
        <v>8440.8144520036858</v>
      </c>
      <c r="BK31" s="37">
        <f t="shared" si="46"/>
        <v>8398.6103797436681</v>
      </c>
      <c r="BL31" s="37">
        <f t="shared" si="46"/>
        <v>8356.6173278449496</v>
      </c>
      <c r="BM31" s="37">
        <f t="shared" si="46"/>
        <v>8314.8342412057245</v>
      </c>
      <c r="BN31" s="37">
        <f t="shared" si="46"/>
        <v>8273.2600699996965</v>
      </c>
      <c r="BO31" s="37">
        <f t="shared" si="46"/>
        <v>8231.8937696496978</v>
      </c>
      <c r="BP31" s="37">
        <f t="shared" si="46"/>
        <v>8190.7343008014495</v>
      </c>
      <c r="BQ31" s="37">
        <f t="shared" si="46"/>
        <v>8149.7806292974419</v>
      </c>
      <c r="BR31" s="37">
        <f t="shared" si="46"/>
        <v>8109.0317261509545</v>
      </c>
      <c r="BS31" s="37">
        <f t="shared" si="46"/>
        <v>8068.4865675202</v>
      </c>
      <c r="BT31" s="37">
        <f t="shared" si="46"/>
        <v>8028.1441346825986</v>
      </c>
      <c r="BU31" s="37">
        <f t="shared" si="46"/>
        <v>7988.0034140091857</v>
      </c>
      <c r="BV31" s="37">
        <f t="shared" si="46"/>
        <v>7948.0633969391401</v>
      </c>
      <c r="BW31" s="37">
        <f t="shared" si="46"/>
        <v>7908.3230799544444</v>
      </c>
      <c r="BX31" s="37">
        <f t="shared" si="46"/>
        <v>7868.7814645546723</v>
      </c>
      <c r="BY31" s="37">
        <f t="shared" si="46"/>
        <v>7829.4375572318986</v>
      </c>
      <c r="BZ31" s="37">
        <f t="shared" si="46"/>
        <v>7790.2903694457391</v>
      </c>
      <c r="CA31" s="37">
        <f t="shared" si="46"/>
        <v>7751.3389175985103</v>
      </c>
      <c r="CB31" s="37">
        <f t="shared" si="46"/>
        <v>7712.5822230105177</v>
      </c>
      <c r="CC31" s="37">
        <f t="shared" si="46"/>
        <v>7674.0193118954649</v>
      </c>
      <c r="CD31" s="37">
        <f t="shared" si="46"/>
        <v>7635.6492153359877</v>
      </c>
      <c r="CE31" s="37">
        <f t="shared" si="46"/>
        <v>7597.4709692593078</v>
      </c>
      <c r="CF31" s="37">
        <f t="shared" si="46"/>
        <v>7559.4836144130113</v>
      </c>
      <c r="CG31" s="37">
        <f t="shared" si="46"/>
        <v>7521.6861963409465</v>
      </c>
      <c r="CH31" s="37">
        <f t="shared" si="46"/>
        <v>7484.0777653592413</v>
      </c>
      <c r="CI31" s="37">
        <f t="shared" si="46"/>
        <v>7446.6573765324447</v>
      </c>
      <c r="CJ31" s="37">
        <f t="shared" ref="CJ31:DR31" si="47">CI31*($F$2+1)</f>
        <v>7409.4240896497822</v>
      </c>
      <c r="CK31" s="37">
        <f t="shared" si="47"/>
        <v>7372.376969201533</v>
      </c>
      <c r="CL31" s="37">
        <f t="shared" si="47"/>
        <v>7335.5150843555257</v>
      </c>
      <c r="CM31" s="37">
        <f t="shared" si="47"/>
        <v>7298.8375089337478</v>
      </c>
      <c r="CN31" s="37">
        <f t="shared" si="47"/>
        <v>7262.3433213890794</v>
      </c>
      <c r="CO31" s="37">
        <f t="shared" si="47"/>
        <v>7226.0316047821343</v>
      </c>
      <c r="CP31" s="37">
        <f t="shared" si="47"/>
        <v>7189.9014467582238</v>
      </c>
      <c r="CQ31" s="37">
        <f t="shared" si="47"/>
        <v>7153.9519395244324</v>
      </c>
      <c r="CR31" s="37">
        <f t="shared" si="47"/>
        <v>7118.1821798268102</v>
      </c>
      <c r="CS31" s="37">
        <f t="shared" si="47"/>
        <v>7082.5912689276765</v>
      </c>
      <c r="CT31" s="37">
        <f t="shared" si="47"/>
        <v>7047.178312583038</v>
      </c>
      <c r="CU31" s="37">
        <f t="shared" si="47"/>
        <v>7011.9424210201223</v>
      </c>
      <c r="CV31" s="37">
        <f t="shared" si="47"/>
        <v>6976.8827089150218</v>
      </c>
      <c r="CW31" s="37">
        <f t="shared" si="47"/>
        <v>6941.9982953704466</v>
      </c>
      <c r="CX31" s="37">
        <f t="shared" si="47"/>
        <v>6907.2883038935943</v>
      </c>
      <c r="CY31" s="37">
        <f t="shared" si="47"/>
        <v>6872.7518623741262</v>
      </c>
      <c r="CZ31" s="37">
        <f t="shared" si="47"/>
        <v>6838.3881030622551</v>
      </c>
      <c r="DA31" s="37">
        <f t="shared" si="47"/>
        <v>6804.1961625469439</v>
      </c>
      <c r="DB31" s="37">
        <f t="shared" si="47"/>
        <v>6770.1751817342092</v>
      </c>
      <c r="DC31" s="37">
        <f t="shared" si="47"/>
        <v>6736.3243058255384</v>
      </c>
      <c r="DD31" s="37">
        <f t="shared" si="47"/>
        <v>6702.6426842964111</v>
      </c>
      <c r="DE31" s="37">
        <f t="shared" si="47"/>
        <v>6669.1294708749292</v>
      </c>
      <c r="DF31" s="37">
        <f t="shared" si="47"/>
        <v>6635.7838235205545</v>
      </c>
      <c r="DG31" s="37">
        <f t="shared" si="47"/>
        <v>6602.6049044029514</v>
      </c>
      <c r="DH31" s="37">
        <f t="shared" si="47"/>
        <v>6569.5918798809371</v>
      </c>
      <c r="DI31" s="37">
        <f t="shared" si="47"/>
        <v>6536.7439204815328</v>
      </c>
      <c r="DJ31" s="37">
        <f t="shared" si="47"/>
        <v>6504.0602008791247</v>
      </c>
      <c r="DK31" s="37">
        <f t="shared" si="47"/>
        <v>6471.5398998747287</v>
      </c>
      <c r="DL31" s="37">
        <f t="shared" si="47"/>
        <v>6439.182200375355</v>
      </c>
      <c r="DM31" s="37">
        <f t="shared" si="47"/>
        <v>6406.986289373478</v>
      </c>
      <c r="DN31" s="37">
        <f t="shared" si="47"/>
        <v>6374.9513579266104</v>
      </c>
      <c r="DO31" s="37">
        <f t="shared" si="47"/>
        <v>6343.0766011369769</v>
      </c>
      <c r="DP31" s="37">
        <f t="shared" si="47"/>
        <v>6311.3612181312919</v>
      </c>
      <c r="DQ31" s="37">
        <f t="shared" si="47"/>
        <v>6279.8044120406357</v>
      </c>
      <c r="DR31" s="37">
        <f t="shared" si="47"/>
        <v>6248.4053899804321</v>
      </c>
      <c r="DS31" s="37">
        <f t="shared" ref="DS31" si="48">DR31*($F$2+1)</f>
        <v>6217.1633630305296</v>
      </c>
      <c r="DT31" s="37">
        <f t="shared" ref="DT31" si="49">DS31*($F$2+1)</f>
        <v>6186.077546215377</v>
      </c>
      <c r="DU31" s="37">
        <f t="shared" ref="DU31" si="50">DT31*($F$2+1)</f>
        <v>6155.1471584843002</v>
      </c>
      <c r="DV31" s="37">
        <f t="shared" ref="DV31" si="51">DU31*($F$2+1)</f>
        <v>6124.3714226918783</v>
      </c>
      <c r="DW31" s="37">
        <f t="shared" ref="DW31" si="52">DV31*($F$2+1)</f>
        <v>6093.7495655784187</v>
      </c>
      <c r="DX31" s="37">
        <f t="shared" ref="DX31" si="53">DW31*($F$2+1)</f>
        <v>6063.2808177505267</v>
      </c>
      <c r="DY31" s="37">
        <f t="shared" ref="DY31" si="54">DX31*($F$2+1)</f>
        <v>6032.9644136617744</v>
      </c>
      <c r="DZ31" s="37">
        <f t="shared" ref="DZ31" si="55">DY31*($F$2+1)</f>
        <v>6002.7995915934653</v>
      </c>
      <c r="EA31" s="37">
        <f t="shared" ref="EA31" si="56">DZ31*($F$2+1)</f>
        <v>5972.7855936354981</v>
      </c>
      <c r="EB31" s="37">
        <f t="shared" ref="EB31" si="57">EA31*($F$2+1)</f>
        <v>5942.9216656673207</v>
      </c>
      <c r="EC31" s="37">
        <f t="shared" ref="EC31" si="58">EB31*($F$2+1)</f>
        <v>5913.2070573389838</v>
      </c>
      <c r="ED31" s="37">
        <f t="shared" ref="ED31" si="59">EC31*($F$2+1)</f>
        <v>5883.6410220522885</v>
      </c>
      <c r="EE31" s="37">
        <f t="shared" ref="EE31" si="60">ED31*($F$2+1)</f>
        <v>5854.2228169420268</v>
      </c>
      <c r="EF31" s="37">
        <f t="shared" ref="EF31" si="61">EE31*($F$2+1)</f>
        <v>5824.9517028573164</v>
      </c>
      <c r="EG31" s="37">
        <f t="shared" ref="EG31" si="62">EF31*($F$2+1)</f>
        <v>5795.8269443430299</v>
      </c>
      <c r="EH31" s="37">
        <f t="shared" ref="EH31" si="63">EG31*($F$2+1)</f>
        <v>5766.8478096213148</v>
      </c>
      <c r="EI31" s="37">
        <f t="shared" ref="EI31" si="64">EH31*($F$2+1)</f>
        <v>5738.0135705732082</v>
      </c>
      <c r="EJ31" s="37">
        <f t="shared" ref="EJ31" si="65">EI31*($F$2+1)</f>
        <v>5709.3235027203418</v>
      </c>
      <c r="EK31" s="37">
        <f t="shared" ref="EK31" si="66">EJ31*($F$2+1)</f>
        <v>5680.7768852067402</v>
      </c>
      <c r="EL31" s="37">
        <f t="shared" ref="EL31" si="67">EK31*($F$2+1)</f>
        <v>5652.3730007807062</v>
      </c>
      <c r="EM31" s="37">
        <f t="shared" ref="EM31" si="68">EL31*($F$2+1)</f>
        <v>5624.1111357768023</v>
      </c>
      <c r="EN31" s="37">
        <f t="shared" ref="EN31" si="69">EM31*($F$2+1)</f>
        <v>5595.9905800979186</v>
      </c>
      <c r="EO31" s="37">
        <f t="shared" ref="EO31" si="70">EN31*($F$2+1)</f>
        <v>5568.0106271974291</v>
      </c>
      <c r="EP31" s="37">
        <f t="shared" ref="EP31" si="71">EO31*($F$2+1)</f>
        <v>5540.1705740614416</v>
      </c>
      <c r="EQ31" s="37">
        <f t="shared" ref="EQ31" si="72">EP31*($F$2+1)</f>
        <v>5512.4697211911343</v>
      </c>
      <c r="ER31" s="37">
        <f t="shared" ref="ER31" si="73">EQ31*($F$2+1)</f>
        <v>5484.9073725851786</v>
      </c>
      <c r="ES31" s="37">
        <f t="shared" ref="ES31" si="74">ER31*($F$2+1)</f>
        <v>5457.4828357222523</v>
      </c>
      <c r="ET31" s="37">
        <f t="shared" ref="ET31" si="75">ES31*($F$2+1)</f>
        <v>5430.1954215436408</v>
      </c>
      <c r="EU31" s="37">
        <f t="shared" ref="EU31" si="76">ET31*($F$2+1)</f>
        <v>5403.0444444359227</v>
      </c>
      <c r="EV31" s="37">
        <f t="shared" ref="EV31" si="77">EU31*($F$2+1)</f>
        <v>5376.0292222137432</v>
      </c>
      <c r="EW31" s="37">
        <f t="shared" ref="EW31" si="78">EV31*($F$2+1)</f>
        <v>5349.1490761026744</v>
      </c>
      <c r="EX31" s="37">
        <f t="shared" ref="EX31" si="79">EW31*($F$2+1)</f>
        <v>5322.4033307221607</v>
      </c>
      <c r="EY31" s="37">
        <f t="shared" ref="EY31" si="80">EX31*($F$2+1)</f>
        <v>5295.7913140685496</v>
      </c>
      <c r="EZ31" s="37">
        <f t="shared" ref="EZ31" si="81">EY31*($F$2+1)</f>
        <v>5269.3123574982064</v>
      </c>
      <c r="FA31" s="37">
        <f t="shared" ref="FA31" si="82">EZ31*($F$2+1)</f>
        <v>5242.9657957107156</v>
      </c>
    </row>
    <row r="32" spans="1:157" x14ac:dyDescent="0.15">
      <c r="A32" s="4" t="s">
        <v>16</v>
      </c>
      <c r="B32" s="43">
        <f t="shared" ref="B32:G32" si="83">B31/B33</f>
        <v>-0.83627682282889526</v>
      </c>
      <c r="C32" s="43">
        <f t="shared" si="83"/>
        <v>-1.2121835338627012</v>
      </c>
      <c r="D32" s="43">
        <f t="shared" si="83"/>
        <v>-0.49841901614767714</v>
      </c>
      <c r="E32" s="43">
        <f t="shared" si="83"/>
        <v>-0.58893894213528108</v>
      </c>
      <c r="F32" s="43">
        <f t="shared" si="83"/>
        <v>-1.4583245278668993</v>
      </c>
      <c r="G32" s="43">
        <f t="shared" si="83"/>
        <v>-0.66193503751505833</v>
      </c>
      <c r="H32" s="11">
        <f t="shared" ref="H32" si="84">H31/H33</f>
        <v>0.26699481661992652</v>
      </c>
      <c r="I32" s="11">
        <f t="shared" ref="I32:Q32" si="85">I31/I33</f>
        <v>0.92473224230343698</v>
      </c>
      <c r="J32" s="11">
        <f t="shared" si="85"/>
        <v>2.0296752466188397</v>
      </c>
      <c r="K32" s="11">
        <f t="shared" si="85"/>
        <v>3.7952999817367772</v>
      </c>
      <c r="L32" s="11">
        <f t="shared" si="85"/>
        <v>6.5261185413879161</v>
      </c>
      <c r="M32" s="11">
        <f t="shared" si="85"/>
        <v>8.2455289517704777</v>
      </c>
      <c r="N32" s="11">
        <f t="shared" si="85"/>
        <v>10.290914499526435</v>
      </c>
      <c r="O32" s="11">
        <f t="shared" si="85"/>
        <v>12.716806259265198</v>
      </c>
      <c r="P32" s="11">
        <f t="shared" si="85"/>
        <v>15.586382798067032</v>
      </c>
      <c r="Q32" s="11">
        <f t="shared" si="85"/>
        <v>18.972807724489318</v>
      </c>
      <c r="R32" s="11">
        <f t="shared" ref="R32:U32" si="86">R31/R33</f>
        <v>22.50798093584423</v>
      </c>
      <c r="S32" s="11">
        <f t="shared" si="86"/>
        <v>26.433901199383399</v>
      </c>
      <c r="T32" s="11">
        <f t="shared" si="86"/>
        <v>30.794015075567728</v>
      </c>
      <c r="U32" s="11">
        <f t="shared" si="86"/>
        <v>35.636218633007999</v>
      </c>
      <c r="V32" s="11">
        <f t="shared" ref="V32" si="87">V31/V33</f>
        <v>41.013313829473461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x14ac:dyDescent="0.15">
      <c r="A33" s="4" t="s">
        <v>17</v>
      </c>
      <c r="B33" s="6">
        <f>Reports!E26</f>
        <v>178.02</v>
      </c>
      <c r="C33" s="6">
        <f>Reports!I26</f>
        <v>181.852</v>
      </c>
      <c r="D33" s="6">
        <f>Reports!M26</f>
        <v>189.43899999999999</v>
      </c>
      <c r="E33" s="6">
        <f>Reports!Q26</f>
        <v>203.56100000000001</v>
      </c>
      <c r="F33" s="6">
        <f>Reports!U26</f>
        <v>208.20400000000001</v>
      </c>
      <c r="G33" s="6">
        <f>Reports!Y26</f>
        <v>251.499</v>
      </c>
      <c r="H33" s="6">
        <f t="shared" ref="H33" si="88">G33</f>
        <v>251.499</v>
      </c>
      <c r="I33" s="6">
        <f t="shared" ref="I33" si="89">H33</f>
        <v>251.499</v>
      </c>
      <c r="J33" s="6">
        <f t="shared" ref="J33" si="90">I33</f>
        <v>251.499</v>
      </c>
      <c r="K33" s="6">
        <f t="shared" ref="K33" si="91">J33</f>
        <v>251.499</v>
      </c>
      <c r="L33" s="6">
        <f t="shared" ref="L33" si="92">K33</f>
        <v>251.499</v>
      </c>
      <c r="M33" s="6">
        <f t="shared" ref="M33" si="93">L33</f>
        <v>251.499</v>
      </c>
      <c r="N33" s="6">
        <f t="shared" ref="N33" si="94">M33</f>
        <v>251.499</v>
      </c>
      <c r="O33" s="6">
        <f t="shared" ref="O33" si="95">N33</f>
        <v>251.499</v>
      </c>
      <c r="P33" s="6">
        <f t="shared" ref="P33" si="96">O33</f>
        <v>251.499</v>
      </c>
      <c r="Q33" s="6">
        <f t="shared" ref="Q33:V33" si="97">P33</f>
        <v>251.499</v>
      </c>
      <c r="R33" s="6">
        <f t="shared" si="97"/>
        <v>251.499</v>
      </c>
      <c r="S33" s="6">
        <f t="shared" si="97"/>
        <v>251.499</v>
      </c>
      <c r="T33" s="6">
        <f t="shared" si="97"/>
        <v>251.499</v>
      </c>
      <c r="U33" s="6">
        <f t="shared" si="97"/>
        <v>251.499</v>
      </c>
      <c r="V33" s="6">
        <f t="shared" si="97"/>
        <v>251.499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x14ac:dyDescent="0.1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x14ac:dyDescent="0.15">
      <c r="A35" s="9" t="s">
        <v>18</v>
      </c>
      <c r="B35" s="48"/>
      <c r="C35" s="52">
        <f>C20/B20-1</f>
        <v>0.31319870260611116</v>
      </c>
      <c r="D35" s="52">
        <f>D20/C20-1</f>
        <v>0.27192061319010752</v>
      </c>
      <c r="E35" s="52">
        <f t="shared" ref="E35:V35" si="98">E20/D20-1</f>
        <v>0.23851637360535061</v>
      </c>
      <c r="F35" s="52">
        <f>F20/E20-1</f>
        <v>1.0560471556139759</v>
      </c>
      <c r="G35" s="52">
        <f>G20/F20-1</f>
        <v>0.2177067833698032</v>
      </c>
      <c r="H35" s="52">
        <f t="shared" si="98"/>
        <v>0.17220891465346022</v>
      </c>
      <c r="I35" s="52">
        <f t="shared" si="98"/>
        <v>0.24738416131246255</v>
      </c>
      <c r="J35" s="52">
        <f t="shared" si="98"/>
        <v>0.26993035815536737</v>
      </c>
      <c r="K35" s="52">
        <f t="shared" si="98"/>
        <v>0.29087787528907283</v>
      </c>
      <c r="L35" s="52">
        <f t="shared" si="98"/>
        <v>0.30971171527193908</v>
      </c>
      <c r="M35" s="52">
        <f t="shared" si="98"/>
        <v>0.14999999999999991</v>
      </c>
      <c r="N35" s="52">
        <f t="shared" si="98"/>
        <v>0.14999999999999991</v>
      </c>
      <c r="O35" s="52">
        <f t="shared" si="98"/>
        <v>0.14999999999999991</v>
      </c>
      <c r="P35" s="52">
        <f t="shared" si="98"/>
        <v>0.14999999999999991</v>
      </c>
      <c r="Q35" s="52">
        <f t="shared" si="98"/>
        <v>0.14999999999999991</v>
      </c>
      <c r="R35" s="52">
        <f t="shared" si="98"/>
        <v>0.10000000000000009</v>
      </c>
      <c r="S35" s="52">
        <f t="shared" si="98"/>
        <v>0.10000000000000009</v>
      </c>
      <c r="T35" s="52">
        <f t="shared" si="98"/>
        <v>0.10000000000000009</v>
      </c>
      <c r="U35" s="52">
        <f t="shared" si="98"/>
        <v>0.10000000000000009</v>
      </c>
      <c r="V35" s="52">
        <f t="shared" si="98"/>
        <v>0.10000000000000009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x14ac:dyDescent="0.15">
      <c r="A36" s="4" t="s">
        <v>34</v>
      </c>
      <c r="B36" s="48"/>
      <c r="C36" s="19">
        <f>C23/B23-1</f>
        <v>0.31100647143252846</v>
      </c>
      <c r="D36" s="19">
        <f>D23/C23-1</f>
        <v>0.22919867854947773</v>
      </c>
      <c r="E36" s="19">
        <f t="shared" ref="E36:V36" si="99">E23/D23-1</f>
        <v>0.28386643123896449</v>
      </c>
      <c r="F36" s="19">
        <f t="shared" si="99"/>
        <v>0.16053824321232257</v>
      </c>
      <c r="G36" s="19">
        <f t="shared" si="99"/>
        <v>8.6477756570254138E-2</v>
      </c>
      <c r="H36" s="19">
        <f>H23/G23-1</f>
        <v>0.14999999999999991</v>
      </c>
      <c r="I36" s="19">
        <f t="shared" si="99"/>
        <v>0.14999999999999991</v>
      </c>
      <c r="J36" s="19">
        <f t="shared" si="99"/>
        <v>0.14999999999999991</v>
      </c>
      <c r="K36" s="19">
        <f t="shared" si="99"/>
        <v>0.14999999999999991</v>
      </c>
      <c r="L36" s="19">
        <f t="shared" si="99"/>
        <v>0.14999999999999991</v>
      </c>
      <c r="M36" s="19">
        <f t="shared" si="99"/>
        <v>0.14999999999999991</v>
      </c>
      <c r="N36" s="19">
        <f t="shared" si="99"/>
        <v>0.14999999999999991</v>
      </c>
      <c r="O36" s="19">
        <f t="shared" si="99"/>
        <v>0.14999999999999991</v>
      </c>
      <c r="P36" s="19">
        <f t="shared" si="99"/>
        <v>0.14999999999999991</v>
      </c>
      <c r="Q36" s="19">
        <f t="shared" si="99"/>
        <v>0.14999999999999991</v>
      </c>
      <c r="R36" s="19">
        <f t="shared" si="99"/>
        <v>0.10000000000000009</v>
      </c>
      <c r="S36" s="19">
        <f t="shared" si="99"/>
        <v>0.10000000000000009</v>
      </c>
      <c r="T36" s="19">
        <f t="shared" si="99"/>
        <v>0.10000000000000009</v>
      </c>
      <c r="U36" s="19">
        <f t="shared" si="99"/>
        <v>0.10000000000000009</v>
      </c>
      <c r="V36" s="19">
        <f t="shared" si="99"/>
        <v>0.10000000000000009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x14ac:dyDescent="0.15">
      <c r="A37" s="4" t="s">
        <v>35</v>
      </c>
      <c r="B37" s="48"/>
      <c r="C37" s="19">
        <f t="shared" ref="C37:D38" si="100">C24/B24-1</f>
        <v>0.24400092481332769</v>
      </c>
      <c r="D37" s="19">
        <f t="shared" si="100"/>
        <v>0.17324269211740773</v>
      </c>
      <c r="E37" s="19">
        <f t="shared" ref="E37:V37" si="101">E24/D24-1</f>
        <v>0.23297583004054023</v>
      </c>
      <c r="F37" s="19">
        <f t="shared" si="101"/>
        <v>0.29127738540518711</v>
      </c>
      <c r="G37" s="19">
        <f t="shared" si="101"/>
        <v>-5.5476066688434633E-2</v>
      </c>
      <c r="H37" s="19">
        <f t="shared" si="101"/>
        <v>0.10000000000000009</v>
      </c>
      <c r="I37" s="19">
        <f t="shared" si="101"/>
        <v>0.10000000000000009</v>
      </c>
      <c r="J37" s="19">
        <f t="shared" si="101"/>
        <v>0.10000000000000009</v>
      </c>
      <c r="K37" s="19">
        <f t="shared" si="101"/>
        <v>0.10000000000000009</v>
      </c>
      <c r="L37" s="19">
        <f t="shared" si="101"/>
        <v>0.10000000000000009</v>
      </c>
      <c r="M37" s="19">
        <f t="shared" si="101"/>
        <v>5.0000000000000044E-2</v>
      </c>
      <c r="N37" s="19">
        <f t="shared" si="101"/>
        <v>5.0000000000000044E-2</v>
      </c>
      <c r="O37" s="19">
        <f t="shared" si="101"/>
        <v>5.0000000000000044E-2</v>
      </c>
      <c r="P37" s="19">
        <f t="shared" si="101"/>
        <v>5.0000000000000044E-2</v>
      </c>
      <c r="Q37" s="19">
        <f t="shared" si="101"/>
        <v>5.0000000000000044E-2</v>
      </c>
      <c r="R37" s="19">
        <f t="shared" si="101"/>
        <v>5.0000000000000044E-2</v>
      </c>
      <c r="S37" s="19">
        <f t="shared" si="101"/>
        <v>5.0000000000000044E-2</v>
      </c>
      <c r="T37" s="19">
        <f t="shared" si="101"/>
        <v>5.0000000000000044E-2</v>
      </c>
      <c r="U37" s="19">
        <f t="shared" si="101"/>
        <v>5.0000000000000044E-2</v>
      </c>
      <c r="V37" s="19">
        <f t="shared" si="101"/>
        <v>5.0000000000000044E-2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x14ac:dyDescent="0.15">
      <c r="A38" s="4" t="s">
        <v>36</v>
      </c>
      <c r="B38" s="48"/>
      <c r="C38" s="19">
        <f t="shared" si="100"/>
        <v>0.44039393672336291</v>
      </c>
      <c r="D38" s="19">
        <f t="shared" si="100"/>
        <v>0.17864495859374774</v>
      </c>
      <c r="E38" s="19">
        <f t="shared" ref="E38:V38" si="102">E25/D25-1</f>
        <v>-0.1029877050137693</v>
      </c>
      <c r="F38" s="19">
        <f t="shared" si="102"/>
        <v>5.9392361111111125E-2</v>
      </c>
      <c r="G38" s="19">
        <f t="shared" si="102"/>
        <v>0.18538426661859586</v>
      </c>
      <c r="H38" s="19">
        <f t="shared" si="102"/>
        <v>0.19999999999999996</v>
      </c>
      <c r="I38" s="19">
        <f t="shared" si="102"/>
        <v>0.19999999999999996</v>
      </c>
      <c r="J38" s="19">
        <f t="shared" si="102"/>
        <v>0.19999999999999996</v>
      </c>
      <c r="K38" s="19">
        <f t="shared" si="102"/>
        <v>0.19999999999999996</v>
      </c>
      <c r="L38" s="19">
        <f t="shared" si="102"/>
        <v>0.19999999999999996</v>
      </c>
      <c r="M38" s="19">
        <f t="shared" si="102"/>
        <v>0.10000000000000009</v>
      </c>
      <c r="N38" s="19">
        <f t="shared" si="102"/>
        <v>0.10000000000000009</v>
      </c>
      <c r="O38" s="19">
        <f t="shared" si="102"/>
        <v>0.10000000000000009</v>
      </c>
      <c r="P38" s="19">
        <f t="shared" si="102"/>
        <v>0.10000000000000009</v>
      </c>
      <c r="Q38" s="19">
        <f t="shared" si="102"/>
        <v>0.10000000000000009</v>
      </c>
      <c r="R38" s="19">
        <f t="shared" si="102"/>
        <v>-5.0000000000000044E-2</v>
      </c>
      <c r="S38" s="19">
        <f t="shared" si="102"/>
        <v>-5.0000000000000044E-2</v>
      </c>
      <c r="T38" s="19">
        <f t="shared" si="102"/>
        <v>-5.0000000000000044E-2</v>
      </c>
      <c r="U38" s="19">
        <f t="shared" si="102"/>
        <v>-5.0000000000000044E-2</v>
      </c>
      <c r="V38" s="19">
        <f t="shared" si="102"/>
        <v>-5.0000000000000044E-2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s="28" customFormat="1" x14ac:dyDescent="0.15">
      <c r="A39" s="28" t="s">
        <v>126</v>
      </c>
      <c r="B39" s="56"/>
      <c r="C39" s="57">
        <f>C26/B26-1</f>
        <v>0.32300018837173106</v>
      </c>
      <c r="D39" s="57">
        <f t="shared" ref="D39:V39" si="103">D26/C26-1</f>
        <v>0.19009370402240133</v>
      </c>
      <c r="E39" s="57">
        <f t="shared" si="103"/>
        <v>0.13487535382521365</v>
      </c>
      <c r="F39" s="57">
        <f t="shared" si="103"/>
        <v>0.18902721767647868</v>
      </c>
      <c r="G39" s="57">
        <f>G26/F26-1</f>
        <v>4.4662871358055245E-2</v>
      </c>
      <c r="H39" s="57">
        <f>H26/G26-1</f>
        <v>0.142619926199262</v>
      </c>
      <c r="I39" s="57">
        <f t="shared" si="103"/>
        <v>0.14406318962269227</v>
      </c>
      <c r="J39" s="57">
        <f t="shared" si="103"/>
        <v>0.14551693557682599</v>
      </c>
      <c r="K39" s="57">
        <f t="shared" si="103"/>
        <v>0.14697842904061087</v>
      </c>
      <c r="L39" s="57">
        <f t="shared" si="103"/>
        <v>0.14844487351567959</v>
      </c>
      <c r="M39" s="57">
        <f t="shared" si="103"/>
        <v>9.9320288889176433E-2</v>
      </c>
      <c r="N39" s="57">
        <f t="shared" si="103"/>
        <v>0.10082827677205075</v>
      </c>
      <c r="O39" s="57">
        <f t="shared" si="103"/>
        <v>0.10233352259779704</v>
      </c>
      <c r="P39" s="57">
        <f t="shared" si="103"/>
        <v>0.10383297045434836</v>
      </c>
      <c r="Q39" s="57">
        <f t="shared" si="103"/>
        <v>0.1053236190016098</v>
      </c>
      <c r="R39" s="57">
        <f t="shared" si="103"/>
        <v>3.6754583916661643E-2</v>
      </c>
      <c r="S39" s="57">
        <f t="shared" si="103"/>
        <v>4.0767000133740128E-2</v>
      </c>
      <c r="T39" s="57">
        <f t="shared" si="103"/>
        <v>4.4641556196326482E-2</v>
      </c>
      <c r="U39" s="57">
        <f t="shared" si="103"/>
        <v>4.8358999283391935E-2</v>
      </c>
      <c r="V39" s="57">
        <f t="shared" si="103"/>
        <v>5.1904148252670312E-2</v>
      </c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</row>
    <row r="40" spans="1:122" x14ac:dyDescent="0.1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x14ac:dyDescent="0.15">
      <c r="A41" s="4" t="s">
        <v>19</v>
      </c>
      <c r="B41" s="16">
        <f t="shared" ref="B41:G41" si="104">IFERROR(B22/B20,0)</f>
        <v>0.90442655779560921</v>
      </c>
      <c r="C41" s="16">
        <f t="shared" si="104"/>
        <v>0.9170542022161875</v>
      </c>
      <c r="D41" s="16">
        <f t="shared" si="104"/>
        <v>0.9208734446885849</v>
      </c>
      <c r="E41" s="16">
        <f t="shared" si="104"/>
        <v>0.8848328655613602</v>
      </c>
      <c r="F41" s="16">
        <f t="shared" si="104"/>
        <v>0.47872064186725022</v>
      </c>
      <c r="G41" s="16">
        <f t="shared" si="104"/>
        <v>0.47395829589643701</v>
      </c>
      <c r="H41" s="16">
        <f t="shared" ref="H41:Q41" si="105">IFERROR(H22/H20,0)</f>
        <v>0.47395829589643701</v>
      </c>
      <c r="I41" s="16">
        <f t="shared" si="105"/>
        <v>0.47395829589643701</v>
      </c>
      <c r="J41" s="16">
        <f t="shared" si="105"/>
        <v>0.47395829589643701</v>
      </c>
      <c r="K41" s="16">
        <f t="shared" si="105"/>
        <v>0.47395829589643701</v>
      </c>
      <c r="L41" s="16">
        <f t="shared" si="105"/>
        <v>0.47395829589643695</v>
      </c>
      <c r="M41" s="16">
        <f t="shared" si="105"/>
        <v>0.47395829589643701</v>
      </c>
      <c r="N41" s="16">
        <f t="shared" si="105"/>
        <v>0.47395829589643701</v>
      </c>
      <c r="O41" s="16">
        <f t="shared" si="105"/>
        <v>0.47395829589643701</v>
      </c>
      <c r="P41" s="16">
        <f t="shared" si="105"/>
        <v>0.47395829589643701</v>
      </c>
      <c r="Q41" s="16">
        <f t="shared" si="105"/>
        <v>0.47395829589643701</v>
      </c>
      <c r="R41" s="16">
        <f t="shared" ref="R41:U41" si="106">IFERROR(R22/R20,0)</f>
        <v>0.47395829589643707</v>
      </c>
      <c r="S41" s="16">
        <f t="shared" si="106"/>
        <v>0.47395829589643707</v>
      </c>
      <c r="T41" s="16">
        <f t="shared" si="106"/>
        <v>0.47395829589643701</v>
      </c>
      <c r="U41" s="16">
        <f t="shared" si="106"/>
        <v>0.47395829589643701</v>
      </c>
      <c r="V41" s="16">
        <f t="shared" ref="V41" si="107">IFERROR(V22/V20,0)</f>
        <v>0.47395829589643701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x14ac:dyDescent="0.15">
      <c r="A42" s="4" t="s">
        <v>20</v>
      </c>
      <c r="B42" s="19">
        <f>IFERROR(B27/B20,0)</f>
        <v>-0.23194716113650699</v>
      </c>
      <c r="C42" s="19">
        <f>IFERROR(C27/C20,0)</f>
        <v>-0.22780121168595377</v>
      </c>
      <c r="D42" s="19">
        <f>IFERROR(D27/D20,0)</f>
        <v>-0.15032958950365602</v>
      </c>
      <c r="E42" s="19">
        <f>IFERROR(E27/E20,0)</f>
        <v>-9.6730195174512784E-2</v>
      </c>
      <c r="F42" s="19">
        <f t="shared" ref="F42:Q42" si="108">IFERROR(F27/F20,0)</f>
        <v>-8.8924507658643293E-2</v>
      </c>
      <c r="G42" s="19">
        <f t="shared" si="108"/>
        <v>-1.3020852051781414E-2</v>
      </c>
      <c r="H42" s="19">
        <f t="shared" si="108"/>
        <v>-7.284865818132023E-4</v>
      </c>
      <c r="I42" s="19">
        <f t="shared" si="108"/>
        <v>3.8589873499286054E-2</v>
      </c>
      <c r="J42" s="19">
        <f t="shared" si="108"/>
        <v>8.1242350593957499E-2</v>
      </c>
      <c r="K42" s="19">
        <f t="shared" si="108"/>
        <v>0.12502000620627723</v>
      </c>
      <c r="L42" s="19">
        <f t="shared" si="108"/>
        <v>0.16798532085529438</v>
      </c>
      <c r="M42" s="19">
        <f t="shared" si="108"/>
        <v>0.18146933997077636</v>
      </c>
      <c r="N42" s="19">
        <f t="shared" si="108"/>
        <v>0.19397558865600109</v>
      </c>
      <c r="O42" s="19">
        <f t="shared" si="108"/>
        <v>0.20558062290616091</v>
      </c>
      <c r="P42" s="19">
        <f t="shared" si="108"/>
        <v>0.21635470982645247</v>
      </c>
      <c r="Q42" s="19">
        <f t="shared" si="108"/>
        <v>0.22636235848542138</v>
      </c>
      <c r="R42" s="19">
        <f t="shared" ref="R42:U42" si="109">IFERROR(R27/R20,0)</f>
        <v>0.24059809310551586</v>
      </c>
      <c r="S42" s="19">
        <f t="shared" si="109"/>
        <v>0.25316411570615682</v>
      </c>
      <c r="T42" s="19">
        <f t="shared" si="109"/>
        <v>0.26427577226637661</v>
      </c>
      <c r="U42" s="19">
        <f t="shared" si="109"/>
        <v>0.27411960440550398</v>
      </c>
      <c r="V42" s="19">
        <f t="shared" ref="V42" si="110">IFERROR(V27/V20,0)</f>
        <v>0.28285725175034793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x14ac:dyDescent="0.15">
      <c r="A43" s="4" t="s">
        <v>21</v>
      </c>
      <c r="B43" s="19">
        <f>IFERROR(B30/B29,0)</f>
        <v>3.0256841172753873E-2</v>
      </c>
      <c r="C43" s="19">
        <f>IFERROR(C30/C29,0)</f>
        <v>-5.9008297474444837E-4</v>
      </c>
      <c r="D43" s="19">
        <f>IFERROR(D30/D29,0)</f>
        <v>0.48686455876438861</v>
      </c>
      <c r="E43" s="19">
        <f>IFERROR(E30/E29,0)</f>
        <v>0.20599124427930884</v>
      </c>
      <c r="F43" s="19">
        <f t="shared" ref="F43:Q43" si="111">IFERROR(F30/F29,0)</f>
        <v>1.1395862976143579E-2</v>
      </c>
      <c r="G43" s="19">
        <f t="shared" si="111"/>
        <v>4.0351403075929888E-2</v>
      </c>
      <c r="H43" s="19">
        <f t="shared" si="111"/>
        <v>0.15</v>
      </c>
      <c r="I43" s="19">
        <f t="shared" si="111"/>
        <v>0.15</v>
      </c>
      <c r="J43" s="19">
        <f t="shared" si="111"/>
        <v>0.15</v>
      </c>
      <c r="K43" s="19">
        <f t="shared" si="111"/>
        <v>0.15</v>
      </c>
      <c r="L43" s="19">
        <f t="shared" si="111"/>
        <v>0.15</v>
      </c>
      <c r="M43" s="19">
        <f>IFERROR(M30/M29,0)</f>
        <v>0.15</v>
      </c>
      <c r="N43" s="19">
        <f t="shared" si="111"/>
        <v>0.15</v>
      </c>
      <c r="O43" s="19">
        <f t="shared" si="111"/>
        <v>0.15</v>
      </c>
      <c r="P43" s="19">
        <f t="shared" si="111"/>
        <v>0.15</v>
      </c>
      <c r="Q43" s="19">
        <f t="shared" si="111"/>
        <v>0.15</v>
      </c>
      <c r="R43" s="19">
        <f t="shared" ref="R43:U43" si="112">IFERROR(R30/R29,0)</f>
        <v>0.15</v>
      </c>
      <c r="S43" s="19">
        <f t="shared" si="112"/>
        <v>0.15</v>
      </c>
      <c r="T43" s="19">
        <f t="shared" si="112"/>
        <v>0.15</v>
      </c>
      <c r="U43" s="19">
        <f t="shared" si="112"/>
        <v>0.15</v>
      </c>
      <c r="V43" s="19">
        <f t="shared" ref="V43" si="113">IFERROR(V30/V29,0)</f>
        <v>0.15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x14ac:dyDescent="0.1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x14ac:dyDescent="0.15">
      <c r="A45" s="9" t="s">
        <v>26</v>
      </c>
      <c r="B45" s="37">
        <f t="shared" ref="B45:G45" si="114">B46-B47</f>
        <v>290.28899999999999</v>
      </c>
      <c r="C45" s="37">
        <f t="shared" si="114"/>
        <v>140.11099999999999</v>
      </c>
      <c r="D45" s="37">
        <f t="shared" si="114"/>
        <v>377.12299999999999</v>
      </c>
      <c r="E45" s="37">
        <f t="shared" si="114"/>
        <v>855.90499999999997</v>
      </c>
      <c r="F45" s="37">
        <f t="shared" si="114"/>
        <v>869</v>
      </c>
      <c r="G45" s="37">
        <f t="shared" si="114"/>
        <v>1637</v>
      </c>
      <c r="H45" s="10">
        <f t="shared" ref="H45:V45" si="115">G45+H31</f>
        <v>1704.148929385095</v>
      </c>
      <c r="I45" s="10">
        <f t="shared" si="115"/>
        <v>1936.718163592167</v>
      </c>
      <c r="J45" s="10">
        <f t="shared" si="115"/>
        <v>2447.1794584415584</v>
      </c>
      <c r="K45" s="10">
        <f t="shared" si="115"/>
        <v>3401.6936085483762</v>
      </c>
      <c r="L45" s="10">
        <f t="shared" si="115"/>
        <v>5043.0058955888962</v>
      </c>
      <c r="M45" s="10">
        <f t="shared" si="115"/>
        <v>7116.7481814302191</v>
      </c>
      <c r="N45" s="10">
        <f t="shared" si="115"/>
        <v>9704.902887146618</v>
      </c>
      <c r="O45" s="10">
        <f t="shared" si="115"/>
        <v>12903.166944545555</v>
      </c>
      <c r="P45" s="10">
        <f t="shared" si="115"/>
        <v>16823.126631876614</v>
      </c>
      <c r="Q45" s="10">
        <f t="shared" si="115"/>
        <v>21594.768801777951</v>
      </c>
      <c r="R45" s="10">
        <f t="shared" si="115"/>
        <v>27255.503499161838</v>
      </c>
      <c r="S45" s="10">
        <f t="shared" si="115"/>
        <v>33903.603216905562</v>
      </c>
      <c r="T45" s="10">
        <f t="shared" si="115"/>
        <v>41648.267214395768</v>
      </c>
      <c r="U45" s="10">
        <f t="shared" si="115"/>
        <v>50610.740564378648</v>
      </c>
      <c r="V45" s="10">
        <f t="shared" si="115"/>
        <v>60925.547979177398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x14ac:dyDescent="0.15">
      <c r="A46" s="4" t="s">
        <v>27</v>
      </c>
      <c r="B46" s="3">
        <f>Reports!E38</f>
        <v>520.28899999999999</v>
      </c>
      <c r="C46" s="3">
        <f>Reports!I38</f>
        <v>507.51499999999999</v>
      </c>
      <c r="D46" s="3">
        <f>Reports!M38</f>
        <v>762.53899999999999</v>
      </c>
      <c r="E46" s="3">
        <f>Reports!Q38</f>
        <v>1554.925</v>
      </c>
      <c r="F46" s="3">
        <f>Reports!U38</f>
        <v>2422</v>
      </c>
      <c r="G46" s="2">
        <f>Reports!Y38</f>
        <v>3921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x14ac:dyDescent="0.15">
      <c r="A47" s="4" t="s">
        <v>28</v>
      </c>
      <c r="B47" s="3">
        <f>Reports!E39</f>
        <v>230</v>
      </c>
      <c r="C47" s="3">
        <f>Reports!I39</f>
        <v>367.404</v>
      </c>
      <c r="D47" s="3">
        <f>Reports!M39</f>
        <v>385.416</v>
      </c>
      <c r="E47" s="3">
        <f>Reports!Q39</f>
        <v>699.02</v>
      </c>
      <c r="F47" s="3">
        <f>Reports!U39</f>
        <v>1553</v>
      </c>
      <c r="G47" s="2">
        <f>Reports!Y39</f>
        <v>2284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x14ac:dyDescent="0.15">
      <c r="A49" s="4" t="s">
        <v>69</v>
      </c>
      <c r="B49" s="2"/>
      <c r="C49" s="3">
        <f>Reports!I41</f>
        <v>2450.944</v>
      </c>
      <c r="D49" s="3">
        <f>Reports!M41</f>
        <v>2250.7870000000003</v>
      </c>
      <c r="E49" s="3">
        <f>Reports!Q41</f>
        <v>2200.8109999999997</v>
      </c>
      <c r="F49" s="3">
        <f>Reports!U41</f>
        <v>2176</v>
      </c>
      <c r="G49" s="2">
        <f>Reports!Y41</f>
        <v>2080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x14ac:dyDescent="0.15">
      <c r="A50" s="4" t="s">
        <v>70</v>
      </c>
      <c r="B50" s="2"/>
      <c r="C50" s="3">
        <f>Reports!I42</f>
        <v>3149.6770000000001</v>
      </c>
      <c r="D50" s="3">
        <f>Reports!M42</f>
        <v>3230.5169999999998</v>
      </c>
      <c r="E50" s="3">
        <f>Reports!Q42</f>
        <v>4291.116</v>
      </c>
      <c r="F50" s="3">
        <f>Reports!U42</f>
        <v>6132</v>
      </c>
      <c r="G50" s="2">
        <f>Reports!Y42</f>
        <v>7487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x14ac:dyDescent="0.15">
      <c r="A51" s="4" t="s">
        <v>71</v>
      </c>
      <c r="B51" s="2"/>
      <c r="C51" s="3">
        <f>Reports!I43</f>
        <v>616.09</v>
      </c>
      <c r="D51" s="3">
        <f>Reports!M43</f>
        <v>569.69399999999996</v>
      </c>
      <c r="E51" s="3">
        <f>Reports!Q43</f>
        <v>1023.937</v>
      </c>
      <c r="F51" s="3">
        <f>Reports!U43</f>
        <v>2697</v>
      </c>
      <c r="G51" s="2">
        <f>Reports!Y43</f>
        <v>2745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x14ac:dyDescent="0.15">
      <c r="A53" s="4" t="s">
        <v>72</v>
      </c>
      <c r="B53" s="2"/>
      <c r="C53" s="41">
        <f>C50-C49-C46</f>
        <v>191.21800000000019</v>
      </c>
      <c r="D53" s="41">
        <f>D50-D49-D46</f>
        <v>217.19099999999958</v>
      </c>
      <c r="E53" s="41">
        <f>E50-E49-E46</f>
        <v>535.38000000000034</v>
      </c>
      <c r="F53" s="41">
        <f>F50-F49-F46</f>
        <v>1534</v>
      </c>
      <c r="G53" s="41">
        <f>G50-G49-G46</f>
        <v>1486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x14ac:dyDescent="0.15">
      <c r="A54" s="4" t="s">
        <v>73</v>
      </c>
      <c r="B54" s="2"/>
      <c r="C54" s="41">
        <f>C50-C51</f>
        <v>2533.587</v>
      </c>
      <c r="D54" s="41">
        <f>D50-D51</f>
        <v>2660.8229999999999</v>
      </c>
      <c r="E54" s="41">
        <f>E50-E51</f>
        <v>3267.1790000000001</v>
      </c>
      <c r="F54" s="41">
        <f>F50-F51</f>
        <v>3435</v>
      </c>
      <c r="G54" s="41">
        <f>G50-G51</f>
        <v>4742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x14ac:dyDescent="0.15">
      <c r="A56" s="4" t="s">
        <v>75</v>
      </c>
      <c r="B56" s="2"/>
      <c r="C56" s="18">
        <f>C31/C54</f>
        <v>-8.7006287923011891E-2</v>
      </c>
      <c r="D56" s="18">
        <f>D31/D54</f>
        <v>-3.5485261514952258E-2</v>
      </c>
      <c r="E56" s="18">
        <f>E31/E54</f>
        <v>-3.6693734870357562E-2</v>
      </c>
      <c r="F56" s="18">
        <f>F31/F54</f>
        <v>-8.8392721979621516E-2</v>
      </c>
      <c r="G56" s="18">
        <f>G31/G54</f>
        <v>-3.510670603121039E-2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15">
      <c r="A57" s="4" t="s">
        <v>76</v>
      </c>
      <c r="B57" s="2"/>
      <c r="C57" s="18">
        <f>C31/C50</f>
        <v>-6.998749395572941E-2</v>
      </c>
      <c r="D57" s="18">
        <f>D31/D50</f>
        <v>-2.9227519929472531E-2</v>
      </c>
      <c r="E57" s="18">
        <f>E31/E50</f>
        <v>-2.7937953669861165E-2</v>
      </c>
      <c r="F57" s="18">
        <f>F31/F50</f>
        <v>-4.9515492498369194E-2</v>
      </c>
      <c r="G57" s="18">
        <f>G31/G50</f>
        <v>-2.2235341258180802E-2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15">
      <c r="A58" s="4" t="s">
        <v>77</v>
      </c>
      <c r="B58" s="2"/>
      <c r="C58" s="18">
        <f>C31/(C50-C49)</f>
        <v>-0.31548245180920303</v>
      </c>
      <c r="D58" s="18">
        <f>D31/(D50-D49)</f>
        <v>-9.6373490655588631E-2</v>
      </c>
      <c r="E58" s="18">
        <f>E31/(E50-E49)</f>
        <v>-5.7352874341304233E-2</v>
      </c>
      <c r="F58" s="18">
        <f>F31/(F50-F49)</f>
        <v>-7.6751516683518678E-2</v>
      </c>
      <c r="G58" s="18">
        <f>G31/(G50-G49)</f>
        <v>-3.0788977251710682E-2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15">
      <c r="A59" s="4" t="s">
        <v>78</v>
      </c>
      <c r="B59" s="2"/>
      <c r="C59" s="18">
        <f>C31/C53</f>
        <v>-1.1528098819148811</v>
      </c>
      <c r="D59" s="18">
        <f>D31/D53</f>
        <v>-0.43473256258316406</v>
      </c>
      <c r="E59" s="18">
        <f>E31/E53</f>
        <v>-0.22392506257237829</v>
      </c>
      <c r="F59" s="18">
        <f>F31/F53</f>
        <v>-0.19793285528031285</v>
      </c>
      <c r="G59" s="18">
        <f>G31/G53</f>
        <v>-0.11202960969044391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1" spans="1:122" x14ac:dyDescent="0.15">
      <c r="A61" s="4" t="s">
        <v>108</v>
      </c>
      <c r="F61" s="36">
        <f>F10/E10-1</f>
        <v>6.2396006655573988E-2</v>
      </c>
      <c r="G61" s="36">
        <f>G10/F10-1</f>
        <v>0.13534690681284256</v>
      </c>
      <c r="H61" s="36">
        <f>H10/G10-1</f>
        <v>0.10000000000000009</v>
      </c>
      <c r="I61" s="36">
        <f>I10/H10-1</f>
        <v>5.0000000000000044E-2</v>
      </c>
      <c r="J61" s="36">
        <f>J10/I10-1</f>
        <v>5.0000000000000044E-2</v>
      </c>
      <c r="K61" s="36">
        <f>K10/J10-1</f>
        <v>5.0000000000000044E-2</v>
      </c>
      <c r="L61" s="36">
        <f>L10/K10-1</f>
        <v>5.0000000000000044E-2</v>
      </c>
    </row>
    <row r="62" spans="1:122" x14ac:dyDescent="0.15">
      <c r="A62" s="4" t="s">
        <v>97</v>
      </c>
      <c r="F62" s="36">
        <f>F11/E11-1</f>
        <v>25.075992893575563</v>
      </c>
      <c r="G62" s="36">
        <f>G11/F11-1</f>
        <v>0.25651648351648348</v>
      </c>
      <c r="H62" s="36">
        <f>H11/G11-1</f>
        <v>0.19999999999999996</v>
      </c>
      <c r="I62" s="36">
        <f>I11/H11-1</f>
        <v>0.39999999999999991</v>
      </c>
      <c r="J62" s="36">
        <f>J11/I11-1</f>
        <v>0.39999999999999991</v>
      </c>
      <c r="K62" s="36">
        <f>K11/J11-1</f>
        <v>0.39999999999999991</v>
      </c>
      <c r="L62" s="36">
        <f>L11/K11-1</f>
        <v>0.39999999999999991</v>
      </c>
    </row>
    <row r="63" spans="1:122" x14ac:dyDescent="0.15">
      <c r="A63" s="4" t="s">
        <v>81</v>
      </c>
      <c r="C63" s="36">
        <f>C12/B12-1</f>
        <v>0.72518917345750911</v>
      </c>
      <c r="D63" s="36">
        <f>D12/C12-1</f>
        <v>0.13296219757355932</v>
      </c>
      <c r="E63" s="36">
        <f>E12/D12-1</f>
        <v>-1.6267325135561173E-2</v>
      </c>
      <c r="F63" s="36">
        <f>F12/E12-1</f>
        <v>0.26135216952573148</v>
      </c>
      <c r="G63" s="36">
        <f>G12/F12-1</f>
        <v>0.73968999999999996</v>
      </c>
      <c r="H63" s="36">
        <f>H12/G12-1</f>
        <v>0.49999999999999978</v>
      </c>
      <c r="I63" s="36">
        <f>I12/H12-1</f>
        <v>0.25</v>
      </c>
      <c r="J63" s="36">
        <f>J12/I12-1</f>
        <v>0.25</v>
      </c>
      <c r="K63" s="36">
        <f>K12/J12-1</f>
        <v>0.25</v>
      </c>
      <c r="L63" s="36">
        <f>L12/K12-1</f>
        <v>0.25</v>
      </c>
    </row>
  </sheetData>
  <phoneticPr fontId="4" type="noConversion"/>
  <hyperlinks>
    <hyperlink ref="A7" r:id="rId1" xr:uid="{00000000-0004-0000-0000-000000000000}"/>
    <hyperlink ref="A1" r:id="rId2" xr:uid="{00000000-0004-0000-0000-000001000000}"/>
    <hyperlink ref="A4" r:id="rId3" xr:uid="{00000000-0004-0000-0000-000002000000}"/>
    <hyperlink ref="A8" r:id="rId4" xr:uid="{DB848E42-854A-8848-B44C-80A1FDA66BC0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5"/>
  <sheetViews>
    <sheetView zoomScale="120" zoomScaleNormal="12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B15" sqref="AB15"/>
    </sheetView>
  </sheetViews>
  <sheetFormatPr baseColWidth="10" defaultRowHeight="13" x14ac:dyDescent="0.15"/>
  <cols>
    <col min="1" max="1" width="19.5" style="4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2"/>
    <col min="14" max="14" width="10.83203125" style="7"/>
    <col min="15" max="17" width="10.83203125" style="2"/>
    <col min="18" max="18" width="10.83203125" style="46"/>
    <col min="19" max="21" width="10.83203125" style="4"/>
    <col min="22" max="22" width="10.83203125" style="46"/>
    <col min="23" max="25" width="10.83203125" style="4"/>
    <col min="26" max="26" width="10.83203125" style="46"/>
    <col min="27" max="16384" width="10.83203125" style="4"/>
  </cols>
  <sheetData>
    <row r="1" spans="1:29" s="2" customFormat="1" x14ac:dyDescent="0.15">
      <c r="A1" s="1" t="s">
        <v>58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22</v>
      </c>
      <c r="G1" s="2" t="s">
        <v>23</v>
      </c>
      <c r="H1" s="2" t="s">
        <v>24</v>
      </c>
      <c r="I1" s="2" t="s">
        <v>25</v>
      </c>
      <c r="J1" s="5" t="s">
        <v>0</v>
      </c>
      <c r="K1" s="3" t="s">
        <v>1</v>
      </c>
      <c r="L1" s="3" t="s">
        <v>2</v>
      </c>
      <c r="M1" s="3" t="s">
        <v>3</v>
      </c>
      <c r="N1" s="7" t="s">
        <v>82</v>
      </c>
      <c r="O1" s="2" t="s">
        <v>83</v>
      </c>
      <c r="P1" s="2" t="s">
        <v>65</v>
      </c>
      <c r="Q1" s="2" t="s">
        <v>84</v>
      </c>
      <c r="R1" s="7" t="s">
        <v>85</v>
      </c>
      <c r="S1" s="2" t="s">
        <v>86</v>
      </c>
      <c r="T1" s="2" t="s">
        <v>87</v>
      </c>
      <c r="U1" s="2" t="s">
        <v>88</v>
      </c>
      <c r="V1" s="7" t="s">
        <v>85</v>
      </c>
      <c r="W1" s="2" t="s">
        <v>127</v>
      </c>
      <c r="X1" s="2" t="s">
        <v>128</v>
      </c>
      <c r="Y1" s="2" t="s">
        <v>129</v>
      </c>
      <c r="Z1" s="7" t="s">
        <v>136</v>
      </c>
      <c r="AA1" s="2" t="s">
        <v>137</v>
      </c>
      <c r="AB1" s="2" t="s">
        <v>138</v>
      </c>
      <c r="AC1" s="2" t="s">
        <v>139</v>
      </c>
    </row>
    <row r="2" spans="1:29" s="2" customFormat="1" x14ac:dyDescent="0.15">
      <c r="A2" s="1"/>
      <c r="B2" s="2" t="s">
        <v>52</v>
      </c>
      <c r="C2" s="2" t="s">
        <v>51</v>
      </c>
      <c r="D2" s="2" t="s">
        <v>46</v>
      </c>
      <c r="E2" s="2" t="s">
        <v>45</v>
      </c>
      <c r="F2" s="7" t="s">
        <v>44</v>
      </c>
      <c r="G2" s="2" t="s">
        <v>43</v>
      </c>
      <c r="H2" s="2" t="s">
        <v>40</v>
      </c>
      <c r="I2" s="2" t="s">
        <v>38</v>
      </c>
      <c r="J2" s="7" t="s">
        <v>42</v>
      </c>
      <c r="K2" s="2" t="s">
        <v>39</v>
      </c>
      <c r="L2" s="2" t="s">
        <v>41</v>
      </c>
      <c r="M2" s="2" t="s">
        <v>37</v>
      </c>
      <c r="N2" s="7" t="s">
        <v>89</v>
      </c>
      <c r="O2" s="2" t="s">
        <v>90</v>
      </c>
      <c r="P2" s="2" t="s">
        <v>91</v>
      </c>
      <c r="Q2" s="2" t="s">
        <v>92</v>
      </c>
      <c r="R2" s="7" t="s">
        <v>101</v>
      </c>
      <c r="S2" s="2" t="s">
        <v>104</v>
      </c>
      <c r="T2" s="2" t="s">
        <v>105</v>
      </c>
      <c r="U2" s="2" t="s">
        <v>106</v>
      </c>
      <c r="V2" s="58">
        <v>43921</v>
      </c>
      <c r="W2" s="59">
        <v>44012</v>
      </c>
      <c r="X2" s="59">
        <v>44104</v>
      </c>
      <c r="Y2" s="59">
        <v>44196</v>
      </c>
      <c r="Z2" s="7"/>
    </row>
    <row r="3" spans="1:29" s="3" customFormat="1" x14ac:dyDescent="0.15">
      <c r="A3" s="47" t="s">
        <v>107</v>
      </c>
      <c r="F3" s="5"/>
      <c r="J3" s="5"/>
      <c r="N3" s="5">
        <v>281</v>
      </c>
      <c r="O3" s="6">
        <v>306</v>
      </c>
      <c r="P3" s="6">
        <v>314</v>
      </c>
      <c r="Q3" s="6">
        <f>221+35+45</f>
        <v>301</v>
      </c>
      <c r="R3" s="5">
        <v>298</v>
      </c>
      <c r="S3" s="3">
        <v>324</v>
      </c>
      <c r="T3" s="3">
        <v>335</v>
      </c>
      <c r="U3" s="3">
        <v>320</v>
      </c>
      <c r="V3" s="5">
        <v>331</v>
      </c>
      <c r="W3" s="3">
        <v>280</v>
      </c>
      <c r="X3" s="3">
        <v>415</v>
      </c>
      <c r="Y3" s="3">
        <v>423.83800000000002</v>
      </c>
      <c r="Z3" s="5">
        <f>V3*1.25</f>
        <v>413.75</v>
      </c>
    </row>
    <row r="4" spans="1:29" s="47" customFormat="1" x14ac:dyDescent="0.15">
      <c r="A4" s="47" t="s">
        <v>96</v>
      </c>
      <c r="B4" s="3"/>
      <c r="C4" s="3"/>
      <c r="D4" s="3"/>
      <c r="E4" s="3"/>
      <c r="F4" s="5"/>
      <c r="G4" s="3"/>
      <c r="H4" s="3"/>
      <c r="I4" s="3"/>
      <c r="J4" s="5"/>
      <c r="K4" s="3"/>
      <c r="L4" s="3"/>
      <c r="M4" s="3"/>
      <c r="N4" s="5"/>
      <c r="O4" s="6"/>
      <c r="P4" s="6">
        <v>11</v>
      </c>
      <c r="Q4" s="6">
        <v>41.347000000000001</v>
      </c>
      <c r="R4" s="5">
        <v>128</v>
      </c>
      <c r="S4" s="47">
        <v>249</v>
      </c>
      <c r="T4" s="47">
        <v>385</v>
      </c>
      <c r="U4" s="47">
        <v>603</v>
      </c>
      <c r="V4" s="5">
        <v>770</v>
      </c>
      <c r="W4" s="47">
        <v>454</v>
      </c>
      <c r="X4" s="47">
        <v>187</v>
      </c>
      <c r="Y4" s="47">
        <v>304.14499999999998</v>
      </c>
      <c r="Z4" s="54">
        <f>V4*0.8</f>
        <v>616</v>
      </c>
    </row>
    <row r="5" spans="1:29" s="47" customFormat="1" x14ac:dyDescent="0.15">
      <c r="A5" s="47" t="s">
        <v>55</v>
      </c>
      <c r="B5" s="3">
        <v>6.0570000000000004</v>
      </c>
      <c r="C5" s="3">
        <v>12.53</v>
      </c>
      <c r="D5" s="3">
        <v>10.957000000000001</v>
      </c>
      <c r="E5" s="3">
        <v>11.688000000000001</v>
      </c>
      <c r="F5" s="5">
        <v>16.454000000000001</v>
      </c>
      <c r="G5" s="3">
        <v>18.391999999999999</v>
      </c>
      <c r="H5" s="3">
        <v>19.774999999999999</v>
      </c>
      <c r="I5" s="3">
        <v>16.512</v>
      </c>
      <c r="J5" s="5">
        <v>20.27</v>
      </c>
      <c r="K5" s="3">
        <v>20.936</v>
      </c>
      <c r="L5" s="3">
        <v>20.869</v>
      </c>
      <c r="M5" s="3">
        <v>18.515999999999998</v>
      </c>
      <c r="N5" s="5">
        <v>19</v>
      </c>
      <c r="O5" s="6">
        <v>19</v>
      </c>
      <c r="P5" s="6">
        <v>18</v>
      </c>
      <c r="Q5" s="6">
        <v>23.28</v>
      </c>
      <c r="R5" s="5">
        <v>27</v>
      </c>
      <c r="S5" s="47">
        <v>27</v>
      </c>
      <c r="T5" s="47">
        <v>25</v>
      </c>
      <c r="U5" s="47">
        <v>21</v>
      </c>
      <c r="V5" s="5">
        <v>25</v>
      </c>
      <c r="W5" s="47">
        <v>34</v>
      </c>
      <c r="X5" s="47">
        <v>54</v>
      </c>
      <c r="Y5" s="47">
        <v>60.969000000000001</v>
      </c>
      <c r="Z5" s="54">
        <f>V5*1.5</f>
        <v>37.5</v>
      </c>
    </row>
    <row r="6" spans="1:29" x14ac:dyDescent="0.15">
      <c r="B6" s="3"/>
      <c r="C6" s="3"/>
      <c r="D6" s="3"/>
      <c r="E6" s="3"/>
      <c r="F6" s="5"/>
      <c r="G6" s="3"/>
      <c r="H6" s="3"/>
      <c r="I6" s="3"/>
      <c r="J6" s="5"/>
      <c r="K6" s="3"/>
      <c r="L6" s="3"/>
      <c r="M6" s="3"/>
      <c r="N6" s="5"/>
      <c r="O6" s="6"/>
      <c r="P6" s="6"/>
      <c r="Q6" s="6"/>
      <c r="R6" s="5"/>
      <c r="V6" s="5"/>
    </row>
    <row r="7" spans="1:29" x14ac:dyDescent="0.15">
      <c r="A7" s="4" t="s">
        <v>53</v>
      </c>
      <c r="B7" s="3">
        <v>93.311999999999998</v>
      </c>
      <c r="C7" s="3">
        <v>122.55800000000001</v>
      </c>
      <c r="D7" s="3">
        <v>129.66200000000001</v>
      </c>
      <c r="E7" s="3">
        <f>124.396+0.005</f>
        <v>124.401</v>
      </c>
      <c r="F7" s="5">
        <v>134.529</v>
      </c>
      <c r="G7" s="3">
        <v>147.10599999999999</v>
      </c>
      <c r="H7" s="3">
        <v>158.322</v>
      </c>
      <c r="I7" s="3">
        <v>164.33500000000001</v>
      </c>
      <c r="J7" s="5">
        <v>175.30099999999999</v>
      </c>
      <c r="K7" s="3">
        <v>189.72499999999999</v>
      </c>
      <c r="L7" s="3">
        <v>197.054</v>
      </c>
      <c r="M7" s="3">
        <v>199.51400000000001</v>
      </c>
      <c r="N7" s="5"/>
      <c r="O7" s="6"/>
      <c r="P7" s="6"/>
      <c r="Q7" s="6"/>
      <c r="R7" s="5"/>
      <c r="V7" s="5"/>
    </row>
    <row r="8" spans="1:29" x14ac:dyDescent="0.15">
      <c r="A8" s="4" t="s">
        <v>94</v>
      </c>
      <c r="B8" s="3"/>
      <c r="C8" s="3"/>
      <c r="D8" s="3"/>
      <c r="E8" s="3"/>
      <c r="F8" s="5"/>
      <c r="G8" s="3"/>
      <c r="H8" s="3"/>
      <c r="I8" s="3"/>
      <c r="J8" s="5">
        <v>21.545000000000002</v>
      </c>
      <c r="K8" s="3">
        <v>23.71</v>
      </c>
      <c r="L8" s="3">
        <v>28.437999999999999</v>
      </c>
      <c r="M8" s="3"/>
      <c r="N8" s="5"/>
      <c r="O8" s="6"/>
      <c r="P8" s="6"/>
      <c r="Q8" s="6"/>
      <c r="R8" s="5"/>
      <c r="V8" s="5"/>
    </row>
    <row r="9" spans="1:29" x14ac:dyDescent="0.15">
      <c r="A9" s="4" t="s">
        <v>95</v>
      </c>
      <c r="B9" s="3"/>
      <c r="C9" s="3"/>
      <c r="D9" s="3"/>
      <c r="E9" s="3"/>
      <c r="F9" s="5"/>
      <c r="G9" s="3"/>
      <c r="H9" s="3"/>
      <c r="I9" s="3"/>
      <c r="J9" s="5">
        <v>28.658999999999999</v>
      </c>
      <c r="K9" s="3">
        <v>32.478999999999999</v>
      </c>
      <c r="L9" s="3">
        <v>35.478000000000002</v>
      </c>
      <c r="M9" s="3"/>
      <c r="N9" s="5"/>
      <c r="O9" s="6"/>
      <c r="P9" s="6"/>
      <c r="Q9" s="6"/>
      <c r="R9" s="5"/>
      <c r="V9" s="5"/>
    </row>
    <row r="10" spans="1:29" x14ac:dyDescent="0.15">
      <c r="A10" s="4" t="s">
        <v>54</v>
      </c>
      <c r="B10" s="3">
        <v>9.5579999999999998</v>
      </c>
      <c r="C10" s="3">
        <v>10.393000000000001</v>
      </c>
      <c r="D10" s="3">
        <v>12.624000000000001</v>
      </c>
      <c r="E10" s="3">
        <v>12.164</v>
      </c>
      <c r="F10" s="5">
        <v>17.978000000000002</v>
      </c>
      <c r="G10" s="3">
        <v>26.07</v>
      </c>
      <c r="H10" s="3">
        <v>28.798999999999999</v>
      </c>
      <c r="I10" s="3">
        <v>29.788</v>
      </c>
      <c r="J10" s="5"/>
      <c r="K10" s="3"/>
      <c r="L10" s="3"/>
      <c r="M10" s="3">
        <v>47.564</v>
      </c>
      <c r="N10" s="5"/>
      <c r="O10" s="6"/>
      <c r="P10" s="6"/>
      <c r="Q10" s="6"/>
      <c r="R10" s="5"/>
      <c r="V10" s="5"/>
    </row>
    <row r="11" spans="1:29" x14ac:dyDescent="0.15">
      <c r="A11" s="4" t="s">
        <v>56</v>
      </c>
      <c r="B11" s="3">
        <v>18.346</v>
      </c>
      <c r="C11" s="3">
        <v>25.788</v>
      </c>
      <c r="D11" s="3">
        <v>23.521999999999998</v>
      </c>
      <c r="E11" s="3">
        <v>21.117000000000001</v>
      </c>
      <c r="F11" s="5">
        <v>17.021000000000001</v>
      </c>
      <c r="G11" s="3">
        <v>16.835000000000001</v>
      </c>
      <c r="H11" s="3">
        <v>17.696000000000002</v>
      </c>
      <c r="I11" s="3">
        <v>16.977</v>
      </c>
      <c r="J11" s="5"/>
      <c r="K11" s="3"/>
      <c r="L11" s="3"/>
      <c r="M11" s="3">
        <v>16.736000000000001</v>
      </c>
      <c r="N11" s="5"/>
      <c r="O11" s="6"/>
      <c r="P11" s="6"/>
      <c r="Q11" s="6"/>
      <c r="R11" s="5"/>
      <c r="V11" s="5"/>
    </row>
    <row r="12" spans="1:29" s="63" customFormat="1" x14ac:dyDescent="0.15">
      <c r="F12" s="64"/>
      <c r="J12" s="64"/>
      <c r="K12" s="49"/>
      <c r="L12" s="49"/>
      <c r="M12" s="49"/>
      <c r="N12" s="64"/>
      <c r="O12" s="49"/>
      <c r="P12" s="49"/>
      <c r="Q12" s="49">
        <v>340</v>
      </c>
      <c r="R12" s="64"/>
      <c r="V12" s="64"/>
      <c r="Z12" s="64">
        <v>1069</v>
      </c>
    </row>
    <row r="13" spans="1:29" s="60" customFormat="1" x14ac:dyDescent="0.15">
      <c r="A13" s="60" t="s">
        <v>4</v>
      </c>
      <c r="B13" s="37">
        <f>SUM(B3:B11)</f>
        <v>127.273</v>
      </c>
      <c r="C13" s="37">
        <f>SUM(C3:C11)</f>
        <v>171.26900000000001</v>
      </c>
      <c r="D13" s="37">
        <f>SUM(D3:D11)</f>
        <v>176.76499999999999</v>
      </c>
      <c r="E13" s="37" t="e">
        <f>#REF!*#REF!</f>
        <v>#REF!</v>
      </c>
      <c r="F13" s="38" t="e">
        <f>#REF!*#REF!</f>
        <v>#REF!</v>
      </c>
      <c r="G13" s="37" t="e">
        <f>#REF!*#REF!</f>
        <v>#REF!</v>
      </c>
      <c r="H13" s="37" t="e">
        <f>#REF!*#REF!</f>
        <v>#REF!</v>
      </c>
      <c r="I13" s="37" t="e">
        <f>#REF!*#REF!</f>
        <v>#REF!</v>
      </c>
      <c r="J13" s="38" t="e">
        <f>#REF!*#REF!</f>
        <v>#REF!</v>
      </c>
      <c r="K13" s="37" t="e">
        <f>#REF!*#REF!</f>
        <v>#REF!</v>
      </c>
      <c r="L13" s="37" t="e">
        <f>#REF!*#REF!</f>
        <v>#REF!</v>
      </c>
      <c r="M13" s="37" t="e">
        <f>#REF!*#REF!</f>
        <v>#REF!</v>
      </c>
      <c r="N13" s="38" t="e">
        <f>#REF!*#REF!</f>
        <v>#REF!</v>
      </c>
      <c r="O13" s="37" t="e">
        <f>#REF!*#REF!</f>
        <v>#REF!</v>
      </c>
      <c r="P13" s="37">
        <f>SUM(P3:P5)</f>
        <v>343</v>
      </c>
      <c r="Q13" s="37">
        <f>SUM(Q3:Q5)</f>
        <v>365.62699999999995</v>
      </c>
      <c r="R13" s="38">
        <f>SUM(R3:R5)</f>
        <v>453</v>
      </c>
      <c r="S13" s="37">
        <f>SUM(S3:S5)</f>
        <v>600</v>
      </c>
      <c r="T13" s="37">
        <f>SUM(T3:T5)</f>
        <v>745</v>
      </c>
      <c r="U13" s="37">
        <f>SUM(U3:U5)</f>
        <v>944</v>
      </c>
      <c r="V13" s="38">
        <f>SUM(V3:V5)</f>
        <v>1126</v>
      </c>
      <c r="W13" s="37">
        <f>SUM(W3:W5)</f>
        <v>768</v>
      </c>
      <c r="X13" s="37">
        <f>SUM(X3:X5)</f>
        <v>656</v>
      </c>
      <c r="Y13" s="37">
        <f>SUM(Y3:Y5)</f>
        <v>788.952</v>
      </c>
      <c r="Z13" s="38">
        <f>SUM(Z3:Z5)</f>
        <v>1067.25</v>
      </c>
    </row>
    <row r="14" spans="1:29" s="47" customFormat="1" x14ac:dyDescent="0.15">
      <c r="A14" s="47" t="s">
        <v>5</v>
      </c>
      <c r="B14" s="6">
        <v>13.019</v>
      </c>
      <c r="C14" s="6">
        <v>17.036999999999999</v>
      </c>
      <c r="D14" s="6">
        <v>16.452999999999999</v>
      </c>
      <c r="E14" s="6">
        <v>15.105</v>
      </c>
      <c r="F14" s="5">
        <v>16.202999999999999</v>
      </c>
      <c r="G14" s="3">
        <v>16.745000000000001</v>
      </c>
      <c r="H14" s="3">
        <v>17.608000000000001</v>
      </c>
      <c r="I14" s="3">
        <v>19.664999999999999</v>
      </c>
      <c r="J14" s="5">
        <v>20.231999999999999</v>
      </c>
      <c r="K14" s="6">
        <v>20.260000000000002</v>
      </c>
      <c r="L14" s="6">
        <v>22.152000000000001</v>
      </c>
      <c r="M14" s="6">
        <v>22.559000000000001</v>
      </c>
      <c r="N14" s="5">
        <v>23.919</v>
      </c>
      <c r="O14" s="6">
        <v>25.527000000000001</v>
      </c>
      <c r="P14" s="6">
        <v>36.671999999999997</v>
      </c>
      <c r="Q14" s="6">
        <v>67.471999999999994</v>
      </c>
      <c r="R14" s="5">
        <v>151.34800000000001</v>
      </c>
      <c r="S14" s="47">
        <v>271</v>
      </c>
      <c r="T14" s="47">
        <v>400</v>
      </c>
      <c r="U14" s="47">
        <v>607</v>
      </c>
      <c r="V14" s="5">
        <v>762</v>
      </c>
      <c r="W14" s="47">
        <v>461</v>
      </c>
      <c r="X14" s="47">
        <v>216</v>
      </c>
      <c r="Y14" s="47">
        <v>317.428</v>
      </c>
      <c r="Z14" s="54"/>
    </row>
    <row r="15" spans="1:29" s="47" customFormat="1" x14ac:dyDescent="0.15">
      <c r="A15" s="47" t="s">
        <v>6</v>
      </c>
      <c r="B15" s="39">
        <f>B13-B14</f>
        <v>114.25399999999999</v>
      </c>
      <c r="C15" s="39">
        <f>C13-C14</f>
        <v>154.232</v>
      </c>
      <c r="D15" s="39">
        <f>D13-D14</f>
        <v>160.31199999999998</v>
      </c>
      <c r="E15" s="39" t="e">
        <f>E13-E14</f>
        <v>#REF!</v>
      </c>
      <c r="F15" s="40" t="e">
        <f>F13-F14</f>
        <v>#REF!</v>
      </c>
      <c r="G15" s="41" t="e">
        <f t="shared" ref="G15:M15" si="0">G13-G14</f>
        <v>#REF!</v>
      </c>
      <c r="H15" s="41" t="e">
        <f t="shared" si="0"/>
        <v>#REF!</v>
      </c>
      <c r="I15" s="41" t="e">
        <f t="shared" si="0"/>
        <v>#REF!</v>
      </c>
      <c r="J15" s="40" t="e">
        <f t="shared" si="0"/>
        <v>#REF!</v>
      </c>
      <c r="K15" s="39" t="e">
        <f t="shared" si="0"/>
        <v>#REF!</v>
      </c>
      <c r="L15" s="39" t="e">
        <f t="shared" si="0"/>
        <v>#REF!</v>
      </c>
      <c r="M15" s="39" t="e">
        <f t="shared" si="0"/>
        <v>#REF!</v>
      </c>
      <c r="N15" s="40" t="e">
        <f t="shared" ref="N15" si="1">N13-N14</f>
        <v>#REF!</v>
      </c>
      <c r="O15" s="39" t="e">
        <f t="shared" ref="O15:S15" si="2">O13-O14</f>
        <v>#REF!</v>
      </c>
      <c r="P15" s="39">
        <f t="shared" si="2"/>
        <v>306.32799999999997</v>
      </c>
      <c r="Q15" s="39">
        <f t="shared" si="2"/>
        <v>298.15499999999997</v>
      </c>
      <c r="R15" s="40">
        <f t="shared" si="2"/>
        <v>301.65199999999999</v>
      </c>
      <c r="S15" s="39">
        <f t="shared" si="2"/>
        <v>329</v>
      </c>
      <c r="T15" s="39">
        <f t="shared" ref="T15:V15" si="3">T13-T14</f>
        <v>345</v>
      </c>
      <c r="U15" s="39">
        <f t="shared" si="3"/>
        <v>337</v>
      </c>
      <c r="V15" s="40">
        <f t="shared" si="3"/>
        <v>364</v>
      </c>
      <c r="W15" s="39">
        <f>W13-W14</f>
        <v>307</v>
      </c>
      <c r="X15" s="39">
        <f>X13-X14</f>
        <v>440</v>
      </c>
      <c r="Y15" s="39">
        <f>Y13-Y14</f>
        <v>471.524</v>
      </c>
      <c r="Z15" s="54"/>
    </row>
    <row r="16" spans="1:29" s="47" customFormat="1" x14ac:dyDescent="0.15">
      <c r="A16" s="47" t="s">
        <v>7</v>
      </c>
      <c r="B16" s="6">
        <v>37.325000000000003</v>
      </c>
      <c r="C16" s="6">
        <v>51.74</v>
      </c>
      <c r="D16" s="6">
        <v>53.718000000000004</v>
      </c>
      <c r="E16" s="6">
        <v>55.781999999999996</v>
      </c>
      <c r="F16" s="5">
        <v>60.371000000000002</v>
      </c>
      <c r="G16" s="3">
        <v>63.396000000000001</v>
      </c>
      <c r="H16" s="3">
        <v>64.495999999999995</v>
      </c>
      <c r="I16" s="3">
        <v>72.057000000000002</v>
      </c>
      <c r="J16" s="5">
        <v>72.867999999999995</v>
      </c>
      <c r="K16" s="6">
        <v>78.540999999999997</v>
      </c>
      <c r="L16" s="6">
        <v>83.388999999999996</v>
      </c>
      <c r="M16" s="6">
        <v>85.186999999999998</v>
      </c>
      <c r="N16" s="5">
        <v>93.933000000000007</v>
      </c>
      <c r="O16" s="6">
        <v>100.376</v>
      </c>
      <c r="P16" s="6">
        <v>105.31399999999999</v>
      </c>
      <c r="Q16" s="6">
        <v>111.19499999999999</v>
      </c>
      <c r="R16" s="5">
        <v>107.77</v>
      </c>
      <c r="S16" s="47">
        <v>120</v>
      </c>
      <c r="T16" s="47">
        <v>124</v>
      </c>
      <c r="U16" s="47">
        <v>125</v>
      </c>
      <c r="V16" s="5">
        <v>135</v>
      </c>
      <c r="W16" s="47">
        <v>129</v>
      </c>
      <c r="X16" s="47">
        <v>127</v>
      </c>
      <c r="Y16" s="47">
        <v>127</v>
      </c>
      <c r="Z16" s="54"/>
    </row>
    <row r="17" spans="1:26" s="47" customFormat="1" x14ac:dyDescent="0.15">
      <c r="A17" s="47" t="s">
        <v>8</v>
      </c>
      <c r="B17" s="6">
        <v>59.286000000000001</v>
      </c>
      <c r="C17" s="6">
        <v>87.941999999999993</v>
      </c>
      <c r="D17" s="6">
        <v>82.043999999999997</v>
      </c>
      <c r="E17" s="6">
        <v>77.816999999999993</v>
      </c>
      <c r="F17" s="5">
        <v>99.100999999999999</v>
      </c>
      <c r="G17" s="3">
        <v>99.629000000000005</v>
      </c>
      <c r="H17" s="3">
        <v>93.18</v>
      </c>
      <c r="I17" s="3">
        <v>90.108999999999995</v>
      </c>
      <c r="J17" s="5">
        <v>105.94</v>
      </c>
      <c r="K17" s="6">
        <v>131.21799999999999</v>
      </c>
      <c r="L17" s="6">
        <v>107.108</v>
      </c>
      <c r="M17" s="6">
        <v>103.935</v>
      </c>
      <c r="N17" s="5">
        <v>137.291</v>
      </c>
      <c r="O17" s="6">
        <v>147.727</v>
      </c>
      <c r="P17" s="6">
        <v>128.73400000000001</v>
      </c>
      <c r="Q17" s="6">
        <v>138.869</v>
      </c>
      <c r="R17" s="5">
        <v>161.58699999999999</v>
      </c>
      <c r="S17" s="47">
        <v>187</v>
      </c>
      <c r="T17" s="47">
        <v>181</v>
      </c>
      <c r="U17" s="47">
        <v>184</v>
      </c>
      <c r="V17" s="5">
        <v>205</v>
      </c>
      <c r="W17" s="47">
        <v>156</v>
      </c>
      <c r="X17" s="47">
        <v>151</v>
      </c>
      <c r="Y17" s="47">
        <v>162</v>
      </c>
      <c r="Z17" s="54"/>
    </row>
    <row r="18" spans="1:26" s="47" customFormat="1" x14ac:dyDescent="0.15">
      <c r="A18" s="47" t="s">
        <v>9</v>
      </c>
      <c r="B18" s="6">
        <f>38.024+12.477+25.065</f>
        <v>75.566000000000003</v>
      </c>
      <c r="C18" s="6">
        <f>43.81+1.679+6.652</f>
        <v>52.141000000000005</v>
      </c>
      <c r="D18" s="6">
        <f>42.672+1.988+3.425+4.143</f>
        <v>52.227999999999994</v>
      </c>
      <c r="E18" s="6">
        <f>45.939+0.432+0.409+0.225</f>
        <v>47.005000000000003</v>
      </c>
      <c r="F18" s="5">
        <f>57.791+0.593</f>
        <v>58.384</v>
      </c>
      <c r="G18" s="3">
        <f>183.759+0.204</f>
        <v>183.96299999999999</v>
      </c>
      <c r="H18" s="3">
        <f>42.625+0.093-1.251</f>
        <v>41.467000000000006</v>
      </c>
      <c r="I18" s="3">
        <f>42.536+0.533</f>
        <v>43.069000000000003</v>
      </c>
      <c r="J18" s="5">
        <f>45.466+0.105</f>
        <v>45.570999999999998</v>
      </c>
      <c r="K18" s="6">
        <f>53.346+0.043</f>
        <v>53.388999999999996</v>
      </c>
      <c r="L18" s="6">
        <f>54.226+0.218</f>
        <v>54.444000000000003</v>
      </c>
      <c r="M18" s="6">
        <f>57.778+174+0.097</f>
        <v>231.875</v>
      </c>
      <c r="N18" s="5">
        <f>56.073+0.027</f>
        <v>56.1</v>
      </c>
      <c r="O18" s="6">
        <f>60.579+0.632</f>
        <v>61.210999999999999</v>
      </c>
      <c r="P18" s="6">
        <f>70.743+10+1.505+0.523</f>
        <v>82.770999999999987</v>
      </c>
      <c r="Q18" s="6">
        <f>74.758+69+0.268+1.492</f>
        <v>145.51799999999997</v>
      </c>
      <c r="R18" s="5">
        <f>95.774+0.352</f>
        <v>96.126000000000005</v>
      </c>
      <c r="S18" s="47">
        <v>83</v>
      </c>
      <c r="T18" s="47">
        <v>88</v>
      </c>
      <c r="U18" s="47">
        <v>99</v>
      </c>
      <c r="V18" s="5">
        <f>92+77</f>
        <v>169</v>
      </c>
      <c r="W18" s="47">
        <v>86</v>
      </c>
      <c r="X18" s="47">
        <v>86</v>
      </c>
      <c r="Y18" s="47">
        <v>93</v>
      </c>
      <c r="Z18" s="54"/>
    </row>
    <row r="19" spans="1:26" s="47" customFormat="1" x14ac:dyDescent="0.15">
      <c r="A19" s="47" t="s">
        <v>10</v>
      </c>
      <c r="B19" s="39">
        <f>SUM(B16:B18)</f>
        <v>172.17700000000002</v>
      </c>
      <c r="C19" s="39">
        <f>SUM(C16:C18)</f>
        <v>191.82299999999998</v>
      </c>
      <c r="D19" s="39">
        <f>SUM(D16:D18)</f>
        <v>187.99</v>
      </c>
      <c r="E19" s="39">
        <f>SUM(E16:E18)</f>
        <v>180.60399999999998</v>
      </c>
      <c r="F19" s="40">
        <f>SUM(F16:F18)</f>
        <v>217.85599999999999</v>
      </c>
      <c r="G19" s="41">
        <f t="shared" ref="G19:M19" si="4">SUM(G16:G18)</f>
        <v>346.988</v>
      </c>
      <c r="H19" s="41">
        <f t="shared" si="4"/>
        <v>199.143</v>
      </c>
      <c r="I19" s="41">
        <f t="shared" si="4"/>
        <v>205.23500000000001</v>
      </c>
      <c r="J19" s="40">
        <f t="shared" si="4"/>
        <v>224.37899999999999</v>
      </c>
      <c r="K19" s="39">
        <f t="shared" si="4"/>
        <v>263.14799999999997</v>
      </c>
      <c r="L19" s="39">
        <f t="shared" si="4"/>
        <v>244.94100000000003</v>
      </c>
      <c r="M19" s="39">
        <f t="shared" si="4"/>
        <v>420.99700000000001</v>
      </c>
      <c r="N19" s="40">
        <f t="shared" ref="N19" si="5">SUM(N16:N18)</f>
        <v>287.32400000000001</v>
      </c>
      <c r="O19" s="39">
        <f t="shared" ref="O19:R19" si="6">SUM(O16:O18)</f>
        <v>309.31400000000002</v>
      </c>
      <c r="P19" s="39">
        <f t="shared" si="6"/>
        <v>316.81899999999996</v>
      </c>
      <c r="Q19" s="39">
        <f t="shared" si="6"/>
        <v>395.58199999999999</v>
      </c>
      <c r="R19" s="40">
        <f t="shared" si="6"/>
        <v>365.48299999999995</v>
      </c>
      <c r="S19" s="39">
        <f t="shared" ref="S19:T19" si="7">SUM(S16:S18)</f>
        <v>390</v>
      </c>
      <c r="T19" s="39">
        <f t="shared" si="7"/>
        <v>393</v>
      </c>
      <c r="U19" s="39">
        <f t="shared" ref="U19:W19" si="8">SUM(U16:U18)</f>
        <v>408</v>
      </c>
      <c r="V19" s="40">
        <f t="shared" si="8"/>
        <v>509</v>
      </c>
      <c r="W19" s="39">
        <f t="shared" si="8"/>
        <v>371</v>
      </c>
      <c r="X19" s="39">
        <f t="shared" ref="X19:Y19" si="9">SUM(X16:X18)</f>
        <v>364</v>
      </c>
      <c r="Y19" s="39">
        <f t="shared" si="9"/>
        <v>382</v>
      </c>
      <c r="Z19" s="54"/>
    </row>
    <row r="20" spans="1:26" s="47" customFormat="1" x14ac:dyDescent="0.15">
      <c r="A20" s="47" t="s">
        <v>11</v>
      </c>
      <c r="B20" s="39">
        <f>B15-B19</f>
        <v>-57.92300000000003</v>
      </c>
      <c r="C20" s="39">
        <f>C15-C19</f>
        <v>-37.59099999999998</v>
      </c>
      <c r="D20" s="39">
        <f>D15-D19</f>
        <v>-27.678000000000026</v>
      </c>
      <c r="E20" s="39" t="e">
        <f>E15-E19</f>
        <v>#REF!</v>
      </c>
      <c r="F20" s="40" t="e">
        <f>F15-F19</f>
        <v>#REF!</v>
      </c>
      <c r="G20" s="41" t="e">
        <f t="shared" ref="G20" si="10">G15-G19</f>
        <v>#REF!</v>
      </c>
      <c r="H20" s="41" t="e">
        <f t="shared" ref="H20:N20" si="11">H15-H19</f>
        <v>#REF!</v>
      </c>
      <c r="I20" s="41" t="e">
        <f t="shared" si="11"/>
        <v>#REF!</v>
      </c>
      <c r="J20" s="40" t="e">
        <f>J15-J19</f>
        <v>#REF!</v>
      </c>
      <c r="K20" s="39" t="e">
        <f t="shared" si="11"/>
        <v>#REF!</v>
      </c>
      <c r="L20" s="39" t="e">
        <f t="shared" si="11"/>
        <v>#REF!</v>
      </c>
      <c r="M20" s="39" t="e">
        <f t="shared" si="11"/>
        <v>#REF!</v>
      </c>
      <c r="N20" s="40" t="e">
        <f t="shared" si="11"/>
        <v>#REF!</v>
      </c>
      <c r="O20" s="39" t="e">
        <f t="shared" ref="O20:R20" si="12">O15-O19</f>
        <v>#REF!</v>
      </c>
      <c r="P20" s="39">
        <f t="shared" si="12"/>
        <v>-10.490999999999985</v>
      </c>
      <c r="Q20" s="39">
        <f t="shared" si="12"/>
        <v>-97.427000000000021</v>
      </c>
      <c r="R20" s="40">
        <f t="shared" si="12"/>
        <v>-63.83099999999996</v>
      </c>
      <c r="S20" s="39">
        <f t="shared" ref="S20:T20" si="13">S15-S19</f>
        <v>-61</v>
      </c>
      <c r="T20" s="39">
        <f t="shared" si="13"/>
        <v>-48</v>
      </c>
      <c r="U20" s="39">
        <f t="shared" ref="U20:W20" si="14">U15-U19</f>
        <v>-71</v>
      </c>
      <c r="V20" s="40">
        <f t="shared" si="14"/>
        <v>-145</v>
      </c>
      <c r="W20" s="39">
        <f t="shared" si="14"/>
        <v>-64</v>
      </c>
      <c r="X20" s="39">
        <f t="shared" ref="X20:Y20" si="15">X15-X19</f>
        <v>76</v>
      </c>
      <c r="Y20" s="39">
        <f t="shared" si="15"/>
        <v>89.524000000000001</v>
      </c>
      <c r="Z20" s="54"/>
    </row>
    <row r="21" spans="1:26" s="47" customFormat="1" x14ac:dyDescent="0.15">
      <c r="A21" s="47" t="s">
        <v>12</v>
      </c>
      <c r="B21" s="6">
        <f>0.269-0.73</f>
        <v>-0.46099999999999997</v>
      </c>
      <c r="C21" s="6">
        <f>0.45-1.58</f>
        <v>-1.1300000000000001</v>
      </c>
      <c r="D21" s="6">
        <f>0.366-1.59</f>
        <v>-1.2240000000000002</v>
      </c>
      <c r="E21" s="6">
        <f>0.416-1.589</f>
        <v>-1.173</v>
      </c>
      <c r="F21" s="5">
        <f>0.681-1.573</f>
        <v>-0.8919999999999999</v>
      </c>
      <c r="G21" s="3">
        <f>0.753-1.572</f>
        <v>-0.81900000000000006</v>
      </c>
      <c r="H21" s="3">
        <f>0.561-1.595</f>
        <v>-1.0339999999999998</v>
      </c>
      <c r="I21" s="3">
        <f>0.716-2.668-22.757</f>
        <v>-24.709000000000003</v>
      </c>
      <c r="J21" s="5">
        <f>0.953-6.723</f>
        <v>-5.77</v>
      </c>
      <c r="K21" s="6">
        <f>1.61-6.897</f>
        <v>-5.2869999999999999</v>
      </c>
      <c r="L21" s="6">
        <f>1.407-6.906</f>
        <v>-5.4989999999999997</v>
      </c>
      <c r="M21" s="6">
        <f>1.415-6.991</f>
        <v>-5.5759999999999996</v>
      </c>
      <c r="N21" s="5">
        <f>2.446-7.073</f>
        <v>-4.6270000000000007</v>
      </c>
      <c r="O21" s="6">
        <f>3.089-7.187</f>
        <v>-4.0980000000000008</v>
      </c>
      <c r="P21" s="6">
        <f>7.773-12.668</f>
        <v>-4.8949999999999996</v>
      </c>
      <c r="Q21" s="50">
        <f>5.962-14.327</f>
        <v>-8.3650000000000002</v>
      </c>
      <c r="R21" s="5">
        <f>9.168-16.466</f>
        <v>-7.2980000000000018</v>
      </c>
      <c r="S21" s="47">
        <f>9-19</f>
        <v>-10</v>
      </c>
      <c r="T21" s="47">
        <f>9-27</f>
        <v>-18</v>
      </c>
      <c r="U21" s="47">
        <f>12-40</f>
        <v>-28</v>
      </c>
      <c r="V21" s="5">
        <f>9-38</f>
        <v>-29</v>
      </c>
      <c r="W21" s="47">
        <f>6+10-38</f>
        <v>-22</v>
      </c>
      <c r="X21" s="47">
        <f>3-39</f>
        <v>-36</v>
      </c>
      <c r="Y21" s="47">
        <f>-5+3-41</f>
        <v>-43</v>
      </c>
      <c r="Z21" s="54"/>
    </row>
    <row r="22" spans="1:26" s="47" customFormat="1" x14ac:dyDescent="0.15">
      <c r="A22" s="47" t="s">
        <v>13</v>
      </c>
      <c r="B22" s="39">
        <f>B20+B21</f>
        <v>-58.384000000000029</v>
      </c>
      <c r="C22" s="39">
        <f>C20+C21</f>
        <v>-38.720999999999982</v>
      </c>
      <c r="D22" s="39">
        <f>D20+D21</f>
        <v>-28.902000000000026</v>
      </c>
      <c r="E22" s="39" t="e">
        <f>E20+E21</f>
        <v>#REF!</v>
      </c>
      <c r="F22" s="40" t="e">
        <f>F20+F21</f>
        <v>#REF!</v>
      </c>
      <c r="G22" s="41" t="e">
        <f t="shared" ref="G22:I22" si="16">G20+G21</f>
        <v>#REF!</v>
      </c>
      <c r="H22" s="41" t="e">
        <f t="shared" si="16"/>
        <v>#REF!</v>
      </c>
      <c r="I22" s="41" t="e">
        <f t="shared" si="16"/>
        <v>#REF!</v>
      </c>
      <c r="J22" s="40" t="e">
        <f t="shared" ref="J22:K22" si="17">J20+J21</f>
        <v>#REF!</v>
      </c>
      <c r="K22" s="39" t="e">
        <f t="shared" si="17"/>
        <v>#REF!</v>
      </c>
      <c r="L22" s="39" t="e">
        <f t="shared" ref="L22:M22" si="18">L20+L21</f>
        <v>#REF!</v>
      </c>
      <c r="M22" s="39" t="e">
        <f t="shared" si="18"/>
        <v>#REF!</v>
      </c>
      <c r="N22" s="40" t="e">
        <f t="shared" ref="N22" si="19">N20+N21</f>
        <v>#REF!</v>
      </c>
      <c r="O22" s="39" t="e">
        <f t="shared" ref="O22:S22" si="20">O20+O21</f>
        <v>#REF!</v>
      </c>
      <c r="P22" s="39">
        <f t="shared" si="20"/>
        <v>-15.385999999999985</v>
      </c>
      <c r="Q22" s="39">
        <f t="shared" si="20"/>
        <v>-105.79200000000002</v>
      </c>
      <c r="R22" s="40">
        <f t="shared" si="20"/>
        <v>-71.128999999999962</v>
      </c>
      <c r="S22" s="39">
        <f t="shared" si="20"/>
        <v>-71</v>
      </c>
      <c r="T22" s="39">
        <f t="shared" ref="T22:Y22" si="21">T20+T21</f>
        <v>-66</v>
      </c>
      <c r="U22" s="39">
        <f t="shared" si="21"/>
        <v>-99</v>
      </c>
      <c r="V22" s="40">
        <f t="shared" si="21"/>
        <v>-174</v>
      </c>
      <c r="W22" s="39">
        <f t="shared" si="21"/>
        <v>-86</v>
      </c>
      <c r="X22" s="39">
        <f t="shared" si="21"/>
        <v>40</v>
      </c>
      <c r="Y22" s="39">
        <f t="shared" si="21"/>
        <v>46.524000000000001</v>
      </c>
      <c r="Z22" s="54"/>
    </row>
    <row r="23" spans="1:26" s="47" customFormat="1" x14ac:dyDescent="0.15">
      <c r="A23" s="47" t="s">
        <v>14</v>
      </c>
      <c r="B23" s="6">
        <v>0</v>
      </c>
      <c r="C23" s="6">
        <v>0</v>
      </c>
      <c r="D23" s="6">
        <v>-2.8530000000000002</v>
      </c>
      <c r="E23" s="6">
        <v>-1.792</v>
      </c>
      <c r="F23" s="5">
        <v>-1.3640000000000001</v>
      </c>
      <c r="G23" s="3">
        <v>0</v>
      </c>
      <c r="H23" s="3">
        <v>0</v>
      </c>
      <c r="I23" s="3">
        <v>1.494</v>
      </c>
      <c r="J23" s="5">
        <v>0</v>
      </c>
      <c r="K23" s="6">
        <v>0</v>
      </c>
      <c r="L23" s="6">
        <v>4.1000000000000002E-2</v>
      </c>
      <c r="M23" s="6">
        <v>-89.626999999999995</v>
      </c>
      <c r="N23" s="5">
        <v>2.6</v>
      </c>
      <c r="O23" s="6">
        <v>-10.6</v>
      </c>
      <c r="P23" s="6">
        <v>-14.7</v>
      </c>
      <c r="Q23" s="50">
        <v>-8.4019999999999992</v>
      </c>
      <c r="R23" s="5">
        <v>-2.5</v>
      </c>
      <c r="S23" s="47">
        <v>0</v>
      </c>
      <c r="T23" s="47">
        <v>-1</v>
      </c>
      <c r="U23" s="47">
        <v>0</v>
      </c>
      <c r="V23" s="5">
        <v>-9</v>
      </c>
      <c r="W23" s="47">
        <v>1</v>
      </c>
      <c r="X23" s="47">
        <v>0</v>
      </c>
      <c r="Y23" s="47">
        <v>1</v>
      </c>
      <c r="Z23" s="54"/>
    </row>
    <row r="24" spans="1:26" s="60" customFormat="1" x14ac:dyDescent="0.15">
      <c r="A24" s="60" t="s">
        <v>15</v>
      </c>
      <c r="B24" s="37">
        <f t="shared" ref="B24:G24" si="22">B22-B23</f>
        <v>-58.384000000000029</v>
      </c>
      <c r="C24" s="37">
        <f t="shared" si="22"/>
        <v>-38.720999999999982</v>
      </c>
      <c r="D24" s="37">
        <f t="shared" si="22"/>
        <v>-26.049000000000024</v>
      </c>
      <c r="E24" s="37" t="e">
        <f>E22-E23</f>
        <v>#REF!</v>
      </c>
      <c r="F24" s="38" t="e">
        <f t="shared" si="22"/>
        <v>#REF!</v>
      </c>
      <c r="G24" s="42" t="e">
        <f t="shared" si="22"/>
        <v>#REF!</v>
      </c>
      <c r="H24" s="42" t="e">
        <f t="shared" ref="H24" si="23">H22-H23</f>
        <v>#REF!</v>
      </c>
      <c r="I24" s="42" t="e">
        <f t="shared" ref="I24:Q24" si="24">I22-I23</f>
        <v>#REF!</v>
      </c>
      <c r="J24" s="38" t="e">
        <f t="shared" si="24"/>
        <v>#REF!</v>
      </c>
      <c r="K24" s="37" t="e">
        <f t="shared" si="24"/>
        <v>#REF!</v>
      </c>
      <c r="L24" s="37" t="e">
        <f t="shared" si="24"/>
        <v>#REF!</v>
      </c>
      <c r="M24" s="37" t="e">
        <f t="shared" si="24"/>
        <v>#REF!</v>
      </c>
      <c r="N24" s="38" t="e">
        <f t="shared" si="24"/>
        <v>#REF!</v>
      </c>
      <c r="O24" s="37" t="e">
        <f t="shared" si="24"/>
        <v>#REF!</v>
      </c>
      <c r="P24" s="37">
        <f t="shared" si="24"/>
        <v>-0.68599999999998573</v>
      </c>
      <c r="Q24" s="37">
        <f t="shared" si="24"/>
        <v>-97.390000000000015</v>
      </c>
      <c r="R24" s="38">
        <f t="shared" ref="R24:S24" si="25">R22-R23</f>
        <v>-68.628999999999962</v>
      </c>
      <c r="S24" s="37">
        <f t="shared" si="25"/>
        <v>-71</v>
      </c>
      <c r="T24" s="37">
        <f t="shared" ref="T24:W24" si="26">T22-T23</f>
        <v>-65</v>
      </c>
      <c r="U24" s="37">
        <f t="shared" si="26"/>
        <v>-99</v>
      </c>
      <c r="V24" s="38">
        <f t="shared" si="26"/>
        <v>-165</v>
      </c>
      <c r="W24" s="37">
        <f t="shared" si="26"/>
        <v>-87</v>
      </c>
      <c r="X24" s="37">
        <f t="shared" ref="X24:Y24" si="27">X22-X23</f>
        <v>40</v>
      </c>
      <c r="Y24" s="37">
        <f t="shared" si="27"/>
        <v>45.524000000000001</v>
      </c>
      <c r="Z24" s="65"/>
    </row>
    <row r="25" spans="1:26" x14ac:dyDescent="0.15">
      <c r="A25" s="4" t="s">
        <v>16</v>
      </c>
      <c r="B25" s="43">
        <f t="shared" ref="B25:H25" si="28">IFERROR(B24/B26,0)</f>
        <v>-1.1883574190922048</v>
      </c>
      <c r="C25" s="43">
        <f t="shared" si="28"/>
        <v>-0.65948496099737686</v>
      </c>
      <c r="D25" s="43">
        <f t="shared" si="28"/>
        <v>-0.14708805294243876</v>
      </c>
      <c r="E25" s="43">
        <f t="shared" si="28"/>
        <v>0</v>
      </c>
      <c r="F25" s="44">
        <f t="shared" si="28"/>
        <v>0</v>
      </c>
      <c r="G25" s="45">
        <f t="shared" si="28"/>
        <v>0</v>
      </c>
      <c r="H25" s="45">
        <f t="shared" si="28"/>
        <v>0</v>
      </c>
      <c r="I25" s="45">
        <f t="shared" ref="I25:M25" si="29">IFERROR(I24/I26,0)</f>
        <v>0</v>
      </c>
      <c r="J25" s="44">
        <f t="shared" si="29"/>
        <v>0</v>
      </c>
      <c r="K25" s="43">
        <f t="shared" si="29"/>
        <v>0</v>
      </c>
      <c r="L25" s="43">
        <f t="shared" si="29"/>
        <v>0</v>
      </c>
      <c r="M25" s="43">
        <f t="shared" si="29"/>
        <v>0</v>
      </c>
      <c r="N25" s="44">
        <f>IFERROR(N24/N26,0)</f>
        <v>0</v>
      </c>
      <c r="O25" s="43">
        <f t="shared" ref="O25:Q25" si="30">IFERROR(O24/O26,0)</f>
        <v>0</v>
      </c>
      <c r="P25" s="43">
        <f t="shared" si="30"/>
        <v>-3.3890601533474911E-3</v>
      </c>
      <c r="Q25" s="43">
        <f t="shared" si="30"/>
        <v>-0.47843152666768196</v>
      </c>
      <c r="R25" s="44">
        <f>IFERROR(R24/R26,0)</f>
        <v>-0.33557115894266387</v>
      </c>
      <c r="S25" s="43">
        <f t="shared" ref="S25:T25" si="31">IFERROR(S24/S26,0)</f>
        <v>-0.34507227076994862</v>
      </c>
      <c r="T25" s="43">
        <f t="shared" si="31"/>
        <v>-0.31400662795528544</v>
      </c>
      <c r="U25" s="43">
        <f t="shared" ref="U25" si="32">IFERROR(U24/U26,0)</f>
        <v>-0.47549518741234559</v>
      </c>
      <c r="V25" s="44">
        <f>IFERROR(V24/V26,0)</f>
        <v>-0.78320058478976995</v>
      </c>
      <c r="W25" s="43">
        <f t="shared" ref="W25:X25" si="33">IFERROR(W24/W26,0)</f>
        <v>-0.39641495076708572</v>
      </c>
      <c r="X25" s="43">
        <f t="shared" si="33"/>
        <v>0.16485871608031916</v>
      </c>
      <c r="Y25" s="43">
        <f t="shared" ref="Y25" si="34">IFERROR(Y24/Y26,0)</f>
        <v>0.18101066008214745</v>
      </c>
    </row>
    <row r="26" spans="1:26" s="47" customFormat="1" x14ac:dyDescent="0.15">
      <c r="A26" s="47" t="s">
        <v>17</v>
      </c>
      <c r="B26" s="6">
        <v>49.13</v>
      </c>
      <c r="C26" s="6">
        <v>58.713999999999999</v>
      </c>
      <c r="D26" s="6">
        <v>177.09800000000001</v>
      </c>
      <c r="E26" s="6">
        <v>178.02</v>
      </c>
      <c r="F26" s="5">
        <v>178.68600000000001</v>
      </c>
      <c r="G26" s="6">
        <v>179.45099999999999</v>
      </c>
      <c r="H26" s="6">
        <v>189.661</v>
      </c>
      <c r="I26" s="6">
        <v>181.852</v>
      </c>
      <c r="J26" s="5">
        <v>183.15799999999999</v>
      </c>
      <c r="K26" s="6">
        <v>185.43899999999999</v>
      </c>
      <c r="L26" s="6">
        <v>196.42500000000001</v>
      </c>
      <c r="M26" s="6">
        <v>189.43899999999999</v>
      </c>
      <c r="N26" s="5">
        <v>191.464</v>
      </c>
      <c r="O26" s="6">
        <v>194.155</v>
      </c>
      <c r="P26" s="6">
        <v>202.416</v>
      </c>
      <c r="Q26" s="50">
        <v>203.56100000000001</v>
      </c>
      <c r="R26" s="5">
        <v>204.51400000000001</v>
      </c>
      <c r="S26" s="47">
        <v>205.75399999999999</v>
      </c>
      <c r="T26" s="47">
        <v>207.00200000000001</v>
      </c>
      <c r="U26" s="47">
        <v>208.20400000000001</v>
      </c>
      <c r="V26" s="5">
        <v>210.67400000000001</v>
      </c>
      <c r="W26" s="47">
        <v>219.46700000000001</v>
      </c>
      <c r="X26" s="47">
        <v>242.63200000000001</v>
      </c>
      <c r="Y26" s="47">
        <v>251.499</v>
      </c>
      <c r="Z26" s="54"/>
    </row>
    <row r="27" spans="1:26" x14ac:dyDescent="0.15">
      <c r="B27" s="6"/>
      <c r="C27" s="6"/>
      <c r="D27" s="6"/>
      <c r="E27" s="6"/>
      <c r="F27" s="5"/>
      <c r="G27" s="6"/>
      <c r="H27" s="6"/>
      <c r="I27" s="6"/>
      <c r="J27" s="5"/>
      <c r="K27" s="6"/>
      <c r="L27" s="6"/>
      <c r="M27" s="6"/>
      <c r="N27" s="5"/>
      <c r="O27" s="6"/>
      <c r="P27" s="6"/>
      <c r="Q27" s="49"/>
      <c r="R27" s="5"/>
      <c r="V27" s="5"/>
    </row>
    <row r="28" spans="1:26" x14ac:dyDescent="0.15">
      <c r="A28" s="4" t="s">
        <v>19</v>
      </c>
      <c r="B28" s="16">
        <f t="shared" ref="B28:Q28" si="35">IFERROR(B15/B13,0)</f>
        <v>0.8977080763398364</v>
      </c>
      <c r="C28" s="16">
        <f t="shared" si="35"/>
        <v>0.90052490526598505</v>
      </c>
      <c r="D28" s="16">
        <f t="shared" si="35"/>
        <v>0.90692161909880342</v>
      </c>
      <c r="E28" s="16">
        <f t="shared" si="35"/>
        <v>0</v>
      </c>
      <c r="F28" s="17">
        <f t="shared" si="35"/>
        <v>0</v>
      </c>
      <c r="G28" s="18">
        <f t="shared" si="35"/>
        <v>0</v>
      </c>
      <c r="H28" s="18">
        <f t="shared" si="35"/>
        <v>0</v>
      </c>
      <c r="I28" s="18">
        <f t="shared" si="35"/>
        <v>0</v>
      </c>
      <c r="J28" s="17">
        <f t="shared" si="35"/>
        <v>0</v>
      </c>
      <c r="K28" s="16">
        <f t="shared" si="35"/>
        <v>0</v>
      </c>
      <c r="L28" s="16">
        <f t="shared" si="35"/>
        <v>0</v>
      </c>
      <c r="M28" s="16">
        <f t="shared" si="35"/>
        <v>0</v>
      </c>
      <c r="N28" s="17">
        <f t="shared" si="35"/>
        <v>0</v>
      </c>
      <c r="O28" s="16">
        <f t="shared" si="35"/>
        <v>0</v>
      </c>
      <c r="P28" s="16">
        <f t="shared" si="35"/>
        <v>0.89308454810495619</v>
      </c>
      <c r="Q28" s="16">
        <f t="shared" si="35"/>
        <v>0.81546220601870212</v>
      </c>
      <c r="R28" s="17">
        <f t="shared" ref="R28:S28" si="36">IFERROR(R15/R13,0)</f>
        <v>0.66589845474613685</v>
      </c>
      <c r="S28" s="16">
        <f t="shared" si="36"/>
        <v>0.54833333333333334</v>
      </c>
      <c r="T28" s="16">
        <f t="shared" ref="T28:V28" si="37">IFERROR(T15/T13,0)</f>
        <v>0.46308724832214765</v>
      </c>
      <c r="U28" s="16">
        <f t="shared" si="37"/>
        <v>0.35699152542372881</v>
      </c>
      <c r="V28" s="17">
        <f t="shared" si="37"/>
        <v>0.32326820603907636</v>
      </c>
      <c r="W28" s="16">
        <f t="shared" ref="W28:X28" si="38">IFERROR(W15/W13,0)</f>
        <v>0.39973958333333331</v>
      </c>
      <c r="X28" s="16">
        <f t="shared" si="38"/>
        <v>0.67073170731707321</v>
      </c>
      <c r="Y28" s="16">
        <f t="shared" ref="Y28" si="39">IFERROR(Y15/Y13,0)</f>
        <v>0.59765866617994501</v>
      </c>
    </row>
    <row r="29" spans="1:26" x14ac:dyDescent="0.15">
      <c r="A29" s="4" t="s">
        <v>20</v>
      </c>
      <c r="B29" s="19">
        <f t="shared" ref="B29:Q29" si="40">IFERROR(B20/B13,0)</f>
        <v>-0.45510831048219208</v>
      </c>
      <c r="C29" s="19">
        <f t="shared" si="40"/>
        <v>-0.21948513741541073</v>
      </c>
      <c r="D29" s="19">
        <f t="shared" si="40"/>
        <v>-0.15658077108024795</v>
      </c>
      <c r="E29" s="19">
        <f t="shared" si="40"/>
        <v>0</v>
      </c>
      <c r="F29" s="20">
        <f t="shared" si="40"/>
        <v>0</v>
      </c>
      <c r="G29" s="21">
        <f t="shared" si="40"/>
        <v>0</v>
      </c>
      <c r="H29" s="21">
        <f t="shared" si="40"/>
        <v>0</v>
      </c>
      <c r="I29" s="21">
        <f t="shared" si="40"/>
        <v>0</v>
      </c>
      <c r="J29" s="20">
        <f t="shared" si="40"/>
        <v>0</v>
      </c>
      <c r="K29" s="19">
        <f t="shared" si="40"/>
        <v>0</v>
      </c>
      <c r="L29" s="19">
        <f t="shared" si="40"/>
        <v>0</v>
      </c>
      <c r="M29" s="19">
        <f t="shared" si="40"/>
        <v>0</v>
      </c>
      <c r="N29" s="20">
        <f t="shared" si="40"/>
        <v>0</v>
      </c>
      <c r="O29" s="19">
        <f t="shared" si="40"/>
        <v>0</v>
      </c>
      <c r="P29" s="19">
        <f t="shared" si="40"/>
        <v>-3.0586005830903748E-2</v>
      </c>
      <c r="Q29" s="19">
        <f t="shared" si="40"/>
        <v>-0.26646555095767005</v>
      </c>
      <c r="R29" s="20">
        <f t="shared" ref="R29:S29" si="41">IFERROR(R20/R13,0)</f>
        <v>-0.14090728476821182</v>
      </c>
      <c r="S29" s="19">
        <f t="shared" si="41"/>
        <v>-0.10166666666666667</v>
      </c>
      <c r="T29" s="19">
        <f t="shared" ref="T29:V29" si="42">IFERROR(T20/T13,0)</f>
        <v>-6.4429530201342289E-2</v>
      </c>
      <c r="U29" s="19">
        <f t="shared" si="42"/>
        <v>-7.5211864406779655E-2</v>
      </c>
      <c r="V29" s="20">
        <f t="shared" si="42"/>
        <v>-0.12877442273534637</v>
      </c>
      <c r="W29" s="19">
        <f t="shared" ref="W29:X29" si="43">IFERROR(W20/W13,0)</f>
        <v>-8.3333333333333329E-2</v>
      </c>
      <c r="X29" s="19">
        <f t="shared" si="43"/>
        <v>0.11585365853658537</v>
      </c>
      <c r="Y29" s="19">
        <f t="shared" ref="Y29" si="44">IFERROR(Y20/Y13,0)</f>
        <v>0.11347204899664365</v>
      </c>
    </row>
    <row r="30" spans="1:26" x14ac:dyDescent="0.15">
      <c r="A30" s="4" t="s">
        <v>21</v>
      </c>
      <c r="B30" s="19">
        <f t="shared" ref="B30:Q30" si="45">IFERROR(B23/B22,0)</f>
        <v>0</v>
      </c>
      <c r="C30" s="19">
        <f t="shared" si="45"/>
        <v>0</v>
      </c>
      <c r="D30" s="19">
        <f t="shared" si="45"/>
        <v>9.8712891841394979E-2</v>
      </c>
      <c r="E30" s="19">
        <f t="shared" si="45"/>
        <v>0</v>
      </c>
      <c r="F30" s="20">
        <f t="shared" si="45"/>
        <v>0</v>
      </c>
      <c r="G30" s="21">
        <f t="shared" si="45"/>
        <v>0</v>
      </c>
      <c r="H30" s="21">
        <f t="shared" si="45"/>
        <v>0</v>
      </c>
      <c r="I30" s="21">
        <f t="shared" si="45"/>
        <v>0</v>
      </c>
      <c r="J30" s="20">
        <f t="shared" si="45"/>
        <v>0</v>
      </c>
      <c r="K30" s="19">
        <f t="shared" si="45"/>
        <v>0</v>
      </c>
      <c r="L30" s="19">
        <f t="shared" si="45"/>
        <v>0</v>
      </c>
      <c r="M30" s="19">
        <f t="shared" si="45"/>
        <v>0</v>
      </c>
      <c r="N30" s="20">
        <f t="shared" si="45"/>
        <v>0</v>
      </c>
      <c r="O30" s="19">
        <f t="shared" si="45"/>
        <v>0</v>
      </c>
      <c r="P30" s="19">
        <f t="shared" si="45"/>
        <v>0.9554140127388544</v>
      </c>
      <c r="Q30" s="19">
        <f t="shared" si="45"/>
        <v>7.9419993950393203E-2</v>
      </c>
      <c r="R30" s="20">
        <f t="shared" ref="R30:S30" si="46">IFERROR(R23/R22,0)</f>
        <v>3.5147408230117132E-2</v>
      </c>
      <c r="S30" s="19">
        <f t="shared" si="46"/>
        <v>0</v>
      </c>
      <c r="T30" s="19">
        <f t="shared" ref="T30:V30" si="47">IFERROR(T23/T22,0)</f>
        <v>1.5151515151515152E-2</v>
      </c>
      <c r="U30" s="19">
        <f t="shared" si="47"/>
        <v>0</v>
      </c>
      <c r="V30" s="20">
        <f t="shared" si="47"/>
        <v>5.1724137931034482E-2</v>
      </c>
      <c r="W30" s="19">
        <f t="shared" ref="W30:X30" si="48">IFERROR(W23/W22,0)</f>
        <v>-1.1627906976744186E-2</v>
      </c>
      <c r="X30" s="19">
        <f t="shared" si="48"/>
        <v>0</v>
      </c>
      <c r="Y30" s="19">
        <f t="shared" ref="Y30" si="49">IFERROR(Y23/Y22,0)</f>
        <v>2.1494282520849454E-2</v>
      </c>
    </row>
    <row r="31" spans="1:26" x14ac:dyDescent="0.15">
      <c r="B31" s="8"/>
      <c r="C31" s="8"/>
      <c r="D31" s="8"/>
      <c r="E31" s="8"/>
      <c r="K31" s="8"/>
      <c r="L31" s="8"/>
      <c r="M31" s="8"/>
      <c r="O31" s="8"/>
      <c r="P31" s="8"/>
      <c r="Q31" s="8"/>
      <c r="R31" s="7"/>
      <c r="S31" s="8"/>
      <c r="T31" s="8"/>
      <c r="U31" s="8"/>
      <c r="V31" s="7"/>
      <c r="W31" s="8"/>
      <c r="X31" s="8"/>
      <c r="Y31" s="8"/>
    </row>
    <row r="32" spans="1:26" s="9" customFormat="1" x14ac:dyDescent="0.15">
      <c r="A32" s="9" t="s">
        <v>18</v>
      </c>
      <c r="B32" s="12"/>
      <c r="C32" s="12"/>
      <c r="D32" s="12"/>
      <c r="E32" s="12"/>
      <c r="F32" s="13">
        <f t="shared" ref="F32:R32" si="50">IFERROR((F13/B13)-1,0)</f>
        <v>0</v>
      </c>
      <c r="G32" s="12">
        <f t="shared" si="50"/>
        <v>0</v>
      </c>
      <c r="H32" s="12">
        <f t="shared" si="50"/>
        <v>0</v>
      </c>
      <c r="I32" s="12">
        <f t="shared" si="50"/>
        <v>0</v>
      </c>
      <c r="J32" s="13">
        <f t="shared" si="50"/>
        <v>0</v>
      </c>
      <c r="K32" s="12">
        <f t="shared" si="50"/>
        <v>0</v>
      </c>
      <c r="L32" s="12">
        <f t="shared" si="50"/>
        <v>0</v>
      </c>
      <c r="M32" s="12">
        <f t="shared" si="50"/>
        <v>0</v>
      </c>
      <c r="N32" s="13">
        <f t="shared" si="50"/>
        <v>0</v>
      </c>
      <c r="O32" s="12">
        <f t="shared" si="50"/>
        <v>0</v>
      </c>
      <c r="P32" s="12">
        <f t="shared" si="50"/>
        <v>0</v>
      </c>
      <c r="Q32" s="12">
        <f t="shared" si="50"/>
        <v>0</v>
      </c>
      <c r="R32" s="13">
        <f t="shared" si="50"/>
        <v>0</v>
      </c>
      <c r="S32" s="12">
        <f>IFERROR((S13/O13)-1,0)</f>
        <v>0</v>
      </c>
      <c r="T32" s="12">
        <f>IFERROR((T13/P13)-1,0)</f>
        <v>1.1720116618075802</v>
      </c>
      <c r="U32" s="12">
        <f>IFERROR((U13/Q13)-1,0)</f>
        <v>1.5818662188514527</v>
      </c>
      <c r="V32" s="13">
        <f t="shared" ref="V32" si="51">IFERROR((V13/R13)-1,0)</f>
        <v>1.4856512141280351</v>
      </c>
      <c r="W32" s="12">
        <f>IFERROR((W13/S13)-1,0)</f>
        <v>0.28000000000000003</v>
      </c>
      <c r="X32" s="12">
        <f>IFERROR((X13/T13)-1,0)</f>
        <v>-0.11946308724832211</v>
      </c>
      <c r="Y32" s="12">
        <f>IFERROR((Y13/U13)-1,0)</f>
        <v>-0.16424576271186442</v>
      </c>
      <c r="Z32" s="13">
        <f>IFERROR((Z13/V13)-1,0)</f>
        <v>-5.2175843694493795E-2</v>
      </c>
    </row>
    <row r="33" spans="1:26" s="9" customFormat="1" x14ac:dyDescent="0.15">
      <c r="A33" s="4" t="s">
        <v>34</v>
      </c>
      <c r="B33" s="14"/>
      <c r="C33" s="14"/>
      <c r="D33" s="14"/>
      <c r="E33" s="14"/>
      <c r="F33" s="15">
        <f t="shared" ref="F33:Y35" si="52">IFERROR((F16/B16)-1,0)</f>
        <v>0.61744139316811775</v>
      </c>
      <c r="G33" s="14">
        <f t="shared" si="52"/>
        <v>0.22528024739080021</v>
      </c>
      <c r="H33" s="14">
        <f t="shared" si="52"/>
        <v>0.20064038125023242</v>
      </c>
      <c r="I33" s="14">
        <f t="shared" si="52"/>
        <v>0.29176078304829534</v>
      </c>
      <c r="J33" s="15">
        <f t="shared" si="52"/>
        <v>0.20700336254161744</v>
      </c>
      <c r="K33" s="14">
        <f t="shared" si="52"/>
        <v>0.23889519843523255</v>
      </c>
      <c r="L33" s="14">
        <f t="shared" si="52"/>
        <v>0.2929328950632597</v>
      </c>
      <c r="M33" s="14">
        <f t="shared" si="52"/>
        <v>0.18221685610003191</v>
      </c>
      <c r="N33" s="15">
        <f t="shared" si="52"/>
        <v>0.28908437174068191</v>
      </c>
      <c r="O33" s="14">
        <f t="shared" si="52"/>
        <v>0.27800766478654482</v>
      </c>
      <c r="P33" s="14">
        <f t="shared" si="52"/>
        <v>0.26292436652316242</v>
      </c>
      <c r="Q33" s="14">
        <f t="shared" si="52"/>
        <v>0.30530480002817328</v>
      </c>
      <c r="R33" s="15">
        <f t="shared" si="52"/>
        <v>0.14730712316225381</v>
      </c>
      <c r="S33" s="14">
        <f t="shared" si="52"/>
        <v>0.19550490157009648</v>
      </c>
      <c r="T33" s="14">
        <f t="shared" si="52"/>
        <v>0.17743130068177071</v>
      </c>
      <c r="U33" s="14">
        <f t="shared" si="52"/>
        <v>0.12415126579432534</v>
      </c>
      <c r="V33" s="15">
        <f t="shared" si="52"/>
        <v>0.25266771828894874</v>
      </c>
      <c r="W33" s="14">
        <f t="shared" si="52"/>
        <v>7.4999999999999956E-2</v>
      </c>
      <c r="X33" s="14">
        <f t="shared" si="52"/>
        <v>2.4193548387096753E-2</v>
      </c>
      <c r="Y33" s="14">
        <f t="shared" si="52"/>
        <v>1.6000000000000014E-2</v>
      </c>
      <c r="Z33" s="66"/>
    </row>
    <row r="34" spans="1:26" s="9" customFormat="1" x14ac:dyDescent="0.15">
      <c r="A34" s="4" t="s">
        <v>35</v>
      </c>
      <c r="B34" s="14"/>
      <c r="C34" s="14"/>
      <c r="D34" s="14"/>
      <c r="E34" s="14"/>
      <c r="F34" s="15">
        <f t="shared" si="52"/>
        <v>0.67157507674661798</v>
      </c>
      <c r="G34" s="14">
        <f t="shared" si="52"/>
        <v>0.13289440767778782</v>
      </c>
      <c r="H34" s="14">
        <f t="shared" si="52"/>
        <v>0.13573204621910206</v>
      </c>
      <c r="I34" s="14">
        <f t="shared" si="52"/>
        <v>0.15796034285567417</v>
      </c>
      <c r="J34" s="15">
        <f t="shared" si="52"/>
        <v>6.9010403527714148E-2</v>
      </c>
      <c r="K34" s="14">
        <f t="shared" si="52"/>
        <v>0.31706631603248026</v>
      </c>
      <c r="L34" s="14">
        <f t="shared" si="52"/>
        <v>0.14947413608070392</v>
      </c>
      <c r="M34" s="14">
        <f t="shared" si="52"/>
        <v>0.15343639370096218</v>
      </c>
      <c r="N34" s="15">
        <f t="shared" si="52"/>
        <v>0.29593165942986599</v>
      </c>
      <c r="O34" s="14">
        <f t="shared" si="52"/>
        <v>0.12581353168010501</v>
      </c>
      <c r="P34" s="14">
        <f t="shared" si="52"/>
        <v>0.20190835418456143</v>
      </c>
      <c r="Q34" s="14">
        <f t="shared" si="52"/>
        <v>0.3361139173521912</v>
      </c>
      <c r="R34" s="15">
        <f t="shared" si="52"/>
        <v>0.1769671719194994</v>
      </c>
      <c r="S34" s="14">
        <f t="shared" si="52"/>
        <v>0.26584849079721384</v>
      </c>
      <c r="T34" s="14">
        <f t="shared" si="52"/>
        <v>0.40599996892817747</v>
      </c>
      <c r="U34" s="14">
        <f t="shared" si="52"/>
        <v>0.32498973853055757</v>
      </c>
      <c r="V34" s="15">
        <f t="shared" si="52"/>
        <v>0.26866641499625588</v>
      </c>
      <c r="W34" s="14">
        <f t="shared" si="52"/>
        <v>-0.16577540106951871</v>
      </c>
      <c r="X34" s="14">
        <f t="shared" si="52"/>
        <v>-0.16574585635359118</v>
      </c>
      <c r="Y34" s="14">
        <f t="shared" si="52"/>
        <v>-0.11956521739130432</v>
      </c>
      <c r="Z34" s="66"/>
    </row>
    <row r="35" spans="1:26" s="9" customFormat="1" x14ac:dyDescent="0.15">
      <c r="A35" s="4" t="s">
        <v>36</v>
      </c>
      <c r="B35" s="14"/>
      <c r="C35" s="14"/>
      <c r="D35" s="14"/>
      <c r="E35" s="14"/>
      <c r="F35" s="15">
        <f t="shared" si="52"/>
        <v>-0.22737739194876005</v>
      </c>
      <c r="G35" s="14">
        <f t="shared" si="52"/>
        <v>2.5281831955658691</v>
      </c>
      <c r="H35" s="14">
        <f t="shared" si="52"/>
        <v>-0.20603890633376709</v>
      </c>
      <c r="I35" s="14">
        <f t="shared" si="52"/>
        <v>-8.3735772790128671E-2</v>
      </c>
      <c r="J35" s="15">
        <f t="shared" si="52"/>
        <v>-0.21946081118114558</v>
      </c>
      <c r="K35" s="14">
        <f t="shared" si="52"/>
        <v>-0.70978403265874124</v>
      </c>
      <c r="L35" s="14">
        <f t="shared" si="52"/>
        <v>0.31294764511539275</v>
      </c>
      <c r="M35" s="14">
        <f t="shared" si="52"/>
        <v>4.3838027351459283</v>
      </c>
      <c r="N35" s="15">
        <f t="shared" si="52"/>
        <v>0.23104605999429473</v>
      </c>
      <c r="O35" s="14">
        <f t="shared" si="52"/>
        <v>0.14650958062522257</v>
      </c>
      <c r="P35" s="14">
        <f t="shared" si="52"/>
        <v>0.52029608404966532</v>
      </c>
      <c r="Q35" s="14">
        <f t="shared" si="52"/>
        <v>-0.37242911051212946</v>
      </c>
      <c r="R35" s="15">
        <f t="shared" si="52"/>
        <v>0.71347593582887714</v>
      </c>
      <c r="S35" s="14">
        <f t="shared" si="52"/>
        <v>0.35596543104997469</v>
      </c>
      <c r="T35" s="14">
        <f t="shared" si="52"/>
        <v>6.3174300177598619E-2</v>
      </c>
      <c r="U35" s="14">
        <f t="shared" si="52"/>
        <v>-0.31967179318022498</v>
      </c>
      <c r="V35" s="15">
        <f t="shared" si="52"/>
        <v>0.75810914840937937</v>
      </c>
      <c r="W35" s="14">
        <f t="shared" si="52"/>
        <v>3.6144578313253017E-2</v>
      </c>
      <c r="X35" s="14">
        <f t="shared" si="52"/>
        <v>-2.2727272727272707E-2</v>
      </c>
      <c r="Y35" s="14">
        <f t="shared" si="52"/>
        <v>-6.0606060606060552E-2</v>
      </c>
      <c r="Z35" s="66"/>
    </row>
    <row r="36" spans="1:26" x14ac:dyDescent="0.15">
      <c r="B36" s="8"/>
      <c r="C36" s="8"/>
      <c r="D36" s="8"/>
      <c r="E36" s="8"/>
      <c r="K36" s="8"/>
      <c r="L36" s="8"/>
      <c r="M36" s="8"/>
      <c r="O36" s="8"/>
      <c r="P36" s="8"/>
      <c r="Q36" s="8"/>
      <c r="R36" s="7"/>
      <c r="V36" s="7"/>
    </row>
    <row r="37" spans="1:26" s="9" customFormat="1" x14ac:dyDescent="0.15">
      <c r="A37" s="9" t="s">
        <v>26</v>
      </c>
      <c r="B37" s="10"/>
      <c r="C37" s="10"/>
      <c r="D37" s="10"/>
      <c r="E37" s="37">
        <f>E38-E39</f>
        <v>290.28899999999999</v>
      </c>
      <c r="F37" s="38">
        <f>F38-F39</f>
        <v>283.66100000000006</v>
      </c>
      <c r="G37" s="42">
        <f t="shared" ref="G37:N37" si="53">G38-G39</f>
        <v>190.14300000000003</v>
      </c>
      <c r="H37" s="42">
        <f t="shared" si="53"/>
        <v>214.60500000000002</v>
      </c>
      <c r="I37" s="37">
        <f t="shared" ref="I37" si="54">I38-I39</f>
        <v>140.11099999999999</v>
      </c>
      <c r="J37" s="38">
        <f t="shared" si="53"/>
        <v>187.28699999999998</v>
      </c>
      <c r="K37" s="37">
        <f t="shared" si="53"/>
        <v>222.66899999999998</v>
      </c>
      <c r="L37" s="37">
        <f t="shared" si="53"/>
        <v>300.185</v>
      </c>
      <c r="M37" s="37">
        <f t="shared" si="53"/>
        <v>377.12299999999999</v>
      </c>
      <c r="N37" s="38">
        <f t="shared" si="53"/>
        <v>433.36199999999997</v>
      </c>
      <c r="O37" s="37">
        <f t="shared" ref="O37:P37" si="55">O38-O39</f>
        <v>505.166</v>
      </c>
      <c r="P37" s="37">
        <f t="shared" si="55"/>
        <v>952.69499999999994</v>
      </c>
      <c r="Q37" s="37">
        <f>Q38-Q39</f>
        <v>855.90499999999997</v>
      </c>
      <c r="R37" s="38">
        <f t="shared" ref="R37:S37" si="56">R38-R39</f>
        <v>809.60999999999979</v>
      </c>
      <c r="S37" s="37">
        <f t="shared" si="56"/>
        <v>926.0329999999999</v>
      </c>
      <c r="T37" s="37">
        <f t="shared" ref="T37:X37" si="57">T38-T39</f>
        <v>845</v>
      </c>
      <c r="U37" s="37">
        <f t="shared" si="57"/>
        <v>869</v>
      </c>
      <c r="V37" s="38">
        <f t="shared" si="57"/>
        <v>985</v>
      </c>
      <c r="W37" s="37">
        <f t="shared" si="57"/>
        <v>1529</v>
      </c>
      <c r="X37" s="37">
        <f t="shared" si="57"/>
        <v>1712</v>
      </c>
      <c r="Y37" s="37">
        <f t="shared" ref="Y37" si="58">Y38-Y39</f>
        <v>1637</v>
      </c>
      <c r="Z37" s="66"/>
    </row>
    <row r="38" spans="1:26" x14ac:dyDescent="0.15">
      <c r="A38" s="4" t="s">
        <v>27</v>
      </c>
      <c r="B38" s="6"/>
      <c r="C38" s="6"/>
      <c r="D38" s="6"/>
      <c r="E38" s="6">
        <f>229.138+291.151</f>
        <v>520.28899999999999</v>
      </c>
      <c r="F38" s="5">
        <f>232.443+281.218</f>
        <v>513.66100000000006</v>
      </c>
      <c r="G38" s="6">
        <f>155.21+264.933</f>
        <v>420.14300000000003</v>
      </c>
      <c r="H38" s="6">
        <f>190.76+253.845</f>
        <v>444.60500000000002</v>
      </c>
      <c r="I38" s="6">
        <f>243.592+263.923</f>
        <v>507.51499999999999</v>
      </c>
      <c r="J38" s="5">
        <f>261.524+297.52</f>
        <v>559.04399999999998</v>
      </c>
      <c r="K38" s="6">
        <f>276.465+322.463</f>
        <v>598.928</v>
      </c>
      <c r="L38" s="6">
        <f>319.942+361.038</f>
        <v>680.98</v>
      </c>
      <c r="M38" s="6">
        <f>352.095+410.444</f>
        <v>762.53899999999999</v>
      </c>
      <c r="N38" s="5">
        <f>397.393+425.593</f>
        <v>822.98599999999999</v>
      </c>
      <c r="O38" s="6">
        <f>431.045+468.541</f>
        <v>899.58600000000001</v>
      </c>
      <c r="P38" s="6">
        <f>643.792+999.241</f>
        <v>1643.0329999999999</v>
      </c>
      <c r="Q38" s="6">
        <f>651.058+903.867</f>
        <v>1554.925</v>
      </c>
      <c r="R38" s="5">
        <f>736.507+780.963</f>
        <v>1517.4699999999998</v>
      </c>
      <c r="S38" s="6">
        <f>643.792+999.241</f>
        <v>1643.0329999999999</v>
      </c>
      <c r="T38" s="6">
        <f>1792+532</f>
        <v>2324</v>
      </c>
      <c r="U38" s="6">
        <f>1141+1281</f>
        <v>2422</v>
      </c>
      <c r="V38" s="5">
        <f>1568+993</f>
        <v>2561</v>
      </c>
      <c r="W38" s="4">
        <f>2045+1491</f>
        <v>3536</v>
      </c>
      <c r="X38" s="4">
        <f>1905+1885</f>
        <v>3790</v>
      </c>
      <c r="Y38" s="4">
        <f>1703+2218</f>
        <v>3921</v>
      </c>
    </row>
    <row r="39" spans="1:26" x14ac:dyDescent="0.15">
      <c r="A39" s="4" t="s">
        <v>28</v>
      </c>
      <c r="B39" s="6"/>
      <c r="C39" s="6"/>
      <c r="D39" s="6"/>
      <c r="E39" s="6">
        <v>230</v>
      </c>
      <c r="F39" s="5">
        <v>230</v>
      </c>
      <c r="G39" s="6">
        <v>230</v>
      </c>
      <c r="H39" s="6">
        <v>230</v>
      </c>
      <c r="I39" s="6">
        <v>367.404</v>
      </c>
      <c r="J39" s="5">
        <v>371.75700000000001</v>
      </c>
      <c r="K39" s="6">
        <v>376.25900000000001</v>
      </c>
      <c r="L39" s="6">
        <v>380.79500000000002</v>
      </c>
      <c r="M39" s="6">
        <v>385.416</v>
      </c>
      <c r="N39" s="5">
        <v>389.62400000000002</v>
      </c>
      <c r="O39" s="6">
        <v>394.42</v>
      </c>
      <c r="P39" s="6">
        <v>690.33799999999997</v>
      </c>
      <c r="Q39" s="6">
        <v>699.02</v>
      </c>
      <c r="R39" s="5">
        <v>707.86</v>
      </c>
      <c r="S39" s="6">
        <v>717</v>
      </c>
      <c r="T39" s="6">
        <v>1479</v>
      </c>
      <c r="U39" s="6">
        <f>10+1543</f>
        <v>1553</v>
      </c>
      <c r="V39" s="5">
        <f>10+1566</f>
        <v>1576</v>
      </c>
      <c r="W39" s="4">
        <f>187+10+1810</f>
        <v>2007</v>
      </c>
      <c r="X39" s="4">
        <f>232+8+1838</f>
        <v>2078</v>
      </c>
      <c r="Y39" s="4">
        <f>670+1614</f>
        <v>2284</v>
      </c>
    </row>
    <row r="40" spans="1:26" x14ac:dyDescent="0.15">
      <c r="R40" s="7"/>
      <c r="S40" s="2"/>
      <c r="T40" s="2"/>
      <c r="U40" s="2"/>
      <c r="V40" s="7"/>
    </row>
    <row r="41" spans="1:26" x14ac:dyDescent="0.15">
      <c r="A41" s="4" t="s">
        <v>69</v>
      </c>
      <c r="I41" s="3">
        <f>1923.48+527.464</f>
        <v>2450.944</v>
      </c>
      <c r="M41" s="3">
        <f>1931.076+319.711</f>
        <v>2250.7870000000003</v>
      </c>
      <c r="N41" s="5">
        <v>1931.076</v>
      </c>
      <c r="O41" s="3">
        <f>1931.076+299.228</f>
        <v>2230.3040000000001</v>
      </c>
      <c r="P41" s="3">
        <f>1931.076+290.887</f>
        <v>2221.9630000000002</v>
      </c>
      <c r="Q41" s="3">
        <f>1984.907+215.904</f>
        <v>2200.8109999999997</v>
      </c>
      <c r="R41" s="5">
        <f>1984.907+207.933</f>
        <v>2192.84</v>
      </c>
      <c r="S41" s="3">
        <f>1985+203</f>
        <v>2188</v>
      </c>
      <c r="T41" s="3">
        <f>1985+198</f>
        <v>2183</v>
      </c>
      <c r="U41" s="3">
        <f>1985+191</f>
        <v>2176</v>
      </c>
      <c r="V41" s="5">
        <f>1985+112</f>
        <v>2097</v>
      </c>
      <c r="W41" s="4">
        <f>1985+107</f>
        <v>2092</v>
      </c>
      <c r="X41" s="4">
        <f>1985+101</f>
        <v>2086</v>
      </c>
      <c r="Y41" s="4">
        <f>1985+95</f>
        <v>2080</v>
      </c>
    </row>
    <row r="42" spans="1:26" x14ac:dyDescent="0.15">
      <c r="A42" s="4" t="s">
        <v>70</v>
      </c>
      <c r="I42" s="3">
        <v>3149.6770000000001</v>
      </c>
      <c r="M42" s="3">
        <v>3230.5169999999998</v>
      </c>
      <c r="N42" s="5">
        <v>3344.1370000000002</v>
      </c>
      <c r="O42" s="3">
        <v>3426.1729999999998</v>
      </c>
      <c r="P42" s="3">
        <v>4202.4570000000003</v>
      </c>
      <c r="Q42" s="3">
        <v>4291.116</v>
      </c>
      <c r="R42" s="5">
        <v>4539.5659999999998</v>
      </c>
      <c r="S42" s="3">
        <v>4826</v>
      </c>
      <c r="T42" s="3">
        <v>6076</v>
      </c>
      <c r="U42" s="3">
        <v>6132</v>
      </c>
      <c r="V42" s="5">
        <v>5872</v>
      </c>
      <c r="W42" s="4">
        <v>6450</v>
      </c>
      <c r="X42" s="4">
        <v>6844</v>
      </c>
      <c r="Y42" s="4">
        <v>7487</v>
      </c>
    </row>
    <row r="43" spans="1:26" x14ac:dyDescent="0.15">
      <c r="A43" s="4" t="s">
        <v>71</v>
      </c>
      <c r="I43" s="3">
        <v>616.09</v>
      </c>
      <c r="M43" s="3">
        <v>569.69399999999996</v>
      </c>
      <c r="N43" s="5">
        <v>575.69600000000003</v>
      </c>
      <c r="O43" s="3">
        <v>572.49199999999996</v>
      </c>
      <c r="P43" s="3">
        <v>883.43799999999999</v>
      </c>
      <c r="Q43" s="3">
        <v>1023.937</v>
      </c>
      <c r="R43" s="5">
        <v>1256.434</v>
      </c>
      <c r="S43" s="3">
        <v>1548</v>
      </c>
      <c r="T43" s="3">
        <v>2624</v>
      </c>
      <c r="U43" s="3">
        <v>2697</v>
      </c>
      <c r="V43" s="5">
        <v>2456</v>
      </c>
      <c r="W43" s="4">
        <v>2427</v>
      </c>
      <c r="X43" s="4">
        <v>2540</v>
      </c>
      <c r="Y43" s="4">
        <v>2745</v>
      </c>
    </row>
    <row r="44" spans="1:26" x14ac:dyDescent="0.15">
      <c r="R44" s="7"/>
      <c r="S44" s="2"/>
      <c r="T44" s="2"/>
      <c r="U44" s="2"/>
      <c r="V44" s="7"/>
    </row>
    <row r="45" spans="1:26" x14ac:dyDescent="0.15">
      <c r="A45" s="4" t="s">
        <v>72</v>
      </c>
      <c r="I45" s="41">
        <f>I42-I41-I38</f>
        <v>191.21800000000019</v>
      </c>
      <c r="M45" s="41">
        <f t="shared" ref="M45:R45" si="59">M42-M41-M38</f>
        <v>217.19099999999958</v>
      </c>
      <c r="N45" s="40">
        <f t="shared" si="59"/>
        <v>590.07500000000016</v>
      </c>
      <c r="O45" s="41">
        <f t="shared" si="59"/>
        <v>296.28299999999967</v>
      </c>
      <c r="P45" s="41">
        <f t="shared" si="59"/>
        <v>337.46100000000024</v>
      </c>
      <c r="Q45" s="41">
        <f t="shared" si="59"/>
        <v>535.38000000000034</v>
      </c>
      <c r="R45" s="40">
        <f t="shared" si="59"/>
        <v>829.25599999999986</v>
      </c>
      <c r="S45" s="41">
        <f t="shared" ref="S45:T45" si="60">S42-S41-S38</f>
        <v>994.9670000000001</v>
      </c>
      <c r="T45" s="41">
        <f t="shared" si="60"/>
        <v>1569</v>
      </c>
      <c r="U45" s="41">
        <f t="shared" ref="U45:W45" si="61">U42-U41-U38</f>
        <v>1534</v>
      </c>
      <c r="V45" s="40">
        <f t="shared" si="61"/>
        <v>1214</v>
      </c>
      <c r="W45" s="41">
        <f t="shared" si="61"/>
        <v>822</v>
      </c>
      <c r="X45" s="41">
        <f t="shared" ref="X45:Y45" si="62">X42-X41-X38</f>
        <v>968</v>
      </c>
      <c r="Y45" s="41">
        <f t="shared" si="62"/>
        <v>1486</v>
      </c>
    </row>
    <row r="46" spans="1:26" x14ac:dyDescent="0.15">
      <c r="A46" s="4" t="s">
        <v>73</v>
      </c>
      <c r="I46" s="41">
        <f>I42-I43</f>
        <v>2533.587</v>
      </c>
      <c r="M46" s="41">
        <f t="shared" ref="M46:R46" si="63">M42-M43</f>
        <v>2660.8229999999999</v>
      </c>
      <c r="N46" s="40">
        <f t="shared" si="63"/>
        <v>2768.4410000000003</v>
      </c>
      <c r="O46" s="41">
        <f t="shared" si="63"/>
        <v>2853.6809999999996</v>
      </c>
      <c r="P46" s="41">
        <f t="shared" si="63"/>
        <v>3319.0190000000002</v>
      </c>
      <c r="Q46" s="41">
        <f t="shared" si="63"/>
        <v>3267.1790000000001</v>
      </c>
      <c r="R46" s="40">
        <f t="shared" si="63"/>
        <v>3283.1319999999996</v>
      </c>
      <c r="S46" s="41">
        <f t="shared" ref="S46:T46" si="64">S42-S43</f>
        <v>3278</v>
      </c>
      <c r="T46" s="41">
        <f t="shared" si="64"/>
        <v>3452</v>
      </c>
      <c r="U46" s="41">
        <f t="shared" ref="U46:V46" si="65">U42-U43</f>
        <v>3435</v>
      </c>
      <c r="V46" s="40">
        <f t="shared" si="65"/>
        <v>3416</v>
      </c>
      <c r="W46" s="41">
        <f>W42-W43</f>
        <v>4023</v>
      </c>
      <c r="X46" s="41">
        <f>X42-X43</f>
        <v>4304</v>
      </c>
      <c r="Y46" s="41">
        <f>Y42-Y43</f>
        <v>4742</v>
      </c>
    </row>
    <row r="47" spans="1:26" x14ac:dyDescent="0.15">
      <c r="R47" s="7"/>
      <c r="S47" s="2"/>
      <c r="T47" s="2"/>
      <c r="U47" s="2"/>
      <c r="V47" s="7"/>
      <c r="W47" s="2"/>
    </row>
    <row r="48" spans="1:26" s="9" customFormat="1" x14ac:dyDescent="0.15">
      <c r="A48" s="9" t="s">
        <v>74</v>
      </c>
      <c r="B48" s="22"/>
      <c r="C48" s="22"/>
      <c r="D48" s="22"/>
      <c r="E48" s="22"/>
      <c r="F48" s="23"/>
      <c r="G48" s="22"/>
      <c r="H48" s="22"/>
      <c r="I48" s="42" t="e">
        <f t="shared" ref="I48" si="66">SUM(F24:I24)</f>
        <v>#REF!</v>
      </c>
      <c r="J48" s="23"/>
      <c r="K48" s="22"/>
      <c r="L48" s="22"/>
      <c r="M48" s="42" t="e">
        <f t="shared" ref="M48" si="67">SUM(J24:M24)</f>
        <v>#REF!</v>
      </c>
      <c r="N48" s="38" t="e">
        <f t="shared" ref="N48:Y48" si="68">SUM(K24:N24)</f>
        <v>#REF!</v>
      </c>
      <c r="O48" s="42" t="e">
        <f t="shared" si="68"/>
        <v>#REF!</v>
      </c>
      <c r="P48" s="42" t="e">
        <f t="shared" si="68"/>
        <v>#REF!</v>
      </c>
      <c r="Q48" s="42" t="e">
        <f t="shared" si="68"/>
        <v>#REF!</v>
      </c>
      <c r="R48" s="38" t="e">
        <f t="shared" si="68"/>
        <v>#REF!</v>
      </c>
      <c r="S48" s="42">
        <f t="shared" si="68"/>
        <v>-237.70499999999996</v>
      </c>
      <c r="T48" s="42">
        <f t="shared" si="68"/>
        <v>-302.01900000000001</v>
      </c>
      <c r="U48" s="42">
        <f t="shared" si="68"/>
        <v>-303.62899999999996</v>
      </c>
      <c r="V48" s="38">
        <f t="shared" si="68"/>
        <v>-400</v>
      </c>
      <c r="W48" s="42">
        <f t="shared" si="68"/>
        <v>-416</v>
      </c>
      <c r="X48" s="42">
        <f t="shared" si="68"/>
        <v>-311</v>
      </c>
      <c r="Y48" s="42">
        <f t="shared" si="68"/>
        <v>-166.476</v>
      </c>
      <c r="Z48" s="66"/>
    </row>
    <row r="49" spans="1:26" x14ac:dyDescent="0.15">
      <c r="A49" s="4" t="s">
        <v>75</v>
      </c>
      <c r="I49" s="18" t="e">
        <f>I24/I46</f>
        <v>#REF!</v>
      </c>
      <c r="M49" s="18" t="e">
        <f t="shared" ref="M49:V49" si="69">M24/M46</f>
        <v>#REF!</v>
      </c>
      <c r="N49" s="17" t="e">
        <f t="shared" si="69"/>
        <v>#REF!</v>
      </c>
      <c r="O49" s="18" t="e">
        <f t="shared" si="69"/>
        <v>#REF!</v>
      </c>
      <c r="P49" s="18">
        <f t="shared" si="69"/>
        <v>-2.0668757846821175E-4</v>
      </c>
      <c r="Q49" s="18">
        <f t="shared" si="69"/>
        <v>-2.9808590224165866E-2</v>
      </c>
      <c r="R49" s="17">
        <f t="shared" si="69"/>
        <v>-2.0903515301852003E-2</v>
      </c>
      <c r="S49" s="18">
        <f t="shared" si="69"/>
        <v>-2.1659548505186088E-2</v>
      </c>
      <c r="T49" s="18">
        <f t="shared" si="69"/>
        <v>-1.8829663962920046E-2</v>
      </c>
      <c r="U49" s="18">
        <f t="shared" si="69"/>
        <v>-2.8820960698689956E-2</v>
      </c>
      <c r="V49" s="17">
        <f t="shared" si="69"/>
        <v>-4.8302107728337235E-2</v>
      </c>
      <c r="W49" s="18">
        <f t="shared" ref="W49:X49" si="70">W24/W46</f>
        <v>-2.1625652498135719E-2</v>
      </c>
      <c r="X49" s="18">
        <f t="shared" si="70"/>
        <v>9.2936802973977699E-3</v>
      </c>
      <c r="Y49" s="18">
        <f t="shared" ref="Y49" si="71">Y24/Y46</f>
        <v>9.6001687051876852E-3</v>
      </c>
    </row>
    <row r="50" spans="1:26" x14ac:dyDescent="0.15">
      <c r="A50" s="4" t="s">
        <v>76</v>
      </c>
      <c r="I50" s="18" t="e">
        <f>I24/I42</f>
        <v>#REF!</v>
      </c>
      <c r="M50" s="18" t="e">
        <f t="shared" ref="M50:V50" si="72">M24/M42</f>
        <v>#REF!</v>
      </c>
      <c r="N50" s="17" t="e">
        <f t="shared" si="72"/>
        <v>#REF!</v>
      </c>
      <c r="O50" s="18" t="e">
        <f t="shared" si="72"/>
        <v>#REF!</v>
      </c>
      <c r="P50" s="18">
        <f t="shared" si="72"/>
        <v>-1.6323783919739945E-4</v>
      </c>
      <c r="Q50" s="18">
        <f t="shared" si="72"/>
        <v>-2.2695727638218127E-2</v>
      </c>
      <c r="R50" s="17">
        <f t="shared" si="72"/>
        <v>-1.511796502132582E-2</v>
      </c>
      <c r="S50" s="18">
        <f t="shared" si="72"/>
        <v>-1.4711976792374638E-2</v>
      </c>
      <c r="T50" s="18">
        <f t="shared" si="72"/>
        <v>-1.0697827518104016E-2</v>
      </c>
      <c r="U50" s="18">
        <f t="shared" si="72"/>
        <v>-1.6144814090019569E-2</v>
      </c>
      <c r="V50" s="17">
        <f t="shared" si="72"/>
        <v>-2.8099455040871933E-2</v>
      </c>
      <c r="W50" s="18">
        <f t="shared" ref="W50:X50" si="73">W24/W42</f>
        <v>-1.3488372093023256E-2</v>
      </c>
      <c r="X50" s="18">
        <f t="shared" si="73"/>
        <v>5.8445353594389245E-3</v>
      </c>
      <c r="Y50" s="18">
        <f t="shared" ref="Y50" si="74">Y24/Y42</f>
        <v>6.0804060371310274E-3</v>
      </c>
    </row>
    <row r="51" spans="1:26" x14ac:dyDescent="0.15">
      <c r="A51" s="4" t="s">
        <v>77</v>
      </c>
      <c r="I51" s="18" t="e">
        <f>I24/(I46-I41)</f>
        <v>#REF!</v>
      </c>
      <c r="M51" s="18" t="e">
        <f t="shared" ref="M51:V51" si="75">M24/(M46-M41)</f>
        <v>#REF!</v>
      </c>
      <c r="N51" s="17" t="e">
        <f t="shared" si="75"/>
        <v>#REF!</v>
      </c>
      <c r="O51" s="18" t="e">
        <f t="shared" si="75"/>
        <v>#REF!</v>
      </c>
      <c r="P51" s="18">
        <f t="shared" si="75"/>
        <v>-6.2530992036868285E-4</v>
      </c>
      <c r="Q51" s="18">
        <f t="shared" si="75"/>
        <v>-9.1328697035169826E-2</v>
      </c>
      <c r="R51" s="17">
        <f t="shared" si="75"/>
        <v>-6.2945522850759245E-2</v>
      </c>
      <c r="S51" s="18">
        <f t="shared" si="75"/>
        <v>-6.5137614678899086E-2</v>
      </c>
      <c r="T51" s="18">
        <f t="shared" si="75"/>
        <v>-5.1221434200157602E-2</v>
      </c>
      <c r="U51" s="18">
        <f t="shared" si="75"/>
        <v>-7.8633836378077845E-2</v>
      </c>
      <c r="V51" s="17">
        <f t="shared" si="75"/>
        <v>-0.12509476876421532</v>
      </c>
      <c r="W51" s="18">
        <f t="shared" ref="W51:X51" si="76">W24/(W46-W41)</f>
        <v>-4.5054375970999483E-2</v>
      </c>
      <c r="X51" s="18">
        <f t="shared" si="76"/>
        <v>1.8034265103697024E-2</v>
      </c>
      <c r="Y51" s="18">
        <f t="shared" ref="Y51" si="77">Y24/(Y46-Y41)</f>
        <v>1.7101427498121713E-2</v>
      </c>
    </row>
    <row r="52" spans="1:26" x14ac:dyDescent="0.15">
      <c r="A52" s="4" t="s">
        <v>78</v>
      </c>
      <c r="I52" s="18" t="e">
        <f>I24/I45</f>
        <v>#REF!</v>
      </c>
      <c r="M52" s="18" t="e">
        <f t="shared" ref="M52:V52" si="78">M24/M45</f>
        <v>#REF!</v>
      </c>
      <c r="N52" s="17" t="e">
        <f t="shared" si="78"/>
        <v>#REF!</v>
      </c>
      <c r="O52" s="18" t="e">
        <f t="shared" si="78"/>
        <v>#REF!</v>
      </c>
      <c r="P52" s="18">
        <f t="shared" si="78"/>
        <v>-2.0328274971033252E-3</v>
      </c>
      <c r="Q52" s="18">
        <f t="shared" si="78"/>
        <v>-0.18190817736934506</v>
      </c>
      <c r="R52" s="17">
        <f t="shared" si="78"/>
        <v>-8.2759726791244173E-2</v>
      </c>
      <c r="S52" s="18">
        <f t="shared" si="78"/>
        <v>-7.1359150604994939E-2</v>
      </c>
      <c r="T52" s="18">
        <f t="shared" si="78"/>
        <v>-4.1427660930528999E-2</v>
      </c>
      <c r="U52" s="18">
        <f t="shared" si="78"/>
        <v>-6.4537157757496744E-2</v>
      </c>
      <c r="V52" s="17">
        <f t="shared" si="78"/>
        <v>-0.13591433278418452</v>
      </c>
      <c r="W52" s="18">
        <f t="shared" ref="W52:X52" si="79">W24/W45</f>
        <v>-0.10583941605839416</v>
      </c>
      <c r="X52" s="18">
        <f t="shared" si="79"/>
        <v>4.1322314049586778E-2</v>
      </c>
      <c r="Y52" s="18">
        <f t="shared" ref="Y52" si="80">Y24/Y45</f>
        <v>3.0635262449528938E-2</v>
      </c>
    </row>
    <row r="53" spans="1:26" x14ac:dyDescent="0.15">
      <c r="R53" s="7"/>
      <c r="S53" s="2"/>
      <c r="T53" s="2"/>
      <c r="V53" s="7"/>
    </row>
    <row r="54" spans="1:26" x14ac:dyDescent="0.15">
      <c r="A54" s="4" t="s">
        <v>79</v>
      </c>
      <c r="I54" s="18" t="e">
        <f>#REF!/#REF!-1</f>
        <v>#REF!</v>
      </c>
      <c r="J54" s="17" t="e">
        <f>#REF!/#REF!-1</f>
        <v>#REF!</v>
      </c>
      <c r="K54" s="18" t="e">
        <f>#REF!/#REF!-1</f>
        <v>#REF!</v>
      </c>
      <c r="L54" s="18" t="e">
        <f>#REF!/#REF!-1</f>
        <v>#REF!</v>
      </c>
      <c r="M54" s="18" t="e">
        <f>#REF!/#REF!-1</f>
        <v>#REF!</v>
      </c>
      <c r="N54" s="17" t="e">
        <f>#REF!/#REF!-1</f>
        <v>#REF!</v>
      </c>
      <c r="O54" s="18" t="e">
        <f>#REF!/#REF!-1</f>
        <v>#REF!</v>
      </c>
      <c r="P54" s="18"/>
      <c r="Q54" s="18"/>
      <c r="R54" s="17"/>
      <c r="S54" s="18"/>
      <c r="T54" s="18"/>
      <c r="V54" s="17"/>
    </row>
    <row r="55" spans="1:26" x14ac:dyDescent="0.15">
      <c r="A55" s="4" t="s">
        <v>80</v>
      </c>
      <c r="I55" s="18" t="e">
        <f>#REF!/#REF!-1</f>
        <v>#REF!</v>
      </c>
      <c r="J55" s="17" t="e">
        <f>#REF!/#REF!-1</f>
        <v>#REF!</v>
      </c>
      <c r="K55" s="18" t="e">
        <f>#REF!/#REF!-1</f>
        <v>#REF!</v>
      </c>
      <c r="L55" s="18" t="e">
        <f>#REF!/#REF!-1</f>
        <v>#REF!</v>
      </c>
      <c r="M55" s="18" t="e">
        <f>#REF!/#REF!-1</f>
        <v>#REF!</v>
      </c>
      <c r="N55" s="17" t="e">
        <f>#REF!/#REF!-1</f>
        <v>#REF!</v>
      </c>
      <c r="O55" s="18" t="e">
        <f>#REF!/#REF!-1</f>
        <v>#REF!</v>
      </c>
      <c r="P55" s="18"/>
      <c r="Q55" s="18"/>
      <c r="R55" s="17"/>
      <c r="S55" s="18"/>
      <c r="T55" s="18"/>
      <c r="V55" s="17"/>
    </row>
    <row r="56" spans="1:26" x14ac:dyDescent="0.15">
      <c r="R56" s="7"/>
      <c r="S56" s="2"/>
      <c r="T56" s="2"/>
      <c r="V56" s="7"/>
    </row>
    <row r="57" spans="1:26" x14ac:dyDescent="0.15">
      <c r="A57" s="4" t="s">
        <v>108</v>
      </c>
      <c r="R57" s="17">
        <f t="shared" ref="R57:Z57" si="81">R3/N3-1</f>
        <v>6.0498220640569311E-2</v>
      </c>
      <c r="S57" s="16">
        <f t="shared" si="81"/>
        <v>5.8823529411764719E-2</v>
      </c>
      <c r="T57" s="16">
        <f t="shared" si="81"/>
        <v>6.6878980891719841E-2</v>
      </c>
      <c r="U57" s="16">
        <f t="shared" si="81"/>
        <v>6.3122923588039948E-2</v>
      </c>
      <c r="V57" s="17">
        <f t="shared" si="81"/>
        <v>0.11073825503355694</v>
      </c>
      <c r="W57" s="16">
        <f t="shared" si="81"/>
        <v>-0.13580246913580252</v>
      </c>
      <c r="X57" s="16">
        <f t="shared" si="81"/>
        <v>0.23880597014925375</v>
      </c>
      <c r="Y57" s="16">
        <f t="shared" si="81"/>
        <v>0.32449375000000003</v>
      </c>
      <c r="Z57" s="17">
        <f t="shared" si="81"/>
        <v>0.25</v>
      </c>
    </row>
    <row r="58" spans="1:26" x14ac:dyDescent="0.15">
      <c r="A58" s="4" t="s">
        <v>97</v>
      </c>
      <c r="R58" s="17"/>
      <c r="S58" s="16"/>
      <c r="T58" s="16">
        <f t="shared" ref="T58:Z59" si="82">T4/P4-1</f>
        <v>34</v>
      </c>
      <c r="U58" s="16">
        <f t="shared" si="82"/>
        <v>13.583887585556388</v>
      </c>
      <c r="V58" s="17">
        <f t="shared" si="82"/>
        <v>5.015625</v>
      </c>
      <c r="W58" s="16">
        <f t="shared" si="82"/>
        <v>0.82329317269076308</v>
      </c>
      <c r="X58" s="16">
        <f t="shared" si="82"/>
        <v>-0.51428571428571423</v>
      </c>
      <c r="Y58" s="16">
        <f t="shared" si="82"/>
        <v>-0.49561359867330024</v>
      </c>
      <c r="Z58" s="17">
        <f t="shared" si="82"/>
        <v>-0.19999999999999996</v>
      </c>
    </row>
    <row r="59" spans="1:26" x14ac:dyDescent="0.15">
      <c r="A59" s="4" t="s">
        <v>81</v>
      </c>
      <c r="R59" s="17">
        <f>R5/N5-1</f>
        <v>0.42105263157894735</v>
      </c>
      <c r="S59" s="16">
        <f>S5/O5-1</f>
        <v>0.42105263157894735</v>
      </c>
      <c r="T59" s="16">
        <f t="shared" si="82"/>
        <v>0.38888888888888884</v>
      </c>
      <c r="U59" s="16">
        <f t="shared" si="82"/>
        <v>-9.7938144329897003E-2</v>
      </c>
      <c r="V59" s="17">
        <f t="shared" si="82"/>
        <v>-7.407407407407407E-2</v>
      </c>
      <c r="W59" s="16">
        <f t="shared" si="82"/>
        <v>0.2592592592592593</v>
      </c>
      <c r="X59" s="16">
        <f t="shared" si="82"/>
        <v>1.1600000000000001</v>
      </c>
      <c r="Y59" s="16">
        <f t="shared" si="82"/>
        <v>1.9032857142857145</v>
      </c>
      <c r="Z59" s="17">
        <f t="shared" si="82"/>
        <v>0.5</v>
      </c>
    </row>
    <row r="60" spans="1:26" x14ac:dyDescent="0.15">
      <c r="R60" s="7"/>
      <c r="S60" s="2"/>
      <c r="V60" s="7"/>
    </row>
    <row r="61" spans="1:26" x14ac:dyDescent="0.15">
      <c r="I61" s="18"/>
      <c r="M61" s="18"/>
      <c r="N61" s="17"/>
      <c r="O61" s="18"/>
      <c r="P61" s="18"/>
      <c r="Q61" s="18"/>
      <c r="R61" s="17"/>
      <c r="S61" s="18"/>
      <c r="V61" s="17"/>
    </row>
    <row r="62" spans="1:26" x14ac:dyDescent="0.15">
      <c r="I62" s="18"/>
      <c r="M62" s="18"/>
      <c r="N62" s="17"/>
      <c r="O62" s="18"/>
      <c r="P62" s="18"/>
      <c r="Q62" s="18"/>
      <c r="R62" s="17"/>
      <c r="S62" s="18"/>
      <c r="V62" s="17"/>
    </row>
    <row r="63" spans="1:26" x14ac:dyDescent="0.15">
      <c r="I63" s="18"/>
      <c r="M63" s="18"/>
      <c r="N63" s="17"/>
      <c r="O63" s="18"/>
      <c r="P63" s="18"/>
      <c r="Q63" s="18"/>
      <c r="R63" s="17"/>
      <c r="S63" s="18"/>
      <c r="V63" s="17"/>
    </row>
    <row r="64" spans="1:26" x14ac:dyDescent="0.15">
      <c r="I64" s="18"/>
      <c r="M64" s="18"/>
      <c r="N64" s="17"/>
      <c r="O64" s="18"/>
      <c r="P64" s="18"/>
      <c r="Q64" s="18"/>
      <c r="R64" s="17"/>
      <c r="S64" s="18"/>
      <c r="V64" s="17"/>
    </row>
    <row r="65" spans="16:22" x14ac:dyDescent="0.15">
      <c r="P65" s="18"/>
      <c r="R65" s="7"/>
      <c r="S65" s="18"/>
      <c r="V65" s="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2"/>
  <sheetViews>
    <sheetView zoomScale="120" zoomScaleNormal="120" workbookViewId="0">
      <selection activeCell="C26" sqref="C26"/>
    </sheetView>
  </sheetViews>
  <sheetFormatPr baseColWidth="10" defaultRowHeight="13" x14ac:dyDescent="0.15"/>
  <cols>
    <col min="1" max="1" width="10.83203125" style="4"/>
    <col min="2" max="2" width="15.5" style="4" bestFit="1" customWidth="1"/>
    <col min="3" max="3" width="32.1640625" style="4" bestFit="1" customWidth="1"/>
    <col min="4" max="4" width="28.6640625" style="4" bestFit="1" customWidth="1"/>
    <col min="5" max="16384" width="10.83203125" style="4"/>
  </cols>
  <sheetData>
    <row r="4" spans="2:4" x14ac:dyDescent="0.15">
      <c r="B4" s="9" t="s">
        <v>102</v>
      </c>
    </row>
    <row r="6" spans="2:4" x14ac:dyDescent="0.15">
      <c r="B6" s="4" t="s">
        <v>103</v>
      </c>
      <c r="C6" s="4" t="s">
        <v>116</v>
      </c>
      <c r="D6" s="55" t="s">
        <v>109</v>
      </c>
    </row>
    <row r="7" spans="2:4" x14ac:dyDescent="0.15">
      <c r="B7" s="4" t="s">
        <v>93</v>
      </c>
      <c r="C7" s="4" t="s">
        <v>117</v>
      </c>
      <c r="D7" s="55" t="s">
        <v>110</v>
      </c>
    </row>
    <row r="8" spans="2:4" x14ac:dyDescent="0.15">
      <c r="B8" s="4" t="s">
        <v>98</v>
      </c>
      <c r="C8" s="4" t="s">
        <v>116</v>
      </c>
      <c r="D8" s="55" t="s">
        <v>111</v>
      </c>
    </row>
    <row r="9" spans="2:4" x14ac:dyDescent="0.15">
      <c r="B9" s="4" t="s">
        <v>99</v>
      </c>
      <c r="C9" s="4" t="s">
        <v>94</v>
      </c>
      <c r="D9" s="55" t="s">
        <v>112</v>
      </c>
    </row>
    <row r="10" spans="2:4" x14ac:dyDescent="0.15">
      <c r="B10" s="4" t="s">
        <v>100</v>
      </c>
      <c r="C10" s="4" t="s">
        <v>118</v>
      </c>
      <c r="D10" s="55" t="s">
        <v>113</v>
      </c>
    </row>
    <row r="12" spans="2:4" x14ac:dyDescent="0.15">
      <c r="B12" s="9" t="s">
        <v>131</v>
      </c>
    </row>
    <row r="14" spans="2:4" x14ac:dyDescent="0.15">
      <c r="B14" s="4" t="s">
        <v>114</v>
      </c>
      <c r="C14" s="4" t="s">
        <v>115</v>
      </c>
      <c r="D14" s="55" t="s">
        <v>119</v>
      </c>
    </row>
    <row r="15" spans="2:4" x14ac:dyDescent="0.15">
      <c r="B15" s="4" t="s">
        <v>120</v>
      </c>
      <c r="C15" s="4" t="s">
        <v>121</v>
      </c>
      <c r="D15" s="55" t="s">
        <v>122</v>
      </c>
    </row>
    <row r="16" spans="2:4" x14ac:dyDescent="0.15">
      <c r="B16" s="4" t="s">
        <v>123</v>
      </c>
      <c r="C16" s="4" t="s">
        <v>124</v>
      </c>
      <c r="D16" s="55" t="s">
        <v>125</v>
      </c>
    </row>
    <row r="17" spans="2:4" x14ac:dyDescent="0.15">
      <c r="D17" s="55"/>
    </row>
    <row r="18" spans="2:4" x14ac:dyDescent="0.15">
      <c r="B18" s="62" t="s">
        <v>130</v>
      </c>
      <c r="D18" s="55"/>
    </row>
    <row r="20" spans="2:4" x14ac:dyDescent="0.15">
      <c r="B20" s="4" t="s">
        <v>107</v>
      </c>
      <c r="C20" s="4" t="s">
        <v>132</v>
      </c>
    </row>
    <row r="21" spans="2:4" x14ac:dyDescent="0.15">
      <c r="B21" s="4" t="s">
        <v>96</v>
      </c>
      <c r="C21" s="4" t="s">
        <v>135</v>
      </c>
    </row>
    <row r="22" spans="2:4" x14ac:dyDescent="0.15">
      <c r="B22" s="4" t="s">
        <v>133</v>
      </c>
      <c r="C22" s="4" t="s">
        <v>134</v>
      </c>
    </row>
  </sheetData>
  <hyperlinks>
    <hyperlink ref="D6" r:id="rId1" xr:uid="{4D3E40AE-A4E1-4E40-A4E5-C66476F4683C}"/>
    <hyperlink ref="D7" r:id="rId2" xr:uid="{A83E4FF5-F7D4-2046-8D58-1A3FF474D731}"/>
    <hyperlink ref="D8" r:id="rId3" xr:uid="{15B98248-6023-A942-A34E-325B15FB3F29}"/>
    <hyperlink ref="D9" r:id="rId4" xr:uid="{CAC570F0-BA9A-2E41-AAB2-407B630E3EAD}"/>
    <hyperlink ref="D10" r:id="rId5" xr:uid="{286A0C8F-4322-B04B-862F-53528D8E5B24}"/>
    <hyperlink ref="D14" r:id="rId6" xr:uid="{1998D440-2020-CE44-BC66-27462F7AEB3A}"/>
    <hyperlink ref="D15" r:id="rId7" xr:uid="{C3C48A97-B4D4-1A43-B0A3-F377CBBDD40B}"/>
    <hyperlink ref="D16" r:id="rId8" xr:uid="{799EB86A-9AB3-6745-8183-3585B6771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2021-02-18T23:33:00Z</dcterms:modified>
</cp:coreProperties>
</file>